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2.bin" ContentType="application/vnd.openxmlformats-officedocument.spreadsheetml.customProperty"/>
  <Override PartName="/xl/customProperty3.bin" ContentType="application/vnd.openxmlformats-officedocument.spreadsheetml.customProperty"/>
  <Override PartName="/xl/drawings/drawing2.xml" ContentType="application/vnd.openxmlformats-officedocument.drawing+xml"/>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customProperty6.bin" ContentType="application/vnd.openxmlformats-officedocument.spreadsheetml.customProperty"/>
  <Override PartName="/xl/drawings/drawing4.xml" ContentType="application/vnd.openxmlformats-officedocument.drawing+xml"/>
  <Override PartName="/xl/comments2.xml" ContentType="application/vnd.openxmlformats-officedocument.spreadsheetml.comment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showInkAnnotation="0" updateLinks="always" codeName="ThisWorkbook" defaultThemeVersion="124226"/>
  <mc:AlternateContent xmlns:mc="http://schemas.openxmlformats.org/markup-compatibility/2006">
    <mc:Choice Requires="x15">
      <x15ac:absPath xmlns:x15ac="http://schemas.microsoft.com/office/spreadsheetml/2010/11/ac" url="V:\Calculators\SSC\_01 SCC Excel Calculators\Datum Suspended Canopy Calculator\"/>
    </mc:Choice>
  </mc:AlternateContent>
  <xr:revisionPtr revIDLastSave="0" documentId="13_ncr:1_{E948CE48-F6E1-45E9-8DB1-F350B49236B6}" xr6:coauthVersionLast="40" xr6:coauthVersionMax="40" xr10:uidLastSave="{00000000-0000-0000-0000-000000000000}"/>
  <bookViews>
    <workbookView xWindow="32760" yWindow="32760" windowWidth="28800" windowHeight="13500" tabRatio="765" xr2:uid="{00000000-000D-0000-FFFF-FFFF00000000}"/>
  </bookViews>
  <sheets>
    <sheet name="HTML Frame" sheetId="32" r:id="rId1"/>
    <sheet name="Information" sheetId="31" state="hidden" r:id="rId2"/>
    <sheet name="Printable Page" sheetId="30" state="hidden" r:id="rId3"/>
    <sheet name="Control" sheetId="36" r:id="rId4"/>
    <sheet name="Loading" sheetId="39" r:id="rId5"/>
    <sheet name="SnowLoad" sheetId="35" state="hidden" r:id="rId6"/>
    <sheet name="S8  Gutter Loading_" sheetId="33" r:id="rId7"/>
    <sheet name="S12  Gutter Loading_" sheetId="38" state="hidden" r:id="rId8"/>
    <sheet name="Hanger Arm Tables (2)" sheetId="34" r:id="rId9"/>
    <sheet name="_SSC" sheetId="40" state="veryHidden" r:id="rId10"/>
    <sheet name="_Options" sheetId="41" state="veryHidden"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___IND1" localSheetId="7">#REF!</definedName>
    <definedName name="____IND1">#REF!</definedName>
    <definedName name="___IND1" localSheetId="7">#REF!</definedName>
    <definedName name="___IND1">#REF!</definedName>
    <definedName name="__IND1" localSheetId="7">#REF!</definedName>
    <definedName name="__IND1">#REF!</definedName>
    <definedName name="_AA">'HTML Frame'!$D$39</definedName>
    <definedName name="_AH">'HTML Frame'!$D$41</definedName>
    <definedName name="_AT">'HTML Frame'!$AB$39</definedName>
    <definedName name="_CH">'HTML Frame'!$D$45</definedName>
    <definedName name="_Ctrl_1" localSheetId="4" hidden="1">Loading!$H$10</definedName>
    <definedName name="_Ctrl_1" localSheetId="2" hidden="1">#REF!</definedName>
    <definedName name="_Ctrl_1" hidden="1">'HTML Frame'!$D$17</definedName>
    <definedName name="_Ctrl_10" hidden="1">'HTML Frame'!$N$193</definedName>
    <definedName name="_Ctrl_11" hidden="1">'HTML Frame'!$M$195</definedName>
    <definedName name="_Ctrl_12" hidden="1">'HTML Frame'!$N$195</definedName>
    <definedName name="_Ctrl_13" hidden="1">'HTML Frame'!$M$201</definedName>
    <definedName name="_Ctrl_14" hidden="1">'HTML Frame'!$M$203</definedName>
    <definedName name="_Ctrl_15" hidden="1">'HTML Frame'!$M$205</definedName>
    <definedName name="_Ctrl_16" hidden="1">'HTML Frame'!$M$207</definedName>
    <definedName name="_Ctrl_17" hidden="1">'HTML Frame'!$M$209</definedName>
    <definedName name="_Ctrl_179" localSheetId="2" hidden="1">#REF!</definedName>
    <definedName name="_Ctrl_179" hidden="1">Information!$B$19</definedName>
    <definedName name="_Ctrl_18" hidden="1">'HTML Frame'!$M$211</definedName>
    <definedName name="_Ctrl_180" localSheetId="2" hidden="1">#REF!</definedName>
    <definedName name="_Ctrl_180" hidden="1">Information!$A$21</definedName>
    <definedName name="_Ctrl_181" localSheetId="7" hidden="1">#REF!</definedName>
    <definedName name="_Ctrl_181" hidden="1">#REF!</definedName>
    <definedName name="_Ctrl_182" localSheetId="7" hidden="1">#REF!</definedName>
    <definedName name="_Ctrl_182" hidden="1">#REF!</definedName>
    <definedName name="_Ctrl_185" localSheetId="7" hidden="1">#REF!</definedName>
    <definedName name="_Ctrl_185" hidden="1">#REF!</definedName>
    <definedName name="_Ctrl_188" localSheetId="7" hidden="1">#REF!</definedName>
    <definedName name="_Ctrl_188" hidden="1">#REF!</definedName>
    <definedName name="_Ctrl_19" hidden="1">'HTML Frame'!$M$213</definedName>
    <definedName name="_Ctrl_194" localSheetId="7" hidden="1">#REF!</definedName>
    <definedName name="_Ctrl_194" hidden="1">#REF!</definedName>
    <definedName name="_Ctrl_20" hidden="1">'HTML Frame'!$M$215</definedName>
    <definedName name="_Ctrl_21" hidden="1">'HTML Frame'!$M$217</definedName>
    <definedName name="_Ctrl_211" localSheetId="7" hidden="1">#REF!</definedName>
    <definedName name="_Ctrl_211" hidden="1">#REF!</definedName>
    <definedName name="_Ctrl_212" localSheetId="7" hidden="1">#REF!</definedName>
    <definedName name="_Ctrl_212" hidden="1">#REF!</definedName>
    <definedName name="_Ctrl_213" localSheetId="7" hidden="1">#REF!</definedName>
    <definedName name="_Ctrl_213" hidden="1">#REF!</definedName>
    <definedName name="_Ctrl_214" localSheetId="7" hidden="1">#REF!</definedName>
    <definedName name="_Ctrl_214" hidden="1">#REF!</definedName>
    <definedName name="_Ctrl_215" localSheetId="7" hidden="1">#REF!</definedName>
    <definedName name="_Ctrl_215" hidden="1">#REF!</definedName>
    <definedName name="_Ctrl_216" localSheetId="7" hidden="1">#REF!</definedName>
    <definedName name="_Ctrl_216" hidden="1">#REF!</definedName>
    <definedName name="_Ctrl_217" localSheetId="7" hidden="1">#REF!</definedName>
    <definedName name="_Ctrl_217" hidden="1">#REF!</definedName>
    <definedName name="_Ctrl_218" localSheetId="7" hidden="1">#REF!</definedName>
    <definedName name="_Ctrl_218" hidden="1">#REF!</definedName>
    <definedName name="_Ctrl_219" localSheetId="7" hidden="1">#REF!</definedName>
    <definedName name="_Ctrl_219" hidden="1">#REF!</definedName>
    <definedName name="_Ctrl_22" hidden="1">'HTML Frame'!$N$201</definedName>
    <definedName name="_Ctrl_220" localSheetId="7" hidden="1">#REF!</definedName>
    <definedName name="_Ctrl_220" hidden="1">#REF!</definedName>
    <definedName name="_Ctrl_221" localSheetId="7" hidden="1">#REF!</definedName>
    <definedName name="_Ctrl_221" hidden="1">#REF!</definedName>
    <definedName name="_Ctrl_222" localSheetId="7" hidden="1">#REF!</definedName>
    <definedName name="_Ctrl_222" hidden="1">#REF!</definedName>
    <definedName name="_Ctrl_223" localSheetId="7" hidden="1">#REF!</definedName>
    <definedName name="_Ctrl_223" hidden="1">#REF!</definedName>
    <definedName name="_Ctrl_224" localSheetId="7" hidden="1">#REF!</definedName>
    <definedName name="_Ctrl_224" hidden="1">#REF!</definedName>
    <definedName name="_Ctrl_225" localSheetId="7" hidden="1">#REF!</definedName>
    <definedName name="_Ctrl_225" hidden="1">#REF!</definedName>
    <definedName name="_Ctrl_226" localSheetId="7" hidden="1">#REF!</definedName>
    <definedName name="_Ctrl_226" hidden="1">#REF!</definedName>
    <definedName name="_Ctrl_227" localSheetId="7" hidden="1">#REF!</definedName>
    <definedName name="_Ctrl_227" hidden="1">#REF!</definedName>
    <definedName name="_Ctrl_23" hidden="1">'HTML Frame'!$N$203</definedName>
    <definedName name="_Ctrl_232" hidden="1">'Printable Page'!$D$6</definedName>
    <definedName name="_Ctrl_233" hidden="1">'Printable Page'!$D$7</definedName>
    <definedName name="_Ctrl_234" hidden="1">'Printable Page'!$D$8</definedName>
    <definedName name="_Ctrl_235" hidden="1">'Printable Page'!$M$8</definedName>
    <definedName name="_Ctrl_236" hidden="1">'Printable Page'!$O$5</definedName>
    <definedName name="_Ctrl_237" hidden="1">'Printable Page'!$O$6</definedName>
    <definedName name="_Ctrl_238" hidden="1">'Printable Page'!$O$7</definedName>
    <definedName name="_Ctrl_239" hidden="1">'Printable Page'!$W$7</definedName>
    <definedName name="_Ctrl_24" hidden="1">'HTML Frame'!$N$205</definedName>
    <definedName name="_Ctrl_25" hidden="1">'HTML Frame'!$N$207</definedName>
    <definedName name="_Ctrl_251" hidden="1">'Printable Page'!$D$60</definedName>
    <definedName name="_Ctrl_26" hidden="1">'HTML Frame'!$N$209</definedName>
    <definedName name="_Ctrl_27" hidden="1">'HTML Frame'!$N$211</definedName>
    <definedName name="_Ctrl_276" hidden="1">'Printable Page'!$H$60</definedName>
    <definedName name="_Ctrl_278" hidden="1">'Printable Page'!$J$60</definedName>
    <definedName name="_Ctrl_28" hidden="1">'HTML Frame'!$N$213</definedName>
    <definedName name="_Ctrl_29" hidden="1">'HTML Frame'!$N$215</definedName>
    <definedName name="_Ctrl_291" hidden="1">'Printable Page'!$D$5</definedName>
    <definedName name="_Ctrl_292" hidden="1">'Printable Page'!$K$99</definedName>
    <definedName name="_Ctrl_295" hidden="1">'Printable Page'!$R$4</definedName>
    <definedName name="_Ctrl_296" hidden="1">'Printable Page'!$S$4</definedName>
    <definedName name="_Ctrl_297" hidden="1">'Printable Page'!$V$4</definedName>
    <definedName name="_Ctrl_298" hidden="1">'Printable Page'!$W$4</definedName>
    <definedName name="_Ctrl_30" hidden="1">'HTML Frame'!$N$217</definedName>
    <definedName name="_Ctrl_33" hidden="1">'HTML Frame'!$D$49</definedName>
    <definedName name="_Ctrl_34" hidden="1">'HTML Frame'!$D$51</definedName>
    <definedName name="_Ctrl_35" hidden="1">'HTML Frame'!$D$53</definedName>
    <definedName name="_Ctrl_36" hidden="1">'HTML Frame'!$D$55</definedName>
    <definedName name="_Ctrl_37" hidden="1">'HTML Frame'!$J$253</definedName>
    <definedName name="_Ctrl_49" localSheetId="7" hidden="1">#REF!</definedName>
    <definedName name="_Ctrl_49" hidden="1">#REF!</definedName>
    <definedName name="_Ctrl_50" localSheetId="7" hidden="1">#REF!</definedName>
    <definedName name="_Ctrl_50" hidden="1">#REF!</definedName>
    <definedName name="_Ctrl_51" localSheetId="7" hidden="1">#REF!</definedName>
    <definedName name="_Ctrl_51" hidden="1">#REF!</definedName>
    <definedName name="_Ctrl_52" localSheetId="7" hidden="1">#REF!</definedName>
    <definedName name="_Ctrl_52" hidden="1">#REF!</definedName>
    <definedName name="_Ctrl_53" localSheetId="7" hidden="1">#REF!</definedName>
    <definedName name="_Ctrl_53" hidden="1">#REF!</definedName>
    <definedName name="_Ctrl_54" localSheetId="7" hidden="1">#REF!</definedName>
    <definedName name="_Ctrl_54" hidden="1">#REF!</definedName>
    <definedName name="_Ctrl_68" localSheetId="7" hidden="1">#REF!</definedName>
    <definedName name="_Ctrl_68" hidden="1">#REF!</definedName>
    <definedName name="_Ctrl_69" localSheetId="7" hidden="1">#REF!</definedName>
    <definedName name="_Ctrl_69" hidden="1">#REF!</definedName>
    <definedName name="_Ctrl_7" hidden="1">'HTML Frame'!$D$19</definedName>
    <definedName name="_Ctrl_8" hidden="1">Information!$I$14</definedName>
    <definedName name="_Ctrl_9" hidden="1">'HTML Frame'!$M$193</definedName>
    <definedName name="_ctrl_ram_100" localSheetId="7" hidden="1">#REF!</definedName>
    <definedName name="_ctrl_ram_100" hidden="1">#REF!</definedName>
    <definedName name="_ctrl_ram_101" localSheetId="7" hidden="1">#REF!</definedName>
    <definedName name="_ctrl_ram_101" hidden="1">#REF!</definedName>
    <definedName name="_ctrl_ram_102" localSheetId="7" hidden="1">#REF!</definedName>
    <definedName name="_ctrl_ram_102" hidden="1">#REF!</definedName>
    <definedName name="_ctrl_ram_103" localSheetId="7" hidden="1">#REF!</definedName>
    <definedName name="_ctrl_ram_103" hidden="1">#REF!</definedName>
    <definedName name="_ctrl_ram_104" localSheetId="7" hidden="1">#REF!</definedName>
    <definedName name="_ctrl_ram_104" hidden="1">#REF!</definedName>
    <definedName name="_ctrl_ram_105" localSheetId="7" hidden="1">#REF!</definedName>
    <definedName name="_ctrl_ram_105" hidden="1">#REF!</definedName>
    <definedName name="_ctrl_ram_106" localSheetId="7" hidden="1">#REF!</definedName>
    <definedName name="_ctrl_ram_106" hidden="1">#REF!</definedName>
    <definedName name="_ctrl_ram_107" localSheetId="7" hidden="1">#REF!</definedName>
    <definedName name="_ctrl_ram_107" hidden="1">#REF!</definedName>
    <definedName name="_ctrl_ram_108" localSheetId="7" hidden="1">#REF!</definedName>
    <definedName name="_ctrl_ram_108" hidden="1">#REF!</definedName>
    <definedName name="_ctrl_ram_109" localSheetId="7" hidden="1">#REF!</definedName>
    <definedName name="_ctrl_ram_109" hidden="1">#REF!</definedName>
    <definedName name="_ctrl_ram_110" localSheetId="7" hidden="1">#REF!</definedName>
    <definedName name="_ctrl_ram_110" hidden="1">#REF!</definedName>
    <definedName name="_ctrl_ram_111" localSheetId="7" hidden="1">#REF!</definedName>
    <definedName name="_ctrl_ram_111" hidden="1">#REF!</definedName>
    <definedName name="_ctrl_ram_112" localSheetId="7" hidden="1">#REF!</definedName>
    <definedName name="_ctrl_ram_112" hidden="1">#REF!</definedName>
    <definedName name="_ctrl_ram_113" localSheetId="7" hidden="1">#REF!</definedName>
    <definedName name="_ctrl_ram_113" hidden="1">#REF!</definedName>
    <definedName name="_ctrl_ram_114" localSheetId="7" hidden="1">#REF!</definedName>
    <definedName name="_ctrl_ram_114" hidden="1">#REF!</definedName>
    <definedName name="_ctrl_ram_115" localSheetId="7" hidden="1">#REF!</definedName>
    <definedName name="_ctrl_ram_115" hidden="1">#REF!</definedName>
    <definedName name="_ctrl_ram_116" localSheetId="7" hidden="1">#REF!</definedName>
    <definedName name="_ctrl_ram_116" hidden="1">#REF!</definedName>
    <definedName name="_ctrl_ram_117" localSheetId="7" hidden="1">#REF!</definedName>
    <definedName name="_ctrl_ram_117" hidden="1">#REF!</definedName>
    <definedName name="_ctrl_ram_118" localSheetId="7" hidden="1">#REF!</definedName>
    <definedName name="_ctrl_ram_118" hidden="1">#REF!</definedName>
    <definedName name="_ctrl_ram_119" localSheetId="7" hidden="1">#REF!</definedName>
    <definedName name="_ctrl_ram_119" hidden="1">#REF!</definedName>
    <definedName name="_ctrl_ram_120" localSheetId="7" hidden="1">#REF!</definedName>
    <definedName name="_ctrl_ram_120" hidden="1">#REF!</definedName>
    <definedName name="_ctrl_ram_121" localSheetId="7" hidden="1">#REF!</definedName>
    <definedName name="_ctrl_ram_121" hidden="1">#REF!</definedName>
    <definedName name="_ctrl_ram_122" localSheetId="7" hidden="1">#REF!</definedName>
    <definedName name="_ctrl_ram_122" hidden="1">#REF!</definedName>
    <definedName name="_ctrl_ram_123" localSheetId="7" hidden="1">#REF!</definedName>
    <definedName name="_ctrl_ram_123" hidden="1">#REF!</definedName>
    <definedName name="_ctrl_ram_124" localSheetId="7" hidden="1">#REF!</definedName>
    <definedName name="_ctrl_ram_124" hidden="1">#REF!</definedName>
    <definedName name="_ctrl_ram_125" localSheetId="7" hidden="1">#REF!</definedName>
    <definedName name="_ctrl_ram_125" hidden="1">#REF!</definedName>
    <definedName name="_ctrl_ram_126" localSheetId="7" hidden="1">#REF!</definedName>
    <definedName name="_ctrl_ram_126" hidden="1">#REF!</definedName>
    <definedName name="_ctrl_ram_127" localSheetId="7" hidden="1">#REF!</definedName>
    <definedName name="_ctrl_ram_127" hidden="1">#REF!</definedName>
    <definedName name="_ctrl_ram_128" localSheetId="7" hidden="1">#REF!</definedName>
    <definedName name="_ctrl_ram_128" hidden="1">#REF!</definedName>
    <definedName name="_ctrl_ram_129" localSheetId="7" hidden="1">#REF!</definedName>
    <definedName name="_ctrl_ram_129" hidden="1">#REF!</definedName>
    <definedName name="_ctrl_ram_130" localSheetId="7" hidden="1">#REF!</definedName>
    <definedName name="_ctrl_ram_130" hidden="1">#REF!</definedName>
    <definedName name="_ctrl_ram_131" localSheetId="7" hidden="1">#REF!</definedName>
    <definedName name="_ctrl_ram_131" hidden="1">#REF!</definedName>
    <definedName name="_ctrl_ram_132" localSheetId="7" hidden="1">#REF!</definedName>
    <definedName name="_ctrl_ram_132" hidden="1">#REF!</definedName>
    <definedName name="_ctrl_ram_133" localSheetId="7" hidden="1">#REF!</definedName>
    <definedName name="_ctrl_ram_133" hidden="1">#REF!</definedName>
    <definedName name="_ctrl_ram_134" localSheetId="7" hidden="1">#REF!</definedName>
    <definedName name="_ctrl_ram_134" hidden="1">#REF!</definedName>
    <definedName name="_ctrl_ram_135" localSheetId="7" hidden="1">#REF!</definedName>
    <definedName name="_ctrl_ram_135" hidden="1">#REF!</definedName>
    <definedName name="_ctrl_ram_136" localSheetId="7" hidden="1">#REF!</definedName>
    <definedName name="_ctrl_ram_136" hidden="1">#REF!</definedName>
    <definedName name="_ctrl_ram_137" localSheetId="7" hidden="1">#REF!</definedName>
    <definedName name="_ctrl_ram_137" hidden="1">#REF!</definedName>
    <definedName name="_ctrl_ram_138" localSheetId="7" hidden="1">#REF!</definedName>
    <definedName name="_ctrl_ram_138" hidden="1">#REF!</definedName>
    <definedName name="_ctrl_ram_139" localSheetId="7" hidden="1">#REF!</definedName>
    <definedName name="_ctrl_ram_139" hidden="1">#REF!</definedName>
    <definedName name="_ctrl_ram_140" localSheetId="7" hidden="1">#REF!</definedName>
    <definedName name="_ctrl_ram_140" hidden="1">#REF!</definedName>
    <definedName name="_ctrl_ram_141" localSheetId="7" hidden="1">#REF!</definedName>
    <definedName name="_ctrl_ram_141" hidden="1">#REF!</definedName>
    <definedName name="_ctrl_ram_142" localSheetId="7" hidden="1">#REF!</definedName>
    <definedName name="_ctrl_ram_142" hidden="1">#REF!</definedName>
    <definedName name="_ctrl_ram_143" localSheetId="7" hidden="1">#REF!</definedName>
    <definedName name="_ctrl_ram_143" hidden="1">#REF!</definedName>
    <definedName name="_ctrl_ram_144" localSheetId="7" hidden="1">#REF!</definedName>
    <definedName name="_ctrl_ram_144" hidden="1">#REF!</definedName>
    <definedName name="_ctrl_ram_145" localSheetId="7" hidden="1">#REF!</definedName>
    <definedName name="_ctrl_ram_145" hidden="1">#REF!</definedName>
    <definedName name="_ctrl_ram_146" localSheetId="7" hidden="1">#REF!</definedName>
    <definedName name="_ctrl_ram_146" hidden="1">#REF!</definedName>
    <definedName name="_ctrl_ram_147" localSheetId="7" hidden="1">#REF!</definedName>
    <definedName name="_ctrl_ram_147" hidden="1">#REF!</definedName>
    <definedName name="_ctrl_ram_148" localSheetId="7" hidden="1">#REF!</definedName>
    <definedName name="_ctrl_ram_148" hidden="1">#REF!</definedName>
    <definedName name="_ctrl_ram_149" localSheetId="7" hidden="1">#REF!</definedName>
    <definedName name="_ctrl_ram_149" hidden="1">#REF!</definedName>
    <definedName name="_ctrl_ram_150" localSheetId="7" hidden="1">#REF!</definedName>
    <definedName name="_ctrl_ram_150" hidden="1">#REF!</definedName>
    <definedName name="_ctrl_ram_151" localSheetId="7" hidden="1">#REF!</definedName>
    <definedName name="_ctrl_ram_151" hidden="1">#REF!</definedName>
    <definedName name="_ctrl_ram_161" localSheetId="7" hidden="1">#REF!</definedName>
    <definedName name="_ctrl_ram_161" hidden="1">#REF!</definedName>
    <definedName name="_ctrl_ram_162" localSheetId="7" hidden="1">#REF!</definedName>
    <definedName name="_ctrl_ram_162" hidden="1">#REF!</definedName>
    <definedName name="_ctrl_ram_163" localSheetId="2" hidden="1">#REF!</definedName>
    <definedName name="_ctrl_ram_163" hidden="1">Information!$M$19</definedName>
    <definedName name="_ctrl_ram_169" localSheetId="7" hidden="1">#REF!</definedName>
    <definedName name="_ctrl_ram_169" hidden="1">#REF!</definedName>
    <definedName name="_ctrl_ram_170" localSheetId="7" hidden="1">#REF!</definedName>
    <definedName name="_ctrl_ram_170" hidden="1">#REF!</definedName>
    <definedName name="_ctrl_ram_171" localSheetId="7" hidden="1">#REF!</definedName>
    <definedName name="_ctrl_ram_171" hidden="1">#REF!</definedName>
    <definedName name="_ctrl_ram_183" localSheetId="7" hidden="1">#REF!</definedName>
    <definedName name="_ctrl_ram_183" hidden="1">#REF!</definedName>
    <definedName name="_ctrl_ram_186" hidden="1">'Printable Page'!$V$4</definedName>
    <definedName name="_ctrl_ram_187" localSheetId="7" hidden="1">#REF!</definedName>
    <definedName name="_ctrl_ram_187" hidden="1">#REF!</definedName>
    <definedName name="_ctrl_ram_188" localSheetId="7" hidden="1">#REF!</definedName>
    <definedName name="_ctrl_ram_188" hidden="1">#REF!</definedName>
    <definedName name="_ctrl_ram_189" localSheetId="7" hidden="1">#REF!</definedName>
    <definedName name="_ctrl_ram_189" hidden="1">#REF!</definedName>
    <definedName name="_ctrl_ram_196" hidden="1">'Printable Page'!$W$4</definedName>
    <definedName name="_ctrl_ram_212" localSheetId="7" hidden="1">#REF!</definedName>
    <definedName name="_ctrl_ram_212" hidden="1">#REF!</definedName>
    <definedName name="_ctrl_ram_70" localSheetId="7" hidden="1">#REF!</definedName>
    <definedName name="_ctrl_ram_70" hidden="1">#REF!</definedName>
    <definedName name="_ctrl_ram_71" localSheetId="7" hidden="1">#REF!</definedName>
    <definedName name="_ctrl_ram_71" hidden="1">#REF!</definedName>
    <definedName name="_ctrl_ram_72" localSheetId="7" hidden="1">#REF!</definedName>
    <definedName name="_ctrl_ram_72" hidden="1">#REF!</definedName>
    <definedName name="_ctrl_ram_73" localSheetId="7" hidden="1">#REF!</definedName>
    <definedName name="_ctrl_ram_73" hidden="1">#REF!</definedName>
    <definedName name="_ctrl_ram_74" localSheetId="7" hidden="1">#REF!</definedName>
    <definedName name="_ctrl_ram_74" hidden="1">#REF!</definedName>
    <definedName name="_ctrl_ram_75" localSheetId="7" hidden="1">#REF!</definedName>
    <definedName name="_ctrl_ram_75" hidden="1">#REF!</definedName>
    <definedName name="_ctrl_ram_76" localSheetId="7" hidden="1">#REF!</definedName>
    <definedName name="_ctrl_ram_76" hidden="1">#REF!</definedName>
    <definedName name="_ctrl_ram_77" localSheetId="7" hidden="1">#REF!</definedName>
    <definedName name="_ctrl_ram_77" hidden="1">#REF!</definedName>
    <definedName name="_ctrl_ram_78" localSheetId="7" hidden="1">#REF!</definedName>
    <definedName name="_ctrl_ram_78" hidden="1">#REF!</definedName>
    <definedName name="_ctrl_ram_79" localSheetId="7" hidden="1">#REF!</definedName>
    <definedName name="_ctrl_ram_79" hidden="1">#REF!</definedName>
    <definedName name="_ctrl_ram_80" localSheetId="7" hidden="1">#REF!</definedName>
    <definedName name="_ctrl_ram_80" hidden="1">#REF!</definedName>
    <definedName name="_ctrl_ram_81" localSheetId="7" hidden="1">#REF!</definedName>
    <definedName name="_ctrl_ram_81" hidden="1">#REF!</definedName>
    <definedName name="_ctrl_ram_82" localSheetId="7" hidden="1">#REF!</definedName>
    <definedName name="_ctrl_ram_82" hidden="1">#REF!</definedName>
    <definedName name="_ctrl_ram_83" localSheetId="7" hidden="1">#REF!</definedName>
    <definedName name="_ctrl_ram_83" hidden="1">#REF!</definedName>
    <definedName name="_ctrl_ram_84" localSheetId="7" hidden="1">#REF!</definedName>
    <definedName name="_ctrl_ram_84" hidden="1">#REF!</definedName>
    <definedName name="_ctrl_ram_85" localSheetId="7" hidden="1">#REF!</definedName>
    <definedName name="_ctrl_ram_85" hidden="1">#REF!</definedName>
    <definedName name="_ctrl_ram_86" localSheetId="7" hidden="1">#REF!</definedName>
    <definedName name="_ctrl_ram_86" hidden="1">#REF!</definedName>
    <definedName name="_ctrl_ram_87" localSheetId="7" hidden="1">#REF!</definedName>
    <definedName name="_ctrl_ram_87" hidden="1">#REF!</definedName>
    <definedName name="_ctrl_ram_88" localSheetId="7" hidden="1">#REF!</definedName>
    <definedName name="_ctrl_ram_88" hidden="1">#REF!</definedName>
    <definedName name="_ctrl_ram_89" localSheetId="7" hidden="1">#REF!</definedName>
    <definedName name="_ctrl_ram_89" hidden="1">#REF!</definedName>
    <definedName name="_ctrl_ram_90" localSheetId="7" hidden="1">#REF!</definedName>
    <definedName name="_ctrl_ram_90" hidden="1">#REF!</definedName>
    <definedName name="_ctrl_ram_91" localSheetId="7" hidden="1">#REF!</definedName>
    <definedName name="_ctrl_ram_91" hidden="1">#REF!</definedName>
    <definedName name="_ctrl_ram_92" localSheetId="7" hidden="1">#REF!</definedName>
    <definedName name="_ctrl_ram_92" hidden="1">#REF!</definedName>
    <definedName name="_ctrl_ram_93" localSheetId="7" hidden="1">#REF!</definedName>
    <definedName name="_ctrl_ram_93" hidden="1">#REF!</definedName>
    <definedName name="_ctrl_ram_94" localSheetId="7" hidden="1">#REF!</definedName>
    <definedName name="_ctrl_ram_94" hidden="1">#REF!</definedName>
    <definedName name="_ctrl_ram_95" localSheetId="7" hidden="1">#REF!</definedName>
    <definedName name="_ctrl_ram_95" hidden="1">#REF!</definedName>
    <definedName name="_ctrl_ram_96" localSheetId="7" hidden="1">#REF!</definedName>
    <definedName name="_ctrl_ram_96" hidden="1">#REF!</definedName>
    <definedName name="_ctrl_ram_97" localSheetId="7" hidden="1">#REF!</definedName>
    <definedName name="_ctrl_ram_97" hidden="1">#REF!</definedName>
    <definedName name="_ctrl_ram_98" localSheetId="7" hidden="1">#REF!</definedName>
    <definedName name="_ctrl_ram_98" hidden="1">#REF!</definedName>
    <definedName name="_ctrl_ram_99" localSheetId="7" hidden="1">#REF!</definedName>
    <definedName name="_ctrl_ram_99" hidden="1">#REF!</definedName>
    <definedName name="_dep_ram_100" localSheetId="7" hidden="1">#REF!</definedName>
    <definedName name="_dep_ram_100" hidden="1">#REF!</definedName>
    <definedName name="_dep_ram_101" localSheetId="7" hidden="1">#REF!</definedName>
    <definedName name="_dep_ram_101" hidden="1">#REF!</definedName>
    <definedName name="_dep_ram_102" localSheetId="7" hidden="1">#REF!</definedName>
    <definedName name="_dep_ram_102" hidden="1">#REF!</definedName>
    <definedName name="_dep_ram_103" localSheetId="7" hidden="1">#REF!</definedName>
    <definedName name="_dep_ram_103" hidden="1">#REF!</definedName>
    <definedName name="_dep_ram_104" localSheetId="7" hidden="1">#REF!</definedName>
    <definedName name="_dep_ram_104" hidden="1">#REF!</definedName>
    <definedName name="_dep_ram_105" localSheetId="7" hidden="1">#REF!</definedName>
    <definedName name="_dep_ram_105" hidden="1">#REF!</definedName>
    <definedName name="_dep_ram_106" localSheetId="7" hidden="1">#REF!</definedName>
    <definedName name="_dep_ram_106" hidden="1">#REF!</definedName>
    <definedName name="_dep_ram_107" localSheetId="7" hidden="1">#REF!</definedName>
    <definedName name="_dep_ram_107" hidden="1">#REF!</definedName>
    <definedName name="_dep_ram_108" localSheetId="7" hidden="1">#REF!</definedName>
    <definedName name="_dep_ram_108" hidden="1">#REF!</definedName>
    <definedName name="_dep_ram_109" localSheetId="7" hidden="1">#REF!</definedName>
    <definedName name="_dep_ram_109" hidden="1">#REF!</definedName>
    <definedName name="_dep_ram_110" localSheetId="7" hidden="1">#REF!</definedName>
    <definedName name="_dep_ram_110" hidden="1">#REF!</definedName>
    <definedName name="_dep_ram_111" localSheetId="7" hidden="1">#REF!</definedName>
    <definedName name="_dep_ram_111" hidden="1">#REF!</definedName>
    <definedName name="_dep_ram_112" localSheetId="7" hidden="1">#REF!</definedName>
    <definedName name="_dep_ram_112" hidden="1">#REF!</definedName>
    <definedName name="_dep_ram_113" localSheetId="7" hidden="1">#REF!</definedName>
    <definedName name="_dep_ram_113" hidden="1">#REF!</definedName>
    <definedName name="_dep_ram_114" localSheetId="7" hidden="1">#REF!</definedName>
    <definedName name="_dep_ram_114" hidden="1">#REF!</definedName>
    <definedName name="_dep_ram_115" localSheetId="7" hidden="1">#REF!</definedName>
    <definedName name="_dep_ram_115" hidden="1">#REF!</definedName>
    <definedName name="_dep_ram_116" localSheetId="7" hidden="1">#REF!</definedName>
    <definedName name="_dep_ram_116" hidden="1">#REF!</definedName>
    <definedName name="_dep_ram_117" localSheetId="7" hidden="1">#REF!</definedName>
    <definedName name="_dep_ram_117" hidden="1">#REF!</definedName>
    <definedName name="_dep_ram_118" localSheetId="7" hidden="1">#REF!</definedName>
    <definedName name="_dep_ram_118" hidden="1">#REF!</definedName>
    <definedName name="_dep_ram_119" localSheetId="7" hidden="1">#REF!</definedName>
    <definedName name="_dep_ram_119" hidden="1">#REF!</definedName>
    <definedName name="_dep_ram_120" localSheetId="7" hidden="1">#REF!</definedName>
    <definedName name="_dep_ram_120" hidden="1">#REF!</definedName>
    <definedName name="_dep_ram_121" localSheetId="7" hidden="1">#REF!</definedName>
    <definedName name="_dep_ram_121" hidden="1">#REF!</definedName>
    <definedName name="_dep_ram_122" localSheetId="7" hidden="1">#REF!</definedName>
    <definedName name="_dep_ram_122" hidden="1">#REF!</definedName>
    <definedName name="_dep_ram_123" localSheetId="7" hidden="1">#REF!</definedName>
    <definedName name="_dep_ram_123" hidden="1">#REF!</definedName>
    <definedName name="_dep_ram_124" localSheetId="7" hidden="1">#REF!</definedName>
    <definedName name="_dep_ram_124" hidden="1">#REF!</definedName>
    <definedName name="_dep_ram_125" localSheetId="7" hidden="1">#REF!</definedName>
    <definedName name="_dep_ram_125" hidden="1">#REF!</definedName>
    <definedName name="_dep_ram_126" localSheetId="7" hidden="1">#REF!</definedName>
    <definedName name="_dep_ram_126" hidden="1">#REF!</definedName>
    <definedName name="_dep_ram_127" localSheetId="7" hidden="1">#REF!</definedName>
    <definedName name="_dep_ram_127" hidden="1">#REF!</definedName>
    <definedName name="_dep_ram_128" localSheetId="7" hidden="1">#REF!</definedName>
    <definedName name="_dep_ram_128" hidden="1">#REF!</definedName>
    <definedName name="_dep_ram_129" localSheetId="7" hidden="1">#REF!</definedName>
    <definedName name="_dep_ram_129" hidden="1">#REF!</definedName>
    <definedName name="_dep_ram_130" localSheetId="7" hidden="1">#REF!</definedName>
    <definedName name="_dep_ram_130" hidden="1">#REF!</definedName>
    <definedName name="_dep_ram_131" localSheetId="7" hidden="1">#REF!</definedName>
    <definedName name="_dep_ram_131" hidden="1">#REF!</definedName>
    <definedName name="_dep_ram_132" localSheetId="7" hidden="1">#REF!</definedName>
    <definedName name="_dep_ram_132" hidden="1">#REF!</definedName>
    <definedName name="_dep_ram_133" localSheetId="7" hidden="1">#REF!</definedName>
    <definedName name="_dep_ram_133" hidden="1">#REF!</definedName>
    <definedName name="_dep_ram_134" localSheetId="7" hidden="1">#REF!</definedName>
    <definedName name="_dep_ram_134" hidden="1">#REF!</definedName>
    <definedName name="_dep_ram_135" localSheetId="7" hidden="1">#REF!</definedName>
    <definedName name="_dep_ram_135" hidden="1">#REF!</definedName>
    <definedName name="_dep_ram_136" localSheetId="7" hidden="1">#REF!</definedName>
    <definedName name="_dep_ram_136" hidden="1">#REF!</definedName>
    <definedName name="_dep_ram_137" localSheetId="7" hidden="1">#REF!</definedName>
    <definedName name="_dep_ram_137" hidden="1">#REF!</definedName>
    <definedName name="_dep_ram_138" localSheetId="7" hidden="1">#REF!</definedName>
    <definedName name="_dep_ram_138" hidden="1">#REF!</definedName>
    <definedName name="_dep_ram_139" localSheetId="7" hidden="1">#REF!</definedName>
    <definedName name="_dep_ram_139" hidden="1">#REF!</definedName>
    <definedName name="_dep_ram_140" localSheetId="7" hidden="1">#REF!</definedName>
    <definedName name="_dep_ram_140" hidden="1">#REF!</definedName>
    <definedName name="_dep_ram_141" localSheetId="7" hidden="1">#REF!</definedName>
    <definedName name="_dep_ram_141" hidden="1">#REF!</definedName>
    <definedName name="_dep_ram_142" localSheetId="7" hidden="1">#REF!</definedName>
    <definedName name="_dep_ram_142" hidden="1">#REF!</definedName>
    <definedName name="_dep_ram_143" localSheetId="7" hidden="1">#REF!</definedName>
    <definedName name="_dep_ram_143" hidden="1">#REF!</definedName>
    <definedName name="_dep_ram_144" localSheetId="7" hidden="1">#REF!</definedName>
    <definedName name="_dep_ram_144" hidden="1">#REF!</definedName>
    <definedName name="_dep_ram_145" localSheetId="7" hidden="1">#REF!</definedName>
    <definedName name="_dep_ram_145" hidden="1">#REF!</definedName>
    <definedName name="_dep_ram_146" localSheetId="7" hidden="1">#REF!</definedName>
    <definedName name="_dep_ram_146" hidden="1">#REF!</definedName>
    <definedName name="_dep_ram_147" localSheetId="7" hidden="1">#REF!</definedName>
    <definedName name="_dep_ram_147" hidden="1">#REF!</definedName>
    <definedName name="_dep_ram_148" localSheetId="7" hidden="1">#REF!</definedName>
    <definedName name="_dep_ram_148" hidden="1">#REF!</definedName>
    <definedName name="_dep_ram_149" localSheetId="7" hidden="1">#REF!</definedName>
    <definedName name="_dep_ram_149" hidden="1">#REF!</definedName>
    <definedName name="_dep_ram_150" localSheetId="7" hidden="1">#REF!</definedName>
    <definedName name="_dep_ram_150" hidden="1">#REF!</definedName>
    <definedName name="_dep_ram_151" localSheetId="7" hidden="1">#REF!</definedName>
    <definedName name="_dep_ram_151" hidden="1">#REF!</definedName>
    <definedName name="_dep_ram_161" localSheetId="7" hidden="1">#REF!</definedName>
    <definedName name="_dep_ram_161" hidden="1">#REF!</definedName>
    <definedName name="_dep_ram_162" localSheetId="7" hidden="1">#REF!</definedName>
    <definedName name="_dep_ram_162" hidden="1">#REF!</definedName>
    <definedName name="_dep_ram_163" localSheetId="7" hidden="1">#REF!</definedName>
    <definedName name="_dep_ram_163" hidden="1">#REF!</definedName>
    <definedName name="_dep_ram_169" localSheetId="7" hidden="1">#REF!</definedName>
    <definedName name="_dep_ram_169" hidden="1">#REF!</definedName>
    <definedName name="_dep_ram_170" localSheetId="7" hidden="1">#REF!</definedName>
    <definedName name="_dep_ram_170" hidden="1">#REF!</definedName>
    <definedName name="_dep_ram_171" localSheetId="7" hidden="1">#REF!</definedName>
    <definedName name="_dep_ram_171" hidden="1">#REF!</definedName>
    <definedName name="_dep_ram_183" localSheetId="7" hidden="1">#REF!</definedName>
    <definedName name="_dep_ram_183" hidden="1">#REF!</definedName>
    <definedName name="_dep_ram_186" hidden="1">'Printable Page'!$88:$135</definedName>
    <definedName name="_dep_ram_187" localSheetId="7" hidden="1">#REF!</definedName>
    <definedName name="_dep_ram_187" hidden="1">#REF!</definedName>
    <definedName name="_dep_ram_188" localSheetId="7" hidden="1">#REF!</definedName>
    <definedName name="_dep_ram_188" hidden="1">#REF!</definedName>
    <definedName name="_dep_ram_189" localSheetId="7" hidden="1">#REF!</definedName>
    <definedName name="_dep_ram_189" hidden="1">#REF!</definedName>
    <definedName name="_dep_ram_196" hidden="1">'Printable Page'!$9:$72</definedName>
    <definedName name="_dep_ram_212" localSheetId="7" hidden="1">#REF!</definedName>
    <definedName name="_dep_ram_212" hidden="1">#REF!</definedName>
    <definedName name="_dep_ram_70" localSheetId="7" hidden="1">#REF!</definedName>
    <definedName name="_dep_ram_70" hidden="1">#REF!</definedName>
    <definedName name="_dep_ram_71" localSheetId="7" hidden="1">#REF!</definedName>
    <definedName name="_dep_ram_71" hidden="1">#REF!</definedName>
    <definedName name="_dep_ram_72" localSheetId="7" hidden="1">#REF!</definedName>
    <definedName name="_dep_ram_72" hidden="1">#REF!</definedName>
    <definedName name="_dep_ram_73" localSheetId="7" hidden="1">#REF!</definedName>
    <definedName name="_dep_ram_73" hidden="1">#REF!</definedName>
    <definedName name="_dep_ram_74" localSheetId="7" hidden="1">#REF!</definedName>
    <definedName name="_dep_ram_74" hidden="1">#REF!</definedName>
    <definedName name="_dep_ram_75" localSheetId="7" hidden="1">#REF!</definedName>
    <definedName name="_dep_ram_75" hidden="1">#REF!</definedName>
    <definedName name="_dep_ram_76" localSheetId="7" hidden="1">#REF!</definedName>
    <definedName name="_dep_ram_76" hidden="1">#REF!</definedName>
    <definedName name="_dep_ram_77" localSheetId="7" hidden="1">#REF!</definedName>
    <definedName name="_dep_ram_77" hidden="1">#REF!</definedName>
    <definedName name="_dep_ram_78" localSheetId="7" hidden="1">#REF!</definedName>
    <definedName name="_dep_ram_78" hidden="1">#REF!</definedName>
    <definedName name="_dep_ram_79" localSheetId="7" hidden="1">#REF!</definedName>
    <definedName name="_dep_ram_79" hidden="1">#REF!</definedName>
    <definedName name="_dep_ram_80" localSheetId="7" hidden="1">#REF!</definedName>
    <definedName name="_dep_ram_80" hidden="1">#REF!</definedName>
    <definedName name="_dep_ram_81" localSheetId="7" hidden="1">#REF!</definedName>
    <definedName name="_dep_ram_81" hidden="1">#REF!</definedName>
    <definedName name="_dep_ram_82" localSheetId="7" hidden="1">#REF!</definedName>
    <definedName name="_dep_ram_82" hidden="1">#REF!</definedName>
    <definedName name="_dep_ram_83" localSheetId="7" hidden="1">#REF!</definedName>
    <definedName name="_dep_ram_83" hidden="1">#REF!</definedName>
    <definedName name="_dep_ram_84" localSheetId="7" hidden="1">#REF!</definedName>
    <definedName name="_dep_ram_84" hidden="1">#REF!</definedName>
    <definedName name="_dep_ram_85" localSheetId="7" hidden="1">#REF!</definedName>
    <definedName name="_dep_ram_85" hidden="1">#REF!</definedName>
    <definedName name="_dep_ram_86" localSheetId="7" hidden="1">#REF!</definedName>
    <definedName name="_dep_ram_86" hidden="1">#REF!</definedName>
    <definedName name="_dep_ram_87" localSheetId="7" hidden="1">#REF!</definedName>
    <definedName name="_dep_ram_87" hidden="1">#REF!</definedName>
    <definedName name="_dep_ram_88" localSheetId="7" hidden="1">#REF!</definedName>
    <definedName name="_dep_ram_88" hidden="1">#REF!</definedName>
    <definedName name="_dep_ram_89" localSheetId="7" hidden="1">#REF!</definedName>
    <definedName name="_dep_ram_89" hidden="1">#REF!</definedName>
    <definedName name="_dep_ram_90" localSheetId="7" hidden="1">#REF!</definedName>
    <definedName name="_dep_ram_90" hidden="1">#REF!</definedName>
    <definedName name="_dep_ram_91" localSheetId="7" hidden="1">#REF!</definedName>
    <definedName name="_dep_ram_91" hidden="1">#REF!</definedName>
    <definedName name="_dep_ram_92" localSheetId="7" hidden="1">#REF!</definedName>
    <definedName name="_dep_ram_92" hidden="1">#REF!</definedName>
    <definedName name="_dep_ram_93" localSheetId="7" hidden="1">#REF!</definedName>
    <definedName name="_dep_ram_93" hidden="1">#REF!</definedName>
    <definedName name="_dep_ram_94" localSheetId="7" hidden="1">#REF!</definedName>
    <definedName name="_dep_ram_94" hidden="1">#REF!</definedName>
    <definedName name="_dep_ram_95" localSheetId="7" hidden="1">#REF!</definedName>
    <definedName name="_dep_ram_95" hidden="1">#REF!</definedName>
    <definedName name="_dep_ram_96" localSheetId="7" hidden="1">#REF!</definedName>
    <definedName name="_dep_ram_96" hidden="1">#REF!</definedName>
    <definedName name="_dep_ram_97" localSheetId="7" hidden="1">#REF!</definedName>
    <definedName name="_dep_ram_97" hidden="1">#REF!</definedName>
    <definedName name="_dep_ram_98" localSheetId="7" hidden="1">#REF!</definedName>
    <definedName name="_dep_ram_98" hidden="1">#REF!</definedName>
    <definedName name="_dep_ram_99" localSheetId="7" hidden="1">#REF!</definedName>
    <definedName name="_dep_ram_99" hidden="1">#REF!</definedName>
    <definedName name="_GO">'HTML Frame'!$F$253</definedName>
    <definedName name="_GT">'HTML Frame'!$AB$44</definedName>
    <definedName name="_img_ref_Ctrl_166" localSheetId="7" hidden="1">#REF!</definedName>
    <definedName name="_img_ref_Ctrl_166" hidden="1">#REF!</definedName>
    <definedName name="_img_ref_Ctrl_179" localSheetId="7" hidden="1">#REF!</definedName>
    <definedName name="_img_ref_Ctrl_179" hidden="1">#REF!</definedName>
    <definedName name="_img_ref_Ctrl_189" localSheetId="7" hidden="1">#REF!</definedName>
    <definedName name="_img_ref_Ctrl_189" hidden="1">#REF!</definedName>
    <definedName name="_img_ref_Ctrl_207" localSheetId="7" hidden="1">#REF!</definedName>
    <definedName name="_img_ref_Ctrl_207" hidden="1">#REF!</definedName>
    <definedName name="_img_ref_Ctrl_208" localSheetId="7" hidden="1">#REF!</definedName>
    <definedName name="_img_ref_Ctrl_208" hidden="1">#REF!</definedName>
    <definedName name="_img_ref_Ctrl_8" hidden="1">'HTML Frame'!$AB$15</definedName>
    <definedName name="_IND1" localSheetId="8">#REF!</definedName>
    <definedName name="_IND1" localSheetId="7">#REF!</definedName>
    <definedName name="_IND1" localSheetId="5">#REF!</definedName>
    <definedName name="_IND1">#REF!</definedName>
    <definedName name="_inputcolorcell" hidden="1">'HTML Frame'!$D$55</definedName>
    <definedName name="_KS">'HTML Frame'!$F$249</definedName>
    <definedName name="_options1">_Options!$A$1:$A$3</definedName>
    <definedName name="_options10">_Options!$J$1:$J$4</definedName>
    <definedName name="_options100">[1]_Options!$CV$1:$CV$49</definedName>
    <definedName name="_options11">_Options!$K$1:$K$3</definedName>
    <definedName name="_options12">_Options!$L$1:$L$2</definedName>
    <definedName name="_options126">[2]_Options!$DV$1:$DV$3</definedName>
    <definedName name="_options127">[2]_Options!$DW$1:$DW$2</definedName>
    <definedName name="_options128">[2]_Options!$DX$1:$DX$2</definedName>
    <definedName name="_options129">[2]_Options!$DY$1:$DY$5</definedName>
    <definedName name="_options13">_Options!$M$1:$M$6</definedName>
    <definedName name="_options131">[2]_Options!$EA$1:$EA$2</definedName>
    <definedName name="_options132">[1]_Options!$EB$1:$EB$2</definedName>
    <definedName name="_options134">[2]_Options!$ED$1:$ED$49</definedName>
    <definedName name="_options137">[2]_Options!$EG$1:$EG$49</definedName>
    <definedName name="_options14">_Options!$N$1:$N$6</definedName>
    <definedName name="_options141">[1]_Options!$EK$1:$EK$2</definedName>
    <definedName name="_options146">[1]_Options!$EP$1:$EP$2</definedName>
    <definedName name="_options147">[2]_Options!$EQ$1:$EQ$2</definedName>
    <definedName name="_options149">[2]_Options!$ES$1:$ES$2</definedName>
    <definedName name="_options15">_Options!$O$1:$O$4</definedName>
    <definedName name="_options16">_Options!$P$1:$P$3</definedName>
    <definedName name="_options17">_Options!$Q$1:$Q$3</definedName>
    <definedName name="_options18">_Options!$R$1:$R$2</definedName>
    <definedName name="_options19">_Options!$S$1:$S$6</definedName>
    <definedName name="_options2">_Options!$B$1:$B$3</definedName>
    <definedName name="_options20">_Options!$T$1:$T$6</definedName>
    <definedName name="_options21">_Options!$U$1:$U$3</definedName>
    <definedName name="_options22">_Options!$V$1:$V$3</definedName>
    <definedName name="_options23">_Options!$W$1:$W$4</definedName>
    <definedName name="_options24">_Options!$X$1:$X$4</definedName>
    <definedName name="_options25">_Options!$Y$1:$Y$3</definedName>
    <definedName name="_options26">_Options!$Z$1:$Z$3</definedName>
    <definedName name="_options27">_Options!$AA$1:$AA$2</definedName>
    <definedName name="_options28">_Options!$AB$1:$AB$2</definedName>
    <definedName name="_options29">_Options!$AC$1:$AC$6</definedName>
    <definedName name="_options3">_Options!$C$1:$C$3</definedName>
    <definedName name="_options30">_Options!$AD$1:$AD$6</definedName>
    <definedName name="_options31">_Options!$AE$1:$AE$6</definedName>
    <definedName name="_options32">_Options!$AF$1:$AF$6</definedName>
    <definedName name="_options33">_Options!$AG$1:$AG$4</definedName>
    <definedName name="_options34">_Options!$AH$1:$AH$2</definedName>
    <definedName name="_options35">_Options!$AI$1:$AI$6</definedName>
    <definedName name="_options36">_Options!$AJ$1:$AJ$6</definedName>
    <definedName name="_options37">_Options!$AK$1:$AK$6</definedName>
    <definedName name="_options38">_Options!$AL$1:$AL$6</definedName>
    <definedName name="_options39">_Options!$AM$1:$AM$9</definedName>
    <definedName name="_options4">_Options!$D$1:$D$3</definedName>
    <definedName name="_options40">_Options!$AN$1:$AN$9</definedName>
    <definedName name="_options41">_Options!$AO$1:$AO$3</definedName>
    <definedName name="_options42">_Options!$AP$1:$AP$3</definedName>
    <definedName name="_options43">_Options!$AQ$1:$AQ$3</definedName>
    <definedName name="_options44">_Options!$AR$1:$AR$2</definedName>
    <definedName name="_options45">_Options!$AS$1:$AS$2</definedName>
    <definedName name="_options46">_Options!$AT$1:$AT$9</definedName>
    <definedName name="_options47">_Options!$AU$1:$AU$9</definedName>
    <definedName name="_options48">_Options!$AV$1:$AV$9</definedName>
    <definedName name="_options49">_Options!$AW$1:$AW$9</definedName>
    <definedName name="_options5">_Options!$E$1:$E$4</definedName>
    <definedName name="_options50">_Options!$AX$1:$AX$3</definedName>
    <definedName name="_options51">_Options!$AY$1:$AY$3</definedName>
    <definedName name="_options52">_Options!$AZ$1:$AZ$2</definedName>
    <definedName name="_options53">_Options!$BA$1:$BA$2</definedName>
    <definedName name="_options54">_Options!$BB$1:$BB$9</definedName>
    <definedName name="_options55">_Options!$BC$1:$BC$9</definedName>
    <definedName name="_options56">_Options!$BD$1:$BD$9</definedName>
    <definedName name="_options57">_Options!$BE$1:$BE$9</definedName>
    <definedName name="_options58">_Options!$BF$1</definedName>
    <definedName name="_options59">_Options!$BG$1:$BG$3</definedName>
    <definedName name="_options6">_Options!$F$1:$F$4</definedName>
    <definedName name="_options60">_Options!$BH$1:$BH$2</definedName>
    <definedName name="_options61">_Options!$BI$1:$BI$9</definedName>
    <definedName name="_options62">_Options!$BJ$1:$BJ$9</definedName>
    <definedName name="_options63">_Options!$BK$1:$BK$9</definedName>
    <definedName name="_options64">_Options!$BL$1:$BL$9</definedName>
    <definedName name="_options65">_Options!$BM$1:$BM$9</definedName>
    <definedName name="_options66">_Options!$BN$1:$BN$9</definedName>
    <definedName name="_options67">_Options!$BO$1:$BO$15</definedName>
    <definedName name="_options68">_Options!$BP$1:$BP$15</definedName>
    <definedName name="_options69">_Options!$BQ$1:$BQ$9</definedName>
    <definedName name="_options7">_Options!$G$1:$G$4</definedName>
    <definedName name="_options70">_Options!$BR$1:$BR$15</definedName>
    <definedName name="_options71">_Options!$BS$1:$BS$15</definedName>
    <definedName name="_options72">_Options!$BT$1:$BT$15</definedName>
    <definedName name="_options73">_Options!$BU$1:$BU$15</definedName>
    <definedName name="_options74">_Options!$BV$1:$BV$9</definedName>
    <definedName name="_options75">_Options!$BW$1:$BW$15</definedName>
    <definedName name="_options8">_Options!$H$1:$H$4</definedName>
    <definedName name="_options87">[1]_Options!$CI$1:$CI$40</definedName>
    <definedName name="_options9">_Options!$I$1:$I$4</definedName>
    <definedName name="_options93">[1]_Options!$CO$1:$CO$50</definedName>
    <definedName name="_P">'HTML Frame'!$D$37</definedName>
    <definedName name="_sh_ram_163_1" localSheetId="7" hidden="1">#REF!</definedName>
    <definedName name="_sh_ram_163_1" hidden="1">#REF!</definedName>
    <definedName name="_sh_ram_181_1" hidden="1">Information!$A$1</definedName>
    <definedName name="_sh_ram_183_1" hidden="1">[3]_sh_ram_183_1!$A$1</definedName>
    <definedName name="_sh_ram_186_1" hidden="1">[4]_sh_ram_186_1!$A$1</definedName>
    <definedName name="A" localSheetId="8">#REF!</definedName>
    <definedName name="A" localSheetId="7">#REF!</definedName>
    <definedName name="A" localSheetId="5">#REF!</definedName>
    <definedName name="A">#REF!</definedName>
    <definedName name="ADFSDFASDF">'[5]Rect Tube'!$L$124</definedName>
    <definedName name="Ae">'[6]Lwer Steel Long'!$B$29</definedName>
    <definedName name="Ag">'[6]Lwer Steel Long'!$B$28</definedName>
    <definedName name="b">'[6]Lwer Steel Long'!$B$18</definedName>
    <definedName name="b_" localSheetId="8">#REF!</definedName>
    <definedName name="b_" localSheetId="4">#REF!</definedName>
    <definedName name="b_" localSheetId="7">#REF!</definedName>
    <definedName name="b_" localSheetId="5">#REF!</definedName>
    <definedName name="b_">#REF!</definedName>
    <definedName name="Bbr" localSheetId="8">#REF!</definedName>
    <definedName name="Bbr" localSheetId="4">#REF!</definedName>
    <definedName name="Bbr" localSheetId="7">#REF!</definedName>
    <definedName name="Bbr" localSheetId="5">#REF!</definedName>
    <definedName name="Bbr">#REF!</definedName>
    <definedName name="Bc" localSheetId="8">#REF!</definedName>
    <definedName name="Bc" localSheetId="4">#REF!</definedName>
    <definedName name="Bc" localSheetId="7">#REF!</definedName>
    <definedName name="Bc" localSheetId="5">#REF!</definedName>
    <definedName name="Bc">#REF!</definedName>
    <definedName name="BO00134F343ADA4C54806E84EE4B42C981" hidden="1">#REF!</definedName>
    <definedName name="BO005BB4766C7247D0A5340D98C0E6C79A" hidden="1">#REF!</definedName>
    <definedName name="BO0092C377E85B490DA5F27A4E1A60F545" hidden="1">#REF!</definedName>
    <definedName name="BO00E779865E164293B0B704FD3A081B4E" hidden="1">#REF!</definedName>
    <definedName name="BO00EB1BD701954FBCBB41B0BD36BD6996" hidden="1">#REF!</definedName>
    <definedName name="BO0126A0A1BA0B49F6ABD99D2ABC25F666" hidden="1">#REF!</definedName>
    <definedName name="BO01330BF7A9224D6BBC287FECAB2BC7C5" hidden="1">#REF!</definedName>
    <definedName name="BO014E073EC41E420EB091780EDD9F5070" localSheetId="8" hidden="1">#REF!</definedName>
    <definedName name="BO014E073EC41E420EB091780EDD9F5070" localSheetId="7" hidden="1">#REF!</definedName>
    <definedName name="BO014E073EC41E420EB091780EDD9F5070" localSheetId="6" hidden="1">#REF!</definedName>
    <definedName name="BO014E073EC41E420EB091780EDD9F5070" localSheetId="5" hidden="1">#REF!</definedName>
    <definedName name="BO014E073EC41E420EB091780EDD9F5070" hidden="1">#REF!</definedName>
    <definedName name="BO0167F97D98D74411BA8AD1C18B659212" hidden="1">#REF!</definedName>
    <definedName name="BO01E54CBACBF44B6DB129BE23BA344D19" localSheetId="8" hidden="1">#REF!</definedName>
    <definedName name="BO01E54CBACBF44B6DB129BE23BA344D19" localSheetId="7" hidden="1">#REF!</definedName>
    <definedName name="BO01E54CBACBF44B6DB129BE23BA344D19" localSheetId="6" hidden="1">#REF!</definedName>
    <definedName name="BO01E54CBACBF44B6DB129BE23BA344D19" localSheetId="5" hidden="1">#REF!</definedName>
    <definedName name="BO01E54CBACBF44B6DB129BE23BA344D19" hidden="1">#REF!</definedName>
    <definedName name="BO0222D8C501A5484F9A400F4A8694491C" hidden="1">#REF!</definedName>
    <definedName name="BO02331DF57D364EF7AB70A68B2646F8A6" localSheetId="8" hidden="1">#REF!</definedName>
    <definedName name="BO02331DF57D364EF7AB70A68B2646F8A6" localSheetId="7" hidden="1">#REF!</definedName>
    <definedName name="BO02331DF57D364EF7AB70A68B2646F8A6" localSheetId="6" hidden="1">#REF!</definedName>
    <definedName name="BO02331DF57D364EF7AB70A68B2646F8A6" localSheetId="5" hidden="1">#REF!</definedName>
    <definedName name="BO02331DF57D364EF7AB70A68B2646F8A6" hidden="1">#REF!</definedName>
    <definedName name="BO029EF274D9CB4F3C9FBD136AED93BDDE" localSheetId="8" hidden="1">#REF!</definedName>
    <definedName name="BO029EF274D9CB4F3C9FBD136AED93BDDE" localSheetId="7" hidden="1">#REF!</definedName>
    <definedName name="BO029EF274D9CB4F3C9FBD136AED93BDDE" localSheetId="6" hidden="1">#REF!</definedName>
    <definedName name="BO029EF274D9CB4F3C9FBD136AED93BDDE" localSheetId="5" hidden="1">#REF!</definedName>
    <definedName name="BO029EF274D9CB4F3C9FBD136AED93BDDE" hidden="1">#REF!</definedName>
    <definedName name="BO02FEAE0E72834EE2B2A83147A73802EF" hidden="1">#REF!</definedName>
    <definedName name="BO0339AABD55314136BB02D8C033F881AD" localSheetId="8" hidden="1">#REF!</definedName>
    <definedName name="BO0339AABD55314136BB02D8C033F881AD" localSheetId="7" hidden="1">#REF!</definedName>
    <definedName name="BO0339AABD55314136BB02D8C033F881AD" localSheetId="6" hidden="1">#REF!</definedName>
    <definedName name="BO0339AABD55314136BB02D8C033F881AD" localSheetId="5" hidden="1">#REF!</definedName>
    <definedName name="BO0339AABD55314136BB02D8C033F881AD" hidden="1">#REF!</definedName>
    <definedName name="BO03D26E43D10C4AAB9327455D2DDC9F0A" hidden="1">#REF!</definedName>
    <definedName name="BO03D5552548324BD695441F25EAFAA23C" hidden="1">#REF!</definedName>
    <definedName name="BO048E11695C124BE8A93405ACB5DE05BB" hidden="1">#REF!</definedName>
    <definedName name="BO04CFAD269F4C4E028C96403ECBC77C9A" localSheetId="8" hidden="1">#REF!</definedName>
    <definedName name="BO04CFAD269F4C4E028C96403ECBC77C9A" localSheetId="7" hidden="1">#REF!</definedName>
    <definedName name="BO04CFAD269F4C4E028C96403ECBC77C9A" localSheetId="6" hidden="1">#REF!</definedName>
    <definedName name="BO04CFAD269F4C4E028C96403ECBC77C9A" localSheetId="5" hidden="1">#REF!</definedName>
    <definedName name="BO04CFAD269F4C4E028C96403ECBC77C9A" hidden="1">#REF!</definedName>
    <definedName name="BO04ED98C2BF724C6E8172DF46E195650E" hidden="1">#REF!</definedName>
    <definedName name="BO0518E55D13F041328CBA202F970C4A09" localSheetId="8" hidden="1">#REF!</definedName>
    <definedName name="BO0518E55D13F041328CBA202F970C4A09" localSheetId="7" hidden="1">#REF!</definedName>
    <definedName name="BO0518E55D13F041328CBA202F970C4A09" localSheetId="6" hidden="1">#REF!</definedName>
    <definedName name="BO0518E55D13F041328CBA202F970C4A09" localSheetId="5" hidden="1">#REF!</definedName>
    <definedName name="BO0518E55D13F041328CBA202F970C4A09" hidden="1">#REF!</definedName>
    <definedName name="BO057C9C30FA6B4476A356CCEF9F885345" localSheetId="8" hidden="1">#REF!</definedName>
    <definedName name="BO057C9C30FA6B4476A356CCEF9F885345" localSheetId="7" hidden="1">#REF!</definedName>
    <definedName name="BO057C9C30FA6B4476A356CCEF9F885345" localSheetId="6" hidden="1">#REF!</definedName>
    <definedName name="BO057C9C30FA6B4476A356CCEF9F885345" localSheetId="5" hidden="1">#REF!</definedName>
    <definedName name="BO057C9C30FA6B4476A356CCEF9F885345" hidden="1">#REF!</definedName>
    <definedName name="BO0584E6BFC4814454843B1A9B842A3625" localSheetId="8" hidden="1">#REF!</definedName>
    <definedName name="BO0584E6BFC4814454843B1A9B842A3625" localSheetId="7" hidden="1">#REF!</definedName>
    <definedName name="BO0584E6BFC4814454843B1A9B842A3625" localSheetId="6" hidden="1">#REF!</definedName>
    <definedName name="BO0584E6BFC4814454843B1A9B842A3625" localSheetId="5" hidden="1">#REF!</definedName>
    <definedName name="BO0584E6BFC4814454843B1A9B842A3625" hidden="1">#REF!</definedName>
    <definedName name="BO05C70B23845A44C7B0D1B004CCCF9FD5" hidden="1">#REF!</definedName>
    <definedName name="BO05D975B825444CDD85EA5867A1FC5F5D" hidden="1">#REF!</definedName>
    <definedName name="BO05D99F0E04B24B018674C6040D44FAB9" localSheetId="8" hidden="1">#REF!</definedName>
    <definedName name="BO05D99F0E04B24B018674C6040D44FAB9" localSheetId="7" hidden="1">#REF!</definedName>
    <definedName name="BO05D99F0E04B24B018674C6040D44FAB9" localSheetId="6" hidden="1">#REF!</definedName>
    <definedName name="BO05D99F0E04B24B018674C6040D44FAB9" localSheetId="5" hidden="1">#REF!</definedName>
    <definedName name="BO05D99F0E04B24B018674C6040D44FAB9" hidden="1">#REF!</definedName>
    <definedName name="BO05FC7C0F18E84D609EF7850DE1BD8690" hidden="1">#REF!</definedName>
    <definedName name="BO06080EB0086D426E9D495E5A1B638D2D" hidden="1">#REF!</definedName>
    <definedName name="BO068B6B3F3D224F6B970AE8E42D8466DE" localSheetId="8" hidden="1">#REF!</definedName>
    <definedName name="BO068B6B3F3D224F6B970AE8E42D8466DE" localSheetId="7" hidden="1">#REF!</definedName>
    <definedName name="BO068B6B3F3D224F6B970AE8E42D8466DE" localSheetId="6" hidden="1">#REF!</definedName>
    <definedName name="BO068B6B3F3D224F6B970AE8E42D8466DE" localSheetId="5" hidden="1">#REF!</definedName>
    <definedName name="BO068B6B3F3D224F6B970AE8E42D8466DE" hidden="1">#REF!</definedName>
    <definedName name="BO06D1540CAB5C4B0C8FD4A5AF8CB87DC2" localSheetId="8" hidden="1">#REF!</definedName>
    <definedName name="BO06D1540CAB5C4B0C8FD4A5AF8CB87DC2" localSheetId="7" hidden="1">#REF!</definedName>
    <definedName name="BO06D1540CAB5C4B0C8FD4A5AF8CB87DC2" localSheetId="6" hidden="1">#REF!</definedName>
    <definedName name="BO06D1540CAB5C4B0C8FD4A5AF8CB87DC2" localSheetId="5" hidden="1">#REF!</definedName>
    <definedName name="BO06D1540CAB5C4B0C8FD4A5AF8CB87DC2" hidden="1">#REF!</definedName>
    <definedName name="BO06E0DDB7649A46DCAB95CC1D1A9C3B92" hidden="1">#REF!</definedName>
    <definedName name="BO07188F6214984809BACBAAC9D8B6B22C" localSheetId="8" hidden="1">#REF!</definedName>
    <definedName name="BO07188F6214984809BACBAAC9D8B6B22C" localSheetId="7" hidden="1">#REF!</definedName>
    <definedName name="BO07188F6214984809BACBAAC9D8B6B22C" localSheetId="6" hidden="1">#REF!</definedName>
    <definedName name="BO07188F6214984809BACBAAC9D8B6B22C" localSheetId="5" hidden="1">#REF!</definedName>
    <definedName name="BO07188F6214984809BACBAAC9D8B6B22C" hidden="1">#REF!</definedName>
    <definedName name="BO071D524972874FA99A07145CC7CF35B8" hidden="1">#REF!</definedName>
    <definedName name="BO072F7D0076EE4266B8C8FA77DE810719" hidden="1">#REF!</definedName>
    <definedName name="BO07657E6A10A1480589FA71F99A6BB91A" hidden="1">#REF!</definedName>
    <definedName name="BO0771AD0E879A4B3D8D27197F5CDAFEBE" hidden="1">#REF!</definedName>
    <definedName name="BO07CE37CB03D04E54BA73C55FECD3DEAA" localSheetId="8" hidden="1">#REF!</definedName>
    <definedName name="BO07CE37CB03D04E54BA73C55FECD3DEAA" localSheetId="7" hidden="1">#REF!</definedName>
    <definedName name="BO07CE37CB03D04E54BA73C55FECD3DEAA" localSheetId="6" hidden="1">#REF!</definedName>
    <definedName name="BO07CE37CB03D04E54BA73C55FECD3DEAA" localSheetId="5" hidden="1">#REF!</definedName>
    <definedName name="BO07CE37CB03D04E54BA73C55FECD3DEAA" hidden="1">#REF!</definedName>
    <definedName name="BO07DAE2E555524989A324BD25A1432CC0" hidden="1">#REF!</definedName>
    <definedName name="BO07F8EA983DD24E53879F16E8C17F12AD" hidden="1">#REF!</definedName>
    <definedName name="BO07FA748E984B43159B4106B14B7F8DF0" hidden="1">#REF!</definedName>
    <definedName name="BO0874C784DC5147AE8DC7DED639D31D1D" hidden="1">#REF!</definedName>
    <definedName name="BO0876E56E107F46C9880923A5B2AEC725" localSheetId="8" hidden="1">#REF!</definedName>
    <definedName name="BO0876E56E107F46C9880923A5B2AEC725" localSheetId="7" hidden="1">#REF!</definedName>
    <definedName name="BO0876E56E107F46C9880923A5B2AEC725" localSheetId="6" hidden="1">#REF!</definedName>
    <definedName name="BO0876E56E107F46C9880923A5B2AEC725" localSheetId="5" hidden="1">#REF!</definedName>
    <definedName name="BO0876E56E107F46C9880923A5B2AEC725" hidden="1">#REF!</definedName>
    <definedName name="BO08C683F419354968BE247ABBEC314C5E" localSheetId="8" hidden="1">#REF!</definedName>
    <definedName name="BO08C683F419354968BE247ABBEC314C5E" localSheetId="7" hidden="1">#REF!</definedName>
    <definedName name="BO08C683F419354968BE247ABBEC314C5E" localSheetId="6" hidden="1">#REF!</definedName>
    <definedName name="BO08C683F419354968BE247ABBEC314C5E" localSheetId="5" hidden="1">#REF!</definedName>
    <definedName name="BO08C683F419354968BE247ABBEC314C5E" hidden="1">#REF!</definedName>
    <definedName name="BO08F580EF935A47E78FD9BC3C2D526DD3" hidden="1">#REF!</definedName>
    <definedName name="BO09783E6D80D24D169F7618D7D9E0A180" localSheetId="8" hidden="1">#REF!</definedName>
    <definedName name="BO09783E6D80D24D169F7618D7D9E0A180" localSheetId="7" hidden="1">#REF!</definedName>
    <definedName name="BO09783E6D80D24D169F7618D7D9E0A180" localSheetId="6" hidden="1">#REF!</definedName>
    <definedName name="BO09783E6D80D24D169F7618D7D9E0A180" localSheetId="5" hidden="1">#REF!</definedName>
    <definedName name="BO09783E6D80D24D169F7618D7D9E0A180" hidden="1">#REF!</definedName>
    <definedName name="BO09795056BC56471588FABC3278E53327" hidden="1">#REF!</definedName>
    <definedName name="BO09AA5634163F494F827F20EC1549AA48" hidden="1">#REF!</definedName>
    <definedName name="BO09C5B39A499344C89286FF5E756FCE42" localSheetId="8" hidden="1">#REF!</definedName>
    <definedName name="BO09C5B39A499344C89286FF5E756FCE42" localSheetId="7" hidden="1">#REF!</definedName>
    <definedName name="BO09C5B39A499344C89286FF5E756FCE42" localSheetId="6" hidden="1">#REF!</definedName>
    <definedName name="BO09C5B39A499344C89286FF5E756FCE42" localSheetId="5" hidden="1">#REF!</definedName>
    <definedName name="BO09C5B39A499344C89286FF5E756FCE42" hidden="1">#REF!</definedName>
    <definedName name="BO09EF328B0AE64D40AD11B6D720737B96" localSheetId="8" hidden="1">#REF!</definedName>
    <definedName name="BO09EF328B0AE64D40AD11B6D720737B96" localSheetId="7" hidden="1">#REF!</definedName>
    <definedName name="BO09EF328B0AE64D40AD11B6D720737B96" localSheetId="6" hidden="1">#REF!</definedName>
    <definedName name="BO09EF328B0AE64D40AD11B6D720737B96" localSheetId="5" hidden="1">#REF!</definedName>
    <definedName name="BO09EF328B0AE64D40AD11B6D720737B96" hidden="1">#REF!</definedName>
    <definedName name="BO09EFBA1A7F7747C4B5156BBBE9BCC0F7" hidden="1">#REF!</definedName>
    <definedName name="BO0A179BF2B6214E11A3E1299FCACE9B3B" hidden="1">#REF!</definedName>
    <definedName name="BO0A4EFD7DF98C4F40BA09E39EBBC501A8" localSheetId="8" hidden="1">#REF!</definedName>
    <definedName name="BO0A4EFD7DF98C4F40BA09E39EBBC501A8" localSheetId="0" hidden="1">[7]Dashboard!#REF!</definedName>
    <definedName name="BO0A4EFD7DF98C4F40BA09E39EBBC501A8" localSheetId="1" hidden="1">[7]Dashboard!#REF!</definedName>
    <definedName name="BO0A4EFD7DF98C4F40BA09E39EBBC501A8" localSheetId="2" hidden="1">[7]Dashboard!#REF!</definedName>
    <definedName name="BO0A4EFD7DF98C4F40BA09E39EBBC501A8" localSheetId="7" hidden="1">#REF!</definedName>
    <definedName name="BO0A4EFD7DF98C4F40BA09E39EBBC501A8" localSheetId="6" hidden="1">#REF!</definedName>
    <definedName name="BO0A4EFD7DF98C4F40BA09E39EBBC501A8" localSheetId="5" hidden="1">#REF!</definedName>
    <definedName name="BO0A4EFD7DF98C4F40BA09E39EBBC501A8" hidden="1">#REF!</definedName>
    <definedName name="BO0A6D7B1311764882B2901D6FB3FFDB5A" localSheetId="8" hidden="1">#REF!</definedName>
    <definedName name="BO0A6D7B1311764882B2901D6FB3FFDB5A" localSheetId="7" hidden="1">#REF!</definedName>
    <definedName name="BO0A6D7B1311764882B2901D6FB3FFDB5A" localSheetId="6" hidden="1">#REF!</definedName>
    <definedName name="BO0A6D7B1311764882B2901D6FB3FFDB5A" localSheetId="5" hidden="1">#REF!</definedName>
    <definedName name="BO0A6D7B1311764882B2901D6FB3FFDB5A" hidden="1">#REF!</definedName>
    <definedName name="BO0B298AA72CED4C87B6C82E0DA509446E" hidden="1">#REF!</definedName>
    <definedName name="BO0B35638668374419A22F02687558372B" hidden="1">#REF!</definedName>
    <definedName name="BO0B54D2CA51B84AFFA1C04BC82F67C851" hidden="1">#REF!</definedName>
    <definedName name="BO0B6B481F4D0C4BBFA280B9218D036DC0" hidden="1">#REF!</definedName>
    <definedName name="BO0BCDA348F9744DA8BE6674BA9145D2BD" hidden="1">#REF!</definedName>
    <definedName name="BO0C26ADDE76AD4498BFA7B1D6A5A9D9B6" hidden="1">#REF!</definedName>
    <definedName name="BO0C4E0CC38EC845CAA4184B60034FADD4" hidden="1">#REF!</definedName>
    <definedName name="BO0CC343943A904080B4CD2C2047CC1882" hidden="1">#REF!</definedName>
    <definedName name="BO0CEDBE3F7C7D4573B7E2914DD05E789E" hidden="1">#REF!</definedName>
    <definedName name="BO0D3167E3DDDC48238AB456519FE516A3" hidden="1">#REF!</definedName>
    <definedName name="BO0D7CEF19B36E473AA26DDDA1A623FC79" hidden="1">#REF!</definedName>
    <definedName name="BO0DC973323FBE44EFA6243004F15B0CA0" hidden="1">#REF!</definedName>
    <definedName name="BO0DE112233E41437A9D705C3669E18051" localSheetId="8" hidden="1">#REF!</definedName>
    <definedName name="BO0DE112233E41437A9D705C3669E18051" localSheetId="7" hidden="1">#REF!</definedName>
    <definedName name="BO0DE112233E41437A9D705C3669E18051" localSheetId="6" hidden="1">#REF!</definedName>
    <definedName name="BO0DE112233E41437A9D705C3669E18051" localSheetId="5" hidden="1">#REF!</definedName>
    <definedName name="BO0DE112233E41437A9D705C3669E18051" hidden="1">#REF!</definedName>
    <definedName name="BO0EA1372601E54F13ABCD37B3FA61D9AF" hidden="1">#REF!</definedName>
    <definedName name="BO0EB4A423BFFE4A5885662B1C228C3A41" hidden="1">#REF!</definedName>
    <definedName name="BO0EB8AE63813F437A970CD8A2B3A3E9EA" hidden="1">#REF!</definedName>
    <definedName name="BO0F0AA71A15A34E9286769F14472A5972" hidden="1">#REF!</definedName>
    <definedName name="BO0F284A6827FF4C0494472AA5097AA6A4" hidden="1">#REF!</definedName>
    <definedName name="BO0F95BBBD7C0F4BBAA9E63C8F796A222C" localSheetId="8" hidden="1">#REF!</definedName>
    <definedName name="BO0F95BBBD7C0F4BBAA9E63C8F796A222C" localSheetId="7" hidden="1">#REF!</definedName>
    <definedName name="BO0F95BBBD7C0F4BBAA9E63C8F796A222C" localSheetId="6" hidden="1">#REF!</definedName>
    <definedName name="BO0F95BBBD7C0F4BBAA9E63C8F796A222C" localSheetId="5" hidden="1">#REF!</definedName>
    <definedName name="BO0F95BBBD7C0F4BBAA9E63C8F796A222C" hidden="1">#REF!</definedName>
    <definedName name="BO0FABA17784E24CEA9916C574197AD417" hidden="1">#REF!</definedName>
    <definedName name="BO0FB221C6B6644AFF88F59F466C9C05A1" hidden="1">#REF!</definedName>
    <definedName name="BO0FB7A4EBA14248F59A420A77DCFA9754" hidden="1">#REF!</definedName>
    <definedName name="BO10810D7750C44BFF82AEB0486AE85BA7" localSheetId="8" hidden="1">#REF!</definedName>
    <definedName name="BO10810D7750C44BFF82AEB0486AE85BA7" localSheetId="7" hidden="1">#REF!</definedName>
    <definedName name="BO10810D7750C44BFF82AEB0486AE85BA7" localSheetId="6" hidden="1">#REF!</definedName>
    <definedName name="BO10810D7750C44BFF82AEB0486AE85BA7" localSheetId="5" hidden="1">#REF!</definedName>
    <definedName name="BO10810D7750C44BFF82AEB0486AE85BA7" hidden="1">#REF!</definedName>
    <definedName name="BO10E649697B094536908F30A954791E7A" hidden="1">#REF!</definedName>
    <definedName name="BO10EB78185D724DA0A33126AA8FFFCD00" hidden="1">#REF!</definedName>
    <definedName name="BO10FBB4ABA6114E8E947C538E75BC7C58" hidden="1">#REF!</definedName>
    <definedName name="BO11245C42E3124379AA081EE2DB8AFAF0" hidden="1">#REF!</definedName>
    <definedName name="BO11C97C488E3F4ADF8E5ECA0E2E80606A" hidden="1">#REF!</definedName>
    <definedName name="BO11D8843C1D3046C19F883260A01F97ED" localSheetId="8" hidden="1">#REF!</definedName>
    <definedName name="BO11D8843C1D3046C19F883260A01F97ED" localSheetId="7" hidden="1">#REF!</definedName>
    <definedName name="BO11D8843C1D3046C19F883260A01F97ED" localSheetId="6" hidden="1">#REF!</definedName>
    <definedName name="BO11D8843C1D3046C19F883260A01F97ED" localSheetId="5" hidden="1">#REF!</definedName>
    <definedName name="BO11D8843C1D3046C19F883260A01F97ED" hidden="1">#REF!</definedName>
    <definedName name="BO12830A7C30E34D91A5361A82B6C30821" localSheetId="8" hidden="1">#REF!</definedName>
    <definedName name="BO12830A7C30E34D91A5361A82B6C30821" localSheetId="7" hidden="1">#REF!</definedName>
    <definedName name="BO12830A7C30E34D91A5361A82B6C30821" localSheetId="6" hidden="1">#REF!</definedName>
    <definedName name="BO12830A7C30E34D91A5361A82B6C30821" localSheetId="5" hidden="1">#REF!</definedName>
    <definedName name="BO12830A7C30E34D91A5361A82B6C30821" hidden="1">#REF!</definedName>
    <definedName name="BO12DB5B8318744A97A5316AEE93BF172B" hidden="1">#REF!</definedName>
    <definedName name="BO1321E0AAD6C1417F89EC14D10B464395" localSheetId="8" hidden="1">#REF!</definedName>
    <definedName name="BO1321E0AAD6C1417F89EC14D10B464395" localSheetId="7" hidden="1">#REF!</definedName>
    <definedName name="BO1321E0AAD6C1417F89EC14D10B464395" localSheetId="6" hidden="1">#REF!</definedName>
    <definedName name="BO1321E0AAD6C1417F89EC14D10B464395" localSheetId="5" hidden="1">#REF!</definedName>
    <definedName name="BO1321E0AAD6C1417F89EC14D10B464395" hidden="1">#REF!</definedName>
    <definedName name="BO1440E8A0826B4FC3BAA2CA63EB496BF6" hidden="1">#REF!</definedName>
    <definedName name="BO1475188CA73A428FAEF9DD770A6988E0" hidden="1">#REF!</definedName>
    <definedName name="BO149B3F6A201E4110B4B0FDDA33A01C50" hidden="1">#REF!</definedName>
    <definedName name="BO149CCFB8CB08427DB991735113D42A2D" hidden="1">#REF!</definedName>
    <definedName name="BO14BB22F299DC421E930F7795DA6DFD6F" hidden="1">#REF!</definedName>
    <definedName name="BO14FBEB6E015A4A668DA1347BA1FB10F6" hidden="1">#REF!</definedName>
    <definedName name="BO153859DFDEA64D8295972F2F4E486F4A" hidden="1">#REF!</definedName>
    <definedName name="BO15D2E09BDE4C4C1A885171ED37827981" hidden="1">#REF!</definedName>
    <definedName name="BO15D6647C5C1645AFB4B2D34ADEAECA7E" localSheetId="8" hidden="1">#REF!</definedName>
    <definedName name="BO15D6647C5C1645AFB4B2D34ADEAECA7E" localSheetId="7" hidden="1">#REF!</definedName>
    <definedName name="BO15D6647C5C1645AFB4B2D34ADEAECA7E" localSheetId="6" hidden="1">#REF!</definedName>
    <definedName name="BO15D6647C5C1645AFB4B2D34ADEAECA7E" localSheetId="5" hidden="1">#REF!</definedName>
    <definedName name="BO15D6647C5C1645AFB4B2D34ADEAECA7E" hidden="1">#REF!</definedName>
    <definedName name="BO15DB3BE631184E5C873785DB01B48C75" hidden="1">#REF!</definedName>
    <definedName name="BO15E98E6A308042E0ACB6C57CF22E2BA2" hidden="1">#REF!</definedName>
    <definedName name="BO160981D9F87B4CA3877A743770645BDD" hidden="1">#REF!</definedName>
    <definedName name="BO16845CA29B4B4D7D90117DAEF2B285DB" hidden="1">#REF!</definedName>
    <definedName name="BO168D122521D049E8ACEC03B6F249402C" hidden="1">#REF!</definedName>
    <definedName name="BO1696D7FB06534925AC9ED781AE862D1C" localSheetId="8" hidden="1">#REF!</definedName>
    <definedName name="BO1696D7FB06534925AC9ED781AE862D1C" localSheetId="7" hidden="1">#REF!</definedName>
    <definedName name="BO1696D7FB06534925AC9ED781AE862D1C" localSheetId="6" hidden="1">#REF!</definedName>
    <definedName name="BO1696D7FB06534925AC9ED781AE862D1C" localSheetId="5" hidden="1">#REF!</definedName>
    <definedName name="BO1696D7FB06534925AC9ED781AE862D1C" hidden="1">#REF!</definedName>
    <definedName name="BO16A607D09F08467F8323580ABAC53F37" hidden="1">#REF!</definedName>
    <definedName name="BO16B8206A58E34993B190C1841E5F90A7" hidden="1">#REF!</definedName>
    <definedName name="BO16C1C5FB689E4D738EE103F2CBD56AAA" hidden="1">#REF!</definedName>
    <definedName name="BO1702A4DF9039478B9DC7F0E61149720F" hidden="1">#REF!</definedName>
    <definedName name="BO1729DC7EB0F34BB59DD52DDF009F0597" hidden="1">#REF!</definedName>
    <definedName name="BO17B2DBF0AA824D49B2B1D6CD4CD1F057" localSheetId="8" hidden="1">#REF!</definedName>
    <definedName name="BO17B2DBF0AA824D49B2B1D6CD4CD1F057" localSheetId="7" hidden="1">#REF!</definedName>
    <definedName name="BO17B2DBF0AA824D49B2B1D6CD4CD1F057" localSheetId="6" hidden="1">#REF!</definedName>
    <definedName name="BO17B2DBF0AA824D49B2B1D6CD4CD1F057" localSheetId="5" hidden="1">#REF!</definedName>
    <definedName name="BO17B2DBF0AA824D49B2B1D6CD4CD1F057" hidden="1">#REF!</definedName>
    <definedName name="BO17BD54746B8440D39A612A695D0389B0" hidden="1">#REF!</definedName>
    <definedName name="BO18313F1E14B244C8BA02C1FE8F7B29AA" localSheetId="8" hidden="1">#REF!</definedName>
    <definedName name="BO18313F1E14B244C8BA02C1FE8F7B29AA" localSheetId="7" hidden="1">#REF!</definedName>
    <definedName name="BO18313F1E14B244C8BA02C1FE8F7B29AA" localSheetId="6" hidden="1">#REF!</definedName>
    <definedName name="BO18313F1E14B244C8BA02C1FE8F7B29AA" localSheetId="5" hidden="1">#REF!</definedName>
    <definedName name="BO18313F1E14B244C8BA02C1FE8F7B29AA" hidden="1">#REF!</definedName>
    <definedName name="BO1856348E61E149F389A907CB13517671" hidden="1">#REF!</definedName>
    <definedName name="BO18669091FF6D4E52B03619D00FEDE2F8" hidden="1">#REF!</definedName>
    <definedName name="BO18A478DF34514D9C87B2C4B05697F15D" hidden="1">#REF!</definedName>
    <definedName name="BO18A54686355E4BB39197B905F0355DCB" localSheetId="8" hidden="1">#REF!</definedName>
    <definedName name="BO18A54686355E4BB39197B905F0355DCB" localSheetId="7" hidden="1">#REF!</definedName>
    <definedName name="BO18A54686355E4BB39197B905F0355DCB" localSheetId="6" hidden="1">#REF!</definedName>
    <definedName name="BO18A54686355E4BB39197B905F0355DCB" localSheetId="5" hidden="1">#REF!</definedName>
    <definedName name="BO18A54686355E4BB39197B905F0355DCB" hidden="1">#REF!</definedName>
    <definedName name="BO18B48C54B3884B9592CAB96DE7C53DFA" localSheetId="8" hidden="1">#REF!</definedName>
    <definedName name="BO18B48C54B3884B9592CAB96DE7C53DFA" localSheetId="7" hidden="1">#REF!</definedName>
    <definedName name="BO18B48C54B3884B9592CAB96DE7C53DFA" localSheetId="6" hidden="1">#REF!</definedName>
    <definedName name="BO18B48C54B3884B9592CAB96DE7C53DFA" localSheetId="5" hidden="1">#REF!</definedName>
    <definedName name="BO18B48C54B3884B9592CAB96DE7C53DFA" hidden="1">#REF!</definedName>
    <definedName name="BO18C6EB2AA09A41C59D20A193CF02DC61" hidden="1">#REF!</definedName>
    <definedName name="BO18DBD9D254D949D5BE859712DC55F149" hidden="1">#REF!</definedName>
    <definedName name="BO18F3337FFC60482B88B66EAFBED30738" localSheetId="8" hidden="1">#REF!</definedName>
    <definedName name="BO18F3337FFC60482B88B66EAFBED30738" localSheetId="7" hidden="1">#REF!</definedName>
    <definedName name="BO18F3337FFC60482B88B66EAFBED30738" localSheetId="6" hidden="1">#REF!</definedName>
    <definedName name="BO18F3337FFC60482B88B66EAFBED30738" localSheetId="5" hidden="1">#REF!</definedName>
    <definedName name="BO18F3337FFC60482B88B66EAFBED30738" hidden="1">#REF!</definedName>
    <definedName name="BO19023049BFB24084A897F5B78F58AEC3" hidden="1">#REF!</definedName>
    <definedName name="BO197638AE938B4B95A9F9E4C8802E8C70" hidden="1">#REF!</definedName>
    <definedName name="BO197B5D5817D3452C8B6CE39DF988D174" hidden="1">#REF!</definedName>
    <definedName name="BO19864A4AC4184685AB599FBCD2A64046" hidden="1">#REF!</definedName>
    <definedName name="BO199584D4D0284CD280576A5BFE919D17" hidden="1">#REF!</definedName>
    <definedName name="BO19EA54756ADC43699E0307D9E658D367" hidden="1">#REF!</definedName>
    <definedName name="BO1ACA4AAD7AD8401C8258F1E26DFAA999" hidden="1">#REF!</definedName>
    <definedName name="BO1AE04F4F44844FA6822AFB8D8A4F1A71" localSheetId="8" hidden="1">#REF!</definedName>
    <definedName name="BO1AE04F4F44844FA6822AFB8D8A4F1A71" localSheetId="7" hidden="1">#REF!</definedName>
    <definedName name="BO1AE04F4F44844FA6822AFB8D8A4F1A71" localSheetId="6" hidden="1">#REF!</definedName>
    <definedName name="BO1AE04F4F44844FA6822AFB8D8A4F1A71" localSheetId="5" hidden="1">#REF!</definedName>
    <definedName name="BO1AE04F4F44844FA6822AFB8D8A4F1A71" hidden="1">#REF!</definedName>
    <definedName name="BO1B0FD660232C48919D3BB1DDA8BE88BE" hidden="1">#REF!</definedName>
    <definedName name="BO1B1B294306094C9FAAC4A9A130903EEE" hidden="1">#REF!</definedName>
    <definedName name="BO1B2416E441E343BC8E888692F6C93E72" hidden="1">#REF!</definedName>
    <definedName name="BO1B4199493ACE4DC583A9D8595F4CF535" localSheetId="8" hidden="1">#REF!</definedName>
    <definedName name="BO1B4199493ACE4DC583A9D8595F4CF535" localSheetId="7" hidden="1">#REF!</definedName>
    <definedName name="BO1B4199493ACE4DC583A9D8595F4CF535" localSheetId="6" hidden="1">#REF!</definedName>
    <definedName name="BO1B4199493ACE4DC583A9D8595F4CF535" localSheetId="5" hidden="1">#REF!</definedName>
    <definedName name="BO1B4199493ACE4DC583A9D8595F4CF535" hidden="1">#REF!</definedName>
    <definedName name="BO1B5A02D1931A4CC2A40C18C42A16B392" hidden="1">#REF!</definedName>
    <definedName name="BO1BCDAB0E273249EF9EA7BFE8E52EBFC4" hidden="1">#REF!</definedName>
    <definedName name="BO1BF2256B55324018AF4E6B052C6C8DE9" hidden="1">#REF!</definedName>
    <definedName name="BO1C5167DF26254F56B4F0028C4F0B860C" hidden="1">#REF!</definedName>
    <definedName name="BO1C8D3209029B4BDBA70B15CAFBAF2E9A" hidden="1">#REF!</definedName>
    <definedName name="BO1C98FB75CF4F4874A6C64A7703724EBD" localSheetId="8" hidden="1">#REF!</definedName>
    <definedName name="BO1C98FB75CF4F4874A6C64A7703724EBD" localSheetId="7" hidden="1">#REF!</definedName>
    <definedName name="BO1C98FB75CF4F4874A6C64A7703724EBD" localSheetId="6" hidden="1">#REF!</definedName>
    <definedName name="BO1C98FB75CF4F4874A6C64A7703724EBD" localSheetId="5" hidden="1">#REF!</definedName>
    <definedName name="BO1C98FB75CF4F4874A6C64A7703724EBD" hidden="1">#REF!</definedName>
    <definedName name="BO1CF31860D56C4694B37996B27996EB58" hidden="1">#REF!</definedName>
    <definedName name="BO1CFC77B8C84940C3AC39E7D2EEC5D844" localSheetId="8" hidden="1">#REF!</definedName>
    <definedName name="BO1CFC77B8C84940C3AC39E7D2EEC5D844" localSheetId="7" hidden="1">#REF!</definedName>
    <definedName name="BO1CFC77B8C84940C3AC39E7D2EEC5D844" localSheetId="6" hidden="1">#REF!</definedName>
    <definedName name="BO1CFC77B8C84940C3AC39E7D2EEC5D844" localSheetId="5" hidden="1">#REF!</definedName>
    <definedName name="BO1CFC77B8C84940C3AC39E7D2EEC5D844" hidden="1">#REF!</definedName>
    <definedName name="BO1D8FF101A2A24D3D8ACABC412AED68AC" localSheetId="8" hidden="1">#REF!</definedName>
    <definedName name="BO1D8FF101A2A24D3D8ACABC412AED68AC" localSheetId="7" hidden="1">#REF!</definedName>
    <definedName name="BO1D8FF101A2A24D3D8ACABC412AED68AC" localSheetId="6" hidden="1">#REF!</definedName>
    <definedName name="BO1D8FF101A2A24D3D8ACABC412AED68AC" localSheetId="5" hidden="1">#REF!</definedName>
    <definedName name="BO1D8FF101A2A24D3D8ACABC412AED68AC" hidden="1">#REF!</definedName>
    <definedName name="BO1E13C115A06F406CA5CC1812E9FA2BAA" hidden="1">#REF!</definedName>
    <definedName name="BO1E1F59DD6A1D47928EE439381BC13972" hidden="1">#REF!</definedName>
    <definedName name="BO1E39A35B75004F47BEA7FA741B82EBF3" hidden="1">#REF!</definedName>
    <definedName name="BO1E6E36B39114424C8316FBF8DC984C06" hidden="1">#REF!</definedName>
    <definedName name="BO1EAB8865706A47B09B111ABE242A04F7" hidden="1">#REF!</definedName>
    <definedName name="BO1EE9B35395C44765876FDB941DF0BB7B" hidden="1">#REF!</definedName>
    <definedName name="BO1EF582A825D945E982412776BEB6F88A" hidden="1">#REF!</definedName>
    <definedName name="BO1F3080BBB3BB4FFF9D8DA4A505407E03" hidden="1">#REF!</definedName>
    <definedName name="BO1F766D0BDA9E442598B631B7EAF27197" hidden="1">#REF!</definedName>
    <definedName name="BO1F8C9A63B3994ADFABC6C68143F8A51C" localSheetId="8" hidden="1">#REF!</definedName>
    <definedName name="BO1F8C9A63B3994ADFABC6C68143F8A51C" localSheetId="7" hidden="1">#REF!</definedName>
    <definedName name="BO1F8C9A63B3994ADFABC6C68143F8A51C" localSheetId="6" hidden="1">#REF!</definedName>
    <definedName name="BO1F8C9A63B3994ADFABC6C68143F8A51C" localSheetId="5" hidden="1">#REF!</definedName>
    <definedName name="BO1F8C9A63B3994ADFABC6C68143F8A51C" hidden="1">#REF!</definedName>
    <definedName name="BO1FB5A87543244FB3BE75FA33C8195DA7" hidden="1">#REF!</definedName>
    <definedName name="BO1FC69456CB3A4778B8B19AFD8118BBB6" hidden="1">#REF!</definedName>
    <definedName name="BO202E1AAE864446E79C452E33CC903C2D" hidden="1">#REF!</definedName>
    <definedName name="BO20369BD3211F4362BA3DADCA5595A8FF" hidden="1">#REF!</definedName>
    <definedName name="BO209BB5ACD1D942548CD79DF0AF0B3A9A" hidden="1">#REF!</definedName>
    <definedName name="BO20AA2D48FB8C4865B71208FC47B34C2E" hidden="1">#REF!</definedName>
    <definedName name="BO20AF703161DC4412A14BAC39525DBBBD" hidden="1">#REF!</definedName>
    <definedName name="BO20F3233B526941FDA035AFFDD18FD556" hidden="1">#REF!</definedName>
    <definedName name="BO20F5E452497E40DD87F0386624A47AA9" hidden="1">#REF!</definedName>
    <definedName name="BO210F3F52FCEC4242B420EEE10D387BFF" hidden="1">#REF!</definedName>
    <definedName name="BO217C6ACD7A16459D8D5E8B0A51B00163" hidden="1">#REF!</definedName>
    <definedName name="BO2181465E2CE746C18276E7D8F0769475" hidden="1">#REF!</definedName>
    <definedName name="BO21C97C24324141FC99761E47B85F1DD9" localSheetId="8" hidden="1">#REF!</definedName>
    <definedName name="BO21C97C24324141FC99761E47B85F1DD9" localSheetId="7" hidden="1">#REF!</definedName>
    <definedName name="BO21C97C24324141FC99761E47B85F1DD9" localSheetId="6" hidden="1">#REF!</definedName>
    <definedName name="BO21C97C24324141FC99761E47B85F1DD9" localSheetId="5" hidden="1">#REF!</definedName>
    <definedName name="BO21C97C24324141FC99761E47B85F1DD9" hidden="1">#REF!</definedName>
    <definedName name="BO21EDCFFA7DC44726AF4BECCAA60D9D8D" hidden="1">#REF!</definedName>
    <definedName name="BO21EE4D021A804125AF4CD4A2F2DF46D7" hidden="1">#REF!</definedName>
    <definedName name="BO225992C2BCEB4A7EBC69C4DABCD2D0CC" hidden="1">#REF!</definedName>
    <definedName name="BO225DA9AF578B4A1698414300E98E36BC" hidden="1">#REF!</definedName>
    <definedName name="BO22613C8FF9E6436B911C70FA951DCBD9" localSheetId="8" hidden="1">#REF!</definedName>
    <definedName name="BO22613C8FF9E6436B911C70FA951DCBD9" localSheetId="7" hidden="1">#REF!</definedName>
    <definedName name="BO22613C8FF9E6436B911C70FA951DCBD9" localSheetId="6" hidden="1">#REF!</definedName>
    <definedName name="BO22613C8FF9E6436B911C70FA951DCBD9" localSheetId="5" hidden="1">#REF!</definedName>
    <definedName name="BO22613C8FF9E6436B911C70FA951DCBD9" hidden="1">#REF!</definedName>
    <definedName name="BO22A4B63597DB4824A6B358F9CE04258F" hidden="1">#REF!</definedName>
    <definedName name="BO22CA7B0D414F43A49131345970661AEB" hidden="1">#REF!</definedName>
    <definedName name="BO22E1E4A5ED504D37A53E6B838BF1D1C9" localSheetId="8" hidden="1">#REF!</definedName>
    <definedName name="BO22E1E4A5ED504D37A53E6B838BF1D1C9" localSheetId="7" hidden="1">#REF!</definedName>
    <definedName name="BO22E1E4A5ED504D37A53E6B838BF1D1C9" localSheetId="6" hidden="1">#REF!</definedName>
    <definedName name="BO22E1E4A5ED504D37A53E6B838BF1D1C9" localSheetId="5" hidden="1">#REF!</definedName>
    <definedName name="BO22E1E4A5ED504D37A53E6B838BF1D1C9" hidden="1">#REF!</definedName>
    <definedName name="BO23191D571CFD45D7BCBF5B089F2D7FE1" hidden="1">#REF!</definedName>
    <definedName name="BO2321F682E30D4A65AB2473B05B7C6CB5" localSheetId="8" hidden="1">#REF!</definedName>
    <definedName name="BO2321F682E30D4A65AB2473B05B7C6CB5" localSheetId="7" hidden="1">#REF!</definedName>
    <definedName name="BO2321F682E30D4A65AB2473B05B7C6CB5" localSheetId="6" hidden="1">#REF!</definedName>
    <definedName name="BO2321F682E30D4A65AB2473B05B7C6CB5" localSheetId="5" hidden="1">#REF!</definedName>
    <definedName name="BO2321F682E30D4A65AB2473B05B7C6CB5" hidden="1">#REF!</definedName>
    <definedName name="BO24A38FEE5C5640679260F29B48F7C1E0" hidden="1">#REF!</definedName>
    <definedName name="BO24C8B10F9CAD4D1AA5A85A382D795581" hidden="1">#REF!</definedName>
    <definedName name="BO24E4E8421271426B9EE41F618B4528C1" localSheetId="8" hidden="1">#REF!</definedName>
    <definedName name="BO24E4E8421271426B9EE41F618B4528C1" localSheetId="7" hidden="1">#REF!</definedName>
    <definedName name="BO24E4E8421271426B9EE41F618B4528C1" localSheetId="6" hidden="1">#REF!</definedName>
    <definedName name="BO24E4E8421271426B9EE41F618B4528C1" localSheetId="5" hidden="1">#REF!</definedName>
    <definedName name="BO24E4E8421271426B9EE41F618B4528C1" hidden="1">#REF!</definedName>
    <definedName name="BO2534F8331C624C7D816DC2FA61DFC3D3" hidden="1">#REF!</definedName>
    <definedName name="BO254B33DDB91749EA8A9B2125D122A2DD" hidden="1">#REF!</definedName>
    <definedName name="BO258AB2A8C550478082CE1B1BA6FED291" hidden="1">#REF!</definedName>
    <definedName name="BO258EC0F13E1F40C087A91A113272DA80" localSheetId="8" hidden="1">#REF!</definedName>
    <definedName name="BO258EC0F13E1F40C087A91A113272DA80" localSheetId="7" hidden="1">#REF!</definedName>
    <definedName name="BO258EC0F13E1F40C087A91A113272DA80" localSheetId="6" hidden="1">#REF!</definedName>
    <definedName name="BO258EC0F13E1F40C087A91A113272DA80" localSheetId="5" hidden="1">#REF!</definedName>
    <definedName name="BO258EC0F13E1F40C087A91A113272DA80" hidden="1">#REF!</definedName>
    <definedName name="BO25DB4B867CE74581A7B75A26F325E52A" hidden="1">#REF!</definedName>
    <definedName name="BO260500EC60984BCF982F261DF10270E6" localSheetId="8" hidden="1">#REF!</definedName>
    <definedName name="BO260500EC60984BCF982F261DF10270E6" localSheetId="7" hidden="1">#REF!</definedName>
    <definedName name="BO260500EC60984BCF982F261DF10270E6" localSheetId="6" hidden="1">#REF!</definedName>
    <definedName name="BO260500EC60984BCF982F261DF10270E6" localSheetId="5" hidden="1">#REF!</definedName>
    <definedName name="BO260500EC60984BCF982F261DF10270E6" hidden="1">#REF!</definedName>
    <definedName name="BO26084597D46A4B21B7C6959645E3FA9F" hidden="1">#REF!</definedName>
    <definedName name="BO260C027F3EFC4E9F819EE87D509097D3" localSheetId="8" hidden="1">#REF!</definedName>
    <definedName name="BO260C027F3EFC4E9F819EE87D509097D3" localSheetId="7" hidden="1">#REF!</definedName>
    <definedName name="BO260C027F3EFC4E9F819EE87D509097D3" localSheetId="6" hidden="1">#REF!</definedName>
    <definedName name="BO260C027F3EFC4E9F819EE87D509097D3" localSheetId="5" hidden="1">#REF!</definedName>
    <definedName name="BO260C027F3EFC4E9F819EE87D509097D3" hidden="1">#REF!</definedName>
    <definedName name="BO263020C370C34F0089AE4B34658A04DD" hidden="1">#REF!</definedName>
    <definedName name="BO26454B18986E4FE88B0AF720C1A512AF" hidden="1">#REF!</definedName>
    <definedName name="BO26675DF19A344C8B91A3DAF2A528F837" hidden="1">#REF!</definedName>
    <definedName name="BO266BA060F36546D28F15759B979427E7" hidden="1">#REF!</definedName>
    <definedName name="BO268669464273403DB612BF67073F59FE" localSheetId="8" hidden="1">#REF!</definedName>
    <definedName name="BO268669464273403DB612BF67073F59FE" localSheetId="7" hidden="1">#REF!</definedName>
    <definedName name="BO268669464273403DB612BF67073F59FE" localSheetId="6" hidden="1">#REF!</definedName>
    <definedName name="BO268669464273403DB612BF67073F59FE" localSheetId="5" hidden="1">#REF!</definedName>
    <definedName name="BO268669464273403DB612BF67073F59FE" hidden="1">#REF!</definedName>
    <definedName name="BO26A15658F74C4630B9197358F9E0B4D6" hidden="1">#REF!</definedName>
    <definedName name="BO26BC1388F8E849DE85CC95A9E844412E" hidden="1">#REF!</definedName>
    <definedName name="BO26BD04582AFA400DB142CD1FCBD616F6" hidden="1">#REF!</definedName>
    <definedName name="BO26C0241FECA4488DA66F9F202A6DDFF3" localSheetId="8" hidden="1">#REF!</definedName>
    <definedName name="BO26C0241FECA4488DA66F9F202A6DDFF3" localSheetId="7" hidden="1">#REF!</definedName>
    <definedName name="BO26C0241FECA4488DA66F9F202A6DDFF3" localSheetId="6" hidden="1">#REF!</definedName>
    <definedName name="BO26C0241FECA4488DA66F9F202A6DDFF3" localSheetId="5" hidden="1">#REF!</definedName>
    <definedName name="BO26C0241FECA4488DA66F9F202A6DDFF3" hidden="1">#REF!</definedName>
    <definedName name="BO26E2D063F43D4B799029AE0207AEDB83" localSheetId="8" hidden="1">#REF!</definedName>
    <definedName name="BO26E2D063F43D4B799029AE0207AEDB83" localSheetId="7" hidden="1">#REF!</definedName>
    <definedName name="BO26E2D063F43D4B799029AE0207AEDB83" localSheetId="6" hidden="1">#REF!</definedName>
    <definedName name="BO26E2D063F43D4B799029AE0207AEDB83" localSheetId="5" hidden="1">#REF!</definedName>
    <definedName name="BO26E2D063F43D4B799029AE0207AEDB83" hidden="1">#REF!</definedName>
    <definedName name="BO27855EB1699B44DBB620D749D791BE44" hidden="1">#REF!</definedName>
    <definedName name="BO2829522A83004010B2365C2D8E686869" localSheetId="8" hidden="1">#REF!</definedName>
    <definedName name="BO2829522A83004010B2365C2D8E686869" localSheetId="7" hidden="1">#REF!</definedName>
    <definedName name="BO2829522A83004010B2365C2D8E686869" localSheetId="6" hidden="1">#REF!</definedName>
    <definedName name="BO2829522A83004010B2365C2D8E686869" localSheetId="5" hidden="1">#REF!</definedName>
    <definedName name="BO2829522A83004010B2365C2D8E686869" hidden="1">#REF!</definedName>
    <definedName name="BO283CF01A762B4E3DAD6AC7B7607C1D59" hidden="1">#REF!</definedName>
    <definedName name="BO2846E9732C5B45C1BC12EE1CAF9A5402" hidden="1">#REF!</definedName>
    <definedName name="BO2854755D88C84C9FB645807932D967E6" hidden="1">#REF!</definedName>
    <definedName name="BO287DB06C05C1457B8FD3A11862E93BED" hidden="1">#REF!</definedName>
    <definedName name="BO288CDE6A990E4576BF3474F4A7979D4A" hidden="1">#REF!</definedName>
    <definedName name="BO28A96CFF9F1F43A1A2D447CB26612C50" hidden="1">#REF!</definedName>
    <definedName name="BO28BAEFB67F304783924E94012AFD0219" hidden="1">#REF!</definedName>
    <definedName name="BO28C19B9C19A3442D97457F9E550D74E5" hidden="1">#REF!</definedName>
    <definedName name="BO28D2C4ABFFD141F1903F463A1C8D7376" localSheetId="8" hidden="1">#REF!</definedName>
    <definedName name="BO28D2C4ABFFD141F1903F463A1C8D7376" localSheetId="7" hidden="1">#REF!</definedName>
    <definedName name="BO28D2C4ABFFD141F1903F463A1C8D7376" localSheetId="6" hidden="1">#REF!</definedName>
    <definedName name="BO28D2C4ABFFD141F1903F463A1C8D7376" localSheetId="5" hidden="1">#REF!</definedName>
    <definedName name="BO28D2C4ABFFD141F1903F463A1C8D7376" hidden="1">#REF!</definedName>
    <definedName name="BO290B5CD5C5094980A2257A41F8B79F04" hidden="1">#REF!</definedName>
    <definedName name="BO2923632441DA4BDF845297A41AF8DF81" hidden="1">#REF!</definedName>
    <definedName name="BO293CA5D185654237A348B19D157B1CEF" hidden="1">#REF!</definedName>
    <definedName name="BO293EC7B75E674418ABCDFEBCAC65EFC2" hidden="1">#REF!</definedName>
    <definedName name="BO2942ADCDBE42453E9D818AD2FB586DBF" localSheetId="8" hidden="1">#REF!</definedName>
    <definedName name="BO2942ADCDBE42453E9D818AD2FB586DBF" localSheetId="7" hidden="1">#REF!</definedName>
    <definedName name="BO2942ADCDBE42453E9D818AD2FB586DBF" localSheetId="6" hidden="1">#REF!</definedName>
    <definedName name="BO2942ADCDBE42453E9D818AD2FB586DBF" localSheetId="5" hidden="1">#REF!</definedName>
    <definedName name="BO2942ADCDBE42453E9D818AD2FB586DBF" hidden="1">#REF!</definedName>
    <definedName name="BO29581BB349F44E49876AAAF53FECDD0A" hidden="1">#REF!</definedName>
    <definedName name="BO2972B4C7710340C49BE57C9E1AB2BB8D" localSheetId="8" hidden="1">#REF!</definedName>
    <definedName name="BO2972B4C7710340C49BE57C9E1AB2BB8D" localSheetId="7" hidden="1">#REF!</definedName>
    <definedName name="BO2972B4C7710340C49BE57C9E1AB2BB8D" localSheetId="6" hidden="1">#REF!</definedName>
    <definedName name="BO2972B4C7710340C49BE57C9E1AB2BB8D" localSheetId="5" hidden="1">#REF!</definedName>
    <definedName name="BO2972B4C7710340C49BE57C9E1AB2BB8D" hidden="1">#REF!</definedName>
    <definedName name="BO2974D71477374CF6AC84122CE4D36ABE" hidden="1">#REF!</definedName>
    <definedName name="BO29753B834CF14F15B596F1E50857F7A8" hidden="1">#REF!</definedName>
    <definedName name="BO297A063B3DA14813AC2B186386530CA6" hidden="1">#REF!</definedName>
    <definedName name="BO298603EDA2F14F15A4C327A593BD1FF9" hidden="1">#REF!</definedName>
    <definedName name="BO29BAA112899A49E1BD1082CDDE0FEA89" localSheetId="8" hidden="1">#REF!</definedName>
    <definedName name="BO29BAA112899A49E1BD1082CDDE0FEA89" localSheetId="0" hidden="1">[7]Dashboard!#REF!</definedName>
    <definedName name="BO29BAA112899A49E1BD1082CDDE0FEA89" localSheetId="1" hidden="1">[7]Dashboard!#REF!</definedName>
    <definedName name="BO29BAA112899A49E1BD1082CDDE0FEA89" localSheetId="2" hidden="1">[7]Dashboard!#REF!</definedName>
    <definedName name="BO29BAA112899A49E1BD1082CDDE0FEA89" localSheetId="7" hidden="1">#REF!</definedName>
    <definedName name="BO29BAA112899A49E1BD1082CDDE0FEA89" localSheetId="6" hidden="1">#REF!</definedName>
    <definedName name="BO29BAA112899A49E1BD1082CDDE0FEA89" localSheetId="5" hidden="1">#REF!</definedName>
    <definedName name="BO29BAA112899A49E1BD1082CDDE0FEA89" hidden="1">#REF!</definedName>
    <definedName name="BO29FE052A982246FE8C39C1DB2890313B" hidden="1">#REF!</definedName>
    <definedName name="BO2A34933103B642BE9D93D3C9495A105C" hidden="1">#REF!</definedName>
    <definedName name="BO2A5570BC1AB84864AA22AA00DBD43E7C" hidden="1">#REF!</definedName>
    <definedName name="BO2A7E8875BB094D4E9D7200C65607CE34" hidden="1">#REF!</definedName>
    <definedName name="BO2AC10D8E595046658C1011B937A68A6D" hidden="1">#REF!</definedName>
    <definedName name="BO2AC94F144EB44025A5BA501B8EEB4CA3" hidden="1">#REF!</definedName>
    <definedName name="BO2B01C5B2CBD04A89813B40A602B9EDC8" localSheetId="8" hidden="1">#REF!</definedName>
    <definedName name="BO2B01C5B2CBD04A89813B40A602B9EDC8" localSheetId="7" hidden="1">#REF!</definedName>
    <definedName name="BO2B01C5B2CBD04A89813B40A602B9EDC8" localSheetId="6" hidden="1">#REF!</definedName>
    <definedName name="BO2B01C5B2CBD04A89813B40A602B9EDC8" localSheetId="5" hidden="1">#REF!</definedName>
    <definedName name="BO2B01C5B2CBD04A89813B40A602B9EDC8" hidden="1">#REF!</definedName>
    <definedName name="BO2B57EA07E67846D78B074E1FFA133950" hidden="1">#REF!</definedName>
    <definedName name="BO2B67A644C0A347659A766BFAB141E383" localSheetId="8" hidden="1">#REF!</definedName>
    <definedName name="BO2B67A644C0A347659A766BFAB141E383" localSheetId="7" hidden="1">#REF!</definedName>
    <definedName name="BO2B67A644C0A347659A766BFAB141E383" localSheetId="6" hidden="1">#REF!</definedName>
    <definedName name="BO2B67A644C0A347659A766BFAB141E383" localSheetId="5" hidden="1">#REF!</definedName>
    <definedName name="BO2B67A644C0A347659A766BFAB141E383" hidden="1">#REF!</definedName>
    <definedName name="BO2B925298044A40ADACFEA044D31B8B51" hidden="1">#REF!</definedName>
    <definedName name="BO2BB847BCA4D84CCF8DFD1EFDBB7613E8" hidden="1">#REF!</definedName>
    <definedName name="BO2BD639EE49BC41D7B87001474675BAB9" hidden="1">#REF!</definedName>
    <definedName name="BO2BF4159B07AB458EB492E40D013F9916" hidden="1">#REF!</definedName>
    <definedName name="BO2BF840B93547445AB14EB0D4078898DA" hidden="1">#REF!</definedName>
    <definedName name="BO2C600050A193404380643DEDA2D34107" hidden="1">#REF!</definedName>
    <definedName name="BO2CC6EE15E0FD4F49BA7D56ACC328BF39" hidden="1">#REF!</definedName>
    <definedName name="BO2D1FD349F24447EBB100EADB3315C3D8" hidden="1">#REF!</definedName>
    <definedName name="BO2D3BA094A3C3455DA836814C0D1060D6" hidden="1">#REF!</definedName>
    <definedName name="BO2D4C4154126A4D45BA58B53501020263" hidden="1">#REF!</definedName>
    <definedName name="BO2D7E1AC185384BC094041B3D6EF9614B" hidden="1">#REF!</definedName>
    <definedName name="BO2DE4902D95B448218CD6FA7730C778A2" hidden="1">#REF!</definedName>
    <definedName name="BO2E25468BE0EF49D392EE1C3DDEB1EA51" hidden="1">#REF!</definedName>
    <definedName name="BO2E84A6BFFF654ECE8A0B137E3405B0BC" hidden="1">#REF!</definedName>
    <definedName name="BO2EA4525CD41D48FA82EFE4362D2150BC" hidden="1">#REF!</definedName>
    <definedName name="BO2EBFCA67EB064F41A4E6D65C3D299B03" hidden="1">#REF!</definedName>
    <definedName name="BO2EE598EA979645AB913F9CA9F534FC8C" hidden="1">#REF!</definedName>
    <definedName name="BO2F3079DA1319414A9855CF20027FB1A4" hidden="1">#REF!</definedName>
    <definedName name="BO2F342FB5EE5F4A6F88AF57B07912D0A2" hidden="1">#REF!</definedName>
    <definedName name="BO2F3F2940D4714B0CBA616BD0A186EFE0" hidden="1">#REF!</definedName>
    <definedName name="BO2F431F44113B4260902428E2C7B3422A" hidden="1">#REF!</definedName>
    <definedName name="BO2FB08B2409904D9B8E2A2EC3B48213AF" localSheetId="8" hidden="1">#REF!</definedName>
    <definedName name="BO2FB08B2409904D9B8E2A2EC3B48213AF" localSheetId="7" hidden="1">#REF!</definedName>
    <definedName name="BO2FB08B2409904D9B8E2A2EC3B48213AF" localSheetId="6" hidden="1">#REF!</definedName>
    <definedName name="BO2FB08B2409904D9B8E2A2EC3B48213AF" localSheetId="5" hidden="1">#REF!</definedName>
    <definedName name="BO2FB08B2409904D9B8E2A2EC3B48213AF" hidden="1">#REF!</definedName>
    <definedName name="BO3009FEA3FB8C45FE942DE094EDD65358" localSheetId="8" hidden="1">#REF!</definedName>
    <definedName name="BO3009FEA3FB8C45FE942DE094EDD65358" localSheetId="7" hidden="1">#REF!</definedName>
    <definedName name="BO3009FEA3FB8C45FE942DE094EDD65358" localSheetId="6" hidden="1">#REF!</definedName>
    <definedName name="BO3009FEA3FB8C45FE942DE094EDD65358" localSheetId="5" hidden="1">#REF!</definedName>
    <definedName name="BO3009FEA3FB8C45FE942DE094EDD65358" hidden="1">#REF!</definedName>
    <definedName name="BO301DD1C079134680BAF5486BE18F4E66" hidden="1">#REF!</definedName>
    <definedName name="BO30DA5D89FF574921BE0B8DCDAD106C8E" hidden="1">#REF!</definedName>
    <definedName name="BO312F4972997947BC8830FDD83D295E0C" hidden="1">#REF!</definedName>
    <definedName name="BO325EB1C061774E3A9B1DD4B1F7D13507" hidden="1">#REF!</definedName>
    <definedName name="BO32C3DD56BA044C7FB69752A4602955B2" hidden="1">#REF!</definedName>
    <definedName name="BO332363BB51BA4465B60F78A7252150F6" hidden="1">#REF!</definedName>
    <definedName name="BO3399B41E49294383AAF1D9EFE193F78C" hidden="1">#REF!</definedName>
    <definedName name="BO33AABD2C824B4154B41C2FAFDED43C13" localSheetId="8" hidden="1">#REF!</definedName>
    <definedName name="BO33AABD2C824B4154B41C2FAFDED43C13" localSheetId="7" hidden="1">#REF!</definedName>
    <definedName name="BO33AABD2C824B4154B41C2FAFDED43C13" localSheetId="6" hidden="1">#REF!</definedName>
    <definedName name="BO33AABD2C824B4154B41C2FAFDED43C13" localSheetId="5" hidden="1">#REF!</definedName>
    <definedName name="BO33AABD2C824B4154B41C2FAFDED43C13" hidden="1">#REF!</definedName>
    <definedName name="BO3492D7397BAC46E48DA6959731526FD8" hidden="1">#REF!</definedName>
    <definedName name="BO35164D2B368746EC93AA2CE8E4B10147" localSheetId="8" hidden="1">#REF!</definedName>
    <definedName name="BO35164D2B368746EC93AA2CE8E4B10147" localSheetId="7" hidden="1">#REF!</definedName>
    <definedName name="BO35164D2B368746EC93AA2CE8E4B10147" localSheetId="6" hidden="1">#REF!</definedName>
    <definedName name="BO35164D2B368746EC93AA2CE8E4B10147" localSheetId="5" hidden="1">#REF!</definedName>
    <definedName name="BO35164D2B368746EC93AA2CE8E4B10147" hidden="1">#REF!</definedName>
    <definedName name="BO3561889D890F462DBDC662E3C737A2EB" hidden="1">#REF!</definedName>
    <definedName name="BO35A5A12B3EBD462C937DC23C1A8721C7" hidden="1">#REF!</definedName>
    <definedName name="BO35C7F94C51834DD48FFC7A538CAB86B0" hidden="1">#REF!</definedName>
    <definedName name="BO35F22FFE652F40A48C3E9593C3E3D312" localSheetId="8" hidden="1">#REF!</definedName>
    <definedName name="BO35F22FFE652F40A48C3E9593C3E3D312" localSheetId="7" hidden="1">#REF!</definedName>
    <definedName name="BO35F22FFE652F40A48C3E9593C3E3D312" localSheetId="6" hidden="1">#REF!</definedName>
    <definedName name="BO35F22FFE652F40A48C3E9593C3E3D312" localSheetId="5" hidden="1">#REF!</definedName>
    <definedName name="BO35F22FFE652F40A48C3E9593C3E3D312" hidden="1">#REF!</definedName>
    <definedName name="BO361D077CAB2B40708B8E881A9038E229" hidden="1">#REF!</definedName>
    <definedName name="BO3635FA678B3341518572CAD94FA523C1" hidden="1">#REF!</definedName>
    <definedName name="BO3694B361C59348D4ADD1CA424580E03E" hidden="1">#REF!</definedName>
    <definedName name="BO36996C03BFB248FA872682E55D6C7061" hidden="1">#REF!</definedName>
    <definedName name="BO36D3F91B71D74108BF4E522DF6D3B8A7" hidden="1">#REF!</definedName>
    <definedName name="BO3702F6C7C90A42F48F6A4BF5C47544B8" localSheetId="8" hidden="1">#REF!</definedName>
    <definedName name="BO3702F6C7C90A42F48F6A4BF5C47544B8" localSheetId="7" hidden="1">#REF!</definedName>
    <definedName name="BO3702F6C7C90A42F48F6A4BF5C47544B8" localSheetId="6" hidden="1">#REF!</definedName>
    <definedName name="BO3702F6C7C90A42F48F6A4BF5C47544B8" localSheetId="5" hidden="1">#REF!</definedName>
    <definedName name="BO3702F6C7C90A42F48F6A4BF5C47544B8" hidden="1">#REF!</definedName>
    <definedName name="BO375CF3FFEFC14E49BAD281E84C114BB0" hidden="1">#REF!</definedName>
    <definedName name="BO3785A7037CAA4B9F8051A497D868BF12" localSheetId="8" hidden="1">#REF!</definedName>
    <definedName name="BO3785A7037CAA4B9F8051A497D868BF12" localSheetId="7" hidden="1">#REF!</definedName>
    <definedName name="BO3785A7037CAA4B9F8051A497D868BF12" localSheetId="6" hidden="1">#REF!</definedName>
    <definedName name="BO3785A7037CAA4B9F8051A497D868BF12" localSheetId="5" hidden="1">#REF!</definedName>
    <definedName name="BO3785A7037CAA4B9F8051A497D868BF12" hidden="1">#REF!</definedName>
    <definedName name="BO37ACE5EDAE25479DABC80C777252B92D" hidden="1">#REF!</definedName>
    <definedName name="BO386E7E2DD7D449C9983150241BBBF774" hidden="1">#REF!</definedName>
    <definedName name="BO38B591FBC6854020821F23A8E820C9EE" localSheetId="8" hidden="1">#REF!</definedName>
    <definedName name="BO38B591FBC6854020821F23A8E820C9EE" localSheetId="7" hidden="1">#REF!</definedName>
    <definedName name="BO38B591FBC6854020821F23A8E820C9EE" localSheetId="6" hidden="1">#REF!</definedName>
    <definedName name="BO38B591FBC6854020821F23A8E820C9EE" localSheetId="5" hidden="1">#REF!</definedName>
    <definedName name="BO38B591FBC6854020821F23A8E820C9EE" hidden="1">#REF!</definedName>
    <definedName name="BO393628F263EF44E2A5FC10F87ECD0EB5" hidden="1">#REF!</definedName>
    <definedName name="BO395E651895EB458E89F729DA52F45B13" hidden="1">#REF!</definedName>
    <definedName name="BO397DAC313C2446549BFA10D7A4F6AB56" hidden="1">#REF!</definedName>
    <definedName name="BO39A76A950B4B4C709CF83CD2E5A91CEE" hidden="1">#REF!</definedName>
    <definedName name="BO3A0390AB70C24585B5D712EB890F1CE0" hidden="1">#REF!</definedName>
    <definedName name="BO3A3354B0DCD0453495574FCD7F034BBB" hidden="1">#REF!</definedName>
    <definedName name="BO3AB7ED47D3FD4F29AB4C6D2AF06F55ED" hidden="1">#REF!</definedName>
    <definedName name="BO3B1D9F72BEE343A18F194B8A41DDC060" hidden="1">#REF!</definedName>
    <definedName name="BO3B60F74582F240CE8CD571DBD57634D3" hidden="1">#REF!</definedName>
    <definedName name="BO3B6824FECE544C03B1847285CCFB54D4" hidden="1">#REF!</definedName>
    <definedName name="BO3B79FEAD8B42465DAC50ADCA48E914F2" localSheetId="8" hidden="1">#REF!</definedName>
    <definedName name="BO3B79FEAD8B42465DAC50ADCA48E914F2" localSheetId="7" hidden="1">#REF!</definedName>
    <definedName name="BO3B79FEAD8B42465DAC50ADCA48E914F2" localSheetId="6" hidden="1">#REF!</definedName>
    <definedName name="BO3B79FEAD8B42465DAC50ADCA48E914F2" localSheetId="5" hidden="1">#REF!</definedName>
    <definedName name="BO3B79FEAD8B42465DAC50ADCA48E914F2" hidden="1">#REF!</definedName>
    <definedName name="BO3B7D4A62BEFA4F2AAA485B7D800E97DE" hidden="1">#REF!</definedName>
    <definedName name="BO3BFA95252CF04B2FB7DBB4021CEAFEE0" hidden="1">#REF!</definedName>
    <definedName name="BO3C0348ACEACB4AA4A45AD6F74AA0C60A" localSheetId="8" hidden="1">#REF!</definedName>
    <definedName name="BO3C0348ACEACB4AA4A45AD6F74AA0C60A" localSheetId="7" hidden="1">#REF!</definedName>
    <definedName name="BO3C0348ACEACB4AA4A45AD6F74AA0C60A" localSheetId="6" hidden="1">#REF!</definedName>
    <definedName name="BO3C0348ACEACB4AA4A45AD6F74AA0C60A" localSheetId="5" hidden="1">#REF!</definedName>
    <definedName name="BO3C0348ACEACB4AA4A45AD6F74AA0C60A" hidden="1">#REF!</definedName>
    <definedName name="BO3C3EB60DDB12443F87BC7EFF7A9BEBFA" hidden="1">#REF!</definedName>
    <definedName name="BO3C49836BD68E496EA2109B3AE2AB8B2B" hidden="1">#REF!</definedName>
    <definedName name="BO3C6B010C56FA4839BCDB8A627D4160EA" hidden="1">#REF!</definedName>
    <definedName name="BO3C8189F9A2584FF787CC85D3F41FBAF8" localSheetId="8" hidden="1">#REF!</definedName>
    <definedName name="BO3C8189F9A2584FF787CC85D3F41FBAF8" localSheetId="7" hidden="1">#REF!</definedName>
    <definedName name="BO3C8189F9A2584FF787CC85D3F41FBAF8" localSheetId="6" hidden="1">#REF!</definedName>
    <definedName name="BO3C8189F9A2584FF787CC85D3F41FBAF8" localSheetId="5" hidden="1">#REF!</definedName>
    <definedName name="BO3C8189F9A2584FF787CC85D3F41FBAF8" hidden="1">#REF!</definedName>
    <definedName name="BO3D4E1D6669984E518834510676BD8B50" hidden="1">#REF!</definedName>
    <definedName name="BO3D5A0577B7684A3EA85C51C62432DCB8" hidden="1">#REF!</definedName>
    <definedName name="BO3D5FF272BB274386A8BE1111F3C6C31F" hidden="1">#REF!</definedName>
    <definedName name="BO3D86D5F11FF24E1AA19A395B452500FE" localSheetId="8" hidden="1">#REF!</definedName>
    <definedName name="BO3D86D5F11FF24E1AA19A395B452500FE" localSheetId="7" hidden="1">#REF!</definedName>
    <definedName name="BO3D86D5F11FF24E1AA19A395B452500FE" localSheetId="6" hidden="1">#REF!</definedName>
    <definedName name="BO3D86D5F11FF24E1AA19A395B452500FE" localSheetId="5" hidden="1">#REF!</definedName>
    <definedName name="BO3D86D5F11FF24E1AA19A395B452500FE" hidden="1">#REF!</definedName>
    <definedName name="BO3DFE98410EAB44D08D21EEE39027E2BE" hidden="1">#REF!</definedName>
    <definedName name="BO3E0C11D0198F4684BD01C28C72F6D9D3" hidden="1">#REF!</definedName>
    <definedName name="BO3E14FA03D104464E8545C583A08D489E" hidden="1">#REF!</definedName>
    <definedName name="BO3E1A6E6661EE41358A45A97F20CC1562" hidden="1">#REF!</definedName>
    <definedName name="BO3E305EDCC4984AD2B35ECA94E71CEB4F" hidden="1">#REF!</definedName>
    <definedName name="BO3E447B5DAE144A55BDFD7EC49473FD2C" hidden="1">#REF!</definedName>
    <definedName name="BO3E5C106369614BC69F84B1649FE61AC7" hidden="1">#REF!</definedName>
    <definedName name="BO3E798E2E14E64E37AE4D21211566BFD4" localSheetId="8" hidden="1">#REF!</definedName>
    <definedName name="BO3E798E2E14E64E37AE4D21211566BFD4" localSheetId="7" hidden="1">#REF!</definedName>
    <definedName name="BO3E798E2E14E64E37AE4D21211566BFD4" localSheetId="6" hidden="1">#REF!</definedName>
    <definedName name="BO3E798E2E14E64E37AE4D21211566BFD4" localSheetId="5" hidden="1">#REF!</definedName>
    <definedName name="BO3E798E2E14E64E37AE4D21211566BFD4" hidden="1">#REF!</definedName>
    <definedName name="BO3EBB8C387B334D469692CA784E8E7F06" hidden="1">#REF!</definedName>
    <definedName name="BO3EDF55D381424809A08483ED99D38B91" hidden="1">#REF!</definedName>
    <definedName name="BO3EF891B296424992A0413E2BD088DB5A" hidden="1">#REF!</definedName>
    <definedName name="BO3F054C5113F448CE9230516836F5338C" hidden="1">#REF!</definedName>
    <definedName name="BO3F3C3C9B056C4EFFAE88F061FABC60A6" localSheetId="8" hidden="1">#REF!</definedName>
    <definedName name="BO3F3C3C9B056C4EFFAE88F061FABC60A6" localSheetId="7" hidden="1">#REF!</definedName>
    <definedName name="BO3F3C3C9B056C4EFFAE88F061FABC60A6" localSheetId="5" hidden="1">#REF!</definedName>
    <definedName name="BO3F3C3C9B056C4EFFAE88F061FABC60A6" hidden="1">#REF!</definedName>
    <definedName name="BO3F4F8208AC41493A8DFE36D0E9CC4127" hidden="1">#REF!</definedName>
    <definedName name="BO3F91FE0FDEB54A3787809F195FEB7BD9" localSheetId="8" hidden="1">#REF!</definedName>
    <definedName name="BO3F91FE0FDEB54A3787809F195FEB7BD9" localSheetId="7" hidden="1">#REF!</definedName>
    <definedName name="BO3F91FE0FDEB54A3787809F195FEB7BD9" localSheetId="6" hidden="1">#REF!</definedName>
    <definedName name="BO3F91FE0FDEB54A3787809F195FEB7BD9" localSheetId="5" hidden="1">#REF!</definedName>
    <definedName name="BO3F91FE0FDEB54A3787809F195FEB7BD9" hidden="1">#REF!</definedName>
    <definedName name="BO4019CEEE172B48498E5BC38F41B6ECE7" localSheetId="8" hidden="1">#REF!</definedName>
    <definedName name="BO4019CEEE172B48498E5BC38F41B6ECE7" localSheetId="7" hidden="1">#REF!</definedName>
    <definedName name="BO4019CEEE172B48498E5BC38F41B6ECE7" localSheetId="6" hidden="1">#REF!</definedName>
    <definedName name="BO4019CEEE172B48498E5BC38F41B6ECE7" localSheetId="5" hidden="1">#REF!</definedName>
    <definedName name="BO4019CEEE172B48498E5BC38F41B6ECE7" hidden="1">#REF!</definedName>
    <definedName name="BO404564B18CB8400185064EE2A1FDEF2B" hidden="1">#REF!</definedName>
    <definedName name="BO405EB54041414776BED884B08A03D098" hidden="1">#REF!</definedName>
    <definedName name="BO40964940328642508766AB16AA9E5740" hidden="1">#REF!</definedName>
    <definedName name="BO40EEE119C6434AEBB6C01D3BBB6B28AF" localSheetId="8" hidden="1">#REF!</definedName>
    <definedName name="BO40EEE119C6434AEBB6C01D3BBB6B28AF" localSheetId="7" hidden="1">#REF!</definedName>
    <definedName name="BO40EEE119C6434AEBB6C01D3BBB6B28AF" localSheetId="6" hidden="1">#REF!</definedName>
    <definedName name="BO40EEE119C6434AEBB6C01D3BBB6B28AF" localSheetId="5" hidden="1">#REF!</definedName>
    <definedName name="BO40EEE119C6434AEBB6C01D3BBB6B28AF" hidden="1">#REF!</definedName>
    <definedName name="BO413AF6BE19CA4ACE89D352A01AA804ED" localSheetId="8" hidden="1">#REF!</definedName>
    <definedName name="BO413AF6BE19CA4ACE89D352A01AA804ED" localSheetId="7" hidden="1">#REF!</definedName>
    <definedName name="BO413AF6BE19CA4ACE89D352A01AA804ED" localSheetId="6" hidden="1">#REF!</definedName>
    <definedName name="BO413AF6BE19CA4ACE89D352A01AA804ED" localSheetId="5" hidden="1">#REF!</definedName>
    <definedName name="BO413AF6BE19CA4ACE89D352A01AA804ED" hidden="1">#REF!</definedName>
    <definedName name="BO416422BA44694CF0ABB7B690BD2774DB" hidden="1">#REF!</definedName>
    <definedName name="BO4186BFDEB22A4BFA96C98BF54BCF9968" hidden="1">#REF!</definedName>
    <definedName name="BO41BBCAB4132E4E29B5098932C3D46618" hidden="1">#REF!</definedName>
    <definedName name="BO41C26C521BD54EE4865CC1FA6F01B742" hidden="1">#REF!</definedName>
    <definedName name="BO424D664A163D4317986481B1E8A6FD1E" hidden="1">#REF!</definedName>
    <definedName name="BO426C5646CD604AC4A10D5536165E1CDF" hidden="1">#REF!</definedName>
    <definedName name="BO42715C0206D346F2AF435B7A65B78A3D" hidden="1">#REF!</definedName>
    <definedName name="BO42956E85BED94149A7F7380DF8140C4B" hidden="1">#REF!</definedName>
    <definedName name="BO42BF246FEF96423AAB3A29EC0E33C3D4" hidden="1">#REF!</definedName>
    <definedName name="BO42CDEDD1058246EF97286F666D2240C1" localSheetId="8" hidden="1">#REF!</definedName>
    <definedName name="BO42CDEDD1058246EF97286F666D2240C1" localSheetId="7" hidden="1">#REF!</definedName>
    <definedName name="BO42CDEDD1058246EF97286F666D2240C1" localSheetId="6" hidden="1">#REF!</definedName>
    <definedName name="BO42CDEDD1058246EF97286F666D2240C1" localSheetId="5" hidden="1">#REF!</definedName>
    <definedName name="BO42CDEDD1058246EF97286F666D2240C1" hidden="1">#REF!</definedName>
    <definedName name="BO42DE406832754EC890E3F272D44AA1E2" hidden="1">#REF!</definedName>
    <definedName name="BO430E7468F21E40DA91805F36731A22E6" localSheetId="8" hidden="1">#REF!</definedName>
    <definedName name="BO430E7468F21E40DA91805F36731A22E6" localSheetId="7" hidden="1">#REF!</definedName>
    <definedName name="BO430E7468F21E40DA91805F36731A22E6" localSheetId="6" hidden="1">#REF!</definedName>
    <definedName name="BO430E7468F21E40DA91805F36731A22E6" localSheetId="5" hidden="1">#REF!</definedName>
    <definedName name="BO430E7468F21E40DA91805F36731A22E6" hidden="1">#REF!</definedName>
    <definedName name="BO432E2E42E5794BEDA1FF0FD559CBC1EA" localSheetId="8" hidden="1">#REF!</definedName>
    <definedName name="BO432E2E42E5794BEDA1FF0FD559CBC1EA" localSheetId="7" hidden="1">#REF!</definedName>
    <definedName name="BO432E2E42E5794BEDA1FF0FD559CBC1EA" localSheetId="6" hidden="1">#REF!</definedName>
    <definedName name="BO432E2E42E5794BEDA1FF0FD559CBC1EA" localSheetId="5" hidden="1">#REF!</definedName>
    <definedName name="BO432E2E42E5794BEDA1FF0FD559CBC1EA" hidden="1">#REF!</definedName>
    <definedName name="BO43540486D62644559F4F014AA30B2791" localSheetId="8" hidden="1">#REF!</definedName>
    <definedName name="BO43540486D62644559F4F014AA30B2791" localSheetId="7" hidden="1">#REF!</definedName>
    <definedName name="BO43540486D62644559F4F014AA30B2791" localSheetId="6" hidden="1">#REF!</definedName>
    <definedName name="BO43540486D62644559F4F014AA30B2791" localSheetId="5" hidden="1">#REF!</definedName>
    <definedName name="BO43540486D62644559F4F014AA30B2791" hidden="1">#REF!</definedName>
    <definedName name="BO437895AD8C8F4F1CA274DDBA117AC960" hidden="1">#REF!</definedName>
    <definedName name="BO439C73F805A74E43BE96139D13EA55E3" hidden="1">#REF!</definedName>
    <definedName name="BO43A44FC5F96945EEB3449EB4D9C0EE25" hidden="1">#REF!</definedName>
    <definedName name="BO43C0D29FAC354D18BFD239BBEF46801A" hidden="1">#REF!</definedName>
    <definedName name="BO43C47A42F545479099F84242A3DB3648" hidden="1">#REF!</definedName>
    <definedName name="BO43D06D9980C540C49C9A7EF47BA16E02" localSheetId="8" hidden="1">#REF!</definedName>
    <definedName name="BO43D06D9980C540C49C9A7EF47BA16E02" localSheetId="7" hidden="1">#REF!</definedName>
    <definedName name="BO43D06D9980C540C49C9A7EF47BA16E02" localSheetId="6" hidden="1">#REF!</definedName>
    <definedName name="BO43D06D9980C540C49C9A7EF47BA16E02" localSheetId="5" hidden="1">#REF!</definedName>
    <definedName name="BO43D06D9980C540C49C9A7EF47BA16E02" hidden="1">#REF!</definedName>
    <definedName name="BO43F6A4B8996C47E9956DE3B7B90FC6C3" hidden="1">#REF!</definedName>
    <definedName name="BO43FBEFC492224D228E4ABEEE64B94A30" hidden="1">#REF!</definedName>
    <definedName name="BO4449369E604F4F39A661D2CC81191E9B" localSheetId="8" hidden="1">#REF!</definedName>
    <definedName name="BO4449369E604F4F39A661D2CC81191E9B" localSheetId="7" hidden="1">#REF!</definedName>
    <definedName name="BO4449369E604F4F39A661D2CC81191E9B" localSheetId="6" hidden="1">#REF!</definedName>
    <definedName name="BO4449369E604F4F39A661D2CC81191E9B" localSheetId="5" hidden="1">#REF!</definedName>
    <definedName name="BO4449369E604F4F39A661D2CC81191E9B" hidden="1">#REF!</definedName>
    <definedName name="BO44BC2C6E8E9B41549555E3FB725D3F88" hidden="1">#REF!</definedName>
    <definedName name="BO44C5024E37314013A9991E3302DEF4A3" localSheetId="8" hidden="1">#REF!</definedName>
    <definedName name="BO44C5024E37314013A9991E3302DEF4A3" localSheetId="7" hidden="1">#REF!</definedName>
    <definedName name="BO44C5024E37314013A9991E3302DEF4A3" localSheetId="6" hidden="1">#REF!</definedName>
    <definedName name="BO44C5024E37314013A9991E3302DEF4A3" localSheetId="5" hidden="1">#REF!</definedName>
    <definedName name="BO44C5024E37314013A9991E3302DEF4A3" hidden="1">#REF!</definedName>
    <definedName name="BO44EDC86499E44529B90655D1B88F90F0" hidden="1">#REF!</definedName>
    <definedName name="BO45195DF4257E449982F1D91710D2C548" hidden="1">#REF!</definedName>
    <definedName name="BO4677857204564598839A4311F867AEB9" localSheetId="8" hidden="1">#REF!</definedName>
    <definedName name="BO4677857204564598839A4311F867AEB9" localSheetId="7" hidden="1">#REF!</definedName>
    <definedName name="BO4677857204564598839A4311F867AEB9" localSheetId="6" hidden="1">#REF!</definedName>
    <definedName name="BO4677857204564598839A4311F867AEB9" localSheetId="5" hidden="1">#REF!</definedName>
    <definedName name="BO4677857204564598839A4311F867AEB9" hidden="1">#REF!</definedName>
    <definedName name="BO46AE2398D8754BCF8B7061C46EC605CF" hidden="1">#REF!</definedName>
    <definedName name="BO4704B79D9DB74863BF3EA5D878F989E1" hidden="1">#REF!</definedName>
    <definedName name="BO47BD9689733B4550B2C60B71BDC17C10" hidden="1">#REF!</definedName>
    <definedName name="BO481A686D0BDF4DB1B35C5869D4C42F4D" hidden="1">#REF!</definedName>
    <definedName name="BO48540CE86408425796D103DE95E3F92F" hidden="1">#REF!</definedName>
    <definedName name="BO48BA0641F25C4A4EBA4CE98EB9FB034D" localSheetId="8" hidden="1">#REF!</definedName>
    <definedName name="BO48BA0641F25C4A4EBA4CE98EB9FB034D" localSheetId="7" hidden="1">#REF!</definedName>
    <definedName name="BO48BA0641F25C4A4EBA4CE98EB9FB034D" localSheetId="6" hidden="1">#REF!</definedName>
    <definedName name="BO48BA0641F25C4A4EBA4CE98EB9FB034D" localSheetId="5" hidden="1">#REF!</definedName>
    <definedName name="BO48BA0641F25C4A4EBA4CE98EB9FB034D" hidden="1">#REF!</definedName>
    <definedName name="BO48DA1ED9B4B741029962E2E5A17FDB91" hidden="1">#REF!</definedName>
    <definedName name="BO4909EA03BD344794A08A65C5B621ED61" localSheetId="8" hidden="1">#REF!</definedName>
    <definedName name="BO4909EA03BD344794A08A65C5B621ED61" localSheetId="7" hidden="1">#REF!</definedName>
    <definedName name="BO4909EA03BD344794A08A65C5B621ED61" localSheetId="6" hidden="1">#REF!</definedName>
    <definedName name="BO4909EA03BD344794A08A65C5B621ED61" localSheetId="5" hidden="1">#REF!</definedName>
    <definedName name="BO4909EA03BD344794A08A65C5B621ED61" hidden="1">#REF!</definedName>
    <definedName name="BO49211955CB564A839232DE3B9D65BE81" hidden="1">#REF!</definedName>
    <definedName name="BO49466F4CA1444E4EBE0E9E0C06657747" hidden="1">#REF!</definedName>
    <definedName name="BO4969C1EC493B4147BE380352AEB7AE3F" hidden="1">#REF!</definedName>
    <definedName name="BO49D78C3D570B454EA37E62EED99E53B7" hidden="1">#REF!</definedName>
    <definedName name="BO49F17D28B1284E1B9C7EF542A2658BF4" localSheetId="8" hidden="1">#REF!</definedName>
    <definedName name="BO49F17D28B1284E1B9C7EF542A2658BF4" localSheetId="7" hidden="1">#REF!</definedName>
    <definedName name="BO49F17D28B1284E1B9C7EF542A2658BF4" localSheetId="6" hidden="1">#REF!</definedName>
    <definedName name="BO49F17D28B1284E1B9C7EF542A2658BF4" localSheetId="5" hidden="1">#REF!</definedName>
    <definedName name="BO49F17D28B1284E1B9C7EF542A2658BF4" hidden="1">#REF!</definedName>
    <definedName name="BO4A01148F6D6D4CDF9AFCE5F8A766F44A" hidden="1">#REF!</definedName>
    <definedName name="BO4A09F6F3686B496288C6D8454F3D72EF" hidden="1">#REF!</definedName>
    <definedName name="BO4A123EA42EA54EFD996C8A3644139945" hidden="1">#REF!</definedName>
    <definedName name="BO4AD2591F29C342FCAE7625472F7F2ADF" hidden="1">#REF!</definedName>
    <definedName name="BO4ADE12C79C2C43DEBB094198A2C5E440" hidden="1">#REF!</definedName>
    <definedName name="BO4B0C914DB3644873B0D4D00591559A6D" hidden="1">#REF!</definedName>
    <definedName name="BO4B2505F0AD734B3780C218DA69526D25" hidden="1">#REF!</definedName>
    <definedName name="BO4B464D32562B41D6B0997D71ED6E34DC" hidden="1">#REF!</definedName>
    <definedName name="BO4B74E9826B7A4D1C990A6DDDB1D904FC" hidden="1">#REF!</definedName>
    <definedName name="BO4B7B21E19FA84AADAA09E72978FB3686" hidden="1">#REF!</definedName>
    <definedName name="BO4BAD09CD03434605A5B2BA86613242CE" hidden="1">#REF!</definedName>
    <definedName name="BO4BB5DF5D36D745C5B323052BA2337BB8" localSheetId="8" hidden="1">#REF!</definedName>
    <definedName name="BO4BB5DF5D36D745C5B323052BA2337BB8" localSheetId="7" hidden="1">#REF!</definedName>
    <definedName name="BO4BB5DF5D36D745C5B323052BA2337BB8" localSheetId="6" hidden="1">#REF!</definedName>
    <definedName name="BO4BB5DF5D36D745C5B323052BA2337BB8" localSheetId="5" hidden="1">#REF!</definedName>
    <definedName name="BO4BB5DF5D36D745C5B323052BA2337BB8" hidden="1">#REF!</definedName>
    <definedName name="BO4BF06D4942724C4D86B500AEA3E5FEAB" localSheetId="8" hidden="1">#REF!</definedName>
    <definedName name="BO4BF06D4942724C4D86B500AEA3E5FEAB" localSheetId="7" hidden="1">#REF!</definedName>
    <definedName name="BO4BF06D4942724C4D86B500AEA3E5FEAB" localSheetId="6" hidden="1">#REF!</definedName>
    <definedName name="BO4BF06D4942724C4D86B500AEA3E5FEAB" localSheetId="5" hidden="1">#REF!</definedName>
    <definedName name="BO4BF06D4942724C4D86B500AEA3E5FEAB" hidden="1">#REF!</definedName>
    <definedName name="BO4BF8BDC57DC043DF9388A897B8D48514" hidden="1">#REF!</definedName>
    <definedName name="BO4C0C68D3EF514EB88E9FAD97E32289AC" hidden="1">#REF!</definedName>
    <definedName name="BO4C1EBE54AA614489BBB5EF0756629C41" localSheetId="8" hidden="1">#REF!</definedName>
    <definedName name="BO4C1EBE54AA614489BBB5EF0756629C41" localSheetId="7" hidden="1">#REF!</definedName>
    <definedName name="BO4C1EBE54AA614489BBB5EF0756629C41" localSheetId="6" hidden="1">#REF!</definedName>
    <definedName name="BO4C1EBE54AA614489BBB5EF0756629C41" localSheetId="5" hidden="1">#REF!</definedName>
    <definedName name="BO4C1EBE54AA614489BBB5EF0756629C41" hidden="1">#REF!</definedName>
    <definedName name="BO4C72F94B954D444686EA101E382AA832" hidden="1">#REF!</definedName>
    <definedName name="BO4CBA2630670A40BE8C854B09768243B3" hidden="1">#REF!</definedName>
    <definedName name="BO4D25E0841AB84B6BB563B2FBF612F155" hidden="1">#REF!</definedName>
    <definedName name="BO4D2BE4E187EC4B8C9C0FDB290E042543" localSheetId="8" hidden="1">#REF!</definedName>
    <definedName name="BO4D2BE4E187EC4B8C9C0FDB290E042543" localSheetId="7" hidden="1">#REF!</definedName>
    <definedName name="BO4D2BE4E187EC4B8C9C0FDB290E042543" localSheetId="6" hidden="1">#REF!</definedName>
    <definedName name="BO4D2BE4E187EC4B8C9C0FDB290E042543" localSheetId="5" hidden="1">#REF!</definedName>
    <definedName name="BO4D2BE4E187EC4B8C9C0FDB290E042543" hidden="1">#REF!</definedName>
    <definedName name="BO4D3619B1660F4DA2A9C851D207FE9776" hidden="1">#REF!</definedName>
    <definedName name="BO4D8FD5A302344858AF061CE520DAD3C3" hidden="1">#REF!</definedName>
    <definedName name="BO4DF94548288940F4AC76876C33EC8290" hidden="1">#REF!</definedName>
    <definedName name="BO4E1B9EC5ECFE492591C4BCD85C4CF117" hidden="1">#REF!</definedName>
    <definedName name="BO4E2D851F64A94BE3AB805267DD69DC8D" hidden="1">#REF!</definedName>
    <definedName name="BO4E6958082F4B4520A5090C1B292BCD53" localSheetId="8" hidden="1">#REF!</definedName>
    <definedName name="BO4E6958082F4B4520A5090C1B292BCD53" localSheetId="7" hidden="1">#REF!</definedName>
    <definedName name="BO4E6958082F4B4520A5090C1B292BCD53" localSheetId="6" hidden="1">#REF!</definedName>
    <definedName name="BO4E6958082F4B4520A5090C1B292BCD53" localSheetId="5" hidden="1">#REF!</definedName>
    <definedName name="BO4E6958082F4B4520A5090C1B292BCD53" hidden="1">#REF!</definedName>
    <definedName name="BO4EA6C89645EB444BBE1313FB94A77A69" hidden="1">#REF!</definedName>
    <definedName name="BO4EBBD9EEB6C44300A962226877409C71" hidden="1">#REF!</definedName>
    <definedName name="BO4FC983B12CF544B5BBA569B4112A96B5" hidden="1">#REF!</definedName>
    <definedName name="BO505406F56E0948F6B59240659B4C4F25" hidden="1">#REF!</definedName>
    <definedName name="BO511CFB5F37B1400F80565F2300996E55" hidden="1">#REF!</definedName>
    <definedName name="BO51314ABDD2934E0FAEAB44B3500AE192" hidden="1">#REF!</definedName>
    <definedName name="BO518C413673704B99BBC886953373AE65" hidden="1">#REF!</definedName>
    <definedName name="BO51C5840EB8FE49C7A3FC96FBA8A499BB" localSheetId="8" hidden="1">#REF!</definedName>
    <definedName name="BO51C5840EB8FE49C7A3FC96FBA8A499BB" localSheetId="7" hidden="1">#REF!</definedName>
    <definedName name="BO51C5840EB8FE49C7A3FC96FBA8A499BB" localSheetId="6" hidden="1">#REF!</definedName>
    <definedName name="BO51C5840EB8FE49C7A3FC96FBA8A499BB" localSheetId="5" hidden="1">#REF!</definedName>
    <definedName name="BO51C5840EB8FE49C7A3FC96FBA8A499BB" hidden="1">#REF!</definedName>
    <definedName name="BO5269F103D2984D3EA9AC24FC05B59048" hidden="1">#REF!</definedName>
    <definedName name="BO52835DB961614C9ABEEAAE6090B3AC86" localSheetId="8" hidden="1">#REF!</definedName>
    <definedName name="BO52835DB961614C9ABEEAAE6090B3AC86" localSheetId="7" hidden="1">#REF!</definedName>
    <definedName name="BO52835DB961614C9ABEEAAE6090B3AC86" localSheetId="6" hidden="1">#REF!</definedName>
    <definedName name="BO52835DB961614C9ABEEAAE6090B3AC86" localSheetId="5" hidden="1">#REF!</definedName>
    <definedName name="BO52835DB961614C9ABEEAAE6090B3AC86" hidden="1">#REF!</definedName>
    <definedName name="BO52A21398B87C4295A9A3AD4FB46773E8" hidden="1">#REF!</definedName>
    <definedName name="BO52D54A5E2F874FD08AC0602C78C80E81" localSheetId="8" hidden="1">#REF!</definedName>
    <definedName name="BO52D54A5E2F874FD08AC0602C78C80E81" localSheetId="7" hidden="1">#REF!</definedName>
    <definedName name="BO52D54A5E2F874FD08AC0602C78C80E81" localSheetId="6" hidden="1">#REF!</definedName>
    <definedName name="BO52D54A5E2F874FD08AC0602C78C80E81" localSheetId="5" hidden="1">#REF!</definedName>
    <definedName name="BO52D54A5E2F874FD08AC0602C78C80E81" hidden="1">#REF!</definedName>
    <definedName name="BO52E55CDC67794C4D853BD62DA756D5B1" hidden="1">#REF!</definedName>
    <definedName name="BO52E6F65A7FB145419D8C00B2BBA9A3DB" localSheetId="8" hidden="1">#REF!</definedName>
    <definedName name="BO52E6F65A7FB145419D8C00B2BBA9A3DB" localSheetId="7" hidden="1">#REF!</definedName>
    <definedName name="BO52E6F65A7FB145419D8C00B2BBA9A3DB" localSheetId="6" hidden="1">#REF!</definedName>
    <definedName name="BO52E6F65A7FB145419D8C00B2BBA9A3DB" localSheetId="5" hidden="1">#REF!</definedName>
    <definedName name="BO52E6F65A7FB145419D8C00B2BBA9A3DB" hidden="1">#REF!</definedName>
    <definedName name="BO530A857A5E0C4949B2D75750E7A7C077" hidden="1">#REF!</definedName>
    <definedName name="BO534A028631774A0DBF0EF1B3B1AAB999" hidden="1">#REF!</definedName>
    <definedName name="BO53908C6F846547458D606FFCB4DDE600" hidden="1">#REF!</definedName>
    <definedName name="BO53A7F4C666824256B7D06CFE7B6B5C6F" localSheetId="8" hidden="1">#REF!</definedName>
    <definedName name="BO53A7F4C666824256B7D06CFE7B6B5C6F" localSheetId="7" hidden="1">#REF!</definedName>
    <definedName name="BO53A7F4C666824256B7D06CFE7B6B5C6F" localSheetId="6" hidden="1">#REF!</definedName>
    <definedName name="BO53A7F4C666824256B7D06CFE7B6B5C6F" localSheetId="5" hidden="1">#REF!</definedName>
    <definedName name="BO53A7F4C666824256B7D06CFE7B6B5C6F" hidden="1">#REF!</definedName>
    <definedName name="BO53D299A21EBF41A7BD118711C1523109" hidden="1">#REF!</definedName>
    <definedName name="BO545DBC8C32154193AA36666A77F3DA67" hidden="1">#REF!</definedName>
    <definedName name="BO54BE1C6015484093985265CA7A611C96" hidden="1">#REF!</definedName>
    <definedName name="BO54C945B8AB864FC3A4C7E2E079DDE821" hidden="1">#REF!</definedName>
    <definedName name="BO5507A883EDCB4B27B188108109854821" hidden="1">#REF!</definedName>
    <definedName name="BO551119FDF2F04A64847A60E8988EE8C2" hidden="1">#REF!</definedName>
    <definedName name="BO553CFE006BD442EC9E4413ACB064CE13" hidden="1">#REF!</definedName>
    <definedName name="BO556F0C0BF8B64A99A0750DB77E3634CF" hidden="1">#REF!</definedName>
    <definedName name="BO56692C8DC0384D6C9645B770474AC308" hidden="1">#REF!</definedName>
    <definedName name="BO56BDDA2EDF694162ADD2087FD75830D4" localSheetId="8" hidden="1">#REF!</definedName>
    <definedName name="BO56BDDA2EDF694162ADD2087FD75830D4" localSheetId="7" hidden="1">#REF!</definedName>
    <definedName name="BO56BDDA2EDF694162ADD2087FD75830D4" localSheetId="6" hidden="1">#REF!</definedName>
    <definedName name="BO56BDDA2EDF694162ADD2087FD75830D4" localSheetId="5" hidden="1">#REF!</definedName>
    <definedName name="BO56BDDA2EDF694162ADD2087FD75830D4" hidden="1">#REF!</definedName>
    <definedName name="BO56E403527D7240E5A5E95E0BD94143E3" hidden="1">#REF!</definedName>
    <definedName name="BO5753B9517BB84CFD8A4994F4428BE0B7" hidden="1">#REF!</definedName>
    <definedName name="BO5770BFBA7D034AE0AA2219B3228FC7D8" hidden="1">#REF!</definedName>
    <definedName name="BO57B8430F0AB74732B804BFA98162EEF1" hidden="1">#REF!</definedName>
    <definedName name="BO57E9971751D540AFA7D5D542D413BBE8" hidden="1">#REF!</definedName>
    <definedName name="BO57FBD31B08C84DCDAA4C649BB7303C41" localSheetId="8" hidden="1">#REF!</definedName>
    <definedName name="BO57FBD31B08C84DCDAA4C649BB7303C41" localSheetId="7" hidden="1">#REF!</definedName>
    <definedName name="BO57FBD31B08C84DCDAA4C649BB7303C41" localSheetId="6" hidden="1">#REF!</definedName>
    <definedName name="BO57FBD31B08C84DCDAA4C649BB7303C41" localSheetId="5" hidden="1">#REF!</definedName>
    <definedName name="BO57FBD31B08C84DCDAA4C649BB7303C41" hidden="1">#REF!</definedName>
    <definedName name="BO586BD161F8C6462F92981B48B7BCDB54" hidden="1">#REF!</definedName>
    <definedName name="BO586BE7D32A8A44B7A78068F1BA4E3D59" localSheetId="8" hidden="1">#REF!</definedName>
    <definedName name="BO586BE7D32A8A44B7A78068F1BA4E3D59" localSheetId="7" hidden="1">#REF!</definedName>
    <definedName name="BO586BE7D32A8A44B7A78068F1BA4E3D59" localSheetId="6" hidden="1">#REF!</definedName>
    <definedName name="BO586BE7D32A8A44B7A78068F1BA4E3D59" localSheetId="5" hidden="1">#REF!</definedName>
    <definedName name="BO586BE7D32A8A44B7A78068F1BA4E3D59" hidden="1">#REF!</definedName>
    <definedName name="BO588BA2FFB9DC4F03923D5D25610BB24D" hidden="1">#REF!</definedName>
    <definedName name="BO589ACEC3626A4AABA91CCC70EBCF3097" hidden="1">#REF!</definedName>
    <definedName name="BO58B56EB5BAB24B488C3D98BCC61AE898" hidden="1">#REF!</definedName>
    <definedName name="BO591B842A75024803AE2D26F3AC9C5B4B" hidden="1">#REF!</definedName>
    <definedName name="BO5977CF3B3A6147DFA3C54CD342A30BF8" hidden="1">#REF!</definedName>
    <definedName name="BO59CB5DA7A7724D869C9CA721F8E5AFB1" hidden="1">#REF!</definedName>
    <definedName name="BO5A6FAE9AC61A4646B1D7A02CFBC01508" hidden="1">#REF!</definedName>
    <definedName name="BO5AE5E3E98C964949B19C989F28A47E2A" hidden="1">#REF!</definedName>
    <definedName name="BO5AEEA7283E57471E8D9823AA9856185D" hidden="1">#REF!</definedName>
    <definedName name="BO5B1871B5D728466FA18D066616C14F38" hidden="1">#REF!</definedName>
    <definedName name="BO5B1C23C9EB2C43E6B619F92898930A61" hidden="1">#REF!</definedName>
    <definedName name="BO5B2E1464BDFE44B3BAAC51A136D33DA0" localSheetId="8" hidden="1">#REF!</definedName>
    <definedName name="BO5B2E1464BDFE44B3BAAC51A136D33DA0" localSheetId="7" hidden="1">#REF!</definedName>
    <definedName name="BO5B2E1464BDFE44B3BAAC51A136D33DA0" localSheetId="6" hidden="1">#REF!</definedName>
    <definedName name="BO5B2E1464BDFE44B3BAAC51A136D33DA0" localSheetId="5" hidden="1">#REF!</definedName>
    <definedName name="BO5B2E1464BDFE44B3BAAC51A136D33DA0" hidden="1">#REF!</definedName>
    <definedName name="BO5B47286DA087416C855199754EBA420C" hidden="1">#REF!</definedName>
    <definedName name="BO5B889CA7C5EA44DE956443A493B8B332" hidden="1">#REF!</definedName>
    <definedName name="BO5B8ABBB2CD714CEB91AE052D2FDFA163" hidden="1">#REF!</definedName>
    <definedName name="BO5C3D9960F868438EA45266EEFEE0B877" hidden="1">#REF!</definedName>
    <definedName name="BO5C4126C3570E4DDF8803A31C131EE8C8" hidden="1">#REF!</definedName>
    <definedName name="BO5CB4B8FDD350406EA4FE1130B2FF5023" hidden="1">#REF!</definedName>
    <definedName name="BO5CD5CF6720B1450FB32E2877A518B49E" localSheetId="8" hidden="1">#REF!</definedName>
    <definedName name="BO5CD5CF6720B1450FB32E2877A518B49E" localSheetId="7" hidden="1">#REF!</definedName>
    <definedName name="BO5CD5CF6720B1450FB32E2877A518B49E" localSheetId="6" hidden="1">#REF!</definedName>
    <definedName name="BO5CD5CF6720B1450FB32E2877A518B49E" localSheetId="5" hidden="1">#REF!</definedName>
    <definedName name="BO5CD5CF6720B1450FB32E2877A518B49E" hidden="1">#REF!</definedName>
    <definedName name="BO5CDC6A31E6164848BBED937E88D4C3A2" localSheetId="8" hidden="1">#REF!</definedName>
    <definedName name="BO5CDC6A31E6164848BBED937E88D4C3A2" localSheetId="7" hidden="1">#REF!</definedName>
    <definedName name="BO5CDC6A31E6164848BBED937E88D4C3A2" localSheetId="6" hidden="1">#REF!</definedName>
    <definedName name="BO5CDC6A31E6164848BBED937E88D4C3A2" localSheetId="5" hidden="1">#REF!</definedName>
    <definedName name="BO5CDC6A31E6164848BBED937E88D4C3A2" hidden="1">#REF!</definedName>
    <definedName name="BO5CECAE649E17418EB42868C76914B3A4" hidden="1">#REF!</definedName>
    <definedName name="BO5CF43D198B0F4DAAA11F75DC5B05574B" hidden="1">#REF!</definedName>
    <definedName name="BO5D17B9562F5E4A98A74F27522B5E5B98" hidden="1">#REF!</definedName>
    <definedName name="BO5D42D8A6D72347F8B3123C07CD80599D" hidden="1">#REF!</definedName>
    <definedName name="BO5DCEB4CC306E47DEB794358F68B8269A" hidden="1">#REF!</definedName>
    <definedName name="BO5E598C12AB754C8098B68C12A21EFD2C" hidden="1">#REF!</definedName>
    <definedName name="BO5E5F1D057E044B7B8474D1224C70393B" localSheetId="8" hidden="1">#REF!</definedName>
    <definedName name="BO5E5F1D057E044B7B8474D1224C70393B" localSheetId="7" hidden="1">#REF!</definedName>
    <definedName name="BO5E5F1D057E044B7B8474D1224C70393B" localSheetId="6" hidden="1">#REF!</definedName>
    <definedName name="BO5E5F1D057E044B7B8474D1224C70393B" localSheetId="5" hidden="1">#REF!</definedName>
    <definedName name="BO5E5F1D057E044B7B8474D1224C70393B" hidden="1">#REF!</definedName>
    <definedName name="BO5E6A5E831A7A4720A5DB8D58577996D1" hidden="1">#REF!</definedName>
    <definedName name="BO5E8F0480170349F3922EB0A2B9478BBF" hidden="1">#REF!</definedName>
    <definedName name="BO5E9D3D8193E142CE83573485BBF60BBA" hidden="1">#REF!</definedName>
    <definedName name="BO5EBC2C33E66C4DCAB1BEB9CF28A13E3F" hidden="1">#REF!</definedName>
    <definedName name="BO5EBCB177E2B5457281D7B78748C2A2AF" hidden="1">#REF!</definedName>
    <definedName name="BO5EC9012AE2BC4A08B34FA4A8901617B5" localSheetId="8" hidden="1">#REF!</definedName>
    <definedName name="BO5EC9012AE2BC4A08B34FA4A8901617B5" localSheetId="7" hidden="1">#REF!</definedName>
    <definedName name="BO5EC9012AE2BC4A08B34FA4A8901617B5" localSheetId="6" hidden="1">#REF!</definedName>
    <definedName name="BO5EC9012AE2BC4A08B34FA4A8901617B5" localSheetId="5" hidden="1">#REF!</definedName>
    <definedName name="BO5EC9012AE2BC4A08B34FA4A8901617B5" hidden="1">#REF!</definedName>
    <definedName name="BO5ECF067136FD4C1BB3F4909B2BE0C0BC" hidden="1">#REF!</definedName>
    <definedName name="BO5F0763C3DA074DCCA4011CEEE529DD64" hidden="1">#REF!</definedName>
    <definedName name="BO5FB06E82B52D433682ACC04B1B13FC74" hidden="1">#REF!</definedName>
    <definedName name="BO5FFD05AAB9504C46AA234C8721AE2C9F" hidden="1">#REF!</definedName>
    <definedName name="BO6009B50887F64BA0A570C9AF7A7CE3A6" hidden="1">#REF!</definedName>
    <definedName name="BO602A26F39B0447A58E34EBB8A735002E" hidden="1">#REF!</definedName>
    <definedName name="BO603F66E90341470F89D6DCBA2A5833A9" hidden="1">#REF!</definedName>
    <definedName name="BO6050F53BD4D94D1399192681F8DFC478" hidden="1">#REF!</definedName>
    <definedName name="BO6083C6865CB8440DA4267F4FBF221E74" hidden="1">#REF!</definedName>
    <definedName name="BO612128E034F441DA96A645CBDD4FE315" hidden="1">#REF!</definedName>
    <definedName name="BO61244CAA77D04826A8822488DD4E45BB" localSheetId="8" hidden="1">#REF!</definedName>
    <definedName name="BO61244CAA77D04826A8822488DD4E45BB" localSheetId="7" hidden="1">#REF!</definedName>
    <definedName name="BO61244CAA77D04826A8822488DD4E45BB" localSheetId="6" hidden="1">#REF!</definedName>
    <definedName name="BO61244CAA77D04826A8822488DD4E45BB" localSheetId="5" hidden="1">#REF!</definedName>
    <definedName name="BO61244CAA77D04826A8822488DD4E45BB" hidden="1">#REF!</definedName>
    <definedName name="BO612DD87FD8784725AE340FA28D025920" hidden="1">#REF!</definedName>
    <definedName name="BO6197113BDF364DF38FB209FDDDAF7D24" localSheetId="8" hidden="1">#REF!</definedName>
    <definedName name="BO6197113BDF364DF38FB209FDDDAF7D24" localSheetId="7" hidden="1">#REF!</definedName>
    <definedName name="BO6197113BDF364DF38FB209FDDDAF7D24" localSheetId="6" hidden="1">#REF!</definedName>
    <definedName name="BO6197113BDF364DF38FB209FDDDAF7D24" localSheetId="5" hidden="1">#REF!</definedName>
    <definedName name="BO6197113BDF364DF38FB209FDDDAF7D24" hidden="1">#REF!</definedName>
    <definedName name="BO61C5AC12E941412A94BC167938B3C29A" hidden="1">#REF!</definedName>
    <definedName name="BO61CB4F5976A24EFB9DB6BE0CC6A9C675" localSheetId="8" hidden="1">#REF!</definedName>
    <definedName name="BO61CB4F5976A24EFB9DB6BE0CC6A9C675" localSheetId="7" hidden="1">#REF!</definedName>
    <definedName name="BO61CB4F5976A24EFB9DB6BE0CC6A9C675" localSheetId="6" hidden="1">#REF!</definedName>
    <definedName name="BO61CB4F5976A24EFB9DB6BE0CC6A9C675" localSheetId="5" hidden="1">#REF!</definedName>
    <definedName name="BO61CB4F5976A24EFB9DB6BE0CC6A9C675" hidden="1">#REF!</definedName>
    <definedName name="BO61F4D9E1F240423DB14ED5BB254BD077" hidden="1">#REF!</definedName>
    <definedName name="BO6265191D4DFD4BC9BE1C764E3ABC7E44" hidden="1">#REF!</definedName>
    <definedName name="BO62976766B9214AD186EF4211860B8E4B" localSheetId="8" hidden="1">#REF!</definedName>
    <definedName name="BO62976766B9214AD186EF4211860B8E4B" localSheetId="7" hidden="1">#REF!</definedName>
    <definedName name="BO62976766B9214AD186EF4211860B8E4B" localSheetId="6" hidden="1">#REF!</definedName>
    <definedName name="BO62976766B9214AD186EF4211860B8E4B" localSheetId="5" hidden="1">#REF!</definedName>
    <definedName name="BO62976766B9214AD186EF4211860B8E4B" hidden="1">#REF!</definedName>
    <definedName name="BO62AEBDA6FCD74417B947B5C994B2AB19" hidden="1">#REF!</definedName>
    <definedName name="BO62C7EBD95F604344A5E1A702D086909D" hidden="1">#REF!</definedName>
    <definedName name="BO64E309E60B89437EB979CDE920D07F6C" hidden="1">#REF!</definedName>
    <definedName name="BO6500970AA9824F3099E9AE99E16515DF" hidden="1">#REF!</definedName>
    <definedName name="BO6514DEB850764016965A24F214D87670" hidden="1">#REF!</definedName>
    <definedName name="BO65A9E3CB77FB484D8287CFC13A4FBE20" hidden="1">#REF!</definedName>
    <definedName name="BO65B9FDA3676E4657B471C35D1208D17B" hidden="1">#REF!</definedName>
    <definedName name="BO65C93C3D945F4BB48AF7251DA34C7FA7" localSheetId="8" hidden="1">#REF!</definedName>
    <definedName name="BO65C93C3D945F4BB48AF7251DA34C7FA7" localSheetId="7" hidden="1">#REF!</definedName>
    <definedName name="BO65C93C3D945F4BB48AF7251DA34C7FA7" localSheetId="6" hidden="1">#REF!</definedName>
    <definedName name="BO65C93C3D945F4BB48AF7251DA34C7FA7" localSheetId="5" hidden="1">#REF!</definedName>
    <definedName name="BO65C93C3D945F4BB48AF7251DA34C7FA7" hidden="1">#REF!</definedName>
    <definedName name="BO660BA03FD5024AFC87DD4C964C1B9731" hidden="1">#REF!</definedName>
    <definedName name="BO660DB8CFF0A042E5A404EFFD88A73BC4" hidden="1">#REF!</definedName>
    <definedName name="BO66AAD497FA384FD5AB09C9A4D3CE66C3" localSheetId="8" hidden="1">#REF!</definedName>
    <definedName name="BO66AAD497FA384FD5AB09C9A4D3CE66C3" localSheetId="7" hidden="1">#REF!</definedName>
    <definedName name="BO66AAD497FA384FD5AB09C9A4D3CE66C3" localSheetId="6" hidden="1">#REF!</definedName>
    <definedName name="BO66AAD497FA384FD5AB09C9A4D3CE66C3" localSheetId="5" hidden="1">#REF!</definedName>
    <definedName name="BO66AAD497FA384FD5AB09C9A4D3CE66C3" hidden="1">#REF!</definedName>
    <definedName name="BO66B7D208DCDC4BBAA4487C85D6F44826" localSheetId="8" hidden="1">#REF!</definedName>
    <definedName name="BO66B7D208DCDC4BBAA4487C85D6F44826" localSheetId="7" hidden="1">#REF!</definedName>
    <definedName name="BO66B7D208DCDC4BBAA4487C85D6F44826" localSheetId="6" hidden="1">#REF!</definedName>
    <definedName name="BO66B7D208DCDC4BBAA4487C85D6F44826" localSheetId="5" hidden="1">#REF!</definedName>
    <definedName name="BO66B7D208DCDC4BBAA4487C85D6F44826" hidden="1">#REF!</definedName>
    <definedName name="BO67270B75273F4E14B06771D50B4F7F13" localSheetId="8" hidden="1">#REF!</definedName>
    <definedName name="BO67270B75273F4E14B06771D50B4F7F13" localSheetId="7" hidden="1">#REF!</definedName>
    <definedName name="BO67270B75273F4E14B06771D50B4F7F13" localSheetId="6" hidden="1">#REF!</definedName>
    <definedName name="BO67270B75273F4E14B06771D50B4F7F13" localSheetId="5" hidden="1">#REF!</definedName>
    <definedName name="BO67270B75273F4E14B06771D50B4F7F13" hidden="1">#REF!</definedName>
    <definedName name="BO6748B316F6044B85B3839F90AD9DCAB3" hidden="1">#REF!</definedName>
    <definedName name="BO6751DB7262404C77A74171204E37AE3D" hidden="1">#REF!</definedName>
    <definedName name="BO678F98F0DF7F4D9E980A6D6C377381F2" hidden="1">#REF!</definedName>
    <definedName name="BO67D3162A797E4A54B9E9394D63654D9B" localSheetId="8" hidden="1">#REF!</definedName>
    <definedName name="BO67D3162A797E4A54B9E9394D63654D9B" localSheetId="7" hidden="1">#REF!</definedName>
    <definedName name="BO67D3162A797E4A54B9E9394D63654D9B" localSheetId="6" hidden="1">#REF!</definedName>
    <definedName name="BO67D3162A797E4A54B9E9394D63654D9B" localSheetId="5" hidden="1">#REF!</definedName>
    <definedName name="BO67D3162A797E4A54B9E9394D63654D9B" hidden="1">#REF!</definedName>
    <definedName name="BO67D47701132C489D939FE88ACBE325C0" hidden="1">#REF!</definedName>
    <definedName name="BO686686CE32D34A679E7824A95B4994A9" localSheetId="8" hidden="1">#REF!</definedName>
    <definedName name="BO686686CE32D34A679E7824A95B4994A9" localSheetId="7" hidden="1">#REF!</definedName>
    <definedName name="BO686686CE32D34A679E7824A95B4994A9" localSheetId="6" hidden="1">#REF!</definedName>
    <definedName name="BO686686CE32D34A679E7824A95B4994A9" localSheetId="5" hidden="1">#REF!</definedName>
    <definedName name="BO686686CE32D34A679E7824A95B4994A9" hidden="1">#REF!</definedName>
    <definedName name="BO686AF4875D0245D9A76B8DAA3AFB8E53" hidden="1">#REF!</definedName>
    <definedName name="BO688C05358F554C58BD5DA032FCF94D56" hidden="1">#REF!</definedName>
    <definedName name="BO68DAD8EE7FEF4A2C9CA6DA29D56FA8A8" hidden="1">#REF!</definedName>
    <definedName name="BO691B758E47954396863AE436E8663449" hidden="1">#REF!</definedName>
    <definedName name="BO691DFD5C09E5452E81FA58A6C9209C5D" hidden="1">#REF!</definedName>
    <definedName name="BO694AE4287EB547168252C82C2972004D" hidden="1">#REF!</definedName>
    <definedName name="BO6985F867DC45460F8758A775095264F0" hidden="1">#REF!</definedName>
    <definedName name="BO69C302FBA9604CBFA6A2D2F0D1A16AC4" hidden="1">#REF!</definedName>
    <definedName name="BO69D15E503C7F4093A8E689AB8693C8AB" hidden="1">#REF!</definedName>
    <definedName name="BO6A53165559464C96B37F516D455B5617" hidden="1">#REF!</definedName>
    <definedName name="BO6A7597EF9B0A4596970E0F4D641AE338" localSheetId="8" hidden="1">#REF!</definedName>
    <definedName name="BO6A7597EF9B0A4596970E0F4D641AE338" localSheetId="7" hidden="1">#REF!</definedName>
    <definedName name="BO6A7597EF9B0A4596970E0F4D641AE338" localSheetId="6" hidden="1">#REF!</definedName>
    <definedName name="BO6A7597EF9B0A4596970E0F4D641AE338" localSheetId="5" hidden="1">#REF!</definedName>
    <definedName name="BO6A7597EF9B0A4596970E0F4D641AE338" hidden="1">#REF!</definedName>
    <definedName name="BO6ACEF091BA0240158BFCB0BCC905AE9B" localSheetId="8" hidden="1">#REF!</definedName>
    <definedName name="BO6ACEF091BA0240158BFCB0BCC905AE9B" localSheetId="7" hidden="1">#REF!</definedName>
    <definedName name="BO6ACEF091BA0240158BFCB0BCC905AE9B" localSheetId="6" hidden="1">#REF!</definedName>
    <definedName name="BO6ACEF091BA0240158BFCB0BCC905AE9B" localSheetId="5" hidden="1">#REF!</definedName>
    <definedName name="BO6ACEF091BA0240158BFCB0BCC905AE9B" hidden="1">#REF!</definedName>
    <definedName name="BO6AE8FDF07BB844F49FD7C70DDE86A5E1" hidden="1">#REF!</definedName>
    <definedName name="BO6B13F3BB389842CFAD8A4CF916D37C3D" localSheetId="8" hidden="1">#REF!</definedName>
    <definedName name="BO6B13F3BB389842CFAD8A4CF916D37C3D" localSheetId="7" hidden="1">#REF!</definedName>
    <definedName name="BO6B13F3BB389842CFAD8A4CF916D37C3D" localSheetId="6" hidden="1">#REF!</definedName>
    <definedName name="BO6B13F3BB389842CFAD8A4CF916D37C3D" localSheetId="5" hidden="1">#REF!</definedName>
    <definedName name="BO6B13F3BB389842CFAD8A4CF916D37C3D" hidden="1">#REF!</definedName>
    <definedName name="BO6B1774D3249F4771A55BE03F074BA8A0" localSheetId="8" hidden="1">#REF!</definedName>
    <definedName name="BO6B1774D3249F4771A55BE03F074BA8A0" localSheetId="7" hidden="1">#REF!</definedName>
    <definedName name="BO6B1774D3249F4771A55BE03F074BA8A0" localSheetId="6" hidden="1">#REF!</definedName>
    <definedName name="BO6B1774D3249F4771A55BE03F074BA8A0" localSheetId="5" hidden="1">#REF!</definedName>
    <definedName name="BO6B1774D3249F4771A55BE03F074BA8A0" hidden="1">#REF!</definedName>
    <definedName name="BO6BEF9C64217D432384095E115AFACBAB" localSheetId="8" hidden="1">#REF!</definedName>
    <definedName name="BO6BEF9C64217D432384095E115AFACBAB" localSheetId="7" hidden="1">#REF!</definedName>
    <definedName name="BO6BEF9C64217D432384095E115AFACBAB" localSheetId="6" hidden="1">#REF!</definedName>
    <definedName name="BO6BEF9C64217D432384095E115AFACBAB" localSheetId="5" hidden="1">#REF!</definedName>
    <definedName name="BO6BEF9C64217D432384095E115AFACBAB" hidden="1">#REF!</definedName>
    <definedName name="BO6C4A1E1588CF4131A08CF4349AECA104" hidden="1">#REF!</definedName>
    <definedName name="BO6C55CC55C1844234900E2B49745874DD" hidden="1">#REF!</definedName>
    <definedName name="BO6C569725DB0844E488DE14AB13D30B21" hidden="1">#REF!</definedName>
    <definedName name="BO6C82B69E97BF4F8599E96CE210165FDE" hidden="1">#REF!</definedName>
    <definedName name="BO6CE8BFB054474D1898B859ACAC3A441D" hidden="1">#REF!</definedName>
    <definedName name="BO6CF207328D3E48A29CEA87076B967762" hidden="1">#REF!</definedName>
    <definedName name="BO6D1D165872E44D2A8AAF849FB06AC6A8" hidden="1">#REF!</definedName>
    <definedName name="BO6D4254359C844430B3E9894E11409C62" hidden="1">#REF!</definedName>
    <definedName name="BO6D446D71B5554B53BF061A4AF12A1EA4" hidden="1">#REF!</definedName>
    <definedName name="BO6D6FB60E0D754BD0B032525535375AB8" hidden="1">#REF!</definedName>
    <definedName name="BO6D711C70D5E14ABEBC44A4EE4E2498BE" localSheetId="8" hidden="1">#REF!</definedName>
    <definedName name="BO6D711C70D5E14ABEBC44A4EE4E2498BE" localSheetId="7" hidden="1">#REF!</definedName>
    <definedName name="BO6D711C70D5E14ABEBC44A4EE4E2498BE" localSheetId="6" hidden="1">#REF!</definedName>
    <definedName name="BO6D711C70D5E14ABEBC44A4EE4E2498BE" localSheetId="5" hidden="1">#REF!</definedName>
    <definedName name="BO6D711C70D5E14ABEBC44A4EE4E2498BE" hidden="1">#REF!</definedName>
    <definedName name="BO6E330D3B59CA49BDAB00910CDFED99B5" hidden="1">#REF!</definedName>
    <definedName name="BO6E789F9EE4014F618877546D169E9DFF" hidden="1">#REF!</definedName>
    <definedName name="BO6E7A0A08DCF0402191991361FC4DD95B" hidden="1">#REF!</definedName>
    <definedName name="BO6EC77C45CCCA48149649981210DF21A4" hidden="1">#REF!</definedName>
    <definedName name="BO6F3204B182A6403B97238D21483362C3" hidden="1">#REF!</definedName>
    <definedName name="BO6F85A9035F804FE7AB9D589BC1014039" hidden="1">#REF!</definedName>
    <definedName name="BO6FAD846CC31147FE95BA99291AC6E898" localSheetId="8" hidden="1">#REF!</definedName>
    <definedName name="BO6FAD846CC31147FE95BA99291AC6E898" localSheetId="7" hidden="1">#REF!</definedName>
    <definedName name="BO6FAD846CC31147FE95BA99291AC6E898" localSheetId="6" hidden="1">#REF!</definedName>
    <definedName name="BO6FAD846CC31147FE95BA99291AC6E898" localSheetId="5" hidden="1">#REF!</definedName>
    <definedName name="BO6FAD846CC31147FE95BA99291AC6E898" hidden="1">#REF!</definedName>
    <definedName name="BO6FBFDFAD189241E980B158BE18998F54" localSheetId="8" hidden="1">#REF!</definedName>
    <definedName name="BO6FBFDFAD189241E980B158BE18998F54" localSheetId="7" hidden="1">#REF!</definedName>
    <definedName name="BO6FBFDFAD189241E980B158BE18998F54" localSheetId="6" hidden="1">#REF!</definedName>
    <definedName name="BO6FBFDFAD189241E980B158BE18998F54" localSheetId="5" hidden="1">#REF!</definedName>
    <definedName name="BO6FBFDFAD189241E980B158BE18998F54" hidden="1">#REF!</definedName>
    <definedName name="BO6FC812C61CC746F1B8A8736C1B88BBA6" hidden="1">#REF!</definedName>
    <definedName name="BO70A51A7AA53A49E5AC328B481135E78C" hidden="1">#REF!</definedName>
    <definedName name="BO70CF0274A32A435A80998213BF74F724" hidden="1">#REF!</definedName>
    <definedName name="BO70D277E8A0694C98853C9752D0DEFBD0" hidden="1">#REF!</definedName>
    <definedName name="BO71293E012CD94C0F8C989361F1CF0BD7" localSheetId="8" hidden="1">#REF!</definedName>
    <definedName name="BO71293E012CD94C0F8C989361F1CF0BD7" localSheetId="7" hidden="1">#REF!</definedName>
    <definedName name="BO71293E012CD94C0F8C989361F1CF0BD7" localSheetId="6" hidden="1">#REF!</definedName>
    <definedName name="BO71293E012CD94C0F8C989361F1CF0BD7" localSheetId="5" hidden="1">#REF!</definedName>
    <definedName name="BO71293E012CD94C0F8C989361F1CF0BD7" hidden="1">#REF!</definedName>
    <definedName name="BO71E9D5612C8640978EB6EE6D1E207B4C" localSheetId="8" hidden="1">#REF!</definedName>
    <definedName name="BO71E9D5612C8640978EB6EE6D1E207B4C" localSheetId="7" hidden="1">#REF!</definedName>
    <definedName name="BO71E9D5612C8640978EB6EE6D1E207B4C" localSheetId="6" hidden="1">#REF!</definedName>
    <definedName name="BO71E9D5612C8640978EB6EE6D1E207B4C" localSheetId="5" hidden="1">#REF!</definedName>
    <definedName name="BO71E9D5612C8640978EB6EE6D1E207B4C" hidden="1">#REF!</definedName>
    <definedName name="BO723C9B6EC73D4EBC9D9610B2FE768C59" localSheetId="8" hidden="1">#REF!</definedName>
    <definedName name="BO723C9B6EC73D4EBC9D9610B2FE768C59" localSheetId="7" hidden="1">#REF!</definedName>
    <definedName name="BO723C9B6EC73D4EBC9D9610B2FE768C59" localSheetId="6" hidden="1">#REF!</definedName>
    <definedName name="BO723C9B6EC73D4EBC9D9610B2FE768C59" localSheetId="5" hidden="1">#REF!</definedName>
    <definedName name="BO723C9B6EC73D4EBC9D9610B2FE768C59" hidden="1">#REF!</definedName>
    <definedName name="BO725B683CECB74009852C1C7579069AED" hidden="1">#REF!</definedName>
    <definedName name="BO727C7D73E3A1466FAFC6574EBF5071C6" localSheetId="8" hidden="1">#REF!</definedName>
    <definedName name="BO727C7D73E3A1466FAFC6574EBF5071C6" localSheetId="7" hidden="1">#REF!</definedName>
    <definedName name="BO727C7D73E3A1466FAFC6574EBF5071C6" localSheetId="6" hidden="1">#REF!</definedName>
    <definedName name="BO727C7D73E3A1466FAFC6574EBF5071C6" localSheetId="5" hidden="1">#REF!</definedName>
    <definedName name="BO727C7D73E3A1466FAFC6574EBF5071C6" hidden="1">#REF!</definedName>
    <definedName name="BO728FBAF5103443D8A5EBF0963A45D766" localSheetId="8" hidden="1">#REF!</definedName>
    <definedName name="BO728FBAF5103443D8A5EBF0963A45D766" localSheetId="7" hidden="1">#REF!</definedName>
    <definedName name="BO728FBAF5103443D8A5EBF0963A45D766" localSheetId="6" hidden="1">#REF!</definedName>
    <definedName name="BO728FBAF5103443D8A5EBF0963A45D766" localSheetId="5" hidden="1">#REF!</definedName>
    <definedName name="BO728FBAF5103443D8A5EBF0963A45D766" hidden="1">#REF!</definedName>
    <definedName name="BO7291B005C78E4C8B9A4C4408AFF74029" hidden="1">#REF!</definedName>
    <definedName name="BO72928272735146448617D8B4FAA246BB" hidden="1">#REF!</definedName>
    <definedName name="BO72AEB283A40C4F4495A41CC1BB72FF04" hidden="1">#REF!</definedName>
    <definedName name="BO72C61A1B49DE4C6E85E3633CA1F1E847" hidden="1">#REF!</definedName>
    <definedName name="BO7384CB4172104C05B608579BC4A1F0DC" hidden="1">#REF!</definedName>
    <definedName name="BO73F9065DFDB3453096035BE720583F87" hidden="1">#REF!</definedName>
    <definedName name="BO743E03736FC7430F86F6549507EDA0A2" localSheetId="8" hidden="1">#REF!</definedName>
    <definedName name="BO743E03736FC7430F86F6549507EDA0A2" localSheetId="7" hidden="1">#REF!</definedName>
    <definedName name="BO743E03736FC7430F86F6549507EDA0A2" localSheetId="6" hidden="1">#REF!</definedName>
    <definedName name="BO743E03736FC7430F86F6549507EDA0A2" localSheetId="5" hidden="1">#REF!</definedName>
    <definedName name="BO743E03736FC7430F86F6549507EDA0A2" hidden="1">#REF!</definedName>
    <definedName name="BO743FADD0C5714E09A2C61428B7654817" hidden="1">#REF!</definedName>
    <definedName name="BO748AEEACCD2841B2A3FDB19362C173AA" hidden="1">#REF!</definedName>
    <definedName name="BO74CCFEB367324A67A1FF6BDC666FBB5A" hidden="1">#REF!</definedName>
    <definedName name="BO7509703899134293BAC212115BD5BB2D" hidden="1">#REF!</definedName>
    <definedName name="BO7582234FB7ED49ACB05E205B2D984400" hidden="1">#REF!</definedName>
    <definedName name="BO75B6C924148F4404869B34F8581FF45D" hidden="1">#REF!</definedName>
    <definedName name="BO76AFF115036C48EB95BDCE89735C4FBF" localSheetId="8" hidden="1">#REF!</definedName>
    <definedName name="BO76AFF115036C48EB95BDCE89735C4FBF" localSheetId="7" hidden="1">#REF!</definedName>
    <definedName name="BO76AFF115036C48EB95BDCE89735C4FBF" localSheetId="6" hidden="1">#REF!</definedName>
    <definedName name="BO76AFF115036C48EB95BDCE89735C4FBF" localSheetId="5" hidden="1">#REF!</definedName>
    <definedName name="BO76AFF115036C48EB95BDCE89735C4FBF" hidden="1">#REF!</definedName>
    <definedName name="BO76DD298A3CFC4FBBBD00DB423FA15F6B" hidden="1">#REF!</definedName>
    <definedName name="BO76F10DEB42974EEFAF4573CE81C828EA" localSheetId="8" hidden="1">#REF!</definedName>
    <definedName name="BO76F10DEB42974EEFAF4573CE81C828EA" localSheetId="7" hidden="1">#REF!</definedName>
    <definedName name="BO76F10DEB42974EEFAF4573CE81C828EA" localSheetId="6" hidden="1">#REF!</definedName>
    <definedName name="BO76F10DEB42974EEFAF4573CE81C828EA" localSheetId="5" hidden="1">#REF!</definedName>
    <definedName name="BO76F10DEB42974EEFAF4573CE81C828EA" hidden="1">#REF!</definedName>
    <definedName name="BO77838FB84F8C4998A988A8AED21AE708" hidden="1">#REF!</definedName>
    <definedName name="BO778DFF7ABEDF4F7887FFC09415B3C4B3" hidden="1">#REF!</definedName>
    <definedName name="BO77EBE4C6EA6C4045A4CAE6F5CD2663DF" hidden="1">#REF!</definedName>
    <definedName name="BO78092B3545D447DAA4FEFA010D171430" hidden="1">#REF!</definedName>
    <definedName name="BO7811D83872B04DFEB069C2DE4AC6BAFD" hidden="1">#REF!</definedName>
    <definedName name="BO7819605837FE4B5F9A008A50F7FAEFCC" localSheetId="8" hidden="1">#REF!</definedName>
    <definedName name="BO7819605837FE4B5F9A008A50F7FAEFCC" localSheetId="7" hidden="1">#REF!</definedName>
    <definedName name="BO7819605837FE4B5F9A008A50F7FAEFCC" localSheetId="6" hidden="1">#REF!</definedName>
    <definedName name="BO7819605837FE4B5F9A008A50F7FAEFCC" localSheetId="5" hidden="1">#REF!</definedName>
    <definedName name="BO7819605837FE4B5F9A008A50F7FAEFCC" hidden="1">#REF!</definedName>
    <definedName name="BO78AB08EB37424ABFAD38643700CAB992" localSheetId="8" hidden="1">#REF!</definedName>
    <definedName name="BO78AB08EB37424ABFAD38643700CAB992" localSheetId="7" hidden="1">#REF!</definedName>
    <definedName name="BO78AB08EB37424ABFAD38643700CAB992" localSheetId="6" hidden="1">#REF!</definedName>
    <definedName name="BO78AB08EB37424ABFAD38643700CAB992" localSheetId="5" hidden="1">#REF!</definedName>
    <definedName name="BO78AB08EB37424ABFAD38643700CAB992" hidden="1">#REF!</definedName>
    <definedName name="BO78B8EEF959BF4E068DC35B5A11BBA7DF" localSheetId="8" hidden="1">#REF!</definedName>
    <definedName name="BO78B8EEF959BF4E068DC35B5A11BBA7DF" localSheetId="7" hidden="1">#REF!</definedName>
    <definedName name="BO78B8EEF959BF4E068DC35B5A11BBA7DF" localSheetId="6" hidden="1">#REF!</definedName>
    <definedName name="BO78B8EEF959BF4E068DC35B5A11BBA7DF" localSheetId="5" hidden="1">#REF!</definedName>
    <definedName name="BO78B8EEF959BF4E068DC35B5A11BBA7DF" hidden="1">#REF!</definedName>
    <definedName name="BO7908965B55A0493895F261592AAAFB91" hidden="1">#REF!</definedName>
    <definedName name="BO794A2529DD15456CBAB22BC4A0344DA0" hidden="1">#REF!</definedName>
    <definedName name="BO7991DC0EB7F94F0FA59DD6D5E374B2F6" hidden="1">#REF!</definedName>
    <definedName name="BO79B2CE7851A24A80976B8A53E18D55EF" hidden="1">#REF!</definedName>
    <definedName name="BO79FB6BB47DE74CD784A077FD3C58D667" hidden="1">#REF!</definedName>
    <definedName name="BO7A0C2C26C1564FC69D180E5BA4AF54CB" hidden="1">#REF!</definedName>
    <definedName name="BO7AAF3D4F540C4280AF304EC01B62A624" hidden="1">#REF!</definedName>
    <definedName name="BO7B28811014DB4B9093233C83EF0545E5" localSheetId="8" hidden="1">#REF!</definedName>
    <definedName name="BO7B28811014DB4B9093233C83EF0545E5" localSheetId="7" hidden="1">#REF!</definedName>
    <definedName name="BO7B28811014DB4B9093233C83EF0545E5" localSheetId="6" hidden="1">#REF!</definedName>
    <definedName name="BO7B28811014DB4B9093233C83EF0545E5" localSheetId="5" hidden="1">#REF!</definedName>
    <definedName name="BO7B28811014DB4B9093233C83EF0545E5" hidden="1">#REF!</definedName>
    <definedName name="BO7B4A7D4A1B0C453FB9C28D88D99F8076" hidden="1">#REF!</definedName>
    <definedName name="BO7B96477EDD914E75B993899215A2DAB6" localSheetId="8" hidden="1">#REF!</definedName>
    <definedName name="BO7B96477EDD914E75B993899215A2DAB6" localSheetId="7" hidden="1">#REF!</definedName>
    <definedName name="BO7B96477EDD914E75B993899215A2DAB6" localSheetId="6" hidden="1">#REF!</definedName>
    <definedName name="BO7B96477EDD914E75B993899215A2DAB6" localSheetId="5" hidden="1">#REF!</definedName>
    <definedName name="BO7B96477EDD914E75B993899215A2DAB6" hidden="1">#REF!</definedName>
    <definedName name="BO7BFE272024A54AFEBEF037F898A09A02" hidden="1">#REF!</definedName>
    <definedName name="BO7C19EBF4FDE2417996FBFF906720B949" localSheetId="8" hidden="1">#REF!</definedName>
    <definedName name="BO7C19EBF4FDE2417996FBFF906720B949" localSheetId="7" hidden="1">#REF!</definedName>
    <definedName name="BO7C19EBF4FDE2417996FBFF906720B949" localSheetId="6" hidden="1">#REF!</definedName>
    <definedName name="BO7C19EBF4FDE2417996FBFF906720B949" localSheetId="5" hidden="1">#REF!</definedName>
    <definedName name="BO7C19EBF4FDE2417996FBFF906720B949" hidden="1">#REF!</definedName>
    <definedName name="BO7C53961B9416404EAF0C42BE31C25C66" hidden="1">#REF!</definedName>
    <definedName name="BO7C9B04F28A8D4440A02318D4769C9BEE" hidden="1">#REF!</definedName>
    <definedName name="BO7D242D6D676447429ABED9E286B21A11" localSheetId="8" hidden="1">#REF!</definedName>
    <definedName name="BO7D242D6D676447429ABED9E286B21A11" localSheetId="7" hidden="1">#REF!</definedName>
    <definedName name="BO7D242D6D676447429ABED9E286B21A11" localSheetId="6" hidden="1">#REF!</definedName>
    <definedName name="BO7D242D6D676447429ABED9E286B21A11" localSheetId="5" hidden="1">#REF!</definedName>
    <definedName name="BO7D242D6D676447429ABED9E286B21A11" hidden="1">#REF!</definedName>
    <definedName name="BO7D5DBD3772E14FEAB296510BB4D01734" hidden="1">#REF!</definedName>
    <definedName name="BO7D60D325F864405BB1462EB75ADCC7EC" hidden="1">#REF!</definedName>
    <definedName name="BO7D8A7844A3A04C72B77902BCEF627620" hidden="1">#REF!</definedName>
    <definedName name="BO7DF42ED2F8F640F292779F5CB0E28C56" hidden="1">#REF!</definedName>
    <definedName name="BO7DF5D57689DB489DB0CC78296AA2D513" hidden="1">#REF!</definedName>
    <definedName name="BO7DF78C51149B4566ACAA771C5AA7CF15" hidden="1">#REF!</definedName>
    <definedName name="BO7DF981848E714F06BFD1323498E497B1" hidden="1">#REF!</definedName>
    <definedName name="BO7E4FE0C6756F4916BBCB79DC75196E32" hidden="1">#REF!</definedName>
    <definedName name="BO7E8F9BA00C334CA199DAAAD85F7C17A9" hidden="1">#REF!</definedName>
    <definedName name="BO7EFF7AA5EBBE4834B7279905B7EF09CF" hidden="1">#REF!</definedName>
    <definedName name="BO7F2C1C375D7C409E96B5B17BC7561452" localSheetId="8" hidden="1">#REF!</definedName>
    <definedName name="BO7F2C1C375D7C409E96B5B17BC7561452" localSheetId="7" hidden="1">#REF!</definedName>
    <definedName name="BO7F2C1C375D7C409E96B5B17BC7561452" localSheetId="6" hidden="1">#REF!</definedName>
    <definedName name="BO7F2C1C375D7C409E96B5B17BC7561452" localSheetId="5" hidden="1">#REF!</definedName>
    <definedName name="BO7F2C1C375D7C409E96B5B17BC7561452" hidden="1">#REF!</definedName>
    <definedName name="BO7F68DCDA1EF8470BB1B41D43FD82BBCA" hidden="1">#REF!</definedName>
    <definedName name="BO7F6C020FAAD144738F51D2CEB9C163E2" localSheetId="8" hidden="1">#REF!</definedName>
    <definedName name="BO7F6C020FAAD144738F51D2CEB9C163E2" localSheetId="7" hidden="1">#REF!</definedName>
    <definedName name="BO7F6C020FAAD144738F51D2CEB9C163E2" localSheetId="6" hidden="1">#REF!</definedName>
    <definedName name="BO7F6C020FAAD144738F51D2CEB9C163E2" localSheetId="5" hidden="1">#REF!</definedName>
    <definedName name="BO7F6C020FAAD144738F51D2CEB9C163E2" hidden="1">#REF!</definedName>
    <definedName name="BO7FC16A75DD44437A86AD5E57E5C9C2DB" hidden="1">#REF!</definedName>
    <definedName name="BO7FC683C0D52844E3BB381906F0CBB007" hidden="1">#REF!</definedName>
    <definedName name="BO7FD330BCEECC4608982BA7C6CBE9B920" hidden="1">#REF!</definedName>
    <definedName name="BO7FEAA20D26864CB79F85C671123D7680" hidden="1">#REF!</definedName>
    <definedName name="BO7FF0DCDFE0B14206B474E1FE11A43D81" hidden="1">#REF!</definedName>
    <definedName name="BO8039AC0AB8214C21B97EF73DB9989C5B" hidden="1">#REF!</definedName>
    <definedName name="BO803DC35BCC1C4F7BB4C0D55BA95AE081" hidden="1">#REF!</definedName>
    <definedName name="BO8087C8943CEF43CD89BA7F7D4903B91C" hidden="1">#REF!</definedName>
    <definedName name="BO80D53B0C0B9E48CE9765A1A15120EED8" hidden="1">#REF!</definedName>
    <definedName name="BO81328D83877946FBA6A3A09DD5C68484" hidden="1">#REF!</definedName>
    <definedName name="BO819AB3D0505F42C08A77A58B5E7E9D21" hidden="1">#REF!</definedName>
    <definedName name="BO81A7F0B4061E4BDE9919391419C98E65" hidden="1">#REF!</definedName>
    <definedName name="BO81D5E7340D104D51B605DF853DBE0D6C" hidden="1">#REF!</definedName>
    <definedName name="BO8243F0A85C2147BE8BB293418F45D729" hidden="1">#REF!</definedName>
    <definedName name="BO8251BC6F62BC4E0A89703667C783B535" localSheetId="8" hidden="1">#REF!</definedName>
    <definedName name="BO8251BC6F62BC4E0A89703667C783B535" localSheetId="7" hidden="1">#REF!</definedName>
    <definedName name="BO8251BC6F62BC4E0A89703667C783B535" localSheetId="6" hidden="1">#REF!</definedName>
    <definedName name="BO8251BC6F62BC4E0A89703667C783B535" localSheetId="5" hidden="1">#REF!</definedName>
    <definedName name="BO8251BC6F62BC4E0A89703667C783B535" hidden="1">#REF!</definedName>
    <definedName name="BO8261DC8F91A54D8BBAF4CEC3C2856717" hidden="1">#REF!</definedName>
    <definedName name="BO8291059A49D146E5BBEE2BDCB3DBA825" localSheetId="8" hidden="1">#REF!</definedName>
    <definedName name="BO8291059A49D146E5BBEE2BDCB3DBA825" localSheetId="7" hidden="1">#REF!</definedName>
    <definedName name="BO8291059A49D146E5BBEE2BDCB3DBA825" localSheetId="6" hidden="1">#REF!</definedName>
    <definedName name="BO8291059A49D146E5BBEE2BDCB3DBA825" localSheetId="5" hidden="1">#REF!</definedName>
    <definedName name="BO8291059A49D146E5BBEE2BDCB3DBA825" hidden="1">#REF!</definedName>
    <definedName name="BO82CE7956EBE241BABBED81CE831653C6" hidden="1">#REF!</definedName>
    <definedName name="BO82F493F354694E2DAB8B22773215E65F" hidden="1">#REF!</definedName>
    <definedName name="BO83602A2E92C449F385F5586510FFAED3" localSheetId="8" hidden="1">#REF!</definedName>
    <definedName name="BO83602A2E92C449F385F5586510FFAED3" localSheetId="7" hidden="1">#REF!</definedName>
    <definedName name="BO83602A2E92C449F385F5586510FFAED3" localSheetId="6" hidden="1">#REF!</definedName>
    <definedName name="BO83602A2E92C449F385F5586510FFAED3" localSheetId="5" hidden="1">#REF!</definedName>
    <definedName name="BO83602A2E92C449F385F5586510FFAED3" hidden="1">#REF!</definedName>
    <definedName name="BO836C64A47FA441008ED9A38C1FB25D0E" hidden="1">#REF!</definedName>
    <definedName name="BO837CFBBF72344382BC98FB73FD697F97" hidden="1">#REF!</definedName>
    <definedName name="BO837E6726C24344A2AF0C312D33F4B72D" hidden="1">#REF!</definedName>
    <definedName name="BO837FF3B4875A4C9F9C35EC67F7A45874" hidden="1">#REF!</definedName>
    <definedName name="BO839BF9576FA14A9EA96D6C4BAA33F33F" hidden="1">#REF!</definedName>
    <definedName name="BO83BFFA33F00B4C0482E7A04855314F1A" hidden="1">#REF!</definedName>
    <definedName name="BO83DA9FD681074FA3809CCB2FBE290593" hidden="1">#REF!</definedName>
    <definedName name="BO83E7AA0D54B44E36907E4086166E8C07" localSheetId="8" hidden="1">#REF!</definedName>
    <definedName name="BO83E7AA0D54B44E36907E4086166E8C07" localSheetId="7" hidden="1">#REF!</definedName>
    <definedName name="BO83E7AA0D54B44E36907E4086166E8C07" localSheetId="6" hidden="1">#REF!</definedName>
    <definedName name="BO83E7AA0D54B44E36907E4086166E8C07" localSheetId="5" hidden="1">#REF!</definedName>
    <definedName name="BO83E7AA0D54B44E36907E4086166E8C07" hidden="1">#REF!</definedName>
    <definedName name="BO84007103D6D141D4A662738CD768A57A" hidden="1">#REF!</definedName>
    <definedName name="BO8402CBCFA4504DD3801B5C1C9AF7AF7B" hidden="1">#REF!</definedName>
    <definedName name="BO84030DDFA60D4B2B9366A2AB918E6CB5" localSheetId="8" hidden="1">#REF!</definedName>
    <definedName name="BO84030DDFA60D4B2B9366A2AB918E6CB5" localSheetId="7" hidden="1">#REF!</definedName>
    <definedName name="BO84030DDFA60D4B2B9366A2AB918E6CB5" localSheetId="6" hidden="1">#REF!</definedName>
    <definedName name="BO84030DDFA60D4B2B9366A2AB918E6CB5" localSheetId="5" hidden="1">#REF!</definedName>
    <definedName name="BO84030DDFA60D4B2B9366A2AB918E6CB5" hidden="1">#REF!</definedName>
    <definedName name="BO840375520BB145DDA5F277377D2AA861" hidden="1">#REF!</definedName>
    <definedName name="BO84DE2A17F1934067A2D4727AA2BD8FF6" localSheetId="8" hidden="1">#REF!</definedName>
    <definedName name="BO84DE2A17F1934067A2D4727AA2BD8FF6" localSheetId="7" hidden="1">#REF!</definedName>
    <definedName name="BO84DE2A17F1934067A2D4727AA2BD8FF6" localSheetId="6" hidden="1">#REF!</definedName>
    <definedName name="BO84DE2A17F1934067A2D4727AA2BD8FF6" localSheetId="5" hidden="1">#REF!</definedName>
    <definedName name="BO84DE2A17F1934067A2D4727AA2BD8FF6" hidden="1">#REF!</definedName>
    <definedName name="BO850982C4FC8040F3A7CD4F864AD2B595" hidden="1">#REF!</definedName>
    <definedName name="BO8548427879B54A9095D357476FD58BBC" hidden="1">#REF!</definedName>
    <definedName name="BO85763AE4A8AB456EAEC768D9008D9C1B" localSheetId="8" hidden="1">#REF!</definedName>
    <definedName name="BO85763AE4A8AB456EAEC768D9008D9C1B" localSheetId="7" hidden="1">#REF!</definedName>
    <definedName name="BO85763AE4A8AB456EAEC768D9008D9C1B" localSheetId="6" hidden="1">#REF!</definedName>
    <definedName name="BO85763AE4A8AB456EAEC768D9008D9C1B" localSheetId="5" hidden="1">#REF!</definedName>
    <definedName name="BO85763AE4A8AB456EAEC768D9008D9C1B" hidden="1">#REF!</definedName>
    <definedName name="BO85D91BCC7658497790764C1DDD2904F3" hidden="1">#REF!</definedName>
    <definedName name="BO85E3CB036801439E92B9ABB245A40EF5" hidden="1">#REF!</definedName>
    <definedName name="BO85FDE48D4C6544EBAA01B96772D93E6A" hidden="1">#REF!</definedName>
    <definedName name="BO865EAF40F0B44EEF8C864C614BBF3F6A" hidden="1">#REF!</definedName>
    <definedName name="BO8699179DB8674C52AD788E9C73DDD849" localSheetId="8" hidden="1">#REF!</definedName>
    <definedName name="BO8699179DB8674C52AD788E9C73DDD849" localSheetId="7" hidden="1">#REF!</definedName>
    <definedName name="BO8699179DB8674C52AD788E9C73DDD849" localSheetId="6" hidden="1">#REF!</definedName>
    <definedName name="BO8699179DB8674C52AD788E9C73DDD849" localSheetId="5" hidden="1">#REF!</definedName>
    <definedName name="BO8699179DB8674C52AD788E9C73DDD849" hidden="1">#REF!</definedName>
    <definedName name="BO86EF20A0B5854AB0954028F8A7C94512" hidden="1">#REF!</definedName>
    <definedName name="BO8731345DE9E445FF87770BE8A843DE25" localSheetId="8" hidden="1">#REF!</definedName>
    <definedName name="BO8731345DE9E445FF87770BE8A843DE25" localSheetId="7" hidden="1">#REF!</definedName>
    <definedName name="BO8731345DE9E445FF87770BE8A843DE25" localSheetId="6" hidden="1">#REF!</definedName>
    <definedName name="BO8731345DE9E445FF87770BE8A843DE25" localSheetId="5" hidden="1">#REF!</definedName>
    <definedName name="BO8731345DE9E445FF87770BE8A843DE25" hidden="1">#REF!</definedName>
    <definedName name="BO8754B32227F34D868715C171F04E4269" localSheetId="8" hidden="1">#REF!</definedName>
    <definedName name="BO8754B32227F34D868715C171F04E4269" localSheetId="7" hidden="1">#REF!</definedName>
    <definedName name="BO8754B32227F34D868715C171F04E4269" localSheetId="6" hidden="1">#REF!</definedName>
    <definedName name="BO8754B32227F34D868715C171F04E4269" localSheetId="5" hidden="1">#REF!</definedName>
    <definedName name="BO8754B32227F34D868715C171F04E4269" hidden="1">#REF!</definedName>
    <definedName name="BO8764B191C75B4642ACC91F4A8A6D79B4" hidden="1">#REF!</definedName>
    <definedName name="BO87B195DCCE6F49F58F6DDDAFE984AB5D" hidden="1">#REF!</definedName>
    <definedName name="BO8806452053FA410CA54A9C73C1B89E1B" hidden="1">#REF!</definedName>
    <definedName name="BO880BEE2E29454ADBA1E1EF3978BE301B" hidden="1">#REF!</definedName>
    <definedName name="BO8859E523A19D4D7899B053B822F4FA81" hidden="1">#REF!</definedName>
    <definedName name="BO8882BE1533D241DFBA9D2F01F4274944" hidden="1">#REF!</definedName>
    <definedName name="BO88889F68C9A843BAB0BACD347887BF1A" localSheetId="8" hidden="1">#REF!</definedName>
    <definedName name="BO88889F68C9A843BAB0BACD347887BF1A" localSheetId="7" hidden="1">#REF!</definedName>
    <definedName name="BO88889F68C9A843BAB0BACD347887BF1A" localSheetId="6" hidden="1">#REF!</definedName>
    <definedName name="BO88889F68C9A843BAB0BACD347887BF1A" localSheetId="5" hidden="1">#REF!</definedName>
    <definedName name="BO88889F68C9A843BAB0BACD347887BF1A" hidden="1">#REF!</definedName>
    <definedName name="BO888E34755E3B488FA296268786E45314" hidden="1">#REF!</definedName>
    <definedName name="BO8892EF6863064DB0B63A804248B96524" hidden="1">#REF!</definedName>
    <definedName name="BO88955F213AB9486BB330ED2AAB703068" hidden="1">#REF!</definedName>
    <definedName name="BO88D85CF2E31F4CA9979354EFC0181D91" hidden="1">#REF!</definedName>
    <definedName name="BO88D893400C004B19B45D47ED8C5B1A8E" hidden="1">#REF!</definedName>
    <definedName name="BO891EEF976761470695ED54D4CE719C3D" localSheetId="8" hidden="1">#REF!</definedName>
    <definedName name="BO891EEF976761470695ED54D4CE719C3D" localSheetId="7" hidden="1">#REF!</definedName>
    <definedName name="BO891EEF976761470695ED54D4CE719C3D" localSheetId="6" hidden="1">#REF!</definedName>
    <definedName name="BO891EEF976761470695ED54D4CE719C3D" localSheetId="5" hidden="1">#REF!</definedName>
    <definedName name="BO891EEF976761470695ED54D4CE719C3D" hidden="1">#REF!</definedName>
    <definedName name="BO8952F1C45D2046448C864E9EEFE3DBCD" hidden="1">#REF!</definedName>
    <definedName name="BO8964AFC23B8247F0AAC4D0357E1D078B" localSheetId="8" hidden="1">#REF!</definedName>
    <definedName name="BO8964AFC23B8247F0AAC4D0357E1D078B" localSheetId="7" hidden="1">#REF!</definedName>
    <definedName name="BO8964AFC23B8247F0AAC4D0357E1D078B" localSheetId="6" hidden="1">#REF!</definedName>
    <definedName name="BO8964AFC23B8247F0AAC4D0357E1D078B" localSheetId="5" hidden="1">#REF!</definedName>
    <definedName name="BO8964AFC23B8247F0AAC4D0357E1D078B" hidden="1">#REF!</definedName>
    <definedName name="BO8A1010BA98F44B228AF65A5374AD483D" localSheetId="8" hidden="1">#REF!</definedName>
    <definedName name="BO8A1010BA98F44B228AF65A5374AD483D" localSheetId="7" hidden="1">#REF!</definedName>
    <definedName name="BO8A1010BA98F44B228AF65A5374AD483D" localSheetId="6" hidden="1">#REF!</definedName>
    <definedName name="BO8A1010BA98F44B228AF65A5374AD483D" localSheetId="5" hidden="1">#REF!</definedName>
    <definedName name="BO8A1010BA98F44B228AF65A5374AD483D" hidden="1">#REF!</definedName>
    <definedName name="BO8A3563FF99264DB9ABECAF9FB408129C" hidden="1">#REF!</definedName>
    <definedName name="BO8A372EFE048041E6A98669C6A938C3EA" hidden="1">#REF!</definedName>
    <definedName name="BO8A57E94DAE5940A7B05D9246317237A1" hidden="1">#REF!</definedName>
    <definedName name="BO8AD2485F740B43298B85DB821CDFB3FF" hidden="1">#REF!</definedName>
    <definedName name="BO8AD59E02F12E4E82A0F29AB8E0DE59EC" hidden="1">#REF!</definedName>
    <definedName name="BO8B0D5F0837C34495A0CA853C35789325" hidden="1">#REF!</definedName>
    <definedName name="BO8B17A500CF7044F9B4ADED7F9D53EEE8" hidden="1">#REF!</definedName>
    <definedName name="BO8B35755C2474428DBC5D7F846395FF82" hidden="1">#REF!</definedName>
    <definedName name="BO8B665E50129D4B3FA9CB2FB6FA67056D" hidden="1">#REF!</definedName>
    <definedName name="BO8B68980AAFC3404D9405899C8507C892" hidden="1">#REF!</definedName>
    <definedName name="BO8BAB5C9F66BE41D7BAE8407AC6FEBAEC" hidden="1">#REF!</definedName>
    <definedName name="BO8BB43582D25B49E39A0CB07BF129286F" hidden="1">#REF!</definedName>
    <definedName name="BO8BC7D931F2ED4F59B07575C5BA8ABE76" hidden="1">#REF!</definedName>
    <definedName name="BO8BD45D845C824DA4A07AD30FD9EF888F" localSheetId="8" hidden="1">#REF!</definedName>
    <definedName name="BO8BD45D845C824DA4A07AD30FD9EF888F" localSheetId="7" hidden="1">#REF!</definedName>
    <definedName name="BO8BD45D845C824DA4A07AD30FD9EF888F" localSheetId="6" hidden="1">#REF!</definedName>
    <definedName name="BO8BD45D845C824DA4A07AD30FD9EF888F" localSheetId="5" hidden="1">#REF!</definedName>
    <definedName name="BO8BD45D845C824DA4A07AD30FD9EF888F" hidden="1">#REF!</definedName>
    <definedName name="BO8BF93F6E2BD748969D25E8654DD1668E" hidden="1">#REF!</definedName>
    <definedName name="BO8C018A168EC042EA963C3335E093E0D9" hidden="1">#REF!</definedName>
    <definedName name="BO8C1900AA505740A1A0BA25476CE062AD" hidden="1">#REF!</definedName>
    <definedName name="BO8C3794B79DB44AF1BEE8257E75881DB3" localSheetId="8" hidden="1">#REF!</definedName>
    <definedName name="BO8C3794B79DB44AF1BEE8257E75881DB3" localSheetId="7" hidden="1">#REF!</definedName>
    <definedName name="BO8C3794B79DB44AF1BEE8257E75881DB3" localSheetId="6" hidden="1">#REF!</definedName>
    <definedName name="BO8C3794B79DB44AF1BEE8257E75881DB3" localSheetId="5" hidden="1">#REF!</definedName>
    <definedName name="BO8C3794B79DB44AF1BEE8257E75881DB3" hidden="1">#REF!</definedName>
    <definedName name="BO8CAFAE4B0FC0457BA47E4C123BC69A13" hidden="1">#REF!</definedName>
    <definedName name="BO8CE2521E72DC4E44ADA0E65342E3EC99" localSheetId="8" hidden="1">#REF!</definedName>
    <definedName name="BO8CE2521E72DC4E44ADA0E65342E3EC99" localSheetId="7" hidden="1">#REF!</definedName>
    <definedName name="BO8CE2521E72DC4E44ADA0E65342E3EC99" localSheetId="6" hidden="1">#REF!</definedName>
    <definedName name="BO8CE2521E72DC4E44ADA0E65342E3EC99" localSheetId="5" hidden="1">#REF!</definedName>
    <definedName name="BO8CE2521E72DC4E44ADA0E65342E3EC99" hidden="1">#REF!</definedName>
    <definedName name="BO8CE9FB77048B42D3B4F21469F36A98FB" hidden="1">#REF!</definedName>
    <definedName name="BO8CEA1CCA2E7C4A45AEFB1A13755A0F6F" hidden="1">#REF!</definedName>
    <definedName name="BO8D213D63E6DE40949BD8C7C721DC8392" hidden="1">#REF!</definedName>
    <definedName name="BO8D5D899F55F84FCE9AC2D16E9238F557" localSheetId="8" hidden="1">#REF!</definedName>
    <definedName name="BO8D5D899F55F84FCE9AC2D16E9238F557" localSheetId="7" hidden="1">#REF!</definedName>
    <definedName name="BO8D5D899F55F84FCE9AC2D16E9238F557" localSheetId="6" hidden="1">#REF!</definedName>
    <definedName name="BO8D5D899F55F84FCE9AC2D16E9238F557" localSheetId="5" hidden="1">#REF!</definedName>
    <definedName name="BO8D5D899F55F84FCE9AC2D16E9238F557" hidden="1">#REF!</definedName>
    <definedName name="BO8D5E61B4906A452C807C64F1863591FE" localSheetId="8" hidden="1">#REF!</definedName>
    <definedName name="BO8D5E61B4906A452C807C64F1863591FE" localSheetId="7" hidden="1">#REF!</definedName>
    <definedName name="BO8D5E61B4906A452C807C64F1863591FE" localSheetId="6" hidden="1">#REF!</definedName>
    <definedName name="BO8D5E61B4906A452C807C64F1863591FE" localSheetId="5" hidden="1">#REF!</definedName>
    <definedName name="BO8D5E61B4906A452C807C64F1863591FE" hidden="1">#REF!</definedName>
    <definedName name="BO8DAFAA7B23954DA9B47D268AFBB91700" hidden="1">#REF!</definedName>
    <definedName name="BO8E0165A707474C549F2E5433198CCCFE" hidden="1">#REF!</definedName>
    <definedName name="BO8E3E0EF398D9449DB08FC0047E537E92" hidden="1">#REF!</definedName>
    <definedName name="BO8E3FB912BA3E43209D45E5E067FE1043" hidden="1">#REF!</definedName>
    <definedName name="BO8E7C8E32E44544BA87BAC418448A719E" hidden="1">#REF!</definedName>
    <definedName name="BO8EAA0AE9301F4123AA742D67C7AEC0A3" hidden="1">#REF!</definedName>
    <definedName name="BO8EDC94CED1F0482596821D03E8F71D7C" hidden="1">#REF!</definedName>
    <definedName name="BO8EF3751A5F634C2C99F09DCD5DDB6A44" localSheetId="8" hidden="1">#REF!</definedName>
    <definedName name="BO8EF3751A5F634C2C99F09DCD5DDB6A44" localSheetId="7" hidden="1">#REF!</definedName>
    <definedName name="BO8EF3751A5F634C2C99F09DCD5DDB6A44" localSheetId="6" hidden="1">#REF!</definedName>
    <definedName name="BO8EF3751A5F634C2C99F09DCD5DDB6A44" localSheetId="5" hidden="1">#REF!</definedName>
    <definedName name="BO8EF3751A5F634C2C99F09DCD5DDB6A44" hidden="1">#REF!</definedName>
    <definedName name="BO8EFD705A64EE47CE849DE4AFAF2C214E" localSheetId="8" hidden="1">#REF!</definedName>
    <definedName name="BO8EFD705A64EE47CE849DE4AFAF2C214E" localSheetId="7" hidden="1">#REF!</definedName>
    <definedName name="BO8EFD705A64EE47CE849DE4AFAF2C214E" localSheetId="6" hidden="1">#REF!</definedName>
    <definedName name="BO8EFD705A64EE47CE849DE4AFAF2C214E" localSheetId="5" hidden="1">#REF!</definedName>
    <definedName name="BO8EFD705A64EE47CE849DE4AFAF2C214E" hidden="1">#REF!</definedName>
    <definedName name="BO8F817E671CF743B3980035DD501DE030" localSheetId="8" hidden="1">#REF!</definedName>
    <definedName name="BO8F817E671CF743B3980035DD501DE030" localSheetId="7" hidden="1">#REF!</definedName>
    <definedName name="BO8F817E671CF743B3980035DD501DE030" localSheetId="6" hidden="1">#REF!</definedName>
    <definedName name="BO8F817E671CF743B3980035DD501DE030" localSheetId="5" hidden="1">#REF!</definedName>
    <definedName name="BO8F817E671CF743B3980035DD501DE030" hidden="1">#REF!</definedName>
    <definedName name="BO8FF2575EDF73449EB030830873B2C372" hidden="1">#REF!</definedName>
    <definedName name="BO908BA65E6EC947E28A80BF31A147AB5C" localSheetId="8" hidden="1">#REF!</definedName>
    <definedName name="BO908BA65E6EC947E28A80BF31A147AB5C" localSheetId="7" hidden="1">#REF!</definedName>
    <definedName name="BO908BA65E6EC947E28A80BF31A147AB5C" localSheetId="6" hidden="1">#REF!</definedName>
    <definedName name="BO908BA65E6EC947E28A80BF31A147AB5C" localSheetId="5" hidden="1">#REF!</definedName>
    <definedName name="BO908BA65E6EC947E28A80BF31A147AB5C" hidden="1">#REF!</definedName>
    <definedName name="BO90C63A1A480C4CA98E0683B0C2111855" localSheetId="8" hidden="1">#REF!</definedName>
    <definedName name="BO90C63A1A480C4CA98E0683B0C2111855" localSheetId="7" hidden="1">#REF!</definedName>
    <definedName name="BO90C63A1A480C4CA98E0683B0C2111855" localSheetId="6" hidden="1">#REF!</definedName>
    <definedName name="BO90C63A1A480C4CA98E0683B0C2111855" localSheetId="5" hidden="1">#REF!</definedName>
    <definedName name="BO90C63A1A480C4CA98E0683B0C2111855" hidden="1">#REF!</definedName>
    <definedName name="BO90EFF4CF12C94B01A8DF976954673F75" hidden="1">#REF!</definedName>
    <definedName name="BO90FE403CB39E4C4DB7D7B7951DCA04EE" hidden="1">#REF!</definedName>
    <definedName name="BO9123EB047FF24046B9661438E8EB5A11" hidden="1">#REF!</definedName>
    <definedName name="BO914835C5419B4810B67E282E410B66CD" hidden="1">#REF!</definedName>
    <definedName name="BO9163484107A74053A2999C9C9A415CEA" hidden="1">#REF!</definedName>
    <definedName name="BO91A76A0F20DE4CB3B33B8F4FD53DB05D" hidden="1">#REF!</definedName>
    <definedName name="BO91B0DEBD3CE64471BB783F2A40E62AAC" hidden="1">#REF!</definedName>
    <definedName name="BO91E79BB60524431DA85259FA16555377" hidden="1">#REF!</definedName>
    <definedName name="BO924E8494230449FFB1C676EE9AD5238D" hidden="1">#REF!</definedName>
    <definedName name="BO928A45E838E3411EAA96A983B5055044" hidden="1">#REF!</definedName>
    <definedName name="BO92B05B627250438BA2BDC1645A188C03" hidden="1">#REF!</definedName>
    <definedName name="BO93401168E55E46E0B16F4E1258235F36" hidden="1">#REF!</definedName>
    <definedName name="BO93652E2E6E7449F5807BDF076331C2EA" hidden="1">#REF!</definedName>
    <definedName name="BO939CBA7598CD4EFB9C82EA9EA1C96B75" hidden="1">#REF!</definedName>
    <definedName name="BO939D315D5238475EBF7D0A6A3A6417F5" localSheetId="8" hidden="1">#REF!</definedName>
    <definedName name="BO939D315D5238475EBF7D0A6A3A6417F5" localSheetId="7" hidden="1">#REF!</definedName>
    <definedName name="BO939D315D5238475EBF7D0A6A3A6417F5" localSheetId="6" hidden="1">#REF!</definedName>
    <definedName name="BO939D315D5238475EBF7D0A6A3A6417F5" localSheetId="5" hidden="1">#REF!</definedName>
    <definedName name="BO939D315D5238475EBF7D0A6A3A6417F5" hidden="1">#REF!</definedName>
    <definedName name="BO93B4933E5F1340F884FFD50EF769DD26" hidden="1">#REF!</definedName>
    <definedName name="BO93CF8648CF7F4DD28BF372B69CE1766A" hidden="1">#REF!</definedName>
    <definedName name="BO93E03D4C982C46F19E69BBE0796B6B6B" hidden="1">#REF!</definedName>
    <definedName name="BO941544D310854BE6AEAB363ADC86FA36" hidden="1">#REF!</definedName>
    <definedName name="BO942A4264FF304EBF815507D090F74B36" hidden="1">#REF!</definedName>
    <definedName name="BO943A69CE5DB34FC3AC0CB5A33D4B50CF" hidden="1">#REF!</definedName>
    <definedName name="BO944E6C9B3D954068AC98E161FDEEA35F" hidden="1">#REF!</definedName>
    <definedName name="BO94661CBF2F7E4305AAA364DB81E869C6" hidden="1">#REF!</definedName>
    <definedName name="BO947EAEB95AD741659C5BEC360B5FD7A0" hidden="1">#REF!</definedName>
    <definedName name="BO949DA06F41A84DD39641A3E4E5B5C2F0" localSheetId="8" hidden="1">#REF!</definedName>
    <definedName name="BO949DA06F41A84DD39641A3E4E5B5C2F0" localSheetId="7" hidden="1">#REF!</definedName>
    <definedName name="BO949DA06F41A84DD39641A3E4E5B5C2F0" localSheetId="6" hidden="1">#REF!</definedName>
    <definedName name="BO949DA06F41A84DD39641A3E4E5B5C2F0" localSheetId="5" hidden="1">#REF!</definedName>
    <definedName name="BO949DA06F41A84DD39641A3E4E5B5C2F0" hidden="1">#REF!</definedName>
    <definedName name="BO94C577E652FB402297FB400EBCFF5EF6" hidden="1">#REF!</definedName>
    <definedName name="BO9567B1DC2CFF40BC8E458324D5950E42" hidden="1">#REF!</definedName>
    <definedName name="BO95A47EF9CFA44E0A96D43DB0CD158269" hidden="1">#REF!</definedName>
    <definedName name="BO9617228583AE449492593EFF2DBC7229" localSheetId="8" hidden="1">#REF!</definedName>
    <definedName name="BO9617228583AE449492593EFF2DBC7229" localSheetId="7" hidden="1">#REF!</definedName>
    <definedName name="BO9617228583AE449492593EFF2DBC7229" localSheetId="6" hidden="1">#REF!</definedName>
    <definedName name="BO9617228583AE449492593EFF2DBC7229" localSheetId="5" hidden="1">#REF!</definedName>
    <definedName name="BO9617228583AE449492593EFF2DBC7229" hidden="1">#REF!</definedName>
    <definedName name="BO96292BDB61AD47D6B2AD3B0D2128DA5D" localSheetId="8" hidden="1">#REF!</definedName>
    <definedName name="BO96292BDB61AD47D6B2AD3B0D2128DA5D" localSheetId="7" hidden="1">#REF!</definedName>
    <definedName name="BO96292BDB61AD47D6B2AD3B0D2128DA5D" localSheetId="6" hidden="1">#REF!</definedName>
    <definedName name="BO96292BDB61AD47D6B2AD3B0D2128DA5D" localSheetId="5" hidden="1">#REF!</definedName>
    <definedName name="BO96292BDB61AD47D6B2AD3B0D2128DA5D" hidden="1">#REF!</definedName>
    <definedName name="BO962F672557C843B1972DB20862FDC2A0" hidden="1">#REF!</definedName>
    <definedName name="BO963AC9FAE7CB4778A49AF9997CD2C10E" hidden="1">#REF!</definedName>
    <definedName name="BO9659C68915A34F009D2DC7AFCC6F6C72" hidden="1">#REF!</definedName>
    <definedName name="BO9670518616A441819E4A6E2FA45AAEB5" localSheetId="8" hidden="1">#REF!</definedName>
    <definedName name="BO9670518616A441819E4A6E2FA45AAEB5" localSheetId="7" hidden="1">#REF!</definedName>
    <definedName name="BO9670518616A441819E4A6E2FA45AAEB5" localSheetId="6" hidden="1">#REF!</definedName>
    <definedName name="BO9670518616A441819E4A6E2FA45AAEB5" localSheetId="5" hidden="1">#REF!</definedName>
    <definedName name="BO9670518616A441819E4A6E2FA45AAEB5" hidden="1">#REF!</definedName>
    <definedName name="BO96B3CE0F8DBC4C58A246EC82D8A20561" hidden="1">#REF!</definedName>
    <definedName name="BO974099825BC149FBA33D39EACEDB3102" hidden="1">#REF!</definedName>
    <definedName name="BO974D817F24B745D0970576905F9E405D" localSheetId="8" hidden="1">#REF!</definedName>
    <definedName name="BO974D817F24B745D0970576905F9E405D" localSheetId="7" hidden="1">#REF!</definedName>
    <definedName name="BO974D817F24B745D0970576905F9E405D" localSheetId="6" hidden="1">#REF!</definedName>
    <definedName name="BO974D817F24B745D0970576905F9E405D" localSheetId="5" hidden="1">#REF!</definedName>
    <definedName name="BO974D817F24B745D0970576905F9E405D" hidden="1">#REF!</definedName>
    <definedName name="BO97D031C62AE842F18380E8D21EC5DAB2" hidden="1">#REF!</definedName>
    <definedName name="BO9804C85A552740B5A3E74164EBC71F1B" localSheetId="8" hidden="1">#REF!</definedName>
    <definedName name="BO9804C85A552740B5A3E74164EBC71F1B" localSheetId="7" hidden="1">#REF!</definedName>
    <definedName name="BO9804C85A552740B5A3E74164EBC71F1B" localSheetId="6" hidden="1">#REF!</definedName>
    <definedName name="BO9804C85A552740B5A3E74164EBC71F1B" localSheetId="5" hidden="1">#REF!</definedName>
    <definedName name="BO9804C85A552740B5A3E74164EBC71F1B" hidden="1">#REF!</definedName>
    <definedName name="BO980E7758332B4167A39983C28A49CBB3" localSheetId="8" hidden="1">#REF!</definedName>
    <definedName name="BO980E7758332B4167A39983C28A49CBB3" localSheetId="7" hidden="1">#REF!</definedName>
    <definedName name="BO980E7758332B4167A39983C28A49CBB3" localSheetId="6" hidden="1">#REF!</definedName>
    <definedName name="BO980E7758332B4167A39983C28A49CBB3" localSheetId="5" hidden="1">#REF!</definedName>
    <definedName name="BO980E7758332B4167A39983C28A49CBB3" hidden="1">#REF!</definedName>
    <definedName name="BO98771D030EA14EB08B954FD0CE1FD6A5" hidden="1">#REF!</definedName>
    <definedName name="BO98B7A44ECF4C49EE87041D265BEFA8B9" localSheetId="8" hidden="1">#REF!</definedName>
    <definedName name="BO98B7A44ECF4C49EE87041D265BEFA8B9" localSheetId="7" hidden="1">#REF!</definedName>
    <definedName name="BO98B7A44ECF4C49EE87041D265BEFA8B9" localSheetId="6" hidden="1">#REF!</definedName>
    <definedName name="BO98B7A44ECF4C49EE87041D265BEFA8B9" localSheetId="5" hidden="1">#REF!</definedName>
    <definedName name="BO98B7A44ECF4C49EE87041D265BEFA8B9" hidden="1">#REF!</definedName>
    <definedName name="BO993D3E242DA14B709F3EC5A2006F0ECC" hidden="1">#REF!</definedName>
    <definedName name="BO9944F7E2296B4FD29775A60AF057D8F5" hidden="1">#REF!</definedName>
    <definedName name="BO99556622D80341A993D6343D8A1B1080" hidden="1">#REF!</definedName>
    <definedName name="BO996EDAE7E25D4386A2C9EFFA227A86C2" hidden="1">#REF!</definedName>
    <definedName name="BO9976ACD2C1A84413A88870FA1275BBCE" hidden="1">#REF!</definedName>
    <definedName name="BO998C3710BE974A5CB1B0917680EDD2AF" hidden="1">#REF!</definedName>
    <definedName name="BO99AD285419FE4DAB8AE303AAAA07524A" localSheetId="8" hidden="1">#REF!</definedName>
    <definedName name="BO99AD285419FE4DAB8AE303AAAA07524A" localSheetId="7" hidden="1">#REF!</definedName>
    <definedName name="BO99AD285419FE4DAB8AE303AAAA07524A" localSheetId="6" hidden="1">#REF!</definedName>
    <definedName name="BO99AD285419FE4DAB8AE303AAAA07524A" localSheetId="5" hidden="1">#REF!</definedName>
    <definedName name="BO99AD285419FE4DAB8AE303AAAA07524A" hidden="1">#REF!</definedName>
    <definedName name="BO99C08E18607E47AF85AF009A6681C1B0" hidden="1">#REF!</definedName>
    <definedName name="BO99C095B93D394078898FCABA6072EA8E" hidden="1">#REF!</definedName>
    <definedName name="BO9A0DAB5C7422412897F8DC2C09F6C1C3" hidden="1">#REF!</definedName>
    <definedName name="BO9A287CEABD9A452FAEAD6AA485A202F3" hidden="1">#REF!</definedName>
    <definedName name="BO9A655B21AFF44748B56B8312366E1743" localSheetId="8" hidden="1">#REF!</definedName>
    <definedName name="BO9A655B21AFF44748B56B8312366E1743" localSheetId="7" hidden="1">#REF!</definedName>
    <definedName name="BO9A655B21AFF44748B56B8312366E1743" localSheetId="6" hidden="1">#REF!</definedName>
    <definedName name="BO9A655B21AFF44748B56B8312366E1743" localSheetId="5" hidden="1">#REF!</definedName>
    <definedName name="BO9A655B21AFF44748B56B8312366E1743" hidden="1">#REF!</definedName>
    <definedName name="BO9AA93E3BEB1F447596C07B9802477926" hidden="1">#REF!</definedName>
    <definedName name="BO9AC2002FF3EE4E0DA15BE1D8A571D872" hidden="1">#REF!</definedName>
    <definedName name="BO9AF9C8F0679E4D869D1A34C4317C1B58" localSheetId="8" hidden="1">#REF!</definedName>
    <definedName name="BO9AF9C8F0679E4D869D1A34C4317C1B58" localSheetId="7" hidden="1">#REF!</definedName>
    <definedName name="BO9AF9C8F0679E4D869D1A34C4317C1B58" localSheetId="6" hidden="1">#REF!</definedName>
    <definedName name="BO9AF9C8F0679E4D869D1A34C4317C1B58" localSheetId="5" hidden="1">#REF!</definedName>
    <definedName name="BO9AF9C8F0679E4D869D1A34C4317C1B58" hidden="1">#REF!</definedName>
    <definedName name="BO9B2BB62644CE428EA5086FB466725525" hidden="1">#REF!</definedName>
    <definedName name="BO9B521BB6A433400FB1EE2E66EDAB811F" localSheetId="8" hidden="1">#REF!</definedName>
    <definedName name="BO9B521BB6A433400FB1EE2E66EDAB811F" localSheetId="7" hidden="1">#REF!</definedName>
    <definedName name="BO9B521BB6A433400FB1EE2E66EDAB811F" localSheetId="6" hidden="1">#REF!</definedName>
    <definedName name="BO9B521BB6A433400FB1EE2E66EDAB811F" localSheetId="5" hidden="1">#REF!</definedName>
    <definedName name="BO9B521BB6A433400FB1EE2E66EDAB811F" hidden="1">#REF!</definedName>
    <definedName name="BO9BD5F097CEE64258B69C204D48CEB09C" hidden="1">#REF!</definedName>
    <definedName name="BO9C105C94E62D409896BEC9E5689F1A77" localSheetId="8" hidden="1">#REF!</definedName>
    <definedName name="BO9C105C94E62D409896BEC9E5689F1A77" localSheetId="7" hidden="1">#REF!</definedName>
    <definedName name="BO9C105C94E62D409896BEC9E5689F1A77" localSheetId="6" hidden="1">#REF!</definedName>
    <definedName name="BO9C105C94E62D409896BEC9E5689F1A77" localSheetId="5" hidden="1">#REF!</definedName>
    <definedName name="BO9C105C94E62D409896BEC9E5689F1A77" hidden="1">#REF!</definedName>
    <definedName name="BO9C34F084A9534B2DAD74FA78E95A69D6" hidden="1">#REF!</definedName>
    <definedName name="BO9C3CFB6EB35147278960DCB069325C66" hidden="1">#REF!</definedName>
    <definedName name="BO9C61C5CDCC6B466DAFB9CB653EDA385E" hidden="1">#REF!</definedName>
    <definedName name="BO9CEF9ECB455342199684D3F1CEED1270" localSheetId="8" hidden="1">#REF!</definedName>
    <definedName name="BO9CEF9ECB455342199684D3F1CEED1270" localSheetId="7" hidden="1">#REF!</definedName>
    <definedName name="BO9CEF9ECB455342199684D3F1CEED1270" localSheetId="6" hidden="1">#REF!</definedName>
    <definedName name="BO9CEF9ECB455342199684D3F1CEED1270" localSheetId="5" hidden="1">#REF!</definedName>
    <definedName name="BO9CEF9ECB455342199684D3F1CEED1270" hidden="1">#REF!</definedName>
    <definedName name="BO9D018DCFF0D844CB87655405ED2CE9B3" localSheetId="8" hidden="1">#REF!</definedName>
    <definedName name="BO9D018DCFF0D844CB87655405ED2CE9B3" localSheetId="7" hidden="1">#REF!</definedName>
    <definedName name="BO9D018DCFF0D844CB87655405ED2CE9B3" localSheetId="6" hidden="1">#REF!</definedName>
    <definedName name="BO9D018DCFF0D844CB87655405ED2CE9B3" localSheetId="5" hidden="1">#REF!</definedName>
    <definedName name="BO9D018DCFF0D844CB87655405ED2CE9B3" hidden="1">#REF!</definedName>
    <definedName name="BO9D23ECBE08B44D9EA8991C9B93F17E47" hidden="1">#REF!</definedName>
    <definedName name="BO9D4B2026227A41E88714D7FA1E063C4C" localSheetId="8" hidden="1">#REF!</definedName>
    <definedName name="BO9D4B2026227A41E88714D7FA1E063C4C" localSheetId="7" hidden="1">#REF!</definedName>
    <definedName name="BO9D4B2026227A41E88714D7FA1E063C4C" localSheetId="6" hidden="1">#REF!</definedName>
    <definedName name="BO9D4B2026227A41E88714D7FA1E063C4C" localSheetId="5" hidden="1">#REF!</definedName>
    <definedName name="BO9D4B2026227A41E88714D7FA1E063C4C" hidden="1">#REF!</definedName>
    <definedName name="BO9D53C8FCD6194B09AD9B172E9E14C56E" hidden="1">#REF!</definedName>
    <definedName name="BO9D9725EA0C34400B953639F0AAB082F8" localSheetId="8" hidden="1">#REF!</definedName>
    <definedName name="BO9D9725EA0C34400B953639F0AAB082F8" localSheetId="7" hidden="1">#REF!</definedName>
    <definedName name="BO9D9725EA0C34400B953639F0AAB082F8" localSheetId="6" hidden="1">#REF!</definedName>
    <definedName name="BO9D9725EA0C34400B953639F0AAB082F8" localSheetId="5" hidden="1">#REF!</definedName>
    <definedName name="BO9D9725EA0C34400B953639F0AAB082F8" hidden="1">#REF!</definedName>
    <definedName name="BO9DA56D6FE5624778B8434CE1DB905C61" hidden="1">#REF!</definedName>
    <definedName name="BO9DB5314C330D43D7B1A0DC798A2837BF" hidden="1">#REF!</definedName>
    <definedName name="BO9E07F1885DF14C4B832592553F176B35" hidden="1">#REF!</definedName>
    <definedName name="BO9E2C8619562647CA9B0180EE75A583D3" localSheetId="8" hidden="1">#REF!</definedName>
    <definedName name="BO9E2C8619562647CA9B0180EE75A583D3" localSheetId="7" hidden="1">#REF!</definedName>
    <definedName name="BO9E2C8619562647CA9B0180EE75A583D3" localSheetId="6" hidden="1">#REF!</definedName>
    <definedName name="BO9E2C8619562647CA9B0180EE75A583D3" localSheetId="5" hidden="1">#REF!</definedName>
    <definedName name="BO9E2C8619562647CA9B0180EE75A583D3" hidden="1">#REF!</definedName>
    <definedName name="BO9E7A454CF6E142EB97B3C87D0F9E6A4D" hidden="1">#REF!</definedName>
    <definedName name="BO9EBA664BFFFB42F0A58ED3930FA7EC03" hidden="1">#REF!</definedName>
    <definedName name="BO9F0736F18D8648DC99184DBEFCABA881" hidden="1">#REF!</definedName>
    <definedName name="BO9F2151EA6FB44A169B65A894F9B0FB17" localSheetId="8" hidden="1">#REF!</definedName>
    <definedName name="BO9F2151EA6FB44A169B65A894F9B0FB17" localSheetId="7" hidden="1">#REF!</definedName>
    <definedName name="BO9F2151EA6FB44A169B65A894F9B0FB17" localSheetId="6" hidden="1">#REF!</definedName>
    <definedName name="BO9F2151EA6FB44A169B65A894F9B0FB17" localSheetId="5" hidden="1">#REF!</definedName>
    <definedName name="BO9F2151EA6FB44A169B65A894F9B0FB17" hidden="1">#REF!</definedName>
    <definedName name="BO9F8AC57665D54F83AE63948EBE6A24C6" hidden="1">#REF!</definedName>
    <definedName name="BO9F8D169BC2A44704BD4040445AA99467" hidden="1">#REF!</definedName>
    <definedName name="BO9F9CAD9E759442D885F8719921D10C92" localSheetId="8" hidden="1">#REF!</definedName>
    <definedName name="BO9F9CAD9E759442D885F8719921D10C92" localSheetId="7" hidden="1">#REF!</definedName>
    <definedName name="BO9F9CAD9E759442D885F8719921D10C92" localSheetId="6" hidden="1">#REF!</definedName>
    <definedName name="BO9F9CAD9E759442D885F8719921D10C92" localSheetId="5" hidden="1">#REF!</definedName>
    <definedName name="BO9F9CAD9E759442D885F8719921D10C92" hidden="1">#REF!</definedName>
    <definedName name="BO9FB0480C70D9428DA44032B5D3FFB28A" localSheetId="8" hidden="1">#REF!</definedName>
    <definedName name="BO9FB0480C70D9428DA44032B5D3FFB28A" localSheetId="7" hidden="1">#REF!</definedName>
    <definedName name="BO9FB0480C70D9428DA44032B5D3FFB28A" localSheetId="6" hidden="1">#REF!</definedName>
    <definedName name="BO9FB0480C70D9428DA44032B5D3FFB28A" localSheetId="5" hidden="1">#REF!</definedName>
    <definedName name="BO9FB0480C70D9428DA44032B5D3FFB28A" hidden="1">#REF!</definedName>
    <definedName name="BO9FBD9CAFE7EB445C9379DBB8C27E9274" hidden="1">#REF!</definedName>
    <definedName name="BO9FBF33F9742944DBAC6F872F07EBA46E" hidden="1">#REF!</definedName>
    <definedName name="BO9FCF1C4E2AE2487F96B5BDE090357A7D" hidden="1">#REF!</definedName>
    <definedName name="BO9FDA0A5F22CE4D1087CF71557B21ECE2" localSheetId="8" hidden="1">#REF!</definedName>
    <definedName name="BO9FDA0A5F22CE4D1087CF71557B21ECE2" localSheetId="7" hidden="1">#REF!</definedName>
    <definedName name="BO9FDA0A5F22CE4D1087CF71557B21ECE2" localSheetId="6" hidden="1">#REF!</definedName>
    <definedName name="BO9FDA0A5F22CE4D1087CF71557B21ECE2" localSheetId="5" hidden="1">#REF!</definedName>
    <definedName name="BO9FDA0A5F22CE4D1087CF71557B21ECE2" hidden="1">#REF!</definedName>
    <definedName name="BO9FE562ED36FA43FA9715B3990E305910" hidden="1">#REF!</definedName>
    <definedName name="BOA00697DA74CE4D1A8E74DF6CBA8CDB5E" localSheetId="8" hidden="1">#REF!</definedName>
    <definedName name="BOA00697DA74CE4D1A8E74DF6CBA8CDB5E" localSheetId="7" hidden="1">#REF!</definedName>
    <definedName name="BOA00697DA74CE4D1A8E74DF6CBA8CDB5E" localSheetId="6" hidden="1">#REF!</definedName>
    <definedName name="BOA00697DA74CE4D1A8E74DF6CBA8CDB5E" localSheetId="5" hidden="1">#REF!</definedName>
    <definedName name="BOA00697DA74CE4D1A8E74DF6CBA8CDB5E" hidden="1">#REF!</definedName>
    <definedName name="BOA04BFC95E37C41E0BA8708C2DC285AC6" hidden="1">#REF!</definedName>
    <definedName name="BOA08E173EE7904496A5348834BD62DAE2" hidden="1">#REF!</definedName>
    <definedName name="BOA14B10004E4C4E1ABCF1A3CDF3F73698" hidden="1">#REF!</definedName>
    <definedName name="BOA17BD4108D3241A5931B9DD3B0AC049B" hidden="1">#REF!</definedName>
    <definedName name="BOA1B0C7107FC947FFA00BEFACB5B2700E" hidden="1">#REF!</definedName>
    <definedName name="BOA1B8D31A40224F958A69C012FA2876EB" hidden="1">#REF!</definedName>
    <definedName name="BOA1E85DFC0B4144C8B4026EB72C0D5804" hidden="1">#REF!</definedName>
    <definedName name="BOA1F64C4CE9324760BB6DD822188F0624" hidden="1">#REF!</definedName>
    <definedName name="BOA22DC9D11885462CA89F87F9860DB805" localSheetId="8" hidden="1">#REF!</definedName>
    <definedName name="BOA22DC9D11885462CA89F87F9860DB805" localSheetId="7" hidden="1">#REF!</definedName>
    <definedName name="BOA22DC9D11885462CA89F87F9860DB805" localSheetId="6" hidden="1">#REF!</definedName>
    <definedName name="BOA22DC9D11885462CA89F87F9860DB805" localSheetId="5" hidden="1">#REF!</definedName>
    <definedName name="BOA22DC9D11885462CA89F87F9860DB805" hidden="1">#REF!</definedName>
    <definedName name="BOA24BA9CEBC31427E840D1B97726F382B" hidden="1">#REF!</definedName>
    <definedName name="BOA250C3AF12A2421C88DAD132D0B608FC" hidden="1">#REF!</definedName>
    <definedName name="BOA25F51B089CA4947A1F0E3F91B9FB20E" hidden="1">#REF!</definedName>
    <definedName name="BOA2FD6B774BC84F36B9F5D63FA63BFED1" localSheetId="8" hidden="1">#REF!</definedName>
    <definedName name="BOA2FD6B774BC84F36B9F5D63FA63BFED1" localSheetId="7" hidden="1">#REF!</definedName>
    <definedName name="BOA2FD6B774BC84F36B9F5D63FA63BFED1" localSheetId="6" hidden="1">#REF!</definedName>
    <definedName name="BOA2FD6B774BC84F36B9F5D63FA63BFED1" localSheetId="5" hidden="1">#REF!</definedName>
    <definedName name="BOA2FD6B774BC84F36B9F5D63FA63BFED1" hidden="1">#REF!</definedName>
    <definedName name="BOA303239C8059441AAFEA83D767122E08" hidden="1">#REF!</definedName>
    <definedName name="BOA3140FA64A3B40EA944CD2A6B3907CEC" hidden="1">#REF!</definedName>
    <definedName name="BOA347DEA194A44E3CBFDB041209FCAE27" hidden="1">#REF!</definedName>
    <definedName name="BOA36CF3F6EE644629A244A1F8777AD656" hidden="1">#REF!</definedName>
    <definedName name="BOA374AFD5D89741B3B335BD1434643FB4" hidden="1">#REF!</definedName>
    <definedName name="BOA3A6E58122654755A184B8F19EA68C2C" localSheetId="8" hidden="1">#REF!</definedName>
    <definedName name="BOA3A6E58122654755A184B8F19EA68C2C" localSheetId="7" hidden="1">#REF!</definedName>
    <definedName name="BOA3A6E58122654755A184B8F19EA68C2C" localSheetId="6" hidden="1">#REF!</definedName>
    <definedName name="BOA3A6E58122654755A184B8F19EA68C2C" localSheetId="5" hidden="1">#REF!</definedName>
    <definedName name="BOA3A6E58122654755A184B8F19EA68C2C" hidden="1">#REF!</definedName>
    <definedName name="BOA44A811272334A2491FCC2FB2F242625" hidden="1">#REF!</definedName>
    <definedName name="BOA45B5BEE19344B3CB01030D2EC4DB95C" hidden="1">#REF!</definedName>
    <definedName name="BOA4ABA8D8A5424E85A8ED55D87384E295" hidden="1">#REF!</definedName>
    <definedName name="BOA500D3E11D2C41C9A4A39C8D4934B651" hidden="1">#REF!</definedName>
    <definedName name="BOA50763205D1F417FA64E03DDAB4E098E" hidden="1">#REF!</definedName>
    <definedName name="BOA5299B6BBCAF469D9C64A85C100612B8" hidden="1">#REF!</definedName>
    <definedName name="BOA58238E6C46247E1BB44B69525AFE952" hidden="1">#REF!</definedName>
    <definedName name="BOA597EF50590B44258EE5D1C33FFDE8D4" localSheetId="8" hidden="1">#REF!</definedName>
    <definedName name="BOA597EF50590B44258EE5D1C33FFDE8D4" localSheetId="7" hidden="1">#REF!</definedName>
    <definedName name="BOA597EF50590B44258EE5D1C33FFDE8D4" localSheetId="6" hidden="1">#REF!</definedName>
    <definedName name="BOA597EF50590B44258EE5D1C33FFDE8D4" localSheetId="5" hidden="1">#REF!</definedName>
    <definedName name="BOA597EF50590B44258EE5D1C33FFDE8D4" hidden="1">#REF!</definedName>
    <definedName name="BOA5C74FAD691C4B7A9E589FAD9949BA51" hidden="1">#REF!</definedName>
    <definedName name="BOA5CA99C9A56E45FD9F049B60ACE73D31" localSheetId="8" hidden="1">#REF!</definedName>
    <definedName name="BOA5CA99C9A56E45FD9F049B60ACE73D31" localSheetId="7" hidden="1">#REF!</definedName>
    <definedName name="BOA5CA99C9A56E45FD9F049B60ACE73D31" localSheetId="6" hidden="1">#REF!</definedName>
    <definedName name="BOA5CA99C9A56E45FD9F049B60ACE73D31" localSheetId="5" hidden="1">#REF!</definedName>
    <definedName name="BOA5CA99C9A56E45FD9F049B60ACE73D31" hidden="1">#REF!</definedName>
    <definedName name="BOA5DE07EC178542D2AE37413EC3CADBCB" hidden="1">#REF!</definedName>
    <definedName name="BOA623FE7832DF40A1808CD3EBD11F0F75" hidden="1">#REF!</definedName>
    <definedName name="BOA662EA94EFD241C4963301C57969CA46" localSheetId="8" hidden="1">#REF!</definedName>
    <definedName name="BOA662EA94EFD241C4963301C57969CA46" localSheetId="7" hidden="1">#REF!</definedName>
    <definedName name="BOA662EA94EFD241C4963301C57969CA46" localSheetId="6" hidden="1">#REF!</definedName>
    <definedName name="BOA662EA94EFD241C4963301C57969CA46" localSheetId="5" hidden="1">#REF!</definedName>
    <definedName name="BOA662EA94EFD241C4963301C57969CA46" hidden="1">#REF!</definedName>
    <definedName name="BOA7438479679747F0A19B24706950597F" hidden="1">#REF!</definedName>
    <definedName name="BOA7E72F46E66C44D5B6C5A3DE8268C434" hidden="1">#REF!</definedName>
    <definedName name="BOA82AC07A4CCA4CFEBB7D6122E2A21822" hidden="1">#REF!</definedName>
    <definedName name="BOA855A8D241CE40238C5BCA1C8C70BC7C" localSheetId="8" hidden="1">#REF!</definedName>
    <definedName name="BOA855A8D241CE40238C5BCA1C8C70BC7C" localSheetId="7" hidden="1">#REF!</definedName>
    <definedName name="BOA855A8D241CE40238C5BCA1C8C70BC7C" localSheetId="6" hidden="1">#REF!</definedName>
    <definedName name="BOA855A8D241CE40238C5BCA1C8C70BC7C" localSheetId="5" hidden="1">#REF!</definedName>
    <definedName name="BOA855A8D241CE40238C5BCA1C8C70BC7C" hidden="1">#REF!</definedName>
    <definedName name="BOA871A7487EE04600BA929A8E7655A6F2" localSheetId="8" hidden="1">#REF!</definedName>
    <definedName name="BOA871A7487EE04600BA929A8E7655A6F2" localSheetId="7" hidden="1">#REF!</definedName>
    <definedName name="BOA871A7487EE04600BA929A8E7655A6F2" localSheetId="6" hidden="1">#REF!</definedName>
    <definedName name="BOA871A7487EE04600BA929A8E7655A6F2" localSheetId="5" hidden="1">#REF!</definedName>
    <definedName name="BOA871A7487EE04600BA929A8E7655A6F2" hidden="1">#REF!</definedName>
    <definedName name="BOA8A1ECB247154E03B5C4209DDA4230D7" hidden="1">#REF!</definedName>
    <definedName name="BOA8E6FB4E30384B41A580046BC9BCFACA" localSheetId="8" hidden="1">#REF!</definedName>
    <definedName name="BOA8E6FB4E30384B41A580046BC9BCFACA" localSheetId="7" hidden="1">#REF!</definedName>
    <definedName name="BOA8E6FB4E30384B41A580046BC9BCFACA" localSheetId="6" hidden="1">#REF!</definedName>
    <definedName name="BOA8E6FB4E30384B41A580046BC9BCFACA" localSheetId="5" hidden="1">#REF!</definedName>
    <definedName name="BOA8E6FB4E30384B41A580046BC9BCFACA" hidden="1">#REF!</definedName>
    <definedName name="BOA91F67C3CF214D0D85311C8F1337FD42" hidden="1">#REF!</definedName>
    <definedName name="BOA9210B433BC8490CA547074F8DD5E3CA" hidden="1">#REF!</definedName>
    <definedName name="BOA9337D04E4D64273B8D97C71E365163A" hidden="1">#REF!</definedName>
    <definedName name="BOA94B59A98A6D4180B4FAC17AE3F30B31" hidden="1">#REF!</definedName>
    <definedName name="BOA955C4A8B9EB427B8D05D8150D6491FB" localSheetId="8" hidden="1">#REF!</definedName>
    <definedName name="BOA955C4A8B9EB427B8D05D8150D6491FB" localSheetId="7" hidden="1">#REF!</definedName>
    <definedName name="BOA955C4A8B9EB427B8D05D8150D6491FB" localSheetId="6" hidden="1">#REF!</definedName>
    <definedName name="BOA955C4A8B9EB427B8D05D8150D6491FB" localSheetId="5" hidden="1">#REF!</definedName>
    <definedName name="BOA955C4A8B9EB427B8D05D8150D6491FB" hidden="1">#REF!</definedName>
    <definedName name="BOA974179D2D93438F8CA621004B633A61" hidden="1">#REF!</definedName>
    <definedName name="BOA9A7FC6330CA44F18D15CFED10955D6B" hidden="1">#REF!</definedName>
    <definedName name="BOA9BCF501D1AD4FA6B64122B621918DEA" hidden="1">#REF!</definedName>
    <definedName name="BOAA277B1E9BEF42E19452A4D77EC5A527" hidden="1">#REF!</definedName>
    <definedName name="BOAA5106A4175E4E8C8B59563E398EEFE7" hidden="1">#REF!</definedName>
    <definedName name="BOAA69FC951D024C1F9A8AE3C9AA0A8211" localSheetId="8" hidden="1">#REF!</definedName>
    <definedName name="BOAA69FC951D024C1F9A8AE3C9AA0A8211" localSheetId="7" hidden="1">#REF!</definedName>
    <definedName name="BOAA69FC951D024C1F9A8AE3C9AA0A8211" localSheetId="6" hidden="1">#REF!</definedName>
    <definedName name="BOAA69FC951D024C1F9A8AE3C9AA0A8211" localSheetId="5" hidden="1">#REF!</definedName>
    <definedName name="BOAA69FC951D024C1F9A8AE3C9AA0A8211" hidden="1">#REF!</definedName>
    <definedName name="BOAA94D9FCDD144E4EB1E0948F4BB2902A" localSheetId="8" hidden="1">#REF!</definedName>
    <definedName name="BOAA94D9FCDD144E4EB1E0948F4BB2902A" localSheetId="7" hidden="1">#REF!</definedName>
    <definedName name="BOAA94D9FCDD144E4EB1E0948F4BB2902A" localSheetId="6" hidden="1">#REF!</definedName>
    <definedName name="BOAA94D9FCDD144E4EB1E0948F4BB2902A" localSheetId="5" hidden="1">#REF!</definedName>
    <definedName name="BOAA94D9FCDD144E4EB1E0948F4BB2902A" hidden="1">#REF!</definedName>
    <definedName name="BOAAA594C9F0644AAC84A3FA2EA71095FB" hidden="1">#REF!</definedName>
    <definedName name="BOAABA4A74A4BF447AB1C7FF29C3BAFA52" hidden="1">#REF!</definedName>
    <definedName name="BOAAD9CC7D331C459C9CC8A66053010717" hidden="1">#REF!</definedName>
    <definedName name="BOAB6FC35B6D09464A9B2C2F5C76F08E6F" hidden="1">#REF!</definedName>
    <definedName name="BOAB8E1769A7F041E0BBEAED0D8E464919" localSheetId="8" hidden="1">#REF!</definedName>
    <definedName name="BOAB8E1769A7F041E0BBEAED0D8E464919" localSheetId="7" hidden="1">#REF!</definedName>
    <definedName name="BOAB8E1769A7F041E0BBEAED0D8E464919" localSheetId="6" hidden="1">#REF!</definedName>
    <definedName name="BOAB8E1769A7F041E0BBEAED0D8E464919" localSheetId="5" hidden="1">#REF!</definedName>
    <definedName name="BOAB8E1769A7F041E0BBEAED0D8E464919" hidden="1">#REF!</definedName>
    <definedName name="BOAC2779CF44EF44B9AB33A17870C5BAD8" hidden="1">#REF!</definedName>
    <definedName name="BOAC7F6871857B40369F881BB87F559422" hidden="1">#REF!</definedName>
    <definedName name="BOAC9CC28BFF1047289B95F47EF6489F94" hidden="1">#REF!</definedName>
    <definedName name="BOAD013F5F1EDF4123B9BCD6C94F8B9413" hidden="1">#REF!</definedName>
    <definedName name="BOAD2B21FB20D142FEA4C0EF404F1481F9" hidden="1">#REF!</definedName>
    <definedName name="BOAD56DA32A5EF489E8C29487C52672B5D" hidden="1">#REF!</definedName>
    <definedName name="BOAD6ECE9D0E2643768362D61A412B5E9B" localSheetId="8" hidden="1">#REF!</definedName>
    <definedName name="BOAD6ECE9D0E2643768362D61A412B5E9B" localSheetId="7" hidden="1">#REF!</definedName>
    <definedName name="BOAD6ECE9D0E2643768362D61A412B5E9B" localSheetId="6" hidden="1">#REF!</definedName>
    <definedName name="BOAD6ECE9D0E2643768362D61A412B5E9B" localSheetId="5" hidden="1">#REF!</definedName>
    <definedName name="BOAD6ECE9D0E2643768362D61A412B5E9B" hidden="1">#REF!</definedName>
    <definedName name="BOAD908280EC634036932B3E91574CF51B" hidden="1">#REF!</definedName>
    <definedName name="BOAD992361205648F89AB9CA0274F5CCB0" hidden="1">#REF!</definedName>
    <definedName name="BOADBB5282E1124DB1A811EC6716914371" hidden="1">#REF!</definedName>
    <definedName name="BOAE162D11BD304ECE97F9796B53915C31" hidden="1">#REF!</definedName>
    <definedName name="BOAE2F5D05886242D7BA1E9282AFDD231A" hidden="1">#REF!</definedName>
    <definedName name="BOAEB0880BF34946CD92D880343C7FE9CD" localSheetId="8" hidden="1">#REF!</definedName>
    <definedName name="BOAEB0880BF34946CD92D880343C7FE9CD" localSheetId="7" hidden="1">#REF!</definedName>
    <definedName name="BOAEB0880BF34946CD92D880343C7FE9CD" localSheetId="6" hidden="1">#REF!</definedName>
    <definedName name="BOAEB0880BF34946CD92D880343C7FE9CD" localSheetId="5" hidden="1">#REF!</definedName>
    <definedName name="BOAEB0880BF34946CD92D880343C7FE9CD" hidden="1">#REF!</definedName>
    <definedName name="BOAF3DCEE6CED244E381E972621366F65B" localSheetId="8" hidden="1">#REF!</definedName>
    <definedName name="BOAF3DCEE6CED244E381E972621366F65B" localSheetId="7" hidden="1">#REF!</definedName>
    <definedName name="BOAF3DCEE6CED244E381E972621366F65B" localSheetId="6" hidden="1">#REF!</definedName>
    <definedName name="BOAF3DCEE6CED244E381E972621366F65B" localSheetId="5" hidden="1">#REF!</definedName>
    <definedName name="BOAF3DCEE6CED244E381E972621366F65B" hidden="1">#REF!</definedName>
    <definedName name="BOAF684C01C15440E4896F4144F4259A71" hidden="1">#REF!</definedName>
    <definedName name="BOAFA2AAC87A0E45C6A077951FF85028DC" hidden="1">#REF!</definedName>
    <definedName name="BOAFB1BE37B2B749EE9FEB2CD586D48EB9" hidden="1">#REF!</definedName>
    <definedName name="BOAFBF314C25EA4CB2A17F7EC5BA4AD7B2" hidden="1">#REF!</definedName>
    <definedName name="BOAFF2F66B2AAD4D3E82F272DCAEBE3B60" localSheetId="8" hidden="1">#REF!</definedName>
    <definedName name="BOAFF2F66B2AAD4D3E82F272DCAEBE3B60" localSheetId="7" hidden="1">#REF!</definedName>
    <definedName name="BOAFF2F66B2AAD4D3E82F272DCAEBE3B60" localSheetId="6" hidden="1">#REF!</definedName>
    <definedName name="BOAFF2F66B2AAD4D3E82F272DCAEBE3B60" localSheetId="5" hidden="1">#REF!</definedName>
    <definedName name="BOAFF2F66B2AAD4D3E82F272DCAEBE3B60" hidden="1">#REF!</definedName>
    <definedName name="BOB06595E2BECE45B1B05FF7156ED85A23" hidden="1">#REF!</definedName>
    <definedName name="BOB090D9B610A14B6DAF6D80AE22229542" hidden="1">#REF!</definedName>
    <definedName name="BOB138B810A93C4994B20134989B5C91DB" hidden="1">#REF!</definedName>
    <definedName name="BOB1AEF78F33A24329866A70B606736725" localSheetId="8" hidden="1">#REF!</definedName>
    <definedName name="BOB1AEF78F33A24329866A70B606736725" localSheetId="7" hidden="1">#REF!</definedName>
    <definedName name="BOB1AEF78F33A24329866A70B606736725" localSheetId="6" hidden="1">#REF!</definedName>
    <definedName name="BOB1AEF78F33A24329866A70B606736725" localSheetId="5" hidden="1">#REF!</definedName>
    <definedName name="BOB1AEF78F33A24329866A70B606736725" hidden="1">#REF!</definedName>
    <definedName name="BOB21FB175065E4A169C5D6A6144D0055D" localSheetId="8" hidden="1">#REF!</definedName>
    <definedName name="BOB21FB175065E4A169C5D6A6144D0055D" localSheetId="7" hidden="1">#REF!</definedName>
    <definedName name="BOB21FB175065E4A169C5D6A6144D0055D" localSheetId="6" hidden="1">#REF!</definedName>
    <definedName name="BOB21FB175065E4A169C5D6A6144D0055D" localSheetId="5" hidden="1">#REF!</definedName>
    <definedName name="BOB21FB175065E4A169C5D6A6144D0055D" hidden="1">#REF!</definedName>
    <definedName name="BOB232AF5CA4084DB5B3705254E216D08C" localSheetId="8" hidden="1">#REF!</definedName>
    <definedName name="BOB232AF5CA4084DB5B3705254E216D08C" localSheetId="7" hidden="1">#REF!</definedName>
    <definedName name="BOB232AF5CA4084DB5B3705254E216D08C" localSheetId="6" hidden="1">#REF!</definedName>
    <definedName name="BOB232AF5CA4084DB5B3705254E216D08C" localSheetId="5" hidden="1">#REF!</definedName>
    <definedName name="BOB232AF5CA4084DB5B3705254E216D08C" hidden="1">#REF!</definedName>
    <definedName name="BOB249EF9624044733ABA242D10E9B3497" hidden="1">#REF!</definedName>
    <definedName name="BOB25A69B07E7244FA82C7682543F7A683" hidden="1">#REF!</definedName>
    <definedName name="BOB28F2D431CC044729C2C73BD44456AFC" hidden="1">#REF!</definedName>
    <definedName name="BOB293713181B64318B7052E3F7A6D6505" hidden="1">#REF!</definedName>
    <definedName name="BOB2FEB8F69C434D7289C26794DB96E867" hidden="1">#REF!</definedName>
    <definedName name="BOB3223F3C0C934E0289D4C635820F5D2F" hidden="1">#REF!</definedName>
    <definedName name="BOB367E8CE44F04B1F85266C86ABC7D7AD" hidden="1">#REF!</definedName>
    <definedName name="BOB4512124A29644D4B52AD4A34AD53987" hidden="1">#REF!</definedName>
    <definedName name="BOB48B7282A1024029954AC87FCE25456A" hidden="1">#REF!</definedName>
    <definedName name="BOB4DEE9A3C0D648A89D9D16C4DDC0E08D" hidden="1">#REF!</definedName>
    <definedName name="BOB55126A6318A44969BA481124BA36558" hidden="1">#REF!</definedName>
    <definedName name="BOB5E51B339CFA4E9DB1E301752CDA4C30" localSheetId="8" hidden="1">#REF!</definedName>
    <definedName name="BOB5E51B339CFA4E9DB1E301752CDA4C30" localSheetId="7" hidden="1">#REF!</definedName>
    <definedName name="BOB5E51B339CFA4E9DB1E301752CDA4C30" localSheetId="6" hidden="1">#REF!</definedName>
    <definedName name="BOB5E51B339CFA4E9DB1E301752CDA4C30" localSheetId="5" hidden="1">#REF!</definedName>
    <definedName name="BOB5E51B339CFA4E9DB1E301752CDA4C30" hidden="1">#REF!</definedName>
    <definedName name="BOB60BADCDEDB042C997808062ED8ECD21" localSheetId="8" hidden="1">#REF!</definedName>
    <definedName name="BOB60BADCDEDB042C997808062ED8ECD21" localSheetId="7" hidden="1">#REF!</definedName>
    <definedName name="BOB60BADCDEDB042C997808062ED8ECD21" localSheetId="6" hidden="1">#REF!</definedName>
    <definedName name="BOB60BADCDEDB042C997808062ED8ECD21" localSheetId="5" hidden="1">#REF!</definedName>
    <definedName name="BOB60BADCDEDB042C997808062ED8ECD21" hidden="1">#REF!</definedName>
    <definedName name="BOB6138DEA2FC546A793AB3188FD193CC2" hidden="1">#REF!</definedName>
    <definedName name="BOB61475F2BFA143F2A0E6302A412EBB3B" hidden="1">#REF!</definedName>
    <definedName name="BOB630278BCB0745C58C0D77A6703467F2" hidden="1">#REF!</definedName>
    <definedName name="BOB6329D2A4E0F45E496EC68B5AF6EF89C" localSheetId="8" hidden="1">#REF!</definedName>
    <definedName name="BOB6329D2A4E0F45E496EC68B5AF6EF89C" localSheetId="7" hidden="1">#REF!</definedName>
    <definedName name="BOB6329D2A4E0F45E496EC68B5AF6EF89C" localSheetId="6" hidden="1">#REF!</definedName>
    <definedName name="BOB6329D2A4E0F45E496EC68B5AF6EF89C" localSheetId="5" hidden="1">#REF!</definedName>
    <definedName name="BOB6329D2A4E0F45E496EC68B5AF6EF89C" hidden="1">#REF!</definedName>
    <definedName name="BOB651E806462B4F01B86E0A6AF329E814" hidden="1">#REF!</definedName>
    <definedName name="BOB6823A8E902D4A238B84746A329B7638" hidden="1">#REF!</definedName>
    <definedName name="BOB70D6CB8C431425EA2B0E16DA91D00D5" hidden="1">#REF!</definedName>
    <definedName name="BOB75ECCE939634F5C8365F819881D9ABA" hidden="1">#REF!</definedName>
    <definedName name="BOB83B27FFF57C40D89143E41E811C5933" localSheetId="8" hidden="1">#REF!</definedName>
    <definedName name="BOB83B27FFF57C40D89143E41E811C5933" localSheetId="7" hidden="1">#REF!</definedName>
    <definedName name="BOB83B27FFF57C40D89143E41E811C5933" localSheetId="6" hidden="1">#REF!</definedName>
    <definedName name="BOB83B27FFF57C40D89143E41E811C5933" localSheetId="5" hidden="1">#REF!</definedName>
    <definedName name="BOB83B27FFF57C40D89143E41E811C5933" hidden="1">#REF!</definedName>
    <definedName name="BOB8D173DE1FA9490CA1AB605EA3097B9B" localSheetId="8" hidden="1">#REF!</definedName>
    <definedName name="BOB8D173DE1FA9490CA1AB605EA3097B9B" localSheetId="7" hidden="1">#REF!</definedName>
    <definedName name="BOB8D173DE1FA9490CA1AB605EA3097B9B" localSheetId="6" hidden="1">#REF!</definedName>
    <definedName name="BOB8D173DE1FA9490CA1AB605EA3097B9B" localSheetId="5" hidden="1">#REF!</definedName>
    <definedName name="BOB8D173DE1FA9490CA1AB605EA3097B9B" hidden="1">#REF!</definedName>
    <definedName name="BOB977B4115BA241CFAFB33C00F6FFA392" localSheetId="8" hidden="1">#REF!</definedName>
    <definedName name="BOB977B4115BA241CFAFB33C00F6FFA392" localSheetId="7" hidden="1">#REF!</definedName>
    <definedName name="BOB977B4115BA241CFAFB33C00F6FFA392" localSheetId="6" hidden="1">#REF!</definedName>
    <definedName name="BOB977B4115BA241CFAFB33C00F6FFA392" localSheetId="5" hidden="1">#REF!</definedName>
    <definedName name="BOB977B4115BA241CFAFB33C00F6FFA392" hidden="1">#REF!</definedName>
    <definedName name="BOB9B66747079E4B83A8C3055C0E4A283E" localSheetId="8" hidden="1">#REF!</definedName>
    <definedName name="BOB9B66747079E4B83A8C3055C0E4A283E" localSheetId="7" hidden="1">#REF!</definedName>
    <definedName name="BOB9B66747079E4B83A8C3055C0E4A283E" localSheetId="6" hidden="1">#REF!</definedName>
    <definedName name="BOB9B66747079E4B83A8C3055C0E4A283E" localSheetId="5" hidden="1">#REF!</definedName>
    <definedName name="BOB9B66747079E4B83A8C3055C0E4A283E" hidden="1">#REF!</definedName>
    <definedName name="BOB9CBEF8F496445B7A5B2B634C75D8F3C" hidden="1">#REF!</definedName>
    <definedName name="BOB9F372751E3844169D7675B013A5A439" hidden="1">#REF!</definedName>
    <definedName name="BOBA7001D0E0744B97B665ADB8407A0DD3" hidden="1">#REF!</definedName>
    <definedName name="BOBAF6B4422B14421D8C072FFCECA9420C" hidden="1">#REF!</definedName>
    <definedName name="BOBB0B1F98DF724FE6BED05B9C9D2A22A1" localSheetId="8" hidden="1">#REF!</definedName>
    <definedName name="BOBB0B1F98DF724FE6BED05B9C9D2A22A1" localSheetId="7" hidden="1">#REF!</definedName>
    <definedName name="BOBB0B1F98DF724FE6BED05B9C9D2A22A1" localSheetId="6" hidden="1">#REF!</definedName>
    <definedName name="BOBB0B1F98DF724FE6BED05B9C9D2A22A1" localSheetId="5" hidden="1">#REF!</definedName>
    <definedName name="BOBB0B1F98DF724FE6BED05B9C9D2A22A1" hidden="1">#REF!</definedName>
    <definedName name="BOBB240E6946204613A509183730EEC36E" localSheetId="8" hidden="1">#REF!</definedName>
    <definedName name="BOBB240E6946204613A509183730EEC36E" localSheetId="7" hidden="1">#REF!</definedName>
    <definedName name="BOBB240E6946204613A509183730EEC36E" localSheetId="6" hidden="1">#REF!</definedName>
    <definedName name="BOBB240E6946204613A509183730EEC36E" localSheetId="5" hidden="1">#REF!</definedName>
    <definedName name="BOBB240E6946204613A509183730EEC36E" hidden="1">#REF!</definedName>
    <definedName name="BOBB9788A770924D38B46E1D32FEB8ACE1" hidden="1">#REF!</definedName>
    <definedName name="BOBB9E063B21E04CD18580215E74D08575" hidden="1">#REF!</definedName>
    <definedName name="BOBBAFC7E3E0C54C8DB26B9955F85B02AD" hidden="1">#REF!</definedName>
    <definedName name="BOBBD02B61E83140EAB1952DD5741CF4AA" hidden="1">#REF!</definedName>
    <definedName name="BOBBDFDB3641FA439DBEB2DF4C06C4AB91" hidden="1">#REF!</definedName>
    <definedName name="BOBBE1CDA1E63E410AB46EAD37D3DB6FAD" hidden="1">#REF!</definedName>
    <definedName name="BOBBE84A1807F64367A43830EF415FE673" hidden="1">#REF!</definedName>
    <definedName name="BOBBFD2139584E483B9D8C47C17FDF69CC" hidden="1">#REF!</definedName>
    <definedName name="BOBC655300EF424004964392A4EF164843" hidden="1">#REF!</definedName>
    <definedName name="BOBC8386952EF14A79B05DA7EBB1B4D1F5" hidden="1">#REF!</definedName>
    <definedName name="BOBCEDCE2CA48B488EA73089EC66CEEAEE" hidden="1">#REF!</definedName>
    <definedName name="BOBD27C2F305654A28BC5D19DA063FE6F3" localSheetId="8" hidden="1">#REF!</definedName>
    <definedName name="BOBD27C2F305654A28BC5D19DA063FE6F3" localSheetId="7" hidden="1">#REF!</definedName>
    <definedName name="BOBD27C2F305654A28BC5D19DA063FE6F3" localSheetId="6" hidden="1">#REF!</definedName>
    <definedName name="BOBD27C2F305654A28BC5D19DA063FE6F3" localSheetId="5" hidden="1">#REF!</definedName>
    <definedName name="BOBD27C2F305654A28BC5D19DA063FE6F3" hidden="1">#REF!</definedName>
    <definedName name="BOBD9D8D1812CD41E1AC964EB3072FD0CC" hidden="1">#REF!</definedName>
    <definedName name="BOBDD60FBF4668498AB272078B97434F7D" hidden="1">#REF!</definedName>
    <definedName name="BOBDF6AA07714B4914B9108536F3FB6C8D" localSheetId="8" hidden="1">#REF!</definedName>
    <definedName name="BOBDF6AA07714B4914B9108536F3FB6C8D" localSheetId="7" hidden="1">#REF!</definedName>
    <definedName name="BOBDF6AA07714B4914B9108536F3FB6C8D" localSheetId="6" hidden="1">#REF!</definedName>
    <definedName name="BOBDF6AA07714B4914B9108536F3FB6C8D" localSheetId="5" hidden="1">#REF!</definedName>
    <definedName name="BOBDF6AA07714B4914B9108536F3FB6C8D" hidden="1">#REF!</definedName>
    <definedName name="BOBE4095B8E77946CFB0D02E6E4463B65C" hidden="1">#REF!</definedName>
    <definedName name="BOBEAD292CDED54BFC9B3344310A5C2C22" hidden="1">#REF!</definedName>
    <definedName name="BOBF029F0FE56C476FAD7E611F0100A694" hidden="1">#REF!</definedName>
    <definedName name="BOBF2671786D2043E2A58BD7C0E6886A4D" hidden="1">#REF!</definedName>
    <definedName name="BOBF287CBF92B84EE389D662A01923CD04" hidden="1">#REF!</definedName>
    <definedName name="BOBF544FD71B48412291D99001A66D38A2" hidden="1">#REF!</definedName>
    <definedName name="BOBF837954B5B44DCE89AFCB2B3C06752E" localSheetId="8" hidden="1">#REF!</definedName>
    <definedName name="BOBF837954B5B44DCE89AFCB2B3C06752E" localSheetId="7" hidden="1">#REF!</definedName>
    <definedName name="BOBF837954B5B44DCE89AFCB2B3C06752E" localSheetId="6" hidden="1">#REF!</definedName>
    <definedName name="BOBF837954B5B44DCE89AFCB2B3C06752E" localSheetId="5" hidden="1">#REF!</definedName>
    <definedName name="BOBF837954B5B44DCE89AFCB2B3C06752E" hidden="1">#REF!</definedName>
    <definedName name="BOBFAB95B2EFDC46C0A472B84CDE16889E" hidden="1">#REF!</definedName>
    <definedName name="BOBFBD793E525041F48582CD696ACABAD2" hidden="1">#REF!</definedName>
    <definedName name="BOC007BF8D40D445109F9D96ABEE6D1E60" localSheetId="8" hidden="1">#REF!</definedName>
    <definedName name="BOC007BF8D40D445109F9D96ABEE6D1E60" localSheetId="7" hidden="1">#REF!</definedName>
    <definedName name="BOC007BF8D40D445109F9D96ABEE6D1E60" localSheetId="6" hidden="1">#REF!</definedName>
    <definedName name="BOC007BF8D40D445109F9D96ABEE6D1E60" localSheetId="5" hidden="1">#REF!</definedName>
    <definedName name="BOC007BF8D40D445109F9D96ABEE6D1E60" hidden="1">#REF!</definedName>
    <definedName name="BOC09F75BCC5C648A284D413558F042B1C" hidden="1">#REF!</definedName>
    <definedName name="BOC0BF9ECD28A94D07939C8B52E0E061EC" hidden="1">#REF!</definedName>
    <definedName name="BOC0D5FAC8BFE84774AD43038F818F9BB0" hidden="1">#REF!</definedName>
    <definedName name="BOC121FD8C66984C90B9A74E9C4E0A31B5" localSheetId="8" hidden="1">#REF!</definedName>
    <definedName name="BOC121FD8C66984C90B9A74E9C4E0A31B5" localSheetId="7" hidden="1">#REF!</definedName>
    <definedName name="BOC121FD8C66984C90B9A74E9C4E0A31B5" localSheetId="6" hidden="1">#REF!</definedName>
    <definedName name="BOC121FD8C66984C90B9A74E9C4E0A31B5" localSheetId="5" hidden="1">#REF!</definedName>
    <definedName name="BOC121FD8C66984C90B9A74E9C4E0A31B5" hidden="1">#REF!</definedName>
    <definedName name="BOC13E59A718ED4E0C9F450A4B1D46BFBF" hidden="1">#REF!</definedName>
    <definedName name="BOC142AFA98F2E4E91A4317C3898D62756" hidden="1">#REF!</definedName>
    <definedName name="BOC1663A5D8FAE4058931AA85BDE626167" hidden="1">#REF!</definedName>
    <definedName name="BOC1CE28D9E60D4E51A937E33F0A3DBCFA" hidden="1">#REF!</definedName>
    <definedName name="BOC217A7EAD73F4FF7A9EA2C0E914692D5" hidden="1">#REF!</definedName>
    <definedName name="BOC2485996A44E49868FF53A352636747E" hidden="1">#REF!</definedName>
    <definedName name="BOC2553261A79B439E89D19E4E177EFE3E" hidden="1">#REF!</definedName>
    <definedName name="BOC258AB21E79946E48D1A1E485D4C1D50" hidden="1">#REF!</definedName>
    <definedName name="BOC2608D8563654373B338B378D4A8D77E" hidden="1">#REF!</definedName>
    <definedName name="BOC2BDF7AC2C7D433E9495B9AA0EA43A34" hidden="1">#REF!</definedName>
    <definedName name="BOC2D1C20D725B4BE18CEA08994B3AEBB4" hidden="1">#REF!</definedName>
    <definedName name="BOC30693546BF747159B239DE6E0820028" localSheetId="8" hidden="1">#REF!</definedName>
    <definedName name="BOC30693546BF747159B239DE6E0820028" localSheetId="7" hidden="1">#REF!</definedName>
    <definedName name="BOC30693546BF747159B239DE6E0820028" localSheetId="6" hidden="1">#REF!</definedName>
    <definedName name="BOC30693546BF747159B239DE6E0820028" localSheetId="5" hidden="1">#REF!</definedName>
    <definedName name="BOC30693546BF747159B239DE6E0820028" hidden="1">#REF!</definedName>
    <definedName name="BOC318AFD8FA374879BB6B7718E1C40E17" hidden="1">#REF!</definedName>
    <definedName name="BOC339C34D130D4B2BA17CE127D925A7FE" localSheetId="8" hidden="1">#REF!</definedName>
    <definedName name="BOC339C34D130D4B2BA17CE127D925A7FE" localSheetId="7" hidden="1">#REF!</definedName>
    <definedName name="BOC339C34D130D4B2BA17CE127D925A7FE" localSheetId="6" hidden="1">#REF!</definedName>
    <definedName name="BOC339C34D130D4B2BA17CE127D925A7FE" localSheetId="5" hidden="1">#REF!</definedName>
    <definedName name="BOC339C34D130D4B2BA17CE127D925A7FE" hidden="1">#REF!</definedName>
    <definedName name="BOC340DF4202E7480C844A37CD93B903CD" hidden="1">#REF!</definedName>
    <definedName name="BOC34363F72B0245698F235980AD1DCEB4" hidden="1">#REF!</definedName>
    <definedName name="BOC39DF55306414BC58E3194E79B1F1917" localSheetId="8" hidden="1">#REF!</definedName>
    <definedName name="BOC39DF55306414BC58E3194E79B1F1917" localSheetId="7" hidden="1">#REF!</definedName>
    <definedName name="BOC39DF55306414BC58E3194E79B1F1917" localSheetId="6" hidden="1">#REF!</definedName>
    <definedName name="BOC39DF55306414BC58E3194E79B1F1917" localSheetId="5" hidden="1">#REF!</definedName>
    <definedName name="BOC39DF55306414BC58E3194E79B1F1917" hidden="1">#REF!</definedName>
    <definedName name="BOC3AB207EB8514D7E82C36D6282DA8093" localSheetId="8" hidden="1">#REF!</definedName>
    <definedName name="BOC3AB207EB8514D7E82C36D6282DA8093" localSheetId="7" hidden="1">#REF!</definedName>
    <definedName name="BOC3AB207EB8514D7E82C36D6282DA8093" localSheetId="6" hidden="1">#REF!</definedName>
    <definedName name="BOC3AB207EB8514D7E82C36D6282DA8093" localSheetId="5" hidden="1">#REF!</definedName>
    <definedName name="BOC3AB207EB8514D7E82C36D6282DA8093" hidden="1">#REF!</definedName>
    <definedName name="BOC4752AA94DE54ACE8D049D865FFB640A" hidden="1">#REF!</definedName>
    <definedName name="BOC48D912627264929853D7D57D1805B62" localSheetId="8" hidden="1">#REF!</definedName>
    <definedName name="BOC48D912627264929853D7D57D1805B62" localSheetId="7" hidden="1">#REF!</definedName>
    <definedName name="BOC48D912627264929853D7D57D1805B62" localSheetId="6" hidden="1">#REF!</definedName>
    <definedName name="BOC48D912627264929853D7D57D1805B62" localSheetId="5" hidden="1">#REF!</definedName>
    <definedName name="BOC48D912627264929853D7D57D1805B62" hidden="1">#REF!</definedName>
    <definedName name="BOC4BB873CFA8343D89F0A7B7937FFED56" hidden="1">#REF!</definedName>
    <definedName name="BOC52BE53EA3BF48E0840B9ED5159F724A" hidden="1">#REF!</definedName>
    <definedName name="BOC545F651466145B785ADFBFAC35F6CB5" hidden="1">#REF!</definedName>
    <definedName name="BOC5C5BAE353C04113AAF8BEEB764AE661" localSheetId="8" hidden="1">#REF!</definedName>
    <definedName name="BOC5C5BAE353C04113AAF8BEEB764AE661" localSheetId="7" hidden="1">#REF!</definedName>
    <definedName name="BOC5C5BAE353C04113AAF8BEEB764AE661" localSheetId="6" hidden="1">#REF!</definedName>
    <definedName name="BOC5C5BAE353C04113AAF8BEEB764AE661" localSheetId="5" hidden="1">#REF!</definedName>
    <definedName name="BOC5C5BAE353C04113AAF8BEEB764AE661" hidden="1">#REF!</definedName>
    <definedName name="BOC5CA9910A7AC43829DFF6A1FA372F127" hidden="1">#REF!</definedName>
    <definedName name="BOC5CBA11A98B74A6FA0A888D68AEE21CA" hidden="1">#REF!</definedName>
    <definedName name="BOC5F83A1BFF8B4E05ACCCEA249CD714C9" localSheetId="8" hidden="1">#REF!</definedName>
    <definedName name="BOC5F83A1BFF8B4E05ACCCEA249CD714C9" localSheetId="7" hidden="1">#REF!</definedName>
    <definedName name="BOC5F83A1BFF8B4E05ACCCEA249CD714C9" localSheetId="6" hidden="1">#REF!</definedName>
    <definedName name="BOC5F83A1BFF8B4E05ACCCEA249CD714C9" localSheetId="5" hidden="1">#REF!</definedName>
    <definedName name="BOC5F83A1BFF8B4E05ACCCEA249CD714C9" hidden="1">#REF!</definedName>
    <definedName name="BOC6102BECCF8B48118BBBB2C2251FA05C" hidden="1">#REF!</definedName>
    <definedName name="BOC612B53340B64521A99BCD0BF29E58EB" hidden="1">#REF!</definedName>
    <definedName name="BOC61B160D383B48658C48E74CA5D82EBC" hidden="1">#REF!</definedName>
    <definedName name="BOC63C73DAFF2849049CF0CEF8A39F8D2F" hidden="1">#REF!</definedName>
    <definedName name="BOC64B9A8129F24148B905F068D1E4FE8D" hidden="1">#REF!</definedName>
    <definedName name="BOC6A279967B4B4DE48E5C3446F0885D5E" hidden="1">#REF!</definedName>
    <definedName name="BOC7047879999B4613B803CBEC38B3DAD0" localSheetId="8" hidden="1">#REF!</definedName>
    <definedName name="BOC7047879999B4613B803CBEC38B3DAD0" localSheetId="7" hidden="1">#REF!</definedName>
    <definedName name="BOC7047879999B4613B803CBEC38B3DAD0" localSheetId="6" hidden="1">#REF!</definedName>
    <definedName name="BOC7047879999B4613B803CBEC38B3DAD0" localSheetId="5" hidden="1">#REF!</definedName>
    <definedName name="BOC7047879999B4613B803CBEC38B3DAD0" hidden="1">#REF!</definedName>
    <definedName name="BOC71C313C7E164EB0B00E88DB68223F42" hidden="1">#REF!</definedName>
    <definedName name="BOC75CB18B2737420380D6BAF45998CBA1" hidden="1">#REF!</definedName>
    <definedName name="BOC7C9CF248C8C4836803A647FB7FBF02A" hidden="1">#REF!</definedName>
    <definedName name="BOC7CB189BDF6B444A8FF9F70DE0AD2985" hidden="1">#REF!</definedName>
    <definedName name="BOC7F0EFB97C1D44538A72F25B9C9A889A" localSheetId="8" hidden="1">#REF!</definedName>
    <definedName name="BOC7F0EFB97C1D44538A72F25B9C9A889A" localSheetId="7" hidden="1">#REF!</definedName>
    <definedName name="BOC7F0EFB97C1D44538A72F25B9C9A889A" localSheetId="6" hidden="1">#REF!</definedName>
    <definedName name="BOC7F0EFB97C1D44538A72F25B9C9A889A" localSheetId="5" hidden="1">#REF!</definedName>
    <definedName name="BOC7F0EFB97C1D44538A72F25B9C9A889A" hidden="1">#REF!</definedName>
    <definedName name="BOC83215AB68024400B898F5FC5799B57E" hidden="1">#REF!</definedName>
    <definedName name="BOC857CA6E55DA43B4B5754F377258CB89" hidden="1">#REF!</definedName>
    <definedName name="BOC85875060BB148188537E25A9C11F8CD" hidden="1">#REF!</definedName>
    <definedName name="BOC891084823F84A9094848F35707962EB" hidden="1">#REF!</definedName>
    <definedName name="BOC8D5F43B0DC646069066A687948A631C" localSheetId="8" hidden="1">#REF!</definedName>
    <definedName name="BOC8D5F43B0DC646069066A687948A631C" localSheetId="7" hidden="1">#REF!</definedName>
    <definedName name="BOC8D5F43B0DC646069066A687948A631C" localSheetId="6" hidden="1">#REF!</definedName>
    <definedName name="BOC8D5F43B0DC646069066A687948A631C" localSheetId="5" hidden="1">#REF!</definedName>
    <definedName name="BOC8D5F43B0DC646069066A687948A631C" hidden="1">#REF!</definedName>
    <definedName name="BOC8FCE0A360444BD1A0F793EAD0493665" hidden="1">#REF!</definedName>
    <definedName name="BOC90007DA7F2144D1BD91035DC7B81199" hidden="1">#REF!</definedName>
    <definedName name="BOC9614F4F99CE4A9A89C2797FC6DE1670" hidden="1">#REF!</definedName>
    <definedName name="BOC972D2FD141A4A45B4ED14BD8F39D6B7" hidden="1">#REF!</definedName>
    <definedName name="BOC9D9ADEF72B8422BB5E64FE79182E645" hidden="1">#REF!</definedName>
    <definedName name="BOC9DA7A79F10E4F9D8CA68384B45624F7" hidden="1">#REF!</definedName>
    <definedName name="BOC9EC36394573420395D101A700B887C4" localSheetId="8" hidden="1">#REF!</definedName>
    <definedName name="BOC9EC36394573420395D101A700B887C4" localSheetId="7" hidden="1">#REF!</definedName>
    <definedName name="BOC9EC36394573420395D101A700B887C4" localSheetId="6" hidden="1">#REF!</definedName>
    <definedName name="BOC9EC36394573420395D101A700B887C4" localSheetId="5" hidden="1">#REF!</definedName>
    <definedName name="BOC9EC36394573420395D101A700B887C4" hidden="1">#REF!</definedName>
    <definedName name="BOC9F4FFF0AD674AB99C64129AB2E34FBB" hidden="1">#REF!</definedName>
    <definedName name="BOCA1F3F3FFC064789AA7B786FE48694FB" hidden="1">#REF!</definedName>
    <definedName name="BOCA4AD7F8AEAD41FA8E4AF168BA8C4098" hidden="1">#REF!</definedName>
    <definedName name="BOCA7EEF022D2749E9A5379C219971D939" hidden="1">#REF!</definedName>
    <definedName name="BOCA95322794634DCD96603F9C180AD0D5" hidden="1">#REF!</definedName>
    <definedName name="BOCAAA4BB5DDF64CFEA9A94F05E3D4F2C9" hidden="1">#REF!</definedName>
    <definedName name="BOCABD02818A0F4A42AD6C0873509426C4" hidden="1">#REF!</definedName>
    <definedName name="BOCAC183E0DDBE47D28251939C6DF7E230" localSheetId="8" hidden="1">#REF!</definedName>
    <definedName name="BOCAC183E0DDBE47D28251939C6DF7E230" localSheetId="7" hidden="1">#REF!</definedName>
    <definedName name="BOCAC183E0DDBE47D28251939C6DF7E230" localSheetId="6" hidden="1">#REF!</definedName>
    <definedName name="BOCAC183E0DDBE47D28251939C6DF7E230" localSheetId="5" hidden="1">#REF!</definedName>
    <definedName name="BOCAC183E0DDBE47D28251939C6DF7E230" hidden="1">#REF!</definedName>
    <definedName name="BOCB0174BFDD82480B8DA8B51ED8B2204E" hidden="1">#REF!</definedName>
    <definedName name="BOCB050CEAE05E425E8681CABFF28C5659" hidden="1">#REF!</definedName>
    <definedName name="BOCB1FD51BC8DF45829B1A564AD72AFE22" hidden="1">#REF!</definedName>
    <definedName name="BOCB7E5ED0907F43538C0542EB90F1E5D7" hidden="1">#REF!</definedName>
    <definedName name="BOCC008EEDC5C5410E9F851768DBB97513" localSheetId="8" hidden="1">#REF!</definedName>
    <definedName name="BOCC008EEDC5C5410E9F851768DBB97513" localSheetId="7" hidden="1">#REF!</definedName>
    <definedName name="BOCC008EEDC5C5410E9F851768DBB97513" localSheetId="6" hidden="1">#REF!</definedName>
    <definedName name="BOCC008EEDC5C5410E9F851768DBB97513" localSheetId="5" hidden="1">#REF!</definedName>
    <definedName name="BOCC008EEDC5C5410E9F851768DBB97513" hidden="1">#REF!</definedName>
    <definedName name="BOCC4866686E1541E9B5AC14221C4B17BF" hidden="1">#REF!</definedName>
    <definedName name="BOCC86260EE2114DEB8DB5BA7C61428992" hidden="1">#REF!</definedName>
    <definedName name="BOCCC9D8E1447A41C3901400A152F2A0FA" hidden="1">#REF!</definedName>
    <definedName name="BOCCFEEEE4AEFD49A2BF2C5EDF224ACEA3" hidden="1">#REF!</definedName>
    <definedName name="BOCD1C81D004A34DD5B94177011C5C103C" hidden="1">#REF!</definedName>
    <definedName name="BOCD5CCB8A3B63498DB94A44C86B99EB51" hidden="1">#REF!</definedName>
    <definedName name="BOCD8A1BB1A2914CB0A1390ADFCF33E9CB" hidden="1">#REF!</definedName>
    <definedName name="BOCD8D89269CD4482F827A330EDEE0F042" hidden="1">#REF!</definedName>
    <definedName name="BOCDAD068DBA734E91B57BCA7BDD45F54F" hidden="1">#REF!</definedName>
    <definedName name="BOCE07B1FC1E1143E28F2129124A5BE65A" hidden="1">#REF!</definedName>
    <definedName name="BOCE82A0BA4DDE49CAA445D89F4785CE04" hidden="1">#REF!</definedName>
    <definedName name="BOCECFC5C59A1344E5BE4741767184D336" hidden="1">#REF!</definedName>
    <definedName name="BOCED0A45DF9414EF69C80FA512D738B8C" hidden="1">#REF!</definedName>
    <definedName name="BOCEF940916C144BDA8C7E974CFC9DBA7D" hidden="1">#REF!</definedName>
    <definedName name="BOCF5A062C7BFB4C02BB9FC4FB69132C62" localSheetId="8" hidden="1">#REF!</definedName>
    <definedName name="BOCF5A062C7BFB4C02BB9FC4FB69132C62" localSheetId="7" hidden="1">#REF!</definedName>
    <definedName name="BOCF5A062C7BFB4C02BB9FC4FB69132C62" localSheetId="6" hidden="1">#REF!</definedName>
    <definedName name="BOCF5A062C7BFB4C02BB9FC4FB69132C62" localSheetId="5" hidden="1">#REF!</definedName>
    <definedName name="BOCF5A062C7BFB4C02BB9FC4FB69132C62" hidden="1">#REF!</definedName>
    <definedName name="BOCF9866E36D9A4537813F5433A2D77754" hidden="1">#REF!</definedName>
    <definedName name="BOCFF9630231ED4E309F305E7AB2398C23" hidden="1">#REF!</definedName>
    <definedName name="BOD002B263DEB24629A3D3491533ABACB0" hidden="1">#REF!</definedName>
    <definedName name="BOD00D747524A8434E8D930EE05EA063F5" localSheetId="8" hidden="1">#REF!</definedName>
    <definedName name="BOD00D747524A8434E8D930EE05EA063F5" localSheetId="7" hidden="1">#REF!</definedName>
    <definedName name="BOD00D747524A8434E8D930EE05EA063F5" localSheetId="6" hidden="1">#REF!</definedName>
    <definedName name="BOD00D747524A8434E8D930EE05EA063F5" localSheetId="5" hidden="1">#REF!</definedName>
    <definedName name="BOD00D747524A8434E8D930EE05EA063F5" hidden="1">#REF!</definedName>
    <definedName name="BOD029B0718B084D62A218BE244351D1A7" hidden="1">#REF!</definedName>
    <definedName name="BOD07B8E60C8C24E4B90C47DDE39558BCD" hidden="1">#REF!</definedName>
    <definedName name="BOD07F78009CC64AAEA0EC299C77CB76DD" localSheetId="8" hidden="1">#REF!</definedName>
    <definedName name="BOD07F78009CC64AAEA0EC299C77CB76DD" localSheetId="7" hidden="1">#REF!</definedName>
    <definedName name="BOD07F78009CC64AAEA0EC299C77CB76DD" localSheetId="6" hidden="1">#REF!</definedName>
    <definedName name="BOD07F78009CC64AAEA0EC299C77CB76DD" localSheetId="5" hidden="1">#REF!</definedName>
    <definedName name="BOD07F78009CC64AAEA0EC299C77CB76DD" hidden="1">#REF!</definedName>
    <definedName name="BOD08DFD85DB1B4434AE07382BF6F429E3" hidden="1">#REF!</definedName>
    <definedName name="BOD1353DAA48884CC8B8BA43D789554A78" hidden="1">#REF!</definedName>
    <definedName name="BOD16945AC53B948BFB77D80E9FD71FC35" hidden="1">#REF!</definedName>
    <definedName name="BOD1CA874A0DB64CBC80CBEBB865B4801E" hidden="1">#REF!</definedName>
    <definedName name="BOD256B5233F2A40AEB2F8B72E21E6269E" localSheetId="8" hidden="1">#REF!</definedName>
    <definedName name="BOD256B5233F2A40AEB2F8B72E21E6269E" localSheetId="7" hidden="1">#REF!</definedName>
    <definedName name="BOD256B5233F2A40AEB2F8B72E21E6269E" localSheetId="6" hidden="1">#REF!</definedName>
    <definedName name="BOD256B5233F2A40AEB2F8B72E21E6269E" localSheetId="5" hidden="1">#REF!</definedName>
    <definedName name="BOD256B5233F2A40AEB2F8B72E21E6269E" hidden="1">#REF!</definedName>
    <definedName name="BOD2923A0361E442A5AAEB4E5D4FF96060" hidden="1">#REF!</definedName>
    <definedName name="BOD2C771BE96C441A685FC56737C0F76DA" hidden="1">#REF!</definedName>
    <definedName name="BOD2E9A44D09604D1FB62AE105AD619D2E" hidden="1">#REF!</definedName>
    <definedName name="BOD326580BAC624C14AF15CA02AA0D8657" hidden="1">#REF!</definedName>
    <definedName name="BOD340BD3F5B664637AAB32419DC904C44" localSheetId="8" hidden="1">#REF!</definedName>
    <definedName name="BOD340BD3F5B664637AAB32419DC904C44" localSheetId="7" hidden="1">#REF!</definedName>
    <definedName name="BOD340BD3F5B664637AAB32419DC904C44" localSheetId="6" hidden="1">#REF!</definedName>
    <definedName name="BOD340BD3F5B664637AAB32419DC904C44" localSheetId="5" hidden="1">#REF!</definedName>
    <definedName name="BOD340BD3F5B664637AAB32419DC904C44" hidden="1">#REF!</definedName>
    <definedName name="BOD3F2057D7E45412DB4C72BBCEF0AE7B7" hidden="1">#REF!</definedName>
    <definedName name="BOD41152D67F8B444C88DD34CBCE3C2CC6" localSheetId="8" hidden="1">#REF!</definedName>
    <definedName name="BOD41152D67F8B444C88DD34CBCE3C2CC6" localSheetId="7" hidden="1">#REF!</definedName>
    <definedName name="BOD41152D67F8B444C88DD34CBCE3C2CC6" localSheetId="6" hidden="1">#REF!</definedName>
    <definedName name="BOD41152D67F8B444C88DD34CBCE3C2CC6" localSheetId="5" hidden="1">#REF!</definedName>
    <definedName name="BOD41152D67F8B444C88DD34CBCE3C2CC6" hidden="1">#REF!</definedName>
    <definedName name="BOD45B8BA9B5494E88916A947EE3B1F2B9" hidden="1">#REF!</definedName>
    <definedName name="BOD45D510F6E66493A864BBC54DD3D0438" hidden="1">#REF!</definedName>
    <definedName name="BOD4B167C420E34123BA6E6EF82A0FE4D0" hidden="1">#REF!</definedName>
    <definedName name="BOD4C6D9F9E521486EA6544A894CF8DFAB" localSheetId="8" hidden="1">#REF!</definedName>
    <definedName name="BOD4C6D9F9E521486EA6544A894CF8DFAB" localSheetId="7" hidden="1">#REF!</definedName>
    <definedName name="BOD4C6D9F9E521486EA6544A894CF8DFAB" localSheetId="6" hidden="1">#REF!</definedName>
    <definedName name="BOD4C6D9F9E521486EA6544A894CF8DFAB" localSheetId="5" hidden="1">#REF!</definedName>
    <definedName name="BOD4C6D9F9E521486EA6544A894CF8DFAB" hidden="1">#REF!</definedName>
    <definedName name="BOD4CD9DA11A724F3287913A3533811B3E" hidden="1">#REF!</definedName>
    <definedName name="BOD4D645145A4A426CAB5608D5875632ED" localSheetId="8" hidden="1">#REF!</definedName>
    <definedName name="BOD4D645145A4A426CAB5608D5875632ED" localSheetId="7" hidden="1">#REF!</definedName>
    <definedName name="BOD4D645145A4A426CAB5608D5875632ED" localSheetId="6" hidden="1">#REF!</definedName>
    <definedName name="BOD4D645145A4A426CAB5608D5875632ED" localSheetId="5" hidden="1">#REF!</definedName>
    <definedName name="BOD4D645145A4A426CAB5608D5875632ED" hidden="1">#REF!</definedName>
    <definedName name="BOD50D4C62DE0D47BD9B33538FC9969D06" localSheetId="8" hidden="1">#REF!</definedName>
    <definedName name="BOD50D4C62DE0D47BD9B33538FC9969D06" localSheetId="7" hidden="1">#REF!</definedName>
    <definedName name="BOD50D4C62DE0D47BD9B33538FC9969D06" localSheetId="6" hidden="1">#REF!</definedName>
    <definedName name="BOD50D4C62DE0D47BD9B33538FC9969D06" localSheetId="5" hidden="1">#REF!</definedName>
    <definedName name="BOD50D4C62DE0D47BD9B33538FC9969D06" hidden="1">#REF!</definedName>
    <definedName name="BOD5325A6215B04CD2A8DFC787A74317F0" hidden="1">#REF!</definedName>
    <definedName name="BOD5429A2CF67A404D981D4DD49742429C" hidden="1">#REF!</definedName>
    <definedName name="BOD5465CB922C34DA0A9F65DB911EA5E2F" localSheetId="8" hidden="1">#REF!</definedName>
    <definedName name="BOD5465CB922C34DA0A9F65DB911EA5E2F" localSheetId="7" hidden="1">#REF!</definedName>
    <definedName name="BOD5465CB922C34DA0A9F65DB911EA5E2F" localSheetId="6" hidden="1">#REF!</definedName>
    <definedName name="BOD5465CB922C34DA0A9F65DB911EA5E2F" localSheetId="5" hidden="1">#REF!</definedName>
    <definedName name="BOD5465CB922C34DA0A9F65DB911EA5E2F" hidden="1">#REF!</definedName>
    <definedName name="BOD5894E2A6F1246DE98DAD6A9E1F02C1F" localSheetId="8" hidden="1">#REF!</definedName>
    <definedName name="BOD5894E2A6F1246DE98DAD6A9E1F02C1F" localSheetId="7" hidden="1">#REF!</definedName>
    <definedName name="BOD5894E2A6F1246DE98DAD6A9E1F02C1F" localSheetId="6" hidden="1">#REF!</definedName>
    <definedName name="BOD5894E2A6F1246DE98DAD6A9E1F02C1F" localSheetId="5" hidden="1">#REF!</definedName>
    <definedName name="BOD5894E2A6F1246DE98DAD6A9E1F02C1F" hidden="1">#REF!</definedName>
    <definedName name="BOD58AF508B3414BB8A6A673CCFE1BACEF" hidden="1">#REF!</definedName>
    <definedName name="BOD5C150B1550C41998C24796DFAEE302F" localSheetId="8" hidden="1">#REF!</definedName>
    <definedName name="BOD5C150B1550C41998C24796DFAEE302F" localSheetId="7" hidden="1">#REF!</definedName>
    <definedName name="BOD5C150B1550C41998C24796DFAEE302F" localSheetId="6" hidden="1">#REF!</definedName>
    <definedName name="BOD5C150B1550C41998C24796DFAEE302F" localSheetId="5" hidden="1">#REF!</definedName>
    <definedName name="BOD5C150B1550C41998C24796DFAEE302F" hidden="1">#REF!</definedName>
    <definedName name="BOD5CA4C775C034A1CBDBF14F8EB2CBC31" localSheetId="8" hidden="1">#REF!</definedName>
    <definedName name="BOD5CA4C775C034A1CBDBF14F8EB2CBC31" localSheetId="7" hidden="1">#REF!</definedName>
    <definedName name="BOD5CA4C775C034A1CBDBF14F8EB2CBC31" localSheetId="6" hidden="1">#REF!</definedName>
    <definedName name="BOD5CA4C775C034A1CBDBF14F8EB2CBC31" localSheetId="5" hidden="1">#REF!</definedName>
    <definedName name="BOD5CA4C775C034A1CBDBF14F8EB2CBC31" hidden="1">#REF!</definedName>
    <definedName name="BOD5DB8844EC7247D5B524B41EF237BB03" localSheetId="8" hidden="1">#REF!</definedName>
    <definedName name="BOD5DB8844EC7247D5B524B41EF237BB03" localSheetId="7" hidden="1">#REF!</definedName>
    <definedName name="BOD5DB8844EC7247D5B524B41EF237BB03" localSheetId="6" hidden="1">#REF!</definedName>
    <definedName name="BOD5DB8844EC7247D5B524B41EF237BB03" localSheetId="5" hidden="1">#REF!</definedName>
    <definedName name="BOD5DB8844EC7247D5B524B41EF237BB03" hidden="1">#REF!</definedName>
    <definedName name="BOD635BCB2A33848768709DB9E820B6DD7" hidden="1">#REF!</definedName>
    <definedName name="BOD6547412A8664F8585F67BBF16D7A889" hidden="1">#REF!</definedName>
    <definedName name="BOD6869B3970C8496498195341F04E0E82" hidden="1">#REF!</definedName>
    <definedName name="BOD6C10FD404FD414C8CBD1D5C3817FED2" hidden="1">#REF!</definedName>
    <definedName name="BOD6D5551B59A64542979639E7734A3974" hidden="1">#REF!</definedName>
    <definedName name="BOD6DA829CB6344D35ACCA62575BD9F1F5" hidden="1">#REF!</definedName>
    <definedName name="BOD6EA2B3171D54CC79DA7C9B74CB93D3E" localSheetId="8" hidden="1">#REF!</definedName>
    <definedName name="BOD6EA2B3171D54CC79DA7C9B74CB93D3E" localSheetId="7" hidden="1">#REF!</definedName>
    <definedName name="BOD6EA2B3171D54CC79DA7C9B74CB93D3E" localSheetId="6" hidden="1">#REF!</definedName>
    <definedName name="BOD6EA2B3171D54CC79DA7C9B74CB93D3E" localSheetId="5" hidden="1">#REF!</definedName>
    <definedName name="BOD6EA2B3171D54CC79DA7C9B74CB93D3E" hidden="1">#REF!</definedName>
    <definedName name="BOD74F6A701AB54C06AA6191EB38DC071F" hidden="1">#REF!</definedName>
    <definedName name="BOD7A5975E76224D9CA723254A20FCD670" hidden="1">#REF!</definedName>
    <definedName name="BOD7B4BA7970BC44E3B12EC51844503FCE" hidden="1">#REF!</definedName>
    <definedName name="BOD81038817EA4460C9D9DDB0C09D0FB6C" hidden="1">#REF!</definedName>
    <definedName name="BOD81F4294928E45C0936D4B8C9F9C6D49" localSheetId="8" hidden="1">#REF!</definedName>
    <definedName name="BOD81F4294928E45C0936D4B8C9F9C6D49" localSheetId="7" hidden="1">#REF!</definedName>
    <definedName name="BOD81F4294928E45C0936D4B8C9F9C6D49" localSheetId="6" hidden="1">#REF!</definedName>
    <definedName name="BOD81F4294928E45C0936D4B8C9F9C6D49" localSheetId="5" hidden="1">#REF!</definedName>
    <definedName name="BOD81F4294928E45C0936D4B8C9F9C6D49" hidden="1">#REF!</definedName>
    <definedName name="BOD848443FBAAC4D6BADFB7B99BD27A321" hidden="1">#REF!</definedName>
    <definedName name="BOD8BC5E20D0D5451EA6AFACB21DDC1071" localSheetId="8" hidden="1">#REF!</definedName>
    <definedName name="BOD8BC5E20D0D5451EA6AFACB21DDC1071" localSheetId="7" hidden="1">#REF!</definedName>
    <definedName name="BOD8BC5E20D0D5451EA6AFACB21DDC1071" localSheetId="6" hidden="1">#REF!</definedName>
    <definedName name="BOD8BC5E20D0D5451EA6AFACB21DDC1071" localSheetId="5" hidden="1">#REF!</definedName>
    <definedName name="BOD8BC5E20D0D5451EA6AFACB21DDC1071" hidden="1">#REF!</definedName>
    <definedName name="BOD8E77788921B4A2F8F8EBAA0848B74FB" hidden="1">#REF!</definedName>
    <definedName name="BOD8FD3ED538A64749ADF0613B3BB5DCAF" hidden="1">#REF!</definedName>
    <definedName name="BOD90531DBFEFB458F98C1BB296DACA942" hidden="1">#REF!</definedName>
    <definedName name="BOD93B281521A348AA9EB93CDCE919501C" localSheetId="8" hidden="1">#REF!</definedName>
    <definedName name="BOD93B281521A348AA9EB93CDCE919501C" localSheetId="7" hidden="1">#REF!</definedName>
    <definedName name="BOD93B281521A348AA9EB93CDCE919501C" localSheetId="6" hidden="1">#REF!</definedName>
    <definedName name="BOD93B281521A348AA9EB93CDCE919501C" localSheetId="5" hidden="1">#REF!</definedName>
    <definedName name="BOD93B281521A348AA9EB93CDCE919501C" hidden="1">#REF!</definedName>
    <definedName name="BOD9591A6F6D7F4219849E41671CDDFD88" hidden="1">#REF!</definedName>
    <definedName name="BOD95BED1AE05D4E0292529E3D24FCCAC5" hidden="1">#REF!</definedName>
    <definedName name="BOD9814E667FEE4A07B544D4BFA81EC34E" hidden="1">#REF!</definedName>
    <definedName name="BOD9B83ACE090E4B289F323FF5CD5FB9CA" hidden="1">#REF!</definedName>
    <definedName name="BOD9F88A5903D54F2C9ACCB4F19E26E178" hidden="1">#REF!</definedName>
    <definedName name="BODA0048C28D724DCC980F21BF7511DF71" localSheetId="8" hidden="1">#REF!</definedName>
    <definedName name="BODA0048C28D724DCC980F21BF7511DF71" localSheetId="7" hidden="1">#REF!</definedName>
    <definedName name="BODA0048C28D724DCC980F21BF7511DF71" localSheetId="6" hidden="1">#REF!</definedName>
    <definedName name="BODA0048C28D724DCC980F21BF7511DF71" localSheetId="5" hidden="1">#REF!</definedName>
    <definedName name="BODA0048C28D724DCC980F21BF7511DF71" hidden="1">#REF!</definedName>
    <definedName name="BODA102D9CCDC44DDCAA03C967F9B52B20" hidden="1">#REF!</definedName>
    <definedName name="BODA98327C10EE408C860AE6042D4270EC" hidden="1">#REF!</definedName>
    <definedName name="BODAE7B1CCABC4485AAB419276D88EBE85" localSheetId="8" hidden="1">#REF!</definedName>
    <definedName name="BODAE7B1CCABC4485AAB419276D88EBE85" localSheetId="7" hidden="1">#REF!</definedName>
    <definedName name="BODAE7B1CCABC4485AAB419276D88EBE85" localSheetId="6" hidden="1">#REF!</definedName>
    <definedName name="BODAE7B1CCABC4485AAB419276D88EBE85" localSheetId="5" hidden="1">#REF!</definedName>
    <definedName name="BODAE7B1CCABC4485AAB419276D88EBE85" hidden="1">#REF!</definedName>
    <definedName name="BODB18B752574F4BA39D35A0AD36B2D3DC" hidden="1">#REF!</definedName>
    <definedName name="BODB30F2E5412E4279A9E9A1C04B0A3A86" hidden="1">#REF!</definedName>
    <definedName name="BODB36363FF60A4C7D8B92B24D0B234F20" hidden="1">#REF!</definedName>
    <definedName name="BODBDA4D63645A4F59B10C123161F41FBE" localSheetId="8" hidden="1">#REF!</definedName>
    <definedName name="BODBDA4D63645A4F59B10C123161F41FBE" localSheetId="7" hidden="1">#REF!</definedName>
    <definedName name="BODBDA4D63645A4F59B10C123161F41FBE" localSheetId="6" hidden="1">#REF!</definedName>
    <definedName name="BODBDA4D63645A4F59B10C123161F41FBE" localSheetId="5" hidden="1">#REF!</definedName>
    <definedName name="BODBDA4D63645A4F59B10C123161F41FBE" hidden="1">#REF!</definedName>
    <definedName name="BODC5D3DFC5E874E5CBD088AAA50417B23" hidden="1">#REF!</definedName>
    <definedName name="BODC68F3C6D2F748329A6F1212A11302F8" hidden="1">#REF!</definedName>
    <definedName name="BODC73A980E14D406A83ABD14B4334B60C" hidden="1">#REF!</definedName>
    <definedName name="BODC98CF10CA02464396E1CEC845E57469" hidden="1">#REF!</definedName>
    <definedName name="BODCA044714686438390FCFC1FB340A7E3" localSheetId="8" hidden="1">#REF!</definedName>
    <definedName name="BODCA044714686438390FCFC1FB340A7E3" localSheetId="0" hidden="1">[7]Dashboard!#REF!</definedName>
    <definedName name="BODCA044714686438390FCFC1FB340A7E3" localSheetId="1" hidden="1">[7]Dashboard!#REF!</definedName>
    <definedName name="BODCA044714686438390FCFC1FB340A7E3" localSheetId="2" hidden="1">[7]Dashboard!#REF!</definedName>
    <definedName name="BODCA044714686438390FCFC1FB340A7E3" localSheetId="7" hidden="1">#REF!</definedName>
    <definedName name="BODCA044714686438390FCFC1FB340A7E3" localSheetId="6" hidden="1">#REF!</definedName>
    <definedName name="BODCA044714686438390FCFC1FB340A7E3" localSheetId="5" hidden="1">#REF!</definedName>
    <definedName name="BODCA044714686438390FCFC1FB340A7E3" hidden="1">#REF!</definedName>
    <definedName name="BODCBD7010077844ACB79CA37B6BCB0701" hidden="1">#REF!</definedName>
    <definedName name="BODCEA4BCA74554BA5B1568BD19507E234" localSheetId="8" hidden="1">#REF!</definedName>
    <definedName name="BODCEA4BCA74554BA5B1568BD19507E234" localSheetId="7" hidden="1">#REF!</definedName>
    <definedName name="BODCEA4BCA74554BA5B1568BD19507E234" localSheetId="6" hidden="1">#REF!</definedName>
    <definedName name="BODCEA4BCA74554BA5B1568BD19507E234" localSheetId="5" hidden="1">#REF!</definedName>
    <definedName name="BODCEA4BCA74554BA5B1568BD19507E234" hidden="1">#REF!</definedName>
    <definedName name="BODD035C5C8289462FA526F8D3CB9A69C4" localSheetId="8" hidden="1">#REF!</definedName>
    <definedName name="BODD035C5C8289462FA526F8D3CB9A69C4" localSheetId="7" hidden="1">#REF!</definedName>
    <definedName name="BODD035C5C8289462FA526F8D3CB9A69C4" localSheetId="6" hidden="1">#REF!</definedName>
    <definedName name="BODD035C5C8289462FA526F8D3CB9A69C4" localSheetId="5" hidden="1">#REF!</definedName>
    <definedName name="BODD035C5C8289462FA526F8D3CB9A69C4" hidden="1">#REF!</definedName>
    <definedName name="BODD34BFFACF034AA8B86E41B24C43B97B" hidden="1">#REF!</definedName>
    <definedName name="BODDAD991744634D14A6CD9781FE16440D" hidden="1">#REF!</definedName>
    <definedName name="BODDC018BAD35A4D778A2044FB6293B066" hidden="1">#REF!</definedName>
    <definedName name="BODE7ECDF50DDE44ABB225EC711FC68A3F" localSheetId="8" hidden="1">#REF!</definedName>
    <definedName name="BODE7ECDF50DDE44ABB225EC711FC68A3F" localSheetId="7" hidden="1">#REF!</definedName>
    <definedName name="BODE7ECDF50DDE44ABB225EC711FC68A3F" localSheetId="6" hidden="1">#REF!</definedName>
    <definedName name="BODE7ECDF50DDE44ABB225EC711FC68A3F" localSheetId="5" hidden="1">#REF!</definedName>
    <definedName name="BODE7ECDF50DDE44ABB225EC711FC68A3F" hidden="1">#REF!</definedName>
    <definedName name="BODE93F68A60344D03976AB34694BE16FA" hidden="1">#REF!</definedName>
    <definedName name="BODEB45F766D2E403F9FEB85BE16D107D8" hidden="1">#REF!</definedName>
    <definedName name="BODEBC14A5053948889A4CAE1A7B3AEB91" hidden="1">#REF!</definedName>
    <definedName name="BODEBE9FC06D4747FE812841B37EF4576A" hidden="1">#REF!</definedName>
    <definedName name="BODF211416184041F0BA4927AD49C67DD5" localSheetId="8" hidden="1">#REF!</definedName>
    <definedName name="BODF211416184041F0BA4927AD49C67DD5" localSheetId="7" hidden="1">#REF!</definedName>
    <definedName name="BODF211416184041F0BA4927AD49C67DD5" localSheetId="6" hidden="1">#REF!</definedName>
    <definedName name="BODF211416184041F0BA4927AD49C67DD5" localSheetId="5" hidden="1">#REF!</definedName>
    <definedName name="BODF211416184041F0BA4927AD49C67DD5" hidden="1">#REF!</definedName>
    <definedName name="BODFB2C9246533448AB1284283CE237998" hidden="1">#REF!</definedName>
    <definedName name="BOE010EF85A1DA4DE2A25C6B5FD29D669D" hidden="1">#REF!</definedName>
    <definedName name="BOE02F938C3C3A4BAEA6880F5230698A53" localSheetId="8" hidden="1">#REF!</definedName>
    <definedName name="BOE02F938C3C3A4BAEA6880F5230698A53" localSheetId="7" hidden="1">#REF!</definedName>
    <definedName name="BOE02F938C3C3A4BAEA6880F5230698A53" localSheetId="6" hidden="1">#REF!</definedName>
    <definedName name="BOE02F938C3C3A4BAEA6880F5230698A53" localSheetId="5" hidden="1">#REF!</definedName>
    <definedName name="BOE02F938C3C3A4BAEA6880F5230698A53" hidden="1">#REF!</definedName>
    <definedName name="BOE0647810473A4700B70D34616630D322" hidden="1">#REF!</definedName>
    <definedName name="BOE07EA01927574F25966358D2690AC717" hidden="1">#REF!</definedName>
    <definedName name="BOE09E90D0FA5F4CBE847BB1AA0E771732" localSheetId="8" hidden="1">#REF!</definedName>
    <definedName name="BOE09E90D0FA5F4CBE847BB1AA0E771732" localSheetId="7" hidden="1">#REF!</definedName>
    <definedName name="BOE09E90D0FA5F4CBE847BB1AA0E771732" localSheetId="6" hidden="1">#REF!</definedName>
    <definedName name="BOE09E90D0FA5F4CBE847BB1AA0E771732" localSheetId="5" hidden="1">#REF!</definedName>
    <definedName name="BOE09E90D0FA5F4CBE847BB1AA0E771732" hidden="1">#REF!</definedName>
    <definedName name="BOE0D40A3DACB74BD1B1F155D7B3FF3747" hidden="1">#REF!</definedName>
    <definedName name="BOE0FB4B07C56F4CBF91EE3ED032B4EBEC" localSheetId="8" hidden="1">#REF!</definedName>
    <definedName name="BOE0FB4B07C56F4CBF91EE3ED032B4EBEC" localSheetId="7" hidden="1">#REF!</definedName>
    <definedName name="BOE0FB4B07C56F4CBF91EE3ED032B4EBEC" localSheetId="6" hidden="1">#REF!</definedName>
    <definedName name="BOE0FB4B07C56F4CBF91EE3ED032B4EBEC" localSheetId="5" hidden="1">#REF!</definedName>
    <definedName name="BOE0FB4B07C56F4CBF91EE3ED032B4EBEC" hidden="1">#REF!</definedName>
    <definedName name="BOE0FD26C76A9E4319B05435B6CA459990" hidden="1">#REF!</definedName>
    <definedName name="BOE178C6CA92284CAFAE3443F357C1A130" hidden="1">#REF!</definedName>
    <definedName name="BOE1C5ECB0242F4851BFE945D5E5079759" localSheetId="8" hidden="1">#REF!</definedName>
    <definedName name="BOE1C5ECB0242F4851BFE945D5E5079759" localSheetId="7" hidden="1">#REF!</definedName>
    <definedName name="BOE1C5ECB0242F4851BFE945D5E5079759" localSheetId="6" hidden="1">#REF!</definedName>
    <definedName name="BOE1C5ECB0242F4851BFE945D5E5079759" localSheetId="5" hidden="1">#REF!</definedName>
    <definedName name="BOE1C5ECB0242F4851BFE945D5E5079759" hidden="1">#REF!</definedName>
    <definedName name="BOE1FAD0F300DD46D09499BAAC851E10BA" hidden="1">#REF!</definedName>
    <definedName name="BOE23D4D7FFE9D4A06AEDE5976F168A6EA" hidden="1">#REF!</definedName>
    <definedName name="BOE2567606C90541878F6916DD92AE1A5E" localSheetId="8" hidden="1">#REF!</definedName>
    <definedName name="BOE2567606C90541878F6916DD92AE1A5E" localSheetId="7" hidden="1">#REF!</definedName>
    <definedName name="BOE2567606C90541878F6916DD92AE1A5E" localSheetId="6" hidden="1">#REF!</definedName>
    <definedName name="BOE2567606C90541878F6916DD92AE1A5E" localSheetId="5" hidden="1">#REF!</definedName>
    <definedName name="BOE2567606C90541878F6916DD92AE1A5E" hidden="1">#REF!</definedName>
    <definedName name="BOE2639786D0B24A92910E57D821AB93F0" hidden="1">#REF!</definedName>
    <definedName name="BOE27B83A9EA2649E0959762B9FD2A11A6" hidden="1">#REF!</definedName>
    <definedName name="BOE27F1877D89948BDB52E119DD01A949E" localSheetId="8" hidden="1">#REF!</definedName>
    <definedName name="BOE27F1877D89948BDB52E119DD01A949E" localSheetId="7" hidden="1">#REF!</definedName>
    <definedName name="BOE27F1877D89948BDB52E119DD01A949E" localSheetId="6" hidden="1">#REF!</definedName>
    <definedName name="BOE27F1877D89948BDB52E119DD01A949E" localSheetId="5" hidden="1">#REF!</definedName>
    <definedName name="BOE27F1877D89948BDB52E119DD01A949E" hidden="1">#REF!</definedName>
    <definedName name="BOE2D5D1287BCA4417A02F86D4F09FCCF4" localSheetId="8" hidden="1">#REF!</definedName>
    <definedName name="BOE2D5D1287BCA4417A02F86D4F09FCCF4" localSheetId="7" hidden="1">#REF!</definedName>
    <definedName name="BOE2D5D1287BCA4417A02F86D4F09FCCF4" localSheetId="6" hidden="1">#REF!</definedName>
    <definedName name="BOE2D5D1287BCA4417A02F86D4F09FCCF4" localSheetId="5" hidden="1">#REF!</definedName>
    <definedName name="BOE2D5D1287BCA4417A02F86D4F09FCCF4" hidden="1">#REF!</definedName>
    <definedName name="BOE2E28D146ABD462391C3560614729A46" localSheetId="8" hidden="1">#REF!</definedName>
    <definedName name="BOE2E28D146ABD462391C3560614729A46" localSheetId="7" hidden="1">#REF!</definedName>
    <definedName name="BOE2E28D146ABD462391C3560614729A46" localSheetId="6" hidden="1">#REF!</definedName>
    <definedName name="BOE2E28D146ABD462391C3560614729A46" localSheetId="5" hidden="1">#REF!</definedName>
    <definedName name="BOE2E28D146ABD462391C3560614729A46" hidden="1">#REF!</definedName>
    <definedName name="BOE306DA2AB6524F0EB403D612058D0EF1" hidden="1">#REF!</definedName>
    <definedName name="BOE31D047512C3473EAB9C6A93491B540B" localSheetId="8" hidden="1">#REF!</definedName>
    <definedName name="BOE31D047512C3473EAB9C6A93491B540B" localSheetId="7" hidden="1">#REF!</definedName>
    <definedName name="BOE31D047512C3473EAB9C6A93491B540B" localSheetId="6" hidden="1">#REF!</definedName>
    <definedName name="BOE31D047512C3473EAB9C6A93491B540B" localSheetId="5" hidden="1">#REF!</definedName>
    <definedName name="BOE31D047512C3473EAB9C6A93491B540B" hidden="1">#REF!</definedName>
    <definedName name="BOE32A4C170DF04E268F8C82141CB2A8AF" hidden="1">#REF!</definedName>
    <definedName name="BOE32C298BDE8A4BE9ADE63D700AE2B722" hidden="1">#REF!</definedName>
    <definedName name="BOE36469563C2C4897909675F4BD65EC31" localSheetId="8" hidden="1">#REF!</definedName>
    <definedName name="BOE36469563C2C4897909675F4BD65EC31" localSheetId="7" hidden="1">#REF!</definedName>
    <definedName name="BOE36469563C2C4897909675F4BD65EC31" localSheetId="6" hidden="1">#REF!</definedName>
    <definedName name="BOE36469563C2C4897909675F4BD65EC31" localSheetId="5" hidden="1">#REF!</definedName>
    <definedName name="BOE36469563C2C4897909675F4BD65EC31" hidden="1">#REF!</definedName>
    <definedName name="BOE37B91F0EF864E4CB29CF81B1EA34D92" localSheetId="8" hidden="1">#REF!</definedName>
    <definedName name="BOE37B91F0EF864E4CB29CF81B1EA34D92" localSheetId="7" hidden="1">#REF!</definedName>
    <definedName name="BOE37B91F0EF864E4CB29CF81B1EA34D92" localSheetId="6" hidden="1">#REF!</definedName>
    <definedName name="BOE37B91F0EF864E4CB29CF81B1EA34D92" localSheetId="5" hidden="1">#REF!</definedName>
    <definedName name="BOE37B91F0EF864E4CB29CF81B1EA34D92" hidden="1">#REF!</definedName>
    <definedName name="BOE3C0307501D24ABDAFD2003D517F8701" hidden="1">#REF!</definedName>
    <definedName name="BOE3C03DD50662479EB78ECBFE508951E9" hidden="1">#REF!</definedName>
    <definedName name="BOE3F511B6517B4897B2586990F7C1A013" localSheetId="8" hidden="1">#REF!</definedName>
    <definedName name="BOE3F511B6517B4897B2586990F7C1A013" localSheetId="7" hidden="1">#REF!</definedName>
    <definedName name="BOE3F511B6517B4897B2586990F7C1A013" localSheetId="6" hidden="1">#REF!</definedName>
    <definedName name="BOE3F511B6517B4897B2586990F7C1A013" localSheetId="5" hidden="1">#REF!</definedName>
    <definedName name="BOE3F511B6517B4897B2586990F7C1A013" hidden="1">#REF!</definedName>
    <definedName name="BOE4351B4DFCA948F986B87DB5552DBB6E" localSheetId="8" hidden="1">#REF!</definedName>
    <definedName name="BOE4351B4DFCA948F986B87DB5552DBB6E" localSheetId="7" hidden="1">#REF!</definedName>
    <definedName name="BOE4351B4DFCA948F986B87DB5552DBB6E" localSheetId="6" hidden="1">#REF!</definedName>
    <definedName name="BOE4351B4DFCA948F986B87DB5552DBB6E" localSheetId="5" hidden="1">#REF!</definedName>
    <definedName name="BOE4351B4DFCA948F986B87DB5552DBB6E" hidden="1">#REF!</definedName>
    <definedName name="BOE46DE63817B34B5BB11231E88D72DC67" localSheetId="8" hidden="1">#REF!</definedName>
    <definedName name="BOE46DE63817B34B5BB11231E88D72DC67" localSheetId="7" hidden="1">#REF!</definedName>
    <definedName name="BOE46DE63817B34B5BB11231E88D72DC67" localSheetId="6" hidden="1">#REF!</definedName>
    <definedName name="BOE46DE63817B34B5BB11231E88D72DC67" localSheetId="5" hidden="1">#REF!</definedName>
    <definedName name="BOE46DE63817B34B5BB11231E88D72DC67" hidden="1">#REF!</definedName>
    <definedName name="BOE482B787D58B4FEE8F2BEF37008041BE" hidden="1">#REF!</definedName>
    <definedName name="BOE4AD27002B3C4372A3BCA5C646273B3B" hidden="1">#REF!</definedName>
    <definedName name="BOE4F22408941F4D19BBE7E355EB6B8C91" hidden="1">#REF!</definedName>
    <definedName name="BOE4F7322D827E48F1825C59CDED831B05" hidden="1">#REF!</definedName>
    <definedName name="BOE549FF29AC234F769BA9416C84ADDABF" localSheetId="8" hidden="1">#REF!</definedName>
    <definedName name="BOE549FF29AC234F769BA9416C84ADDABF" localSheetId="7" hidden="1">#REF!</definedName>
    <definedName name="BOE549FF29AC234F769BA9416C84ADDABF" localSheetId="6" hidden="1">#REF!</definedName>
    <definedName name="BOE549FF29AC234F769BA9416C84ADDABF" localSheetId="5" hidden="1">#REF!</definedName>
    <definedName name="BOE549FF29AC234F769BA9416C84ADDABF" hidden="1">#REF!</definedName>
    <definedName name="BOE56FB2414CD046059598FEDA66BB09B9" hidden="1">#REF!</definedName>
    <definedName name="BOE582947488094ADA8FAA2652EE955625" localSheetId="8" hidden="1">#REF!</definedName>
    <definedName name="BOE582947488094ADA8FAA2652EE955625" localSheetId="7" hidden="1">#REF!</definedName>
    <definedName name="BOE582947488094ADA8FAA2652EE955625" localSheetId="6" hidden="1">#REF!</definedName>
    <definedName name="BOE582947488094ADA8FAA2652EE955625" localSheetId="5" hidden="1">#REF!</definedName>
    <definedName name="BOE582947488094ADA8FAA2652EE955625" hidden="1">#REF!</definedName>
    <definedName name="BOE59382FC583A4D5AAEB450CF65577ABC" localSheetId="8" hidden="1">#REF!</definedName>
    <definedName name="BOE59382FC583A4D5AAEB450CF65577ABC" localSheetId="7" hidden="1">#REF!</definedName>
    <definedName name="BOE59382FC583A4D5AAEB450CF65577ABC" localSheetId="6" hidden="1">#REF!</definedName>
    <definedName name="BOE59382FC583A4D5AAEB450CF65577ABC" localSheetId="5" hidden="1">#REF!</definedName>
    <definedName name="BOE59382FC583A4D5AAEB450CF65577ABC" hidden="1">#REF!</definedName>
    <definedName name="BOE5DD305A68C243CE893FCDFAAD44AD5E" hidden="1">#REF!</definedName>
    <definedName name="BOE5FC16A3935749FBBD75E77E3A85B417" hidden="1">#REF!</definedName>
    <definedName name="BOE6508334B67F414E99B22CFA8EB3F992" localSheetId="8" hidden="1">#REF!</definedName>
    <definedName name="BOE6508334B67F414E99B22CFA8EB3F992" localSheetId="7" hidden="1">#REF!</definedName>
    <definedName name="BOE6508334B67F414E99B22CFA8EB3F992" localSheetId="6" hidden="1">#REF!</definedName>
    <definedName name="BOE6508334B67F414E99B22CFA8EB3F992" localSheetId="5" hidden="1">#REF!</definedName>
    <definedName name="BOE6508334B67F414E99B22CFA8EB3F992" hidden="1">#REF!</definedName>
    <definedName name="BOE66DE46130B74E24816DF6363FECB306" hidden="1">#REF!</definedName>
    <definedName name="BOE6AB27C321A244128714C931AC880DF4" hidden="1">#REF!</definedName>
    <definedName name="BOE6B9E3009ED74A5EB9C36E4A2D51CC6A" localSheetId="8" hidden="1">#REF!</definedName>
    <definedName name="BOE6B9E3009ED74A5EB9C36E4A2D51CC6A" localSheetId="7" hidden="1">#REF!</definedName>
    <definedName name="BOE6B9E3009ED74A5EB9C36E4A2D51CC6A" localSheetId="6" hidden="1">#REF!</definedName>
    <definedName name="BOE6B9E3009ED74A5EB9C36E4A2D51CC6A" localSheetId="5" hidden="1">#REF!</definedName>
    <definedName name="BOE6B9E3009ED74A5EB9C36E4A2D51CC6A" hidden="1">#REF!</definedName>
    <definedName name="BOE7005BE469674AE3B3BD05389F5DBBAC" hidden="1">#REF!</definedName>
    <definedName name="BOE717BADA692E425C85152EE43C6DAA5C" hidden="1">#REF!</definedName>
    <definedName name="BOE742392B28FC44AB8C9AF68372461164" hidden="1">#REF!</definedName>
    <definedName name="BOE7456AA7ADAA44C1BBB677725B1465AD" hidden="1">#REF!</definedName>
    <definedName name="BOE778D591F18A469FB7D54794763F0B5C" hidden="1">#REF!</definedName>
    <definedName name="BOE792FE836534445190274906DD447196" hidden="1">#REF!</definedName>
    <definedName name="BOE7D8DC3ADA3145DFA3370701C743168A" hidden="1">#REF!</definedName>
    <definedName name="BOE802069EE7A4416EAEAD75DCC607655B" hidden="1">#REF!</definedName>
    <definedName name="BOE8402D525E5442429F377E207D4B0637" hidden="1">#REF!</definedName>
    <definedName name="BOE86E248EFF2D46A3B63922EF72DE992A" hidden="1">#REF!</definedName>
    <definedName name="BOE8FAEFB1C33C4DDE9CDE163CD394446A" hidden="1">#REF!</definedName>
    <definedName name="BOE91C328226F84A218AF55FAA08DEAA93" hidden="1">#REF!</definedName>
    <definedName name="BOE965DA334B904A598F69461C2E8B44F0" localSheetId="8" hidden="1">#REF!</definedName>
    <definedName name="BOE965DA334B904A598F69461C2E8B44F0" localSheetId="7" hidden="1">#REF!</definedName>
    <definedName name="BOE965DA334B904A598F69461C2E8B44F0" localSheetId="6" hidden="1">#REF!</definedName>
    <definedName name="BOE965DA334B904A598F69461C2E8B44F0" localSheetId="5" hidden="1">#REF!</definedName>
    <definedName name="BOE965DA334B904A598F69461C2E8B44F0" hidden="1">#REF!</definedName>
    <definedName name="BOE986BA1AB80249CCB969DED638BAF9AD" hidden="1">#REF!</definedName>
    <definedName name="BOE9EBCEEF7DDB464C8D943F41D8EB4EAD" hidden="1">#REF!</definedName>
    <definedName name="BOE9FD93256FEC465B813D4F83E294E8A1" hidden="1">#REF!</definedName>
    <definedName name="BOEA0499CBD9614DCC896ACB76B27DD370" hidden="1">#REF!</definedName>
    <definedName name="BOEA6EA66C8BCF4B179E962EEA09ED341C" hidden="1">#REF!</definedName>
    <definedName name="BOEAF3D754AF8548D0B3127B06A6FB89CA" hidden="1">#REF!</definedName>
    <definedName name="BOEAFEAE7387BE41C892322D801B9DCFF9" hidden="1">#REF!</definedName>
    <definedName name="BOEB39D9518A35444CB20C8925170A1E46" hidden="1">#REF!</definedName>
    <definedName name="BOEB77367752994FA2AF4C21DE179074BC" hidden="1">#REF!</definedName>
    <definedName name="BOEB7DC98F521342B6B73A617720017C2E" hidden="1">#REF!</definedName>
    <definedName name="BOEBA0665790D546FC97491F1755AC40C6" hidden="1">#REF!</definedName>
    <definedName name="BOEBC62FEC394D4EFF8A0556BC3ECC1FAD" hidden="1">#REF!</definedName>
    <definedName name="BOEBC98E4703ED472CA3E2E11BE7DAA791" hidden="1">#REF!</definedName>
    <definedName name="BOEC0112FC719F4A6EB662BCE54FC6536D" hidden="1">#REF!</definedName>
    <definedName name="BOEC74AAAB350B4450BD268A83563C9F28" localSheetId="8" hidden="1">#REF!</definedName>
    <definedName name="BOEC74AAAB350B4450BD268A83563C9F28" localSheetId="7" hidden="1">#REF!</definedName>
    <definedName name="BOEC74AAAB350B4450BD268A83563C9F28" localSheetId="6" hidden="1">#REF!</definedName>
    <definedName name="BOEC74AAAB350B4450BD268A83563C9F28" localSheetId="5" hidden="1">#REF!</definedName>
    <definedName name="BOEC74AAAB350B4450BD268A83563C9F28" hidden="1">#REF!</definedName>
    <definedName name="BOECFD3C59F0814DA9AEA6E5513768E330" localSheetId="8" hidden="1">#REF!</definedName>
    <definedName name="BOECFD3C59F0814DA9AEA6E5513768E330" localSheetId="7" hidden="1">#REF!</definedName>
    <definedName name="BOECFD3C59F0814DA9AEA6E5513768E330" localSheetId="6" hidden="1">#REF!</definedName>
    <definedName name="BOECFD3C59F0814DA9AEA6E5513768E330" localSheetId="5" hidden="1">#REF!</definedName>
    <definedName name="BOECFD3C59F0814DA9AEA6E5513768E330" hidden="1">#REF!</definedName>
    <definedName name="BOED6F1535B82A42D2BED92E1ABAD9549C" hidden="1">#REF!</definedName>
    <definedName name="BOED9785F2C2E143F29063AE242199A2E7" hidden="1">#REF!</definedName>
    <definedName name="BOED9D09AE23B949229FF91D7BC387E2D3" localSheetId="8" hidden="1">#REF!</definedName>
    <definedName name="BOED9D09AE23B949229FF91D7BC387E2D3" localSheetId="7" hidden="1">#REF!</definedName>
    <definedName name="BOED9D09AE23B949229FF91D7BC387E2D3" localSheetId="6" hidden="1">#REF!</definedName>
    <definedName name="BOED9D09AE23B949229FF91D7BC387E2D3" localSheetId="5" hidden="1">#REF!</definedName>
    <definedName name="BOED9D09AE23B949229FF91D7BC387E2D3" hidden="1">#REF!</definedName>
    <definedName name="BOEDB15AF64A604867A8DBD7F1BBBD7E11" hidden="1">#REF!</definedName>
    <definedName name="BOEDF2F540118F466990C63E8735398CC3" hidden="1">#REF!</definedName>
    <definedName name="BOEDF990314B9E4A74AFC41B6BB6BD0EDD" hidden="1">#REF!</definedName>
    <definedName name="BOEE160940DCCB43099E2DE6561B681194" hidden="1">#REF!</definedName>
    <definedName name="BOEE1815DC03694BC8AF645B5814563787" hidden="1">#REF!</definedName>
    <definedName name="BOEE22D0E207C943519C9ED684A18A4A36" hidden="1">#REF!</definedName>
    <definedName name="BOEE4C777A1CBC48C495B0B7224C189279" hidden="1">#REF!</definedName>
    <definedName name="BOEE61DEDA52C048E3A51CEAC0641079FB" hidden="1">#REF!</definedName>
    <definedName name="BOEE90577CC2E84E5FAEA093A1AAA7B1BE" hidden="1">#REF!</definedName>
    <definedName name="BOEE945F99E995448DBB1F80A5E7FD637F" hidden="1">#REF!</definedName>
    <definedName name="BOEECAD3EF559844269F3A49F6407706F9" hidden="1">#REF!</definedName>
    <definedName name="BOEFA9F8094BF444BF82B9B063F3CFA4C0" localSheetId="8" hidden="1">#REF!</definedName>
    <definedName name="BOEFA9F8094BF444BF82B9B063F3CFA4C0" localSheetId="7" hidden="1">#REF!</definedName>
    <definedName name="BOEFA9F8094BF444BF82B9B063F3CFA4C0" localSheetId="6" hidden="1">#REF!</definedName>
    <definedName name="BOEFA9F8094BF444BF82B9B063F3CFA4C0" localSheetId="5" hidden="1">#REF!</definedName>
    <definedName name="BOEFA9F8094BF444BF82B9B063F3CFA4C0" hidden="1">#REF!</definedName>
    <definedName name="BOEFC37687132A4C12BE0A1BF624F81BC2" hidden="1">#REF!</definedName>
    <definedName name="BOEFC78C418BAE4A6D9BEE0C6DACCA428D" localSheetId="8" hidden="1">#REF!</definedName>
    <definedName name="BOEFC78C418BAE4A6D9BEE0C6DACCA428D" localSheetId="7" hidden="1">#REF!</definedName>
    <definedName name="BOEFC78C418BAE4A6D9BEE0C6DACCA428D" localSheetId="6" hidden="1">#REF!</definedName>
    <definedName name="BOEFC78C418BAE4A6D9BEE0C6DACCA428D" localSheetId="5" hidden="1">#REF!</definedName>
    <definedName name="BOEFC78C418BAE4A6D9BEE0C6DACCA428D" hidden="1">#REF!</definedName>
    <definedName name="BOEFE804856B0148CCB4FC772CBF6E01AE" hidden="1">#REF!</definedName>
    <definedName name="BOF0752AC477B5493DA49C055BFD9DBC35" hidden="1">#REF!</definedName>
    <definedName name="BOF088CFB894064E8DBCFF33149A182E20" localSheetId="8" hidden="1">#REF!</definedName>
    <definedName name="BOF088CFB894064E8DBCFF33149A182E20" localSheetId="7" hidden="1">#REF!</definedName>
    <definedName name="BOF088CFB894064E8DBCFF33149A182E20" localSheetId="6" hidden="1">#REF!</definedName>
    <definedName name="BOF088CFB894064E8DBCFF33149A182E20" localSheetId="5" hidden="1">#REF!</definedName>
    <definedName name="BOF088CFB894064E8DBCFF33149A182E20" hidden="1">#REF!</definedName>
    <definedName name="BOF1046F643B494328B840C7E8B9243DD9" hidden="1">#REF!</definedName>
    <definedName name="BOF10ABAD6A8D2489681EF8C6406972BCE" localSheetId="8" hidden="1">#REF!</definedName>
    <definedName name="BOF10ABAD6A8D2489681EF8C6406972BCE" localSheetId="7" hidden="1">#REF!</definedName>
    <definedName name="BOF10ABAD6A8D2489681EF8C6406972BCE" localSheetId="6" hidden="1">#REF!</definedName>
    <definedName name="BOF10ABAD6A8D2489681EF8C6406972BCE" localSheetId="5" hidden="1">#REF!</definedName>
    <definedName name="BOF10ABAD6A8D2489681EF8C6406972BCE" hidden="1">#REF!</definedName>
    <definedName name="BOF15F295A98DB4AC389AFE7FAD608F9B9" hidden="1">#REF!</definedName>
    <definedName name="BOF192C4FBF68744B5B8AE648840AC465D" localSheetId="8" hidden="1">#REF!</definedName>
    <definedName name="BOF192C4FBF68744B5B8AE648840AC465D" localSheetId="7" hidden="1">#REF!</definedName>
    <definedName name="BOF192C4FBF68744B5B8AE648840AC465D" localSheetId="6" hidden="1">#REF!</definedName>
    <definedName name="BOF192C4FBF68744B5B8AE648840AC465D" localSheetId="5" hidden="1">#REF!</definedName>
    <definedName name="BOF192C4FBF68744B5B8AE648840AC465D" hidden="1">#REF!</definedName>
    <definedName name="BOF1A27B629B3B4CD9BC2D0988D775A35D" localSheetId="8" hidden="1">#REF!</definedName>
    <definedName name="BOF1A27B629B3B4CD9BC2D0988D775A35D" localSheetId="7" hidden="1">#REF!</definedName>
    <definedName name="BOF1A27B629B3B4CD9BC2D0988D775A35D" localSheetId="6" hidden="1">#REF!</definedName>
    <definedName name="BOF1A27B629B3B4CD9BC2D0988D775A35D" localSheetId="5" hidden="1">#REF!</definedName>
    <definedName name="BOF1A27B629B3B4CD9BC2D0988D775A35D" hidden="1">#REF!</definedName>
    <definedName name="BOF21B53C54CAF4472A86157FEBA46DCD4" localSheetId="8" hidden="1">#REF!</definedName>
    <definedName name="BOF21B53C54CAF4472A86157FEBA46DCD4" localSheetId="7" hidden="1">#REF!</definedName>
    <definedName name="BOF21B53C54CAF4472A86157FEBA46DCD4" localSheetId="6" hidden="1">#REF!</definedName>
    <definedName name="BOF21B53C54CAF4472A86157FEBA46DCD4" localSheetId="5" hidden="1">#REF!</definedName>
    <definedName name="BOF21B53C54CAF4472A86157FEBA46DCD4" hidden="1">#REF!</definedName>
    <definedName name="BOF24E7F5BFD194D3D883745A29899EDC0" hidden="1">#REF!</definedName>
    <definedName name="BOF276B8FE71D94D1FA9193B33A03EAA3A" hidden="1">#REF!</definedName>
    <definedName name="BOF2AB584C3B5E486E98FC4DB51F7F313B" hidden="1">#REF!</definedName>
    <definedName name="BOF2EBC2F7CB9D45D38CCAFE60B0C1F5C9" localSheetId="8" hidden="1">#REF!</definedName>
    <definedName name="BOF2EBC2F7CB9D45D38CCAFE60B0C1F5C9" localSheetId="7" hidden="1">#REF!</definedName>
    <definedName name="BOF2EBC2F7CB9D45D38CCAFE60B0C1F5C9" localSheetId="6" hidden="1">#REF!</definedName>
    <definedName name="BOF2EBC2F7CB9D45D38CCAFE60B0C1F5C9" localSheetId="5" hidden="1">#REF!</definedName>
    <definedName name="BOF2EBC2F7CB9D45D38CCAFE60B0C1F5C9" hidden="1">#REF!</definedName>
    <definedName name="BOF335061392F64C92A35F216DAC402BFE" hidden="1">#REF!</definedName>
    <definedName name="BOF3713982B8164207AEC58445CDAC9850" hidden="1">#REF!</definedName>
    <definedName name="BOF3894E59D60147A39E8A552667BBE5DA" hidden="1">#REF!</definedName>
    <definedName name="BOF3A31EF6356248BA89BFB57933A64121" hidden="1">#REF!</definedName>
    <definedName name="BOF3C17CB66BF34DF0BECB68ED5904DBBB" hidden="1">#REF!</definedName>
    <definedName name="BOF3C5127EA10B485FB2BDE18011723DE3" localSheetId="8" hidden="1">#REF!</definedName>
    <definedName name="BOF3C5127EA10B485FB2BDE18011723DE3" localSheetId="7" hidden="1">#REF!</definedName>
    <definedName name="BOF3C5127EA10B485FB2BDE18011723DE3" localSheetId="6" hidden="1">#REF!</definedName>
    <definedName name="BOF3C5127EA10B485FB2BDE18011723DE3" localSheetId="5" hidden="1">#REF!</definedName>
    <definedName name="BOF3C5127EA10B485FB2BDE18011723DE3" hidden="1">#REF!</definedName>
    <definedName name="BOF3E983713EA94EB08BCA6989E2E07993" hidden="1">#REF!</definedName>
    <definedName name="BOF3EF068E9A3F4977A86457A1377300FA" localSheetId="8" hidden="1">#REF!</definedName>
    <definedName name="BOF3EF068E9A3F4977A86457A1377300FA" localSheetId="7" hidden="1">#REF!</definedName>
    <definedName name="BOF3EF068E9A3F4977A86457A1377300FA" localSheetId="6" hidden="1">#REF!</definedName>
    <definedName name="BOF3EF068E9A3F4977A86457A1377300FA" localSheetId="5" hidden="1">#REF!</definedName>
    <definedName name="BOF3EF068E9A3F4977A86457A1377300FA" hidden="1">#REF!</definedName>
    <definedName name="BOF4029C6FBE574ABB870B992EB53DBAF3" hidden="1">#REF!</definedName>
    <definedName name="BOF41B7DCD5143421193E486A6EBCBBD14" hidden="1">#REF!</definedName>
    <definedName name="BOF4B65A5226FB427B9FD0FB839D3717B3" hidden="1">#REF!</definedName>
    <definedName name="BOF5242D0BEF70455890939AA9AFB2F89D" hidden="1">#REF!</definedName>
    <definedName name="BOF52AF607BC5B471290E8D8523B57BE17" hidden="1">#REF!</definedName>
    <definedName name="BOF583D611B3D24BA6AE6A2ABB052CA1C2" hidden="1">#REF!</definedName>
    <definedName name="BOF5A9630FC310454CAF8C1173E1E9DE23" hidden="1">#REF!</definedName>
    <definedName name="BOF5B4B382E6FF4E9AA6F6C2DDA3B888A5" hidden="1">#REF!</definedName>
    <definedName name="BOF5DDEC0EB8874F869BE783276245182D" hidden="1">#REF!</definedName>
    <definedName name="BOF6B9C4F4B4914265B39FBDCCA0BB8861" localSheetId="8" hidden="1">#REF!</definedName>
    <definedName name="BOF6B9C4F4B4914265B39FBDCCA0BB8861" localSheetId="7" hidden="1">#REF!</definedName>
    <definedName name="BOF6B9C4F4B4914265B39FBDCCA0BB8861" localSheetId="6" hidden="1">#REF!</definedName>
    <definedName name="BOF6B9C4F4B4914265B39FBDCCA0BB8861" localSheetId="5" hidden="1">#REF!</definedName>
    <definedName name="BOF6B9C4F4B4914265B39FBDCCA0BB8861" hidden="1">#REF!</definedName>
    <definedName name="BOF6F77CDF57874D33BA85B82A272BA62D" hidden="1">#REF!</definedName>
    <definedName name="BOF77C433892EA49FF85FBCA2EFFC318EB" hidden="1">#REF!</definedName>
    <definedName name="BOF7D0CDE95FAB4371848AAA8B3668D43C" hidden="1">#REF!</definedName>
    <definedName name="BOF7DAD4E68F1C4A81A094226DEBF273ED" localSheetId="8" hidden="1">#REF!</definedName>
    <definedName name="BOF7DAD4E68F1C4A81A094226DEBF273ED" localSheetId="7" hidden="1">#REF!</definedName>
    <definedName name="BOF7DAD4E68F1C4A81A094226DEBF273ED" localSheetId="6" hidden="1">#REF!</definedName>
    <definedName name="BOF7DAD4E68F1C4A81A094226DEBF273ED" localSheetId="5" hidden="1">#REF!</definedName>
    <definedName name="BOF7DAD4E68F1C4A81A094226DEBF273ED" hidden="1">#REF!</definedName>
    <definedName name="BOF81EA2E70C36447F93AD41634685A55C" hidden="1">#REF!</definedName>
    <definedName name="BOF88C7D7E2B4E4B5582BFD733730FE6F7" localSheetId="8" hidden="1">#REF!</definedName>
    <definedName name="BOF88C7D7E2B4E4B5582BFD733730FE6F7" localSheetId="7" hidden="1">#REF!</definedName>
    <definedName name="BOF88C7D7E2B4E4B5582BFD733730FE6F7" localSheetId="6" hidden="1">#REF!</definedName>
    <definedName name="BOF88C7D7E2B4E4B5582BFD733730FE6F7" localSheetId="5" hidden="1">#REF!</definedName>
    <definedName name="BOF88C7D7E2B4E4B5582BFD733730FE6F7" hidden="1">#REF!</definedName>
    <definedName name="BOF8968A602F61451FB55D90A396B4202D" hidden="1">#REF!</definedName>
    <definedName name="BOF8B541E130D54701955C9FEA5BD751ED" hidden="1">#REF!</definedName>
    <definedName name="BOF8D13CF2098F4E178602137DC8C35210" hidden="1">#REF!</definedName>
    <definedName name="BOF904C3F4A11F47D7B0850A415E4B283B" hidden="1">#REF!</definedName>
    <definedName name="BOF92F1CB428A64685816460E8AEADC062" hidden="1">#REF!</definedName>
    <definedName name="BOF9A4E0F510C747B2A8827944CF5C0DCE" hidden="1">#REF!</definedName>
    <definedName name="BOF9D5D499A57E4DBD8ABFBAABD9C4EFE8" hidden="1">#REF!</definedName>
    <definedName name="BOFA01CB010A7840D4A533897EE8AD29FB" hidden="1">#REF!</definedName>
    <definedName name="BOFA0519EBF1BC42249E16A1BB72B013D8" hidden="1">#REF!</definedName>
    <definedName name="BOFA1BF7E1E0D1490188461D658D1A1BE1" hidden="1">#REF!</definedName>
    <definedName name="BOFA67D608AFB641389637C5E348A3CE68" localSheetId="8" hidden="1">#REF!</definedName>
    <definedName name="BOFA67D608AFB641389637C5E348A3CE68" localSheetId="7" hidden="1">#REF!</definedName>
    <definedName name="BOFA67D608AFB641389637C5E348A3CE68" localSheetId="6" hidden="1">#REF!</definedName>
    <definedName name="BOFA67D608AFB641389637C5E348A3CE68" localSheetId="5" hidden="1">#REF!</definedName>
    <definedName name="BOFA67D608AFB641389637C5E348A3CE68" hidden="1">#REF!</definedName>
    <definedName name="BOFA76BD1EBEEA4BF395ED02AC745D47E1" hidden="1">#REF!</definedName>
    <definedName name="BOFAB0EF4EBEDC4599AC5D40FB65910B64" localSheetId="8" hidden="1">#REF!</definedName>
    <definedName name="BOFAB0EF4EBEDC4599AC5D40FB65910B64" localSheetId="7" hidden="1">#REF!</definedName>
    <definedName name="BOFAB0EF4EBEDC4599AC5D40FB65910B64" localSheetId="6" hidden="1">#REF!</definedName>
    <definedName name="BOFAB0EF4EBEDC4599AC5D40FB65910B64" localSheetId="5" hidden="1">#REF!</definedName>
    <definedName name="BOFAB0EF4EBEDC4599AC5D40FB65910B64" hidden="1">#REF!</definedName>
    <definedName name="BOFAF8BDACB07D4BDD9CF6A2CC829A47C9" hidden="1">#REF!</definedName>
    <definedName name="BOFB2F6F10E3874F5787206D65EF06D6A8" hidden="1">#REF!</definedName>
    <definedName name="BOFB5950C8352D4B719204B52E7B1D4EE4" hidden="1">#REF!</definedName>
    <definedName name="BOFB6BDBBC2EC243EF98D44F7AEE2CB425" localSheetId="8" hidden="1">#REF!</definedName>
    <definedName name="BOFB6BDBBC2EC243EF98D44F7AEE2CB425" localSheetId="7" hidden="1">#REF!</definedName>
    <definedName name="BOFB6BDBBC2EC243EF98D44F7AEE2CB425" localSheetId="6" hidden="1">#REF!</definedName>
    <definedName name="BOFB6BDBBC2EC243EF98D44F7AEE2CB425" localSheetId="5" hidden="1">#REF!</definedName>
    <definedName name="BOFB6BDBBC2EC243EF98D44F7AEE2CB425" hidden="1">#REF!</definedName>
    <definedName name="BOFB717E3CFA504E1EBA362CAE72CB6AB3" localSheetId="8" hidden="1">#REF!</definedName>
    <definedName name="BOFB717E3CFA504E1EBA362CAE72CB6AB3" localSheetId="7" hidden="1">#REF!</definedName>
    <definedName name="BOFB717E3CFA504E1EBA362CAE72CB6AB3" localSheetId="6" hidden="1">#REF!</definedName>
    <definedName name="BOFB717E3CFA504E1EBA362CAE72CB6AB3" localSheetId="5" hidden="1">#REF!</definedName>
    <definedName name="BOFB717E3CFA504E1EBA362CAE72CB6AB3" hidden="1">#REF!</definedName>
    <definedName name="BOFB805D00E98F4548ADDA111087ACBC71" hidden="1">#REF!</definedName>
    <definedName name="BOFBB28299DEE04E62BF71051792F6CFC9" hidden="1">#REF!</definedName>
    <definedName name="BOFC149D18D1204066B3A7F45F5217AF03" hidden="1">#REF!</definedName>
    <definedName name="BOFC1DB6334AF54DC4917A29EDA3952F88" localSheetId="8" hidden="1">#REF!</definedName>
    <definedName name="BOFC1DB6334AF54DC4917A29EDA3952F88" localSheetId="7" hidden="1">#REF!</definedName>
    <definedName name="BOFC1DB6334AF54DC4917A29EDA3952F88" localSheetId="6" hidden="1">#REF!</definedName>
    <definedName name="BOFC1DB6334AF54DC4917A29EDA3952F88" localSheetId="5" hidden="1">#REF!</definedName>
    <definedName name="BOFC1DB6334AF54DC4917A29EDA3952F88" hidden="1">#REF!</definedName>
    <definedName name="BOFC344ECA83F94226A8F66DAB65C2A1FD" hidden="1">#REF!</definedName>
    <definedName name="BOFC35A3677CA74440945BD8FDC8BCAD5C" hidden="1">#REF!</definedName>
    <definedName name="BOFC45FD9C96D849CD98BC8012A1A72585" localSheetId="8" hidden="1">#REF!</definedName>
    <definedName name="BOFC45FD9C96D849CD98BC8012A1A72585" localSheetId="7" hidden="1">#REF!</definedName>
    <definedName name="BOFC45FD9C96D849CD98BC8012A1A72585" localSheetId="6" hidden="1">#REF!</definedName>
    <definedName name="BOFC45FD9C96D849CD98BC8012A1A72585" localSheetId="5" hidden="1">#REF!</definedName>
    <definedName name="BOFC45FD9C96D849CD98BC8012A1A72585" hidden="1">#REF!</definedName>
    <definedName name="BOFC59B36F1A514D53A781DE8F390C5771" hidden="1">#REF!</definedName>
    <definedName name="BOFC8512824C094AC1997371258123381C" hidden="1">#REF!</definedName>
    <definedName name="BOFC99B41951704066AB16955113FF29F1" localSheetId="8" hidden="1">#REF!</definedName>
    <definedName name="BOFC99B41951704066AB16955113FF29F1" localSheetId="7" hidden="1">#REF!</definedName>
    <definedName name="BOFC99B41951704066AB16955113FF29F1" localSheetId="6" hidden="1">#REF!</definedName>
    <definedName name="BOFC99B41951704066AB16955113FF29F1" localSheetId="5" hidden="1">#REF!</definedName>
    <definedName name="BOFC99B41951704066AB16955113FF29F1" hidden="1">#REF!</definedName>
    <definedName name="BOFCD2CAC8B89A406D83AE3E1AD6D5AFB6" hidden="1">#REF!</definedName>
    <definedName name="BOFCF0EF2D649041219499B4EDAD772A69" localSheetId="8" hidden="1">#REF!</definedName>
    <definedName name="BOFCF0EF2D649041219499B4EDAD772A69" localSheetId="7" hidden="1">#REF!</definedName>
    <definedName name="BOFCF0EF2D649041219499B4EDAD772A69" localSheetId="6" hidden="1">#REF!</definedName>
    <definedName name="BOFCF0EF2D649041219499B4EDAD772A69" localSheetId="5" hidden="1">#REF!</definedName>
    <definedName name="BOFCF0EF2D649041219499B4EDAD772A69" hidden="1">#REF!</definedName>
    <definedName name="BOFCFB6129FB0F4AEABD8AFCD38A9F5883" localSheetId="8" hidden="1">#REF!</definedName>
    <definedName name="BOFCFB6129FB0F4AEABD8AFCD38A9F5883" localSheetId="7" hidden="1">#REF!</definedName>
    <definedName name="BOFCFB6129FB0F4AEABD8AFCD38A9F5883" localSheetId="6" hidden="1">#REF!</definedName>
    <definedName name="BOFCFB6129FB0F4AEABD8AFCD38A9F5883" localSheetId="5" hidden="1">#REF!</definedName>
    <definedName name="BOFCFB6129FB0F4AEABD8AFCD38A9F5883" hidden="1">#REF!</definedName>
    <definedName name="BOFD5421BECFB84EE383A4C5D739C70911" hidden="1">#REF!</definedName>
    <definedName name="BOFD72FE8118334550ABEE200C5CDE6620" localSheetId="8" hidden="1">#REF!</definedName>
    <definedName name="BOFD72FE8118334550ABEE200C5CDE6620" localSheetId="7" hidden="1">#REF!</definedName>
    <definedName name="BOFD72FE8118334550ABEE200C5CDE6620" localSheetId="6" hidden="1">#REF!</definedName>
    <definedName name="BOFD72FE8118334550ABEE200C5CDE6620" localSheetId="5" hidden="1">#REF!</definedName>
    <definedName name="BOFD72FE8118334550ABEE200C5CDE6620" hidden="1">#REF!</definedName>
    <definedName name="BOFD8645258ECE46C69631C79E8C9D00BA" hidden="1">#REF!</definedName>
    <definedName name="BOFDAA86056EC141918C66212354367A2E" hidden="1">#REF!</definedName>
    <definedName name="BOFDAF75A7627E4C319918280337F2B0DF" hidden="1">#REF!</definedName>
    <definedName name="BOFDFE902449D34E3689BCA128AF2705B6" hidden="1">#REF!</definedName>
    <definedName name="BOFE1DE61F10054F128EC561F14C5E8282" localSheetId="8" hidden="1">#REF!</definedName>
    <definedName name="BOFE1DE61F10054F128EC561F14C5E8282" localSheetId="7" hidden="1">#REF!</definedName>
    <definedName name="BOFE1DE61F10054F128EC561F14C5E8282" localSheetId="6" hidden="1">#REF!</definedName>
    <definedName name="BOFE1DE61F10054F128EC561F14C5E8282" localSheetId="5" hidden="1">#REF!</definedName>
    <definedName name="BOFE1DE61F10054F128EC561F14C5E8282" hidden="1">#REF!</definedName>
    <definedName name="BOFE51766033174FEE9126A1DFEE40A973" hidden="1">#REF!</definedName>
    <definedName name="BOFE829F6155884DC789BF49B8456F579E" hidden="1">#REF!</definedName>
    <definedName name="BOFEBC738905DD4A19A704DD4EA74E6825" hidden="1">#REF!</definedName>
    <definedName name="BOFF0F075129194192802FC3FEE3FF6B1B" localSheetId="8" hidden="1">#REF!</definedName>
    <definedName name="BOFF0F075129194192802FC3FEE3FF6B1B" localSheetId="7" hidden="1">#REF!</definedName>
    <definedName name="BOFF0F075129194192802FC3FEE3FF6B1B" localSheetId="6" hidden="1">#REF!</definedName>
    <definedName name="BOFF0F075129194192802FC3FEE3FF6B1B" localSheetId="5" hidden="1">#REF!</definedName>
    <definedName name="BOFF0F075129194192802FC3FEE3FF6B1B" hidden="1">#REF!</definedName>
    <definedName name="BOFF5ED52144CE4B089B8D444F696CE0CC" hidden="1">#REF!</definedName>
    <definedName name="BOFF7B36E1F9A347F287C563B5B3D0733A" hidden="1">#REF!</definedName>
    <definedName name="BOFFC1ECC929644BF49B71594128BB84C7" hidden="1">#REF!</definedName>
    <definedName name="BOFFD7B2F0F74B4D3B936448D562F3919D" hidden="1">#REF!</definedName>
    <definedName name="BOFFE0237C184644429BC13935B25A4142" hidden="1">#REF!</definedName>
    <definedName name="BotCon">'HTML Frame'!$AB$65</definedName>
    <definedName name="Bp" localSheetId="8">#REF!</definedName>
    <definedName name="Bp" localSheetId="4">#REF!</definedName>
    <definedName name="Bp" localSheetId="7">#REF!</definedName>
    <definedName name="Bp" localSheetId="5">#REF!</definedName>
    <definedName name="Bp">#REF!</definedName>
    <definedName name="Bs" localSheetId="8">#REF!</definedName>
    <definedName name="Bs" localSheetId="7">#REF!</definedName>
    <definedName name="Bs" localSheetId="5">#REF!</definedName>
    <definedName name="Bs">#REF!</definedName>
    <definedName name="Bt">'[8]Round Tube'!$L$112</definedName>
    <definedName name="Btb">'[8]Round Tube'!$L$115</definedName>
    <definedName name="CalculatorID" localSheetId="7">#REF!</definedName>
    <definedName name="CalculatorID">#REF!</definedName>
    <definedName name="CalcUrl" localSheetId="7">#REF!</definedName>
    <definedName name="CalcUrl">#REF!</definedName>
    <definedName name="Cb" localSheetId="8">#REF!</definedName>
    <definedName name="Cb" localSheetId="4">#REF!</definedName>
    <definedName name="Cb" localSheetId="7">#REF!</definedName>
    <definedName name="Cb" localSheetId="5">#REF!</definedName>
    <definedName name="Cb">#REF!</definedName>
    <definedName name="Cc" localSheetId="8">#REF!</definedName>
    <definedName name="Cc" localSheetId="4">#REF!</definedName>
    <definedName name="Cc" localSheetId="7">#REF!</definedName>
    <definedName name="Cc" localSheetId="5">#REF!</definedName>
    <definedName name="Cc">#REF!</definedName>
    <definedName name="ccf" localSheetId="8">#REF!</definedName>
    <definedName name="ccf" localSheetId="4">#REF!</definedName>
    <definedName name="ccf" localSheetId="7">#REF!</definedName>
    <definedName name="ccf" localSheetId="5">#REF!</definedName>
    <definedName name="ccf">#REF!</definedName>
    <definedName name="ccw" localSheetId="8">#REF!</definedName>
    <definedName name="ccw" localSheetId="4">#REF!</definedName>
    <definedName name="ccw" localSheetId="7">#REF!</definedName>
    <definedName name="ccw" localSheetId="5">#REF!</definedName>
    <definedName name="ccw">#REF!</definedName>
    <definedName name="Cd" localSheetId="8">[9]Wood_Bearing!$I$37</definedName>
    <definedName name="Cd" localSheetId="5">[10]Wood_Bearing!$I$37</definedName>
    <definedName name="Cd">[11]Wood_Bearing!$I$37</definedName>
    <definedName name="Ce" localSheetId="8">#REF!</definedName>
    <definedName name="Ce" localSheetId="7">#REF!</definedName>
    <definedName name="Ce" localSheetId="5">SnowLoad!$B$15</definedName>
    <definedName name="Ce">#REF!</definedName>
    <definedName name="Cegw" localSheetId="8">[9]Wood_Bearing!$I$45</definedName>
    <definedName name="Cegw" localSheetId="5">[10]Wood_Bearing!$I$45</definedName>
    <definedName name="Cegw">[11]Wood_Bearing!$I$45</definedName>
    <definedName name="Cegz" localSheetId="8">[9]Wood_Bearing!$I$46</definedName>
    <definedName name="Cegz" localSheetId="5">[10]Wood_Bearing!$I$46</definedName>
    <definedName name="Cegz">[11]Wood_Bearing!$I$46</definedName>
    <definedName name="CertAuthNumber" localSheetId="7">#REF!</definedName>
    <definedName name="CertAuthNumber" localSheetId="5">#REF!</definedName>
    <definedName name="CertAuthNumber">#REF!</definedName>
    <definedName name="Cm" localSheetId="8">#REF!</definedName>
    <definedName name="Cm" localSheetId="4">#REF!</definedName>
    <definedName name="Cm" localSheetId="7">#REF!</definedName>
    <definedName name="Cm" localSheetId="5">#REF!</definedName>
    <definedName name="Cm">#REF!</definedName>
    <definedName name="CompanyLine1" localSheetId="7">#REF!</definedName>
    <definedName name="CompanyLine1" localSheetId="5">#REF!</definedName>
    <definedName name="CompanyLine1">#REF!</definedName>
    <definedName name="CompanyLine2" localSheetId="7">#REF!</definedName>
    <definedName name="CompanyLine2" localSheetId="5">#REF!</definedName>
    <definedName name="CompanyLine2">#REF!</definedName>
    <definedName name="CompanyLine3" localSheetId="7">#REF!</definedName>
    <definedName name="CompanyLine3" localSheetId="5">#REF!</definedName>
    <definedName name="CompanyLine3">#REF!</definedName>
    <definedName name="CompanyLine4" localSheetId="7">#REF!</definedName>
    <definedName name="CompanyLine4" localSheetId="5">#REF!</definedName>
    <definedName name="CompanyLine4">#REF!</definedName>
    <definedName name="Contractor_Name" localSheetId="8">#REF!</definedName>
    <definedName name="Contractor_Name" localSheetId="7">#REF!</definedName>
    <definedName name="Contractor_Name" localSheetId="5">#REF!</definedName>
    <definedName name="Contractor_Name">#REF!</definedName>
    <definedName name="CornerToWindow" localSheetId="7">#REF!</definedName>
    <definedName name="CornerToWindow">#REF!</definedName>
    <definedName name="CornerToWindow2" localSheetId="7">#REF!</definedName>
    <definedName name="CornerToWindow2">#REF!</definedName>
    <definedName name="Cp" localSheetId="8">#REF!</definedName>
    <definedName name="Cp" localSheetId="4">#REF!</definedName>
    <definedName name="Cp" localSheetId="7">#REF!</definedName>
    <definedName name="Cp" localSheetId="5">#REF!</definedName>
    <definedName name="Cp">#REF!</definedName>
    <definedName name="Cs" localSheetId="8">#REF!</definedName>
    <definedName name="Cs" localSheetId="7">#REF!</definedName>
    <definedName name="Cs" localSheetId="5">#REF!</definedName>
    <definedName name="Cs">#REF!</definedName>
    <definedName name="Ct" localSheetId="5">SnowLoad!$B$16</definedName>
    <definedName name="Ct">'[8]Round Tube'!$L$114</definedName>
    <definedName name="Ctb" localSheetId="8">#REF!</definedName>
    <definedName name="Ctb" localSheetId="7">#REF!</definedName>
    <definedName name="Ctb" localSheetId="5">#REF!</definedName>
    <definedName name="Ctb">#REF!</definedName>
    <definedName name="ctf" localSheetId="8">#REF!</definedName>
    <definedName name="ctf" localSheetId="4">#REF!</definedName>
    <definedName name="ctf" localSheetId="7">#REF!</definedName>
    <definedName name="ctf" localSheetId="5">#REF!</definedName>
    <definedName name="ctf">#REF!</definedName>
    <definedName name="ctw" localSheetId="8">#REF!</definedName>
    <definedName name="ctw" localSheetId="4">#REF!</definedName>
    <definedName name="ctw" localSheetId="7">#REF!</definedName>
    <definedName name="ctw" localSheetId="5">#REF!</definedName>
    <definedName name="ctw">#REF!</definedName>
    <definedName name="Cw">'[6]Lwer Steel Long'!$F$20</definedName>
    <definedName name="CΔ" localSheetId="8">[9]Wood_Bearing!$I$44</definedName>
    <definedName name="CΔ" localSheetId="5">[10]Wood_Bearing!$I$44</definedName>
    <definedName name="CΔ">[11]Wood_Bearing!$I$44</definedName>
    <definedName name="D">'[12]Load Combination'!$B$3</definedName>
    <definedName name="Dbr" localSheetId="8">#REF!</definedName>
    <definedName name="Dbr" localSheetId="4">#REF!</definedName>
    <definedName name="Dbr" localSheetId="7">#REF!</definedName>
    <definedName name="Dbr" localSheetId="5">#REF!</definedName>
    <definedName name="Dbr">#REF!</definedName>
    <definedName name="Dc" localSheetId="8">#REF!</definedName>
    <definedName name="Dc" localSheetId="4">#REF!</definedName>
    <definedName name="Dc" localSheetId="7">#REF!</definedName>
    <definedName name="Dc" localSheetId="5">#REF!</definedName>
    <definedName name="Dc">#REF!</definedName>
    <definedName name="Dp" localSheetId="8">#REF!</definedName>
    <definedName name="Dp" localSheetId="4">#REF!</definedName>
    <definedName name="Dp" localSheetId="7">#REF!</definedName>
    <definedName name="Dp" localSheetId="5">#REF!</definedName>
    <definedName name="Dp">#REF!</definedName>
    <definedName name="DPCalc" localSheetId="7">#REF!</definedName>
    <definedName name="DPCalc">#REF!</definedName>
    <definedName name="Dr" localSheetId="8">[9]Wood_Bearing!$G$11</definedName>
    <definedName name="Dr" localSheetId="5">[10]Wood_Bearing!$G$11</definedName>
    <definedName name="Dr">[11]Wood_Bearing!$G$11</definedName>
    <definedName name="DrawingWithCalcs" localSheetId="7">#REF!</definedName>
    <definedName name="DrawingWithCalcs" localSheetId="5">#REF!</definedName>
    <definedName name="DrawingWithCalcs">#REF!</definedName>
    <definedName name="Ds" localSheetId="8">#REF!</definedName>
    <definedName name="Ds" localSheetId="7">#REF!</definedName>
    <definedName name="Ds" localSheetId="5">#REF!</definedName>
    <definedName name="Ds">#REF!</definedName>
    <definedName name="Dt">'[8]Round Tube'!$L$113</definedName>
    <definedName name="Dtb">'[8]Round Tube'!$L$116</definedName>
    <definedName name="E" localSheetId="8">#REF!</definedName>
    <definedName name="E" localSheetId="4">#REF!</definedName>
    <definedName name="E" localSheetId="7">#REF!</definedName>
    <definedName name="E" localSheetId="5">#REF!</definedName>
    <definedName name="E">#REF!</definedName>
    <definedName name="Enclosure" localSheetId="2">'Printable Page'!$I$15</definedName>
    <definedName name="Enclosure">[1]Inputs!$G$16</definedName>
    <definedName name="Exp">'HTML Frame'!$D$17</definedName>
    <definedName name="Exposure" localSheetId="2">'Printable Page'!$I$14</definedName>
    <definedName name="Exposure">[1]Inputs!$G$15</definedName>
    <definedName name="F_11" localSheetId="8">#REF!</definedName>
    <definedName name="F_11" localSheetId="7">#REF!</definedName>
    <definedName name="F_11" localSheetId="5">#REF!</definedName>
    <definedName name="F_11">#REF!</definedName>
    <definedName name="F_14" localSheetId="8">#REF!</definedName>
    <definedName name="F_14" localSheetId="4">#REF!</definedName>
    <definedName name="F_14" localSheetId="7">#REF!</definedName>
    <definedName name="F_14" localSheetId="5">#REF!</definedName>
    <definedName name="F_14">#REF!</definedName>
    <definedName name="F_15" localSheetId="8">#REF!</definedName>
    <definedName name="F_15" localSheetId="7">#REF!</definedName>
    <definedName name="F_15" localSheetId="5">#REF!</definedName>
    <definedName name="F_15">#REF!</definedName>
    <definedName name="F_16" localSheetId="8">#REF!</definedName>
    <definedName name="F_16" localSheetId="4">#REF!</definedName>
    <definedName name="F_16" localSheetId="7">#REF!</definedName>
    <definedName name="F_16" localSheetId="5">#REF!</definedName>
    <definedName name="F_16">#REF!</definedName>
    <definedName name="F_17">'[13]C-Channel (Weak)'!$I$132</definedName>
    <definedName name="F_18" localSheetId="8">#REF!</definedName>
    <definedName name="F_18" localSheetId="4">#REF!</definedName>
    <definedName name="F_18" localSheetId="7">#REF!</definedName>
    <definedName name="F_18" localSheetId="5">#REF!</definedName>
    <definedName name="F_18">#REF!</definedName>
    <definedName name="F_2" localSheetId="8">#REF!</definedName>
    <definedName name="F_2" localSheetId="4">#REF!</definedName>
    <definedName name="F_2" localSheetId="7">#REF!</definedName>
    <definedName name="F_2" localSheetId="5">#REF!</definedName>
    <definedName name="F_2">#REF!</definedName>
    <definedName name="F_4" localSheetId="8">#REF!</definedName>
    <definedName name="F_4" localSheetId="4">#REF!</definedName>
    <definedName name="F_4" localSheetId="7">#REF!</definedName>
    <definedName name="F_4" localSheetId="5">#REF!</definedName>
    <definedName name="F_4">#REF!</definedName>
    <definedName name="F_7" localSheetId="8">#REF!</definedName>
    <definedName name="F_7" localSheetId="4">#REF!</definedName>
    <definedName name="F_7" localSheetId="7">#REF!</definedName>
    <definedName name="F_7" localSheetId="5">#REF!</definedName>
    <definedName name="F_7">#REF!</definedName>
    <definedName name="F_8" localSheetId="8">#REF!</definedName>
    <definedName name="F_8" localSheetId="7">#REF!</definedName>
    <definedName name="F_8" localSheetId="5">#REF!</definedName>
    <definedName name="F_8">#REF!</definedName>
    <definedName name="F_8.1" localSheetId="8">#REF!</definedName>
    <definedName name="F_8.1" localSheetId="7">#REF!</definedName>
    <definedName name="F_8.1" localSheetId="5">#REF!</definedName>
    <definedName name="F_8.1">#REF!</definedName>
    <definedName name="F_8.1a">[8]Angle!$I$90</definedName>
    <definedName name="F_8.1b">[8]Angle!$I$91</definedName>
    <definedName name="F_9a" localSheetId="8">#REF!</definedName>
    <definedName name="F_9a" localSheetId="4">#REF!</definedName>
    <definedName name="F_9a" localSheetId="7">#REF!</definedName>
    <definedName name="F_9a" localSheetId="5">#REF!</definedName>
    <definedName name="F_9a">#REF!</definedName>
    <definedName name="F_9b" localSheetId="8">#REF!</definedName>
    <definedName name="F_9b" localSheetId="4">#REF!</definedName>
    <definedName name="F_9b" localSheetId="7">#REF!</definedName>
    <definedName name="F_9b" localSheetId="5">#REF!</definedName>
    <definedName name="F_9b">#REF!</definedName>
    <definedName name="fa_" localSheetId="8">#REF!</definedName>
    <definedName name="fa_" localSheetId="4">#REF!</definedName>
    <definedName name="fa_" localSheetId="7">#REF!</definedName>
    <definedName name="fa_" localSheetId="5">#REF!</definedName>
    <definedName name="fa_">#REF!</definedName>
    <definedName name="Fac" localSheetId="8">#REF!</definedName>
    <definedName name="Fac" localSheetId="4">#REF!</definedName>
    <definedName name="Fac" localSheetId="7">#REF!</definedName>
    <definedName name="Fac" localSheetId="5">#REF!</definedName>
    <definedName name="Fac">#REF!</definedName>
    <definedName name="Fao" localSheetId="8">#REF!</definedName>
    <definedName name="Fao" localSheetId="4">#REF!</definedName>
    <definedName name="Fao" localSheetId="7">#REF!</definedName>
    <definedName name="Fao" localSheetId="5">#REF!</definedName>
    <definedName name="Fao">#REF!</definedName>
    <definedName name="Fb" localSheetId="8">#REF!</definedName>
    <definedName name="Fb" localSheetId="4">#REF!</definedName>
    <definedName name="Fb" localSheetId="7">#REF!</definedName>
    <definedName name="Fb" localSheetId="5">#REF!</definedName>
    <definedName name="Fb">#REF!</definedName>
    <definedName name="fb_" localSheetId="8">#REF!</definedName>
    <definedName name="fb_" localSheetId="4">#REF!</definedName>
    <definedName name="fb_" localSheetId="7">#REF!</definedName>
    <definedName name="fb_" localSheetId="5">#REF!</definedName>
    <definedName name="fb_">#REF!</definedName>
    <definedName name="fb_2" localSheetId="8">#REF!</definedName>
    <definedName name="fb_2" localSheetId="7">#REF!</definedName>
    <definedName name="fb_2" localSheetId="6">#REF!</definedName>
    <definedName name="Fb_3" localSheetId="8">#REF!</definedName>
    <definedName name="Fb_3" localSheetId="7">#REF!</definedName>
    <definedName name="Fb_3" localSheetId="6">#REF!</definedName>
    <definedName name="Fcf" localSheetId="8">#REF!</definedName>
    <definedName name="Fcf" localSheetId="4">#REF!</definedName>
    <definedName name="Fcf" localSheetId="7">#REF!</definedName>
    <definedName name="Fcf" localSheetId="5">#REF!</definedName>
    <definedName name="Fcf">#REF!</definedName>
    <definedName name="Fcw" localSheetId="8">#REF!</definedName>
    <definedName name="Fcw" localSheetId="4">#REF!</definedName>
    <definedName name="Fcw" localSheetId="7">#REF!</definedName>
    <definedName name="Fcw" localSheetId="5">#REF!</definedName>
    <definedName name="Fcw">#REF!</definedName>
    <definedName name="Fcy" localSheetId="8">#REF!</definedName>
    <definedName name="Fcy" localSheetId="4">#REF!</definedName>
    <definedName name="Fcy" localSheetId="7">#REF!</definedName>
    <definedName name="Fcy" localSheetId="5">#REF!</definedName>
    <definedName name="Fcy">#REF!</definedName>
    <definedName name="Fe" localSheetId="8">#REF!</definedName>
    <definedName name="Fe" localSheetId="4">#REF!</definedName>
    <definedName name="Fe" localSheetId="7">#REF!</definedName>
    <definedName name="Fe" localSheetId="5">#REF!</definedName>
    <definedName name="Fe">#REF!</definedName>
    <definedName name="Fem" localSheetId="8">[9]Wood_Bearing!$G$13</definedName>
    <definedName name="Fem" localSheetId="5">[10]Wood_Bearing!$G$13</definedName>
    <definedName name="Fem">[11]Wood_Bearing!$G$13</definedName>
    <definedName name="Fes" localSheetId="8">[9]Wood_Bearing!$G$19</definedName>
    <definedName name="Fes" localSheetId="5">[10]Wood_Bearing!$G$19</definedName>
    <definedName name="Fes">[11]Wood_Bearing!$G$19</definedName>
    <definedName name="FLB_NoCertAuth">"Text Box 23,Object 358,Line 21,Line 22"</definedName>
    <definedName name="Fsu" localSheetId="8">#REF!</definedName>
    <definedName name="Fsu" localSheetId="7">#REF!</definedName>
    <definedName name="Fsu" localSheetId="5">#REF!</definedName>
    <definedName name="Fsu">#REF!</definedName>
    <definedName name="Ftf" localSheetId="8">#REF!</definedName>
    <definedName name="Ftf" localSheetId="4">#REF!</definedName>
    <definedName name="Ftf" localSheetId="7">#REF!</definedName>
    <definedName name="Ftf" localSheetId="5">#REF!</definedName>
    <definedName name="Ftf">#REF!</definedName>
    <definedName name="Ftu" localSheetId="8">#REF!</definedName>
    <definedName name="Ftu" localSheetId="4">#REF!</definedName>
    <definedName name="Ftu" localSheetId="7">#REF!</definedName>
    <definedName name="Ftu" localSheetId="5">#REF!</definedName>
    <definedName name="Ftu">#REF!</definedName>
    <definedName name="Ftw" localSheetId="8">#REF!</definedName>
    <definedName name="Ftw" localSheetId="4">#REF!</definedName>
    <definedName name="Ftw" localSheetId="7">#REF!</definedName>
    <definedName name="Ftw" localSheetId="5">#REF!</definedName>
    <definedName name="Ftw">#REF!</definedName>
    <definedName name="Fty" localSheetId="8">#REF!</definedName>
    <definedName name="Fty" localSheetId="4">#REF!</definedName>
    <definedName name="Fty" localSheetId="7">#REF!</definedName>
    <definedName name="Fty" localSheetId="5">#REF!</definedName>
    <definedName name="Fty">#REF!</definedName>
    <definedName name="Fu">'[6]Lwer Steel Long'!$B$14</definedName>
    <definedName name="Fy">'[6]Lwer Steel Long'!$B$13</definedName>
    <definedName name="Fyb" localSheetId="8">[9]Wood_Bearing!$C$11</definedName>
    <definedName name="Fyb" localSheetId="5">[10]Wood_Bearing!$C$11</definedName>
    <definedName name="Fyb">[11]Wood_Bearing!$C$11</definedName>
    <definedName name="G">'[6]Lwer Steel Long'!$B$16</definedName>
    <definedName name="GC_pi">[1]Reference!$G$20</definedName>
    <definedName name="GustComp" localSheetId="8">[14]Wind!#REF!</definedName>
    <definedName name="GustComp" localSheetId="7">[14]Wind!#REF!</definedName>
    <definedName name="GustComp" localSheetId="5">[14]Wind!#REF!</definedName>
    <definedName name="GustComp">[14]Wind!#REF!</definedName>
    <definedName name="H" localSheetId="8">#REF!</definedName>
    <definedName name="H" localSheetId="7">#REF!</definedName>
    <definedName name="H" localSheetId="5">#REF!</definedName>
    <definedName name="H">#REF!</definedName>
    <definedName name="h_" localSheetId="8">#REF!</definedName>
    <definedName name="h_" localSheetId="4">#REF!</definedName>
    <definedName name="h_" localSheetId="7">#REF!</definedName>
    <definedName name="h_" localSheetId="5">#REF!</definedName>
    <definedName name="h_">#REF!</definedName>
    <definedName name="h_MeanRoof">'Printable Page'!$I$21</definedName>
    <definedName name="HAS">'HTML Frame'!$F$245</definedName>
    <definedName name="hd" localSheetId="5">SnowLoad!$B$30</definedName>
    <definedName name="hEIGHT" localSheetId="7">#REF!</definedName>
    <definedName name="hEIGHT">#REF!</definedName>
    <definedName name="I" localSheetId="8">#REF!</definedName>
    <definedName name="I" localSheetId="7">#REF!</definedName>
    <definedName name="I" localSheetId="5">SnowLoad!$B$17</definedName>
    <definedName name="I">#REF!</definedName>
    <definedName name="If" localSheetId="8">#REF!</definedName>
    <definedName name="If" localSheetId="4">#REF!</definedName>
    <definedName name="If" localSheetId="7">#REF!</definedName>
    <definedName name="If" localSheetId="5">#REF!</definedName>
    <definedName name="If">#REF!</definedName>
    <definedName name="InternalCode" localSheetId="2">#REF!</definedName>
    <definedName name="InternalCode">Information!$G$19</definedName>
    <definedName name="Iw" localSheetId="8">#REF!</definedName>
    <definedName name="Iw" localSheetId="4">#REF!</definedName>
    <definedName name="Iw" localSheetId="7">#REF!</definedName>
    <definedName name="Iw" localSheetId="5">#REF!</definedName>
    <definedName name="Iw">#REF!</definedName>
    <definedName name="Ix" localSheetId="8">#REF!</definedName>
    <definedName name="Ix" localSheetId="7">#REF!</definedName>
    <definedName name="Ix" localSheetId="5">#REF!</definedName>
    <definedName name="Ix">#REF!</definedName>
    <definedName name="Iy" localSheetId="8">#REF!</definedName>
    <definedName name="Iy" localSheetId="4">#REF!</definedName>
    <definedName name="Iy" localSheetId="7">#REF!</definedName>
    <definedName name="Iy" localSheetId="5">#REF!</definedName>
    <definedName name="Iy">#REF!</definedName>
    <definedName name="J" localSheetId="8">#REF!</definedName>
    <definedName name="J" localSheetId="4">#REF!</definedName>
    <definedName name="J" localSheetId="7">#REF!</definedName>
    <definedName name="J" localSheetId="5">#REF!</definedName>
    <definedName name="J">#REF!</definedName>
    <definedName name="k" localSheetId="8">#REF!</definedName>
    <definedName name="k" localSheetId="4">#REF!</definedName>
    <definedName name="k" localSheetId="7">#REF!</definedName>
    <definedName name="k" localSheetId="5">#REF!</definedName>
    <definedName name="k">#REF!</definedName>
    <definedName name="K_d" localSheetId="2">'Printable Page'!$I$17</definedName>
    <definedName name="K_d">[1]Inputs!$G$18</definedName>
    <definedName name="K_h" localSheetId="2">[15]Reference!$AG$8</definedName>
    <definedName name="K_h">[1]Reference!$AG$8</definedName>
    <definedName name="K_z" localSheetId="2">[15]Reference!$AG$9</definedName>
    <definedName name="K_z">[1]Reference!$AG$9</definedName>
    <definedName name="K_zt" localSheetId="2">[15]Reference!$K$9</definedName>
    <definedName name="K_zt">[1]Reference!$K$9</definedName>
    <definedName name="k1_" localSheetId="8">[9]Wood_Bearing!$B$25</definedName>
    <definedName name="k1_" localSheetId="5">[10]Wood_Bearing!$B$25</definedName>
    <definedName name="k1_">[11]Wood_Bearing!$B$25</definedName>
    <definedName name="k1b" localSheetId="8">#REF!</definedName>
    <definedName name="k1b" localSheetId="4">#REF!</definedName>
    <definedName name="k1b" localSheetId="7">#REF!</definedName>
    <definedName name="k1b" localSheetId="5">#REF!</definedName>
    <definedName name="k1b">#REF!</definedName>
    <definedName name="k1c" localSheetId="8">#REF!</definedName>
    <definedName name="k1c" localSheetId="4">#REF!</definedName>
    <definedName name="k1c" localSheetId="7">#REF!</definedName>
    <definedName name="k1c" localSheetId="5">#REF!</definedName>
    <definedName name="k1c">#REF!</definedName>
    <definedName name="k2_" localSheetId="8">[9]Wood_Bearing!$B$26</definedName>
    <definedName name="k2_" localSheetId="5">[10]Wood_Bearing!$B$26</definedName>
    <definedName name="k2_">[11]Wood_Bearing!$B$26</definedName>
    <definedName name="k2b" localSheetId="8">#REF!</definedName>
    <definedName name="k2b" localSheetId="4">#REF!</definedName>
    <definedName name="k2b" localSheetId="7">#REF!</definedName>
    <definedName name="k2b" localSheetId="5">#REF!</definedName>
    <definedName name="k2b">#REF!</definedName>
    <definedName name="k2c" localSheetId="8">#REF!</definedName>
    <definedName name="k2c" localSheetId="4">#REF!</definedName>
    <definedName name="k2c" localSheetId="7">#REF!</definedName>
    <definedName name="k2c" localSheetId="5">#REF!</definedName>
    <definedName name="k2c">#REF!</definedName>
    <definedName name="k3_" localSheetId="8">[9]Wood_Bearing!$B$27</definedName>
    <definedName name="k3_" localSheetId="5">[10]Wood_Bearing!$B$27</definedName>
    <definedName name="k3_">[11]Wood_Bearing!$B$27</definedName>
    <definedName name="Kd" localSheetId="8">[9]Wood_Bearing!$G$14</definedName>
    <definedName name="Kd" localSheetId="5">[10]Wood_Bearing!$G$14</definedName>
    <definedName name="Kd">[11]Wood_Bearing!$G$14</definedName>
    <definedName name="kt" localSheetId="8">#REF!</definedName>
    <definedName name="kt" localSheetId="4">#REF!</definedName>
    <definedName name="kt" localSheetId="7">#REF!</definedName>
    <definedName name="kt" localSheetId="5">#REF!</definedName>
    <definedName name="kt">#REF!</definedName>
    <definedName name="L" localSheetId="8">#REF!</definedName>
    <definedName name="L" localSheetId="4">#REF!</definedName>
    <definedName name="L" localSheetId="7">#REF!</definedName>
    <definedName name="L" localSheetId="5">#REF!</definedName>
    <definedName name="L">#REF!</definedName>
    <definedName name="Lb" localSheetId="8">#REF!</definedName>
    <definedName name="Lb" localSheetId="4">#REF!</definedName>
    <definedName name="Lb" localSheetId="7">#REF!</definedName>
    <definedName name="Lb" localSheetId="5">#REF!</definedName>
    <definedName name="Lb">#REF!</definedName>
    <definedName name="LispRoutine" localSheetId="8">#REF!</definedName>
    <definedName name="LispRoutine" localSheetId="7">#REF!</definedName>
    <definedName name="LispRoutine" localSheetId="5">#REF!</definedName>
    <definedName name="LispRoutine">#REF!</definedName>
    <definedName name="lm" localSheetId="8">[9]Wood_Bearing!$B$14</definedName>
    <definedName name="lm" localSheetId="5">[10]Wood_Bearing!$B$14</definedName>
    <definedName name="lm">[11]Wood_Bearing!$B$14</definedName>
    <definedName name="ls" localSheetId="8">[9]Wood_Bearing!$B$20</definedName>
    <definedName name="ls" localSheetId="5">[10]Wood_Bearing!$B$20</definedName>
    <definedName name="ls">[11]Wood_Bearing!$B$20</definedName>
    <definedName name="M" localSheetId="8">#REF!</definedName>
    <definedName name="m" localSheetId="4">#REF!</definedName>
    <definedName name="M" localSheetId="7">#REF!</definedName>
    <definedName name="M" localSheetId="5">#REF!</definedName>
    <definedName name="M">#REF!</definedName>
    <definedName name="Mac" localSheetId="8">#REF!</definedName>
    <definedName name="Mac" localSheetId="4">#REF!</definedName>
    <definedName name="Mac" localSheetId="7">#REF!</definedName>
    <definedName name="Mac" localSheetId="5">#REF!</definedName>
    <definedName name="Mac">#REF!</definedName>
    <definedName name="Master_Contractor_Address" localSheetId="8">[16]Inputs!$C$32</definedName>
    <definedName name="Master_Contractor_Address" localSheetId="0">Information!$C$6</definedName>
    <definedName name="Master_Contractor_Address" localSheetId="1">Information!$C$6</definedName>
    <definedName name="Master_Contractor_Address" localSheetId="7">[16]Inputs!$C$32</definedName>
    <definedName name="Master_Contractor_Address" localSheetId="6">[16]Inputs!$C$32</definedName>
    <definedName name="Master_Contractor_Address" localSheetId="5">[16]Inputs!$C$32</definedName>
    <definedName name="Master_Contractor_Address">#REF!</definedName>
    <definedName name="Master_Contractor_City" localSheetId="8">[16]Inputs!$C$33</definedName>
    <definedName name="Master_Contractor_City" localSheetId="0">Information!$C$8</definedName>
    <definedName name="Master_Contractor_City" localSheetId="1">Information!$C$8</definedName>
    <definedName name="Master_Contractor_City" localSheetId="7">[16]Inputs!$C$33</definedName>
    <definedName name="Master_Contractor_City" localSheetId="6">[16]Inputs!$C$33</definedName>
    <definedName name="Master_Contractor_City" localSheetId="5">[16]Inputs!$C$33</definedName>
    <definedName name="Master_Contractor_City">#REF!</definedName>
    <definedName name="Master_Contractor_Name" localSheetId="8">[16]Inputs!$C$31</definedName>
    <definedName name="Master_Contractor_Name" localSheetId="0">Information!$C$4</definedName>
    <definedName name="Master_Contractor_Name" localSheetId="1">Information!$C$4</definedName>
    <definedName name="Master_Contractor_Name" localSheetId="7">[16]Inputs!$C$31</definedName>
    <definedName name="Master_Contractor_Name" localSheetId="6">[16]Inputs!$C$31</definedName>
    <definedName name="Master_Contractor_Name" localSheetId="5">[16]Inputs!$C$31</definedName>
    <definedName name="Master_Contractor_Name">#REF!</definedName>
    <definedName name="Master_Contractor_Phone" localSheetId="8">[16]Inputs!$C$35</definedName>
    <definedName name="Master_Contractor_Phone" localSheetId="7">[16]Inputs!$C$35</definedName>
    <definedName name="Master_Contractor_Phone" localSheetId="6">[16]Inputs!$C$35</definedName>
    <definedName name="Master_Contractor_Phone" localSheetId="5">[16]Inputs!$C$35</definedName>
    <definedName name="Master_Contractor_Phone">#REF!</definedName>
    <definedName name="Master_Contractor_State" localSheetId="8">[16]Inputs!$C$34</definedName>
    <definedName name="Master_Contractor_State" localSheetId="0">Information!$I$8</definedName>
    <definedName name="Master_Contractor_State" localSheetId="1">Information!$I$8</definedName>
    <definedName name="Master_Contractor_State" localSheetId="7">[16]Inputs!$C$34</definedName>
    <definedName name="Master_Contractor_State" localSheetId="6">[16]Inputs!$C$34</definedName>
    <definedName name="Master_Contractor_State" localSheetId="5">[16]Inputs!$C$34</definedName>
    <definedName name="Master_Contractor_State">#REF!</definedName>
    <definedName name="Master_EX_Project_Description">#REF!</definedName>
    <definedName name="Master_OC_Project_Comments">#REF!</definedName>
    <definedName name="Master_Project_Address" localSheetId="8">[16]Inputs!$C$28</definedName>
    <definedName name="Master_Project_Address" localSheetId="0">Information!$C$12</definedName>
    <definedName name="Master_Project_Address" localSheetId="1">Information!$C$12</definedName>
    <definedName name="Master_Project_Address" localSheetId="7">[16]Inputs!$C$28</definedName>
    <definedName name="Master_Project_Address" localSheetId="6">[16]Inputs!$C$28</definedName>
    <definedName name="Master_Project_Address" localSheetId="5">[16]Inputs!$C$28</definedName>
    <definedName name="Master_Project_Address">#REF!</definedName>
    <definedName name="Master_Project_City" localSheetId="8">[16]Inputs!$C$29</definedName>
    <definedName name="Master_Project_City" localSheetId="0">Information!$C$14</definedName>
    <definedName name="Master_Project_City" localSheetId="1">Information!$C$14</definedName>
    <definedName name="Master_Project_City" localSheetId="7">[16]Inputs!$C$29</definedName>
    <definedName name="Master_Project_City" localSheetId="6">[16]Inputs!$C$29</definedName>
    <definedName name="Master_Project_City" localSheetId="5">[16]Inputs!$C$29</definedName>
    <definedName name="Master_Project_City">#REF!</definedName>
    <definedName name="Master_Project_Name" localSheetId="8">[16]Inputs!$C$27</definedName>
    <definedName name="Master_Project_Name" localSheetId="0">Information!$C$10</definedName>
    <definedName name="Master_Project_Name" localSheetId="1">Information!$C$10</definedName>
    <definedName name="Master_Project_Name" localSheetId="7">[16]Inputs!$C$27</definedName>
    <definedName name="Master_Project_Name" localSheetId="6">[16]Inputs!$C$27</definedName>
    <definedName name="Master_Project_Name" localSheetId="5">[16]Inputs!$C$27</definedName>
    <definedName name="Master_Project_Name">#REF!</definedName>
    <definedName name="Master_Project_Number" localSheetId="0">[1]Inputs!$A$1</definedName>
    <definedName name="Master_Project_Number" localSheetId="1">[1]Inputs!$A$1</definedName>
    <definedName name="Master_Project_Number" localSheetId="2">[1]Inputs!$A$1</definedName>
    <definedName name="Master_Project_Number">#REF!</definedName>
    <definedName name="Master_Project_State" localSheetId="8">[16]Inputs!$C$30</definedName>
    <definedName name="Master_Project_State" localSheetId="0">Information!$I$14</definedName>
    <definedName name="Master_Project_State" localSheetId="1">Information!$I$14</definedName>
    <definedName name="Master_Project_State" localSheetId="7">[16]Inputs!$C$30</definedName>
    <definedName name="Master_Project_State" localSheetId="6">[16]Inputs!$C$30</definedName>
    <definedName name="Master_Project_State" localSheetId="5">[16]Inputs!$C$30</definedName>
    <definedName name="Master_Project_State">#REF!</definedName>
    <definedName name="Mat" localSheetId="8">#REF!</definedName>
    <definedName name="Mat" localSheetId="4">#REF!</definedName>
    <definedName name="Mat" localSheetId="7">#REF!</definedName>
    <definedName name="Mat" localSheetId="5">#REF!</definedName>
    <definedName name="Mat">#REF!</definedName>
    <definedName name="MeanRoof" localSheetId="7">#REF!</definedName>
    <definedName name="MeanRoof">#REF!</definedName>
    <definedName name="MeanRoof2" localSheetId="7">#REF!</definedName>
    <definedName name="MeanRoof2">#REF!</definedName>
    <definedName name="MinBldgDim" localSheetId="2">'Printable Page'!$I$23</definedName>
    <definedName name="MinBldgDim">[1]Inputs!$G$26</definedName>
    <definedName name="MinBldgDim2" localSheetId="7">#REF!</definedName>
    <definedName name="MinBldgDim2">#REF!</definedName>
    <definedName name="MRH">'HTML Frame'!$D$30</definedName>
    <definedName name="MullionTableRef" localSheetId="0">#REF!</definedName>
    <definedName name="MullionTableRef" localSheetId="1">[7]ProdMullDBRef!$K$2:$R$183</definedName>
    <definedName name="MullionTableRef" localSheetId="2">[7]ProdMullDBRef!$K$2:$R$183</definedName>
    <definedName name="MullionTableRef">#REF!</definedName>
    <definedName name="NoDPCalc" localSheetId="7">#REF!</definedName>
    <definedName name="NoDPCalc">#REF!</definedName>
    <definedName name="nu" localSheetId="8">#REF!</definedName>
    <definedName name="nu" localSheetId="4">#REF!</definedName>
    <definedName name="nu" localSheetId="7">#REF!</definedName>
    <definedName name="nu" localSheetId="5">#REF!</definedName>
    <definedName name="nu">#REF!</definedName>
    <definedName name="NumberProducts" localSheetId="2">#REF!</definedName>
    <definedName name="NumberProducts">[1]Inputs!$I$35</definedName>
    <definedName name="ny" localSheetId="8">#REF!</definedName>
    <definedName name="ny" localSheetId="4">#REF!</definedName>
    <definedName name="ny" localSheetId="7">#REF!</definedName>
    <definedName name="ny" localSheetId="5">#REF!</definedName>
    <definedName name="ny">#REF!</definedName>
    <definedName name="PENumber" localSheetId="7">#REF!</definedName>
    <definedName name="PENumber" localSheetId="5">#REF!</definedName>
    <definedName name="PENumber">#REF!</definedName>
    <definedName name="PEvsState" localSheetId="7">#REF!</definedName>
    <definedName name="PEvsState" localSheetId="5">#REF!</definedName>
    <definedName name="PEvsState">#REF!</definedName>
    <definedName name="Pg" localSheetId="8">#REF!</definedName>
    <definedName name="Pg" localSheetId="7">#REF!</definedName>
    <definedName name="Pg" localSheetId="5">SnowLoad!$B$14</definedName>
    <definedName name="Pg">#REF!</definedName>
    <definedName name="_xlnm.Print_Area" localSheetId="8">'Hanger Arm Tables (2)'!$A$1:$V$146</definedName>
    <definedName name="_xlnm.Print_Area" localSheetId="0">'HTML Frame'!$A$1:$Z$311</definedName>
    <definedName name="_xlnm.Print_Area" localSheetId="1">Information!$A$1:$O$21</definedName>
    <definedName name="_xlnm.Print_Area" localSheetId="4">Loading!$A$1:$I$34</definedName>
    <definedName name="_xlnm.Print_Area" localSheetId="2">'Printable Page'!$A$3:$X$85</definedName>
    <definedName name="_xlnm.Print_Area" localSheetId="5">SnowLoad!$A$1:$J$57</definedName>
    <definedName name="ProductID" localSheetId="7">#REF!</definedName>
    <definedName name="ProductID">#REF!</definedName>
    <definedName name="ProductTableRef" localSheetId="0">#REF!</definedName>
    <definedName name="ProductTableRef" localSheetId="1">[7]ProdMullDBRef!$A$2:$I$889</definedName>
    <definedName name="ProductTableRef" localSheetId="2">[7]ProdMullDBRef!$A$2:$I$889</definedName>
    <definedName name="ProductTableRef">#REF!</definedName>
    <definedName name="Project_Name" localSheetId="8">#REF!</definedName>
    <definedName name="Project_Name" localSheetId="7">#REF!</definedName>
    <definedName name="Project_Name" localSheetId="5">#REF!</definedName>
    <definedName name="Project_Name">#REF!</definedName>
    <definedName name="Project_Number" localSheetId="8">#REF!</definedName>
    <definedName name="Project_Number" localSheetId="7">#REF!</definedName>
    <definedName name="Project_Number" localSheetId="5">#REF!</definedName>
    <definedName name="Project_Number">#REF!</definedName>
    <definedName name="Project_Subject" localSheetId="8">#REF!</definedName>
    <definedName name="Project_Subject" localSheetId="7">#REF!</definedName>
    <definedName name="Project_Subject" localSheetId="5">#REF!</definedName>
    <definedName name="Project_Subject">#REF!</definedName>
    <definedName name="ProjectAddress1" localSheetId="7">#REF!</definedName>
    <definedName name="ProjectAddress1" localSheetId="5">#REF!</definedName>
    <definedName name="ProjectAddress1">#REF!</definedName>
    <definedName name="ProjectAddress2" localSheetId="7">#REF!</definedName>
    <definedName name="ProjectAddress2" localSheetId="5">#REF!</definedName>
    <definedName name="ProjectAddress2">#REF!</definedName>
    <definedName name="ProjectIDList" localSheetId="8">#REF!</definedName>
    <definedName name="ProjectIDList" localSheetId="7">#REF!</definedName>
    <definedName name="ProjectIDList" localSheetId="5">#REF!</definedName>
    <definedName name="ProjectIDList">#REF!</definedName>
    <definedName name="ProjectName" localSheetId="7">#REF!</definedName>
    <definedName name="ProjectName" localSheetId="5">#REF!</definedName>
    <definedName name="ProjectName">#REF!</definedName>
    <definedName name="ProjectNumber" localSheetId="7">#REF!</definedName>
    <definedName name="ProjectNumber" localSheetId="5">#REF!</definedName>
    <definedName name="ProjectNumber">#REF!</definedName>
    <definedName name="ProjectNumRef" localSheetId="8">#REF!</definedName>
    <definedName name="ProjectNumRef" localSheetId="7">#REF!</definedName>
    <definedName name="ProjectNumRef" localSheetId="5">#REF!</definedName>
    <definedName name="ProjectNumRef">#REF!</definedName>
    <definedName name="Pt" localSheetId="8">[9]Wood_Bearing!$B$15</definedName>
    <definedName name="Pt" localSheetId="5">[10]Wood_Bearing!$B$15</definedName>
    <definedName name="Pt">[11]Wood_Bearing!$B$15</definedName>
    <definedName name="q_h" localSheetId="2">[15]Reference!$AK$15</definedName>
    <definedName name="q_h">[1]Reference!$AK$15</definedName>
    <definedName name="q_z_Max">#REF!</definedName>
    <definedName name="q_zmax">[1]Reference!$AF$23</definedName>
    <definedName name="Rb">'[8]Round Tube'!$L$71</definedName>
    <definedName name="Re" localSheetId="8">[9]Wood_Bearing!$G$23</definedName>
    <definedName name="Re" localSheetId="5">[10]Wood_Bearing!$G$23</definedName>
    <definedName name="Re">[11]Wood_Bearing!$G$23</definedName>
    <definedName name="Risk">'HTML Frame'!$D$19</definedName>
    <definedName name="RoofPitch" localSheetId="2">#REF!</definedName>
    <definedName name="RoofPitch">[1]Inputs!$G$23</definedName>
    <definedName name="Roofslope" localSheetId="2">'Printable Page'!$I$20</definedName>
    <definedName name="RoofSlope">[1]Inputs!$J$23</definedName>
    <definedName name="Rooftype">'Printable Page'!$I$19</definedName>
    <definedName name="Rt" localSheetId="8">[9]Wood_Bearing!$C$23</definedName>
    <definedName name="Rt" localSheetId="5">[10]Wood_Bearing!$C$23</definedName>
    <definedName name="Rt">[11]Wood_Bearing!$C$23</definedName>
    <definedName name="rx" localSheetId="8">#REF!</definedName>
    <definedName name="rx" localSheetId="4">#REF!</definedName>
    <definedName name="rx" localSheetId="7">#REF!</definedName>
    <definedName name="rx" localSheetId="5">#REF!</definedName>
    <definedName name="rx">#REF!</definedName>
    <definedName name="Rxgh">'HTML Frame'!$L$245</definedName>
    <definedName name="Rxgk">'HTML Frame'!$L$249</definedName>
    <definedName name="Rxuh">'HTML Frame'!$L$247</definedName>
    <definedName name="Rxuk">'HTML Frame'!$L$251</definedName>
    <definedName name="ry" localSheetId="8">#REF!</definedName>
    <definedName name="ry" localSheetId="4">#REF!</definedName>
    <definedName name="ry" localSheetId="7">#REF!</definedName>
    <definedName name="ry" localSheetId="5">#REF!</definedName>
    <definedName name="ry">#REF!</definedName>
    <definedName name="Rygh">'HTML Frame'!$R$245</definedName>
    <definedName name="Rygk">'HTML Frame'!$R$249</definedName>
    <definedName name="Ryuh">'HTML Frame'!$R$247</definedName>
    <definedName name="Ryuk">'HTML Frame'!$R$251</definedName>
    <definedName name="S" localSheetId="5">SnowLoad!$B$19</definedName>
    <definedName name="Sc" localSheetId="8">#REF!</definedName>
    <definedName name="Sc" localSheetId="4">#REF!</definedName>
    <definedName name="Sc" localSheetId="7">#REF!</definedName>
    <definedName name="Sc" localSheetId="5">#REF!</definedName>
    <definedName name="Sc">#REF!</definedName>
    <definedName name="SealingEngineer" localSheetId="7">#REF!</definedName>
    <definedName name="SealingEngineer" localSheetId="5">#REF!</definedName>
    <definedName name="SealingEngineer">#REF!</definedName>
    <definedName name="SealState" localSheetId="7">#REF!</definedName>
    <definedName name="SealState" localSheetId="5">#REF!</definedName>
    <definedName name="SealState">#REF!</definedName>
    <definedName name="Security" localSheetId="2">#REF!</definedName>
    <definedName name="Security">[1]Inputs!$G$32</definedName>
    <definedName name="SF" localSheetId="8">#REF!</definedName>
    <definedName name="SF" localSheetId="7">#REF!</definedName>
    <definedName name="SF" localSheetId="5">#REF!</definedName>
    <definedName name="SF">#REF!</definedName>
    <definedName name="Shape" localSheetId="8">#REF!</definedName>
    <definedName name="Shape" localSheetId="7">#REF!</definedName>
    <definedName name="Shape" localSheetId="5">#REF!</definedName>
    <definedName name="Shape">#REF!</definedName>
    <definedName name="Snow">'HTML Frame'!$D$25</definedName>
    <definedName name="Source1" localSheetId="7">#REF!</definedName>
    <definedName name="Source1" localSheetId="5">#REF!</definedName>
    <definedName name="Source1">#REF!</definedName>
    <definedName name="StateAbbreviations" localSheetId="7">#REF!</definedName>
    <definedName name="StateAbbreviations" localSheetId="5">#REF!</definedName>
    <definedName name="StateAbbreviations">#REF!</definedName>
    <definedName name="Sx">'[6]Lwer Steel Long'!$B$24</definedName>
    <definedName name="Sy">'[6]Lwer Steel Long'!$B$25</definedName>
    <definedName name="t">'[8]Round Tube'!$L$72</definedName>
    <definedName name="TablesZones" localSheetId="2">[15]GCp_Values!$AC$3:$AF$5</definedName>
    <definedName name="TablesZones">[1]GCp_Values!$AC$3:$AF$5</definedName>
    <definedName name="TableWalls" localSheetId="2">[15]GCp_Values!$Y$4:$Z$7</definedName>
    <definedName name="TableWalls">[1]GCp_Values!$Y$4:$Z$7</definedName>
    <definedName name="tb" localSheetId="8">#REF!</definedName>
    <definedName name="tb" localSheetId="4">#REF!</definedName>
    <definedName name="tb" localSheetId="7">#REF!</definedName>
    <definedName name="tb" localSheetId="5">#REF!</definedName>
    <definedName name="tb">#REF!</definedName>
    <definedName name="TerrainExposureConstantsTable" localSheetId="2">[15]Reference!$O$8:$Y$10</definedName>
    <definedName name="TerrainExposureConstantsTable">[1]Reference!$O$8:$Y$10</definedName>
    <definedName name="th" localSheetId="8">#REF!</definedName>
    <definedName name="th" localSheetId="4">#REF!</definedName>
    <definedName name="th" localSheetId="7">#REF!</definedName>
    <definedName name="th" localSheetId="5">#REF!</definedName>
    <definedName name="th">#REF!</definedName>
    <definedName name="TopCon">'HTML Frame'!$AB$48</definedName>
    <definedName name="UniquePEList" localSheetId="7">#REF!</definedName>
    <definedName name="UniquePEList" localSheetId="5">#REF!</definedName>
    <definedName name="UniquePEList">#REF!</definedName>
    <definedName name="UniqueStateAbbreviations" localSheetId="7">#REF!</definedName>
    <definedName name="UniqueStateAbbreviations" localSheetId="5">#REF!</definedName>
    <definedName name="UniqueStateAbbreviations">#REF!</definedName>
    <definedName name="URL">'HTML Frame'!$D$32</definedName>
    <definedName name="UserInitials" localSheetId="7">#REF!</definedName>
    <definedName name="UserInitials" localSheetId="5">#REF!</definedName>
    <definedName name="UserInitials">#REF!</definedName>
    <definedName name="UserSealingEngineer" localSheetId="7">#REF!</definedName>
    <definedName name="UserSealingEngineer" localSheetId="5">#REF!</definedName>
    <definedName name="UserSealingEngineer">#REF!</definedName>
    <definedName name="UserSupervisorInitials" localSheetId="7">#REF!</definedName>
    <definedName name="UserSupervisorInitials" localSheetId="5">#REF!</definedName>
    <definedName name="UserSupervisorInitials">#REF!</definedName>
    <definedName name="V" localSheetId="8">#REF!</definedName>
    <definedName name="V" localSheetId="7">#REF!</definedName>
    <definedName name="V" localSheetId="5">#REF!</definedName>
    <definedName name="V">#REF!</definedName>
    <definedName name="V_" localSheetId="2">'Printable Page'!$I$16</definedName>
    <definedName name="V_">[1]Inputs!$G$17</definedName>
    <definedName name="Vult">'HTML Frame'!$D$15</definedName>
    <definedName name="W" localSheetId="8">[9]Wood_Bearing!$E$49</definedName>
    <definedName name="W" localSheetId="5">SnowLoad!$B$20</definedName>
    <definedName name="W">[11]Wood_Bearing!$E$49</definedName>
    <definedName name="Width" localSheetId="7">#REF!</definedName>
    <definedName name="Width">#REF!</definedName>
    <definedName name="Width2" localSheetId="7">#REF!</definedName>
    <definedName name="Width2">#REF!</definedName>
    <definedName name="WindowsUsername" localSheetId="7">#REF!</definedName>
    <definedName name="WindowsUsername" localSheetId="5">#REF!</definedName>
    <definedName name="WindowsUsername">#REF!</definedName>
    <definedName name="XL2CAD_2011120909411809">#REF!</definedName>
    <definedName name="XL2CAD_2011120909420509">#REF!</definedName>
    <definedName name="XL2CAD_2011120909503309">#REF!</definedName>
    <definedName name="XL2CAD_2011120909561109">#REF!</definedName>
    <definedName name="XL2CAD_2011120909575509">#REF!</definedName>
    <definedName name="XL2CAD_2011120909595409">#REF!</definedName>
    <definedName name="XL2CAD_2011120910030209">#REF!</definedName>
    <definedName name="XL2CAD_2011120910032909">#REF!</definedName>
    <definedName name="XL2CAD_2011120910135309">#REF!</definedName>
    <definedName name="XL2CAD_2012100510071721">#REF!</definedName>
    <definedName name="XL2CAD_2012100510092121">#REF!</definedName>
    <definedName name="XL2CAD_2012100510151421">#REF!</definedName>
    <definedName name="XL2CAD_2012100510162121">#REF!</definedName>
    <definedName name="XL2CAD_2012100510173421">#REF!</definedName>
    <definedName name="XL2CAD_2012112710121144">#REF!</definedName>
    <definedName name="XL2CAD_2012112710132444">#REF!</definedName>
    <definedName name="Z" localSheetId="8">[9]Wood_Bearing!$E$53</definedName>
    <definedName name="z" localSheetId="2">'Printable Page'!$I$22</definedName>
    <definedName name="Z" localSheetId="7">[11]Wood_Bearing!$E$53</definedName>
    <definedName name="Z" localSheetId="6">[11]Wood_Bearing!$E$53</definedName>
    <definedName name="Z" localSheetId="5">[10]Wood_Bearing!$E$53</definedName>
    <definedName name="z">[1]Inputs!$G$25</definedName>
    <definedName name="z_g">[1]Reference!$AD$18</definedName>
    <definedName name="z_max" localSheetId="2">#REF!</definedName>
    <definedName name="z_max">[1]Inputs!$J$16</definedName>
    <definedName name="z_min">[1]Reference!$AD$17</definedName>
    <definedName name="Zx">'[6]Lwer Steel Long'!$B$26</definedName>
    <definedName name="Zy">'[6]Lwer Steel Long'!$B$27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251" i="32" l="1"/>
  <c r="AB65" i="32" l="1"/>
  <c r="AB48" i="32"/>
  <c r="AB44" i="32"/>
  <c r="AB39" i="32"/>
  <c r="D26" i="36" l="1"/>
  <c r="D111" i="36" l="1"/>
  <c r="E111" i="36" s="1"/>
  <c r="D112" i="36"/>
  <c r="E112" i="36" s="1"/>
  <c r="D113" i="36"/>
  <c r="D114" i="36"/>
  <c r="E114" i="36" s="1"/>
  <c r="D115" i="36"/>
  <c r="E115" i="36" s="1"/>
  <c r="D116" i="36"/>
  <c r="E116" i="36" s="1"/>
  <c r="A211" i="32" l="1"/>
  <c r="A209" i="32"/>
  <c r="A207" i="32"/>
  <c r="A205" i="32"/>
  <c r="A203" i="32"/>
  <c r="A201" i="32"/>
  <c r="A167" i="32"/>
  <c r="A165" i="32"/>
  <c r="A163" i="32"/>
  <c r="A161" i="32"/>
  <c r="A159" i="32"/>
  <c r="A157" i="32"/>
  <c r="A155" i="32"/>
  <c r="A153" i="32"/>
  <c r="A151" i="32"/>
  <c r="A149" i="32"/>
  <c r="A147" i="32"/>
  <c r="A145" i="32"/>
  <c r="G159" i="32" l="1"/>
  <c r="G157" i="32"/>
  <c r="G155" i="32"/>
  <c r="G153" i="32"/>
  <c r="G151" i="32"/>
  <c r="G149" i="32"/>
  <c r="G203" i="32"/>
  <c r="H156" i="34" l="1"/>
  <c r="G156" i="34"/>
  <c r="H155" i="34"/>
  <c r="G155" i="34"/>
  <c r="H154" i="34"/>
  <c r="G154" i="34"/>
  <c r="H153" i="34"/>
  <c r="H149" i="34"/>
  <c r="G153" i="34"/>
  <c r="G151" i="34"/>
  <c r="H152" i="34"/>
  <c r="H151" i="34"/>
  <c r="G152" i="34"/>
  <c r="G149" i="34"/>
  <c r="A90" i="32" l="1"/>
  <c r="D132" i="36" l="1"/>
  <c r="E132" i="36" s="1"/>
  <c r="D131" i="36"/>
  <c r="D125" i="36"/>
  <c r="D135" i="36"/>
  <c r="D136" i="36"/>
  <c r="E136" i="36" s="1"/>
  <c r="D137" i="36"/>
  <c r="E137" i="36" s="1"/>
  <c r="D138" i="36"/>
  <c r="E138" i="36" s="1"/>
  <c r="D139" i="36"/>
  <c r="D140" i="36"/>
  <c r="E140" i="36" s="1"/>
  <c r="D141" i="36"/>
  <c r="E141" i="36" s="1"/>
  <c r="D142" i="36"/>
  <c r="E142" i="36" s="1"/>
  <c r="D134" i="36"/>
  <c r="AJ93" i="30" l="1"/>
  <c r="A192" i="32" l="1"/>
  <c r="AB198" i="32" l="1"/>
  <c r="AB195" i="32"/>
  <c r="A118" i="32" l="1"/>
  <c r="A111" i="32"/>
  <c r="H150" i="34" l="1"/>
  <c r="G150" i="34"/>
  <c r="D96" i="36"/>
  <c r="D107" i="36"/>
  <c r="E107" i="36" s="1"/>
  <c r="D106" i="36"/>
  <c r="E106" i="36" s="1"/>
  <c r="D105" i="36"/>
  <c r="D104" i="36"/>
  <c r="D110" i="36" l="1"/>
  <c r="E110" i="36" s="1"/>
  <c r="D117" i="36"/>
  <c r="E117" i="36" s="1"/>
  <c r="D118" i="36"/>
  <c r="E118" i="36" s="1"/>
  <c r="D119" i="36"/>
  <c r="E119" i="36" s="1"/>
  <c r="D120" i="36"/>
  <c r="E120" i="36" s="1"/>
  <c r="D121" i="36"/>
  <c r="E121" i="36" s="1"/>
  <c r="D122" i="36"/>
  <c r="E122" i="36" s="1"/>
  <c r="D123" i="36"/>
  <c r="E123" i="36" s="1"/>
  <c r="AB197" i="32" l="1"/>
  <c r="H157" i="34"/>
  <c r="H158" i="34"/>
  <c r="G157" i="34"/>
  <c r="G158" i="34"/>
  <c r="G160" i="34"/>
  <c r="G159" i="34"/>
  <c r="H160" i="34"/>
  <c r="G58" i="33"/>
  <c r="AB202" i="32"/>
  <c r="AB201" i="32"/>
  <c r="AB200" i="32"/>
  <c r="AB199" i="32"/>
  <c r="G211" i="32"/>
  <c r="G207" i="32"/>
  <c r="G167" i="32"/>
  <c r="G163" i="32"/>
  <c r="G147" i="32"/>
  <c r="G118" i="32"/>
  <c r="G111" i="32"/>
  <c r="H253" i="32"/>
  <c r="H162" i="34" l="1"/>
  <c r="T251" i="32"/>
  <c r="P251" i="32"/>
  <c r="N251" i="32"/>
  <c r="J251" i="32"/>
  <c r="T249" i="32"/>
  <c r="P249" i="32"/>
  <c r="N249" i="32"/>
  <c r="J249" i="32"/>
  <c r="T247" i="32"/>
  <c r="P247" i="32"/>
  <c r="N247" i="32"/>
  <c r="J247" i="32"/>
  <c r="T245" i="32"/>
  <c r="P245" i="32"/>
  <c r="N245" i="32"/>
  <c r="J245" i="32"/>
  <c r="H249" i="32"/>
  <c r="G205" i="32"/>
  <c r="H245" i="32"/>
  <c r="G180" i="32"/>
  <c r="D43" i="32"/>
  <c r="A47" i="32" l="1"/>
  <c r="A236" i="32" l="1"/>
  <c r="A234" i="32"/>
  <c r="A194" i="32"/>
  <c r="AB196" i="32" s="1"/>
  <c r="A182" i="32"/>
  <c r="A180" i="32"/>
  <c r="A138" i="32"/>
  <c r="A136" i="32"/>
  <c r="A134" i="32"/>
  <c r="A132" i="32"/>
  <c r="A125" i="32"/>
  <c r="A104" i="32"/>
  <c r="A113" i="32"/>
  <c r="A102" i="32"/>
  <c r="A100" i="32"/>
  <c r="A217" i="32"/>
  <c r="AB205" i="32" s="1"/>
  <c r="A215" i="32"/>
  <c r="AB204" i="32" s="1"/>
  <c r="A213" i="32"/>
  <c r="AB203" i="32" s="1"/>
  <c r="A173" i="32"/>
  <c r="A171" i="32"/>
  <c r="A169" i="32"/>
  <c r="G236" i="32"/>
  <c r="G234" i="32"/>
  <c r="G227" i="32"/>
  <c r="G217" i="32"/>
  <c r="G215" i="32"/>
  <c r="G213" i="32"/>
  <c r="G209" i="32"/>
  <c r="G201" i="32"/>
  <c r="G194" i="32"/>
  <c r="G192" i="32"/>
  <c r="G182" i="32"/>
  <c r="G173" i="32"/>
  <c r="G171" i="32"/>
  <c r="G169" i="32"/>
  <c r="G165" i="32"/>
  <c r="G161" i="32"/>
  <c r="G145" i="32"/>
  <c r="G138" i="32"/>
  <c r="G136" i="32"/>
  <c r="G134" i="32"/>
  <c r="G132" i="32"/>
  <c r="G125" i="32"/>
  <c r="G113" i="32"/>
  <c r="G104" i="32"/>
  <c r="G102" i="32"/>
  <c r="G100" i="32"/>
  <c r="U79" i="32"/>
  <c r="U77" i="32"/>
  <c r="U75" i="32"/>
  <c r="U73" i="32"/>
  <c r="U71" i="32"/>
  <c r="U69" i="32"/>
  <c r="U67" i="32"/>
  <c r="U65" i="32"/>
  <c r="U63" i="32"/>
  <c r="K79" i="32"/>
  <c r="K77" i="32"/>
  <c r="K75" i="32"/>
  <c r="K71" i="32"/>
  <c r="K69" i="32"/>
  <c r="K67" i="32"/>
  <c r="K65" i="32"/>
  <c r="K63" i="32"/>
  <c r="K73" i="32"/>
  <c r="E19" i="34"/>
  <c r="B12" i="39"/>
  <c r="B11" i="39"/>
  <c r="B10" i="39"/>
  <c r="B44" i="35"/>
  <c r="M13" i="36"/>
  <c r="M11" i="36"/>
  <c r="H10" i="39"/>
  <c r="R14" i="39" s="1"/>
  <c r="S24" i="39"/>
  <c r="T24" i="39" s="1"/>
  <c r="S25" i="39"/>
  <c r="T25" i="39" s="1"/>
  <c r="N25" i="39" s="1"/>
  <c r="M26" i="39"/>
  <c r="T31" i="39"/>
  <c r="M39" i="39" s="1"/>
  <c r="T32" i="39"/>
  <c r="M33" i="39"/>
  <c r="T34" i="39"/>
  <c r="N39" i="39" s="1"/>
  <c r="T35" i="39"/>
  <c r="T37" i="39"/>
  <c r="O39" i="39" s="1"/>
  <c r="T38" i="39"/>
  <c r="B39" i="39"/>
  <c r="A21" i="33"/>
  <c r="B19" i="34"/>
  <c r="G42" i="38"/>
  <c r="F42" i="38"/>
  <c r="C42" i="38"/>
  <c r="N42" i="38" s="1"/>
  <c r="G41" i="38"/>
  <c r="F41" i="38"/>
  <c r="C41" i="38"/>
  <c r="G40" i="38"/>
  <c r="F40" i="38"/>
  <c r="C40" i="38"/>
  <c r="N40" i="38" s="1"/>
  <c r="G39" i="38"/>
  <c r="I39" i="38" s="1"/>
  <c r="F39" i="38"/>
  <c r="H39" i="38" s="1"/>
  <c r="C39" i="38"/>
  <c r="N39" i="38" s="1"/>
  <c r="G38" i="38"/>
  <c r="F38" i="38"/>
  <c r="C38" i="38"/>
  <c r="N38" i="38" s="1"/>
  <c r="G37" i="38"/>
  <c r="F37" i="38"/>
  <c r="C37" i="38"/>
  <c r="G36" i="38"/>
  <c r="F36" i="38"/>
  <c r="C36" i="38"/>
  <c r="N36" i="38" s="1"/>
  <c r="G35" i="38"/>
  <c r="F35" i="38"/>
  <c r="C35" i="38"/>
  <c r="N35" i="38" s="1"/>
  <c r="G34" i="38"/>
  <c r="F34" i="38"/>
  <c r="C34" i="38"/>
  <c r="N34" i="38" s="1"/>
  <c r="G33" i="38"/>
  <c r="F33" i="38"/>
  <c r="C33" i="38"/>
  <c r="G32" i="38"/>
  <c r="F32" i="38"/>
  <c r="C32" i="38"/>
  <c r="G31" i="38"/>
  <c r="F31" i="38"/>
  <c r="C31" i="38"/>
  <c r="N31" i="38" s="1"/>
  <c r="G30" i="38"/>
  <c r="F30" i="38"/>
  <c r="C30" i="38"/>
  <c r="AG21" i="38"/>
  <c r="Z21" i="38"/>
  <c r="A21" i="38"/>
  <c r="R19" i="38"/>
  <c r="Q19" i="38"/>
  <c r="E19" i="38"/>
  <c r="I19" i="38" s="1"/>
  <c r="K19" i="38" s="1"/>
  <c r="M19" i="38" s="1"/>
  <c r="AB19" i="38" s="1"/>
  <c r="R18" i="38"/>
  <c r="Q18" i="38"/>
  <c r="E18" i="38"/>
  <c r="R17" i="38"/>
  <c r="Q17" i="38"/>
  <c r="E17" i="38"/>
  <c r="J17" i="38" s="1"/>
  <c r="R16" i="38"/>
  <c r="Q16" i="38"/>
  <c r="E16" i="38"/>
  <c r="J16" i="38" s="1"/>
  <c r="L16" i="38" s="1"/>
  <c r="P16" i="38" s="1"/>
  <c r="T16" i="38" s="1"/>
  <c r="R15" i="38"/>
  <c r="Q15" i="38"/>
  <c r="E15" i="38"/>
  <c r="J15" i="38" s="1"/>
  <c r="L15" i="38" s="1"/>
  <c r="R14" i="38"/>
  <c r="Q14" i="38"/>
  <c r="E14" i="38"/>
  <c r="R13" i="38"/>
  <c r="Q13" i="38"/>
  <c r="E13" i="38"/>
  <c r="R12" i="38"/>
  <c r="Q12" i="38"/>
  <c r="E12" i="38"/>
  <c r="I12" i="38" s="1"/>
  <c r="K12" i="38" s="1"/>
  <c r="O12" i="38" s="1"/>
  <c r="R11" i="38"/>
  <c r="Q11" i="38"/>
  <c r="E11" i="38"/>
  <c r="J11" i="38" s="1"/>
  <c r="R10" i="38"/>
  <c r="Q10" i="38"/>
  <c r="E10" i="38"/>
  <c r="R9" i="38"/>
  <c r="Q9" i="38"/>
  <c r="E9" i="38"/>
  <c r="J9" i="38" s="1"/>
  <c r="L9" i="38" s="1"/>
  <c r="P9" i="38" s="1"/>
  <c r="R8" i="38"/>
  <c r="Q8" i="38"/>
  <c r="E8" i="38"/>
  <c r="I8" i="38" s="1"/>
  <c r="K8" i="38" s="1"/>
  <c r="R7" i="38"/>
  <c r="Q7" i="38"/>
  <c r="E7" i="38"/>
  <c r="I7" i="38" s="1"/>
  <c r="K7" i="38" s="1"/>
  <c r="O7" i="38" s="1"/>
  <c r="Z21" i="33"/>
  <c r="AG21" i="33"/>
  <c r="D149" i="36"/>
  <c r="E149" i="36" s="1"/>
  <c r="D148" i="36"/>
  <c r="D126" i="36"/>
  <c r="E126" i="36" s="1"/>
  <c r="D92" i="36"/>
  <c r="D109" i="36"/>
  <c r="D97" i="36"/>
  <c r="E97" i="36" s="1"/>
  <c r="D98" i="36"/>
  <c r="D93" i="36"/>
  <c r="E93" i="36" s="1"/>
  <c r="D94" i="36"/>
  <c r="I11" i="38"/>
  <c r="K11" i="38" s="1"/>
  <c r="O11" i="38" s="1"/>
  <c r="B79" i="32"/>
  <c r="B77" i="32"/>
  <c r="B71" i="32"/>
  <c r="B65" i="32"/>
  <c r="B63" i="32"/>
  <c r="B17" i="35"/>
  <c r="B20" i="35"/>
  <c r="C37" i="35" s="1"/>
  <c r="B42" i="35"/>
  <c r="B14" i="35"/>
  <c r="B19" i="35"/>
  <c r="A22" i="35"/>
  <c r="C22" i="35"/>
  <c r="C26" i="35"/>
  <c r="A27" i="35"/>
  <c r="B27" i="35"/>
  <c r="C27" i="35"/>
  <c r="AA9" i="34"/>
  <c r="AB9" i="34"/>
  <c r="AC9" i="34"/>
  <c r="AD9" i="34"/>
  <c r="AE9" i="34"/>
  <c r="AA10" i="34"/>
  <c r="AB10" i="34"/>
  <c r="AC10" i="34"/>
  <c r="AD10" i="34"/>
  <c r="AE10" i="34"/>
  <c r="E25" i="34"/>
  <c r="F25" i="34"/>
  <c r="G25" i="34"/>
  <c r="X721" i="34" s="1"/>
  <c r="Y721" i="34" s="1"/>
  <c r="E26" i="34"/>
  <c r="F26" i="34"/>
  <c r="G26" i="34"/>
  <c r="X722" i="34" s="1"/>
  <c r="Y722" i="34" s="1"/>
  <c r="E27" i="34"/>
  <c r="F27" i="34"/>
  <c r="G27" i="34"/>
  <c r="X723" i="34" s="1"/>
  <c r="Y723" i="34" s="1"/>
  <c r="E28" i="34"/>
  <c r="F28" i="34"/>
  <c r="G28" i="34"/>
  <c r="X724" i="34" s="1"/>
  <c r="Y724" i="34" s="1"/>
  <c r="E29" i="34"/>
  <c r="F29" i="34"/>
  <c r="G29" i="34"/>
  <c r="X725" i="34" s="1"/>
  <c r="Y725" i="34" s="1"/>
  <c r="E30" i="34"/>
  <c r="F30" i="34"/>
  <c r="G30" i="34"/>
  <c r="X726" i="34" s="1"/>
  <c r="Y726" i="34" s="1"/>
  <c r="E31" i="34"/>
  <c r="F31" i="34"/>
  <c r="G31" i="34"/>
  <c r="X727" i="34" s="1"/>
  <c r="Y727" i="34" s="1"/>
  <c r="E32" i="34"/>
  <c r="F32" i="34"/>
  <c r="G32" i="34"/>
  <c r="X728" i="34" s="1"/>
  <c r="Y728" i="34" s="1"/>
  <c r="E33" i="34"/>
  <c r="F33" i="34"/>
  <c r="G33" i="34"/>
  <c r="X729" i="34" s="1"/>
  <c r="Y729" i="34" s="1"/>
  <c r="E34" i="34"/>
  <c r="F34" i="34"/>
  <c r="G34" i="34"/>
  <c r="X730" i="34" s="1"/>
  <c r="Y730" i="34" s="1"/>
  <c r="E35" i="34"/>
  <c r="F35" i="34"/>
  <c r="G35" i="34"/>
  <c r="X731" i="34" s="1"/>
  <c r="Y731" i="34" s="1"/>
  <c r="E36" i="34"/>
  <c r="F36" i="34"/>
  <c r="G36" i="34"/>
  <c r="X732" i="34" s="1"/>
  <c r="Y732" i="34" s="1"/>
  <c r="E37" i="34"/>
  <c r="F37" i="34"/>
  <c r="G37" i="34"/>
  <c r="X733" i="34" s="1"/>
  <c r="Y733" i="34" s="1"/>
  <c r="E43" i="34"/>
  <c r="F43" i="34"/>
  <c r="G43" i="34"/>
  <c r="X736" i="34" s="1"/>
  <c r="Y736" i="34" s="1"/>
  <c r="E44" i="34"/>
  <c r="F44" i="34"/>
  <c r="G44" i="34"/>
  <c r="X737" i="34" s="1"/>
  <c r="Y737" i="34" s="1"/>
  <c r="E45" i="34"/>
  <c r="F45" i="34"/>
  <c r="G45" i="34"/>
  <c r="X738" i="34" s="1"/>
  <c r="Y738" i="34" s="1"/>
  <c r="E46" i="34"/>
  <c r="F46" i="34"/>
  <c r="G46" i="34"/>
  <c r="X739" i="34" s="1"/>
  <c r="Y739" i="34" s="1"/>
  <c r="E47" i="34"/>
  <c r="F47" i="34"/>
  <c r="G47" i="34"/>
  <c r="X740" i="34" s="1"/>
  <c r="Y740" i="34" s="1"/>
  <c r="E48" i="34"/>
  <c r="F48" i="34"/>
  <c r="G48" i="34"/>
  <c r="X741" i="34" s="1"/>
  <c r="Y741" i="34" s="1"/>
  <c r="E49" i="34"/>
  <c r="F49" i="34"/>
  <c r="G49" i="34"/>
  <c r="X742" i="34" s="1"/>
  <c r="Y742" i="34" s="1"/>
  <c r="E50" i="34"/>
  <c r="F50" i="34"/>
  <c r="G50" i="34"/>
  <c r="X743" i="34" s="1"/>
  <c r="Y743" i="34" s="1"/>
  <c r="E51" i="34"/>
  <c r="F51" i="34"/>
  <c r="G51" i="34"/>
  <c r="X744" i="34" s="1"/>
  <c r="Y744" i="34" s="1"/>
  <c r="E52" i="34"/>
  <c r="F52" i="34"/>
  <c r="G52" i="34"/>
  <c r="X745" i="34" s="1"/>
  <c r="Y745" i="34" s="1"/>
  <c r="E53" i="34"/>
  <c r="F53" i="34"/>
  <c r="G53" i="34"/>
  <c r="X746" i="34" s="1"/>
  <c r="Y746" i="34" s="1"/>
  <c r="E54" i="34"/>
  <c r="F54" i="34"/>
  <c r="G54" i="34"/>
  <c r="X747" i="34" s="1"/>
  <c r="Y747" i="34" s="1"/>
  <c r="E55" i="34"/>
  <c r="F55" i="34"/>
  <c r="G55" i="34"/>
  <c r="X748" i="34" s="1"/>
  <c r="Y748" i="34" s="1"/>
  <c r="E61" i="34"/>
  <c r="F61" i="34"/>
  <c r="G61" i="34"/>
  <c r="X751" i="34" s="1"/>
  <c r="Y751" i="34" s="1"/>
  <c r="E62" i="34"/>
  <c r="F62" i="34"/>
  <c r="G62" i="34"/>
  <c r="X752" i="34" s="1"/>
  <c r="Y752" i="34" s="1"/>
  <c r="E63" i="34"/>
  <c r="F63" i="34"/>
  <c r="G63" i="34"/>
  <c r="X753" i="34" s="1"/>
  <c r="Y753" i="34" s="1"/>
  <c r="E64" i="34"/>
  <c r="F64" i="34"/>
  <c r="G64" i="34"/>
  <c r="X754" i="34" s="1"/>
  <c r="Y754" i="34" s="1"/>
  <c r="E65" i="34"/>
  <c r="F65" i="34"/>
  <c r="G65" i="34"/>
  <c r="X755" i="34" s="1"/>
  <c r="Y755" i="34" s="1"/>
  <c r="E66" i="34"/>
  <c r="F66" i="34"/>
  <c r="G66" i="34"/>
  <c r="X756" i="34" s="1"/>
  <c r="Y756" i="34" s="1"/>
  <c r="E67" i="34"/>
  <c r="F67" i="34"/>
  <c r="G67" i="34"/>
  <c r="X757" i="34" s="1"/>
  <c r="Y757" i="34" s="1"/>
  <c r="E68" i="34"/>
  <c r="F68" i="34"/>
  <c r="G68" i="34"/>
  <c r="X758" i="34" s="1"/>
  <c r="Y758" i="34" s="1"/>
  <c r="E69" i="34"/>
  <c r="F69" i="34"/>
  <c r="G69" i="34"/>
  <c r="X759" i="34" s="1"/>
  <c r="Y759" i="34" s="1"/>
  <c r="E70" i="34"/>
  <c r="F70" i="34"/>
  <c r="G70" i="34"/>
  <c r="X760" i="34" s="1"/>
  <c r="Y760" i="34" s="1"/>
  <c r="E71" i="34"/>
  <c r="F71" i="34"/>
  <c r="G71" i="34"/>
  <c r="X761" i="34" s="1"/>
  <c r="Y761" i="34" s="1"/>
  <c r="E72" i="34"/>
  <c r="F72" i="34"/>
  <c r="G72" i="34"/>
  <c r="X762" i="34" s="1"/>
  <c r="Y762" i="34" s="1"/>
  <c r="E73" i="34"/>
  <c r="F73" i="34"/>
  <c r="G73" i="34"/>
  <c r="X763" i="34" s="1"/>
  <c r="Y763" i="34" s="1"/>
  <c r="E79" i="34"/>
  <c r="F79" i="34"/>
  <c r="G79" i="34"/>
  <c r="X766" i="34" s="1"/>
  <c r="Y766" i="34" s="1"/>
  <c r="E80" i="34"/>
  <c r="F80" i="34"/>
  <c r="G80" i="34"/>
  <c r="X767" i="34" s="1"/>
  <c r="Y767" i="34" s="1"/>
  <c r="E81" i="34"/>
  <c r="F81" i="34"/>
  <c r="G81" i="34"/>
  <c r="X768" i="34" s="1"/>
  <c r="Y768" i="34" s="1"/>
  <c r="E82" i="34"/>
  <c r="F82" i="34"/>
  <c r="G82" i="34"/>
  <c r="X769" i="34" s="1"/>
  <c r="Y769" i="34" s="1"/>
  <c r="E83" i="34"/>
  <c r="F83" i="34"/>
  <c r="G83" i="34"/>
  <c r="X770" i="34" s="1"/>
  <c r="Y770" i="34" s="1"/>
  <c r="E84" i="34"/>
  <c r="F84" i="34"/>
  <c r="G84" i="34"/>
  <c r="X771" i="34" s="1"/>
  <c r="Y771" i="34" s="1"/>
  <c r="E85" i="34"/>
  <c r="F85" i="34"/>
  <c r="G85" i="34"/>
  <c r="X772" i="34" s="1"/>
  <c r="Y772" i="34" s="1"/>
  <c r="E86" i="34"/>
  <c r="F86" i="34"/>
  <c r="G86" i="34"/>
  <c r="X773" i="34" s="1"/>
  <c r="Y773" i="34" s="1"/>
  <c r="E87" i="34"/>
  <c r="F87" i="34"/>
  <c r="G87" i="34"/>
  <c r="X774" i="34" s="1"/>
  <c r="Y774" i="34" s="1"/>
  <c r="E88" i="34"/>
  <c r="F88" i="34"/>
  <c r="G88" i="34"/>
  <c r="X775" i="34" s="1"/>
  <c r="Y775" i="34" s="1"/>
  <c r="E89" i="34"/>
  <c r="F89" i="34"/>
  <c r="G89" i="34"/>
  <c r="X776" i="34" s="1"/>
  <c r="Y776" i="34" s="1"/>
  <c r="E90" i="34"/>
  <c r="F90" i="34"/>
  <c r="G90" i="34"/>
  <c r="X777" i="34" s="1"/>
  <c r="Y777" i="34" s="1"/>
  <c r="E91" i="34"/>
  <c r="F91" i="34"/>
  <c r="G91" i="34"/>
  <c r="X778" i="34" s="1"/>
  <c r="Y778" i="34" s="1"/>
  <c r="E97" i="34"/>
  <c r="F97" i="34"/>
  <c r="G97" i="34"/>
  <c r="X781" i="34" s="1"/>
  <c r="Y781" i="34" s="1"/>
  <c r="E98" i="34"/>
  <c r="F98" i="34"/>
  <c r="G98" i="34"/>
  <c r="X782" i="34" s="1"/>
  <c r="Y782" i="34" s="1"/>
  <c r="E99" i="34"/>
  <c r="F99" i="34"/>
  <c r="G99" i="34"/>
  <c r="X783" i="34" s="1"/>
  <c r="Y783" i="34" s="1"/>
  <c r="E100" i="34"/>
  <c r="F100" i="34"/>
  <c r="G100" i="34"/>
  <c r="X784" i="34" s="1"/>
  <c r="Y784" i="34" s="1"/>
  <c r="E101" i="34"/>
  <c r="F101" i="34"/>
  <c r="G101" i="34"/>
  <c r="X785" i="34" s="1"/>
  <c r="Y785" i="34" s="1"/>
  <c r="E102" i="34"/>
  <c r="F102" i="34"/>
  <c r="G102" i="34"/>
  <c r="X786" i="34" s="1"/>
  <c r="Y786" i="34" s="1"/>
  <c r="E103" i="34"/>
  <c r="F103" i="34"/>
  <c r="G103" i="34"/>
  <c r="X787" i="34" s="1"/>
  <c r="Y787" i="34" s="1"/>
  <c r="E104" i="34"/>
  <c r="F104" i="34"/>
  <c r="G104" i="34"/>
  <c r="X788" i="34" s="1"/>
  <c r="Y788" i="34" s="1"/>
  <c r="E105" i="34"/>
  <c r="F105" i="34"/>
  <c r="G105" i="34"/>
  <c r="X789" i="34" s="1"/>
  <c r="Y789" i="34" s="1"/>
  <c r="E106" i="34"/>
  <c r="F106" i="34"/>
  <c r="G106" i="34"/>
  <c r="X790" i="34" s="1"/>
  <c r="Y790" i="34" s="1"/>
  <c r="E107" i="34"/>
  <c r="F107" i="34"/>
  <c r="G107" i="34"/>
  <c r="E108" i="34"/>
  <c r="F108" i="34"/>
  <c r="G108" i="34"/>
  <c r="X792" i="34" s="1"/>
  <c r="Y792" i="34" s="1"/>
  <c r="E109" i="34"/>
  <c r="F109" i="34"/>
  <c r="G109" i="34"/>
  <c r="X793" i="34" s="1"/>
  <c r="Y793" i="34" s="1"/>
  <c r="E115" i="34"/>
  <c r="F115" i="34"/>
  <c r="G115" i="34"/>
  <c r="X796" i="34" s="1"/>
  <c r="Y796" i="34" s="1"/>
  <c r="E116" i="34"/>
  <c r="F116" i="34"/>
  <c r="G116" i="34"/>
  <c r="X797" i="34" s="1"/>
  <c r="Y797" i="34" s="1"/>
  <c r="E117" i="34"/>
  <c r="F117" i="34"/>
  <c r="G117" i="34"/>
  <c r="X798" i="34" s="1"/>
  <c r="Y798" i="34" s="1"/>
  <c r="E118" i="34"/>
  <c r="F118" i="34"/>
  <c r="G118" i="34"/>
  <c r="X799" i="34" s="1"/>
  <c r="Y799" i="34" s="1"/>
  <c r="E119" i="34"/>
  <c r="F119" i="34"/>
  <c r="G119" i="34"/>
  <c r="X800" i="34" s="1"/>
  <c r="Y800" i="34" s="1"/>
  <c r="E120" i="34"/>
  <c r="F120" i="34"/>
  <c r="G120" i="34"/>
  <c r="X801" i="34" s="1"/>
  <c r="Y801" i="34" s="1"/>
  <c r="E121" i="34"/>
  <c r="F121" i="34"/>
  <c r="G121" i="34"/>
  <c r="X802" i="34" s="1"/>
  <c r="Y802" i="34" s="1"/>
  <c r="E122" i="34"/>
  <c r="F122" i="34"/>
  <c r="G122" i="34"/>
  <c r="X803" i="34" s="1"/>
  <c r="Y803" i="34" s="1"/>
  <c r="E123" i="34"/>
  <c r="F123" i="34"/>
  <c r="G123" i="34"/>
  <c r="X804" i="34" s="1"/>
  <c r="Y804" i="34" s="1"/>
  <c r="E124" i="34"/>
  <c r="F124" i="34"/>
  <c r="G124" i="34"/>
  <c r="X805" i="34" s="1"/>
  <c r="Y805" i="34" s="1"/>
  <c r="E125" i="34"/>
  <c r="F125" i="34"/>
  <c r="G125" i="34"/>
  <c r="X806" i="34" s="1"/>
  <c r="Y806" i="34" s="1"/>
  <c r="E126" i="34"/>
  <c r="F126" i="34"/>
  <c r="G126" i="34"/>
  <c r="X807" i="34" s="1"/>
  <c r="Y807" i="34" s="1"/>
  <c r="E127" i="34"/>
  <c r="F127" i="34"/>
  <c r="G127" i="34"/>
  <c r="X808" i="34" s="1"/>
  <c r="Y808" i="34" s="1"/>
  <c r="E133" i="34"/>
  <c r="F133" i="34"/>
  <c r="G133" i="34"/>
  <c r="X811" i="34" s="1"/>
  <c r="Y811" i="34" s="1"/>
  <c r="E134" i="34"/>
  <c r="F134" i="34"/>
  <c r="G134" i="34"/>
  <c r="X812" i="34" s="1"/>
  <c r="Y812" i="34" s="1"/>
  <c r="E135" i="34"/>
  <c r="F135" i="34"/>
  <c r="G135" i="34"/>
  <c r="X813" i="34" s="1"/>
  <c r="Y813" i="34" s="1"/>
  <c r="E136" i="34"/>
  <c r="F136" i="34"/>
  <c r="G136" i="34"/>
  <c r="X814" i="34" s="1"/>
  <c r="Y814" i="34" s="1"/>
  <c r="E137" i="34"/>
  <c r="F137" i="34"/>
  <c r="G137" i="34"/>
  <c r="X815" i="34" s="1"/>
  <c r="Y815" i="34" s="1"/>
  <c r="E138" i="34"/>
  <c r="F138" i="34"/>
  <c r="G138" i="34"/>
  <c r="X816" i="34" s="1"/>
  <c r="Y816" i="34" s="1"/>
  <c r="E139" i="34"/>
  <c r="F139" i="34"/>
  <c r="G139" i="34"/>
  <c r="X817" i="34" s="1"/>
  <c r="Y817" i="34" s="1"/>
  <c r="E140" i="34"/>
  <c r="F140" i="34"/>
  <c r="G140" i="34"/>
  <c r="X818" i="34" s="1"/>
  <c r="Y818" i="34" s="1"/>
  <c r="E141" i="34"/>
  <c r="F141" i="34"/>
  <c r="G141" i="34"/>
  <c r="X819" i="34" s="1"/>
  <c r="Y819" i="34" s="1"/>
  <c r="E142" i="34"/>
  <c r="F142" i="34"/>
  <c r="G142" i="34"/>
  <c r="X820" i="34" s="1"/>
  <c r="Y820" i="34" s="1"/>
  <c r="E143" i="34"/>
  <c r="F143" i="34"/>
  <c r="G143" i="34"/>
  <c r="X821" i="34" s="1"/>
  <c r="Y821" i="34" s="1"/>
  <c r="E144" i="34"/>
  <c r="F144" i="34"/>
  <c r="G144" i="34"/>
  <c r="X822" i="34" s="1"/>
  <c r="Y822" i="34" s="1"/>
  <c r="E145" i="34"/>
  <c r="F145" i="34"/>
  <c r="G145" i="34"/>
  <c r="X823" i="34" s="1"/>
  <c r="Y823" i="34" s="1"/>
  <c r="H159" i="34"/>
  <c r="X791" i="34"/>
  <c r="Y791" i="34" s="1"/>
  <c r="E7" i="33"/>
  <c r="I7" i="33" s="1"/>
  <c r="K7" i="33" s="1"/>
  <c r="Q7" i="33"/>
  <c r="R7" i="33"/>
  <c r="E8" i="33"/>
  <c r="Q8" i="33"/>
  <c r="R8" i="33"/>
  <c r="E9" i="33"/>
  <c r="I9" i="33" s="1"/>
  <c r="Q9" i="33"/>
  <c r="R9" i="33"/>
  <c r="E10" i="33"/>
  <c r="I10" i="33" s="1"/>
  <c r="K10" i="33" s="1"/>
  <c r="Q10" i="33"/>
  <c r="R10" i="33"/>
  <c r="E11" i="33"/>
  <c r="I11" i="33" s="1"/>
  <c r="K11" i="33" s="1"/>
  <c r="O11" i="33" s="1"/>
  <c r="Q11" i="33"/>
  <c r="R11" i="33"/>
  <c r="E12" i="33"/>
  <c r="Q12" i="33"/>
  <c r="R12" i="33"/>
  <c r="E13" i="33"/>
  <c r="Q13" i="33"/>
  <c r="R13" i="33"/>
  <c r="E14" i="33"/>
  <c r="J14" i="33" s="1"/>
  <c r="Q14" i="33"/>
  <c r="R14" i="33"/>
  <c r="E15" i="33"/>
  <c r="I15" i="33" s="1"/>
  <c r="K15" i="33" s="1"/>
  <c r="Q15" i="33"/>
  <c r="R15" i="33"/>
  <c r="E16" i="33"/>
  <c r="J16" i="33" s="1"/>
  <c r="L16" i="33" s="1"/>
  <c r="P16" i="33" s="1"/>
  <c r="Q16" i="33"/>
  <c r="R16" i="33"/>
  <c r="E17" i="33"/>
  <c r="J17" i="33" s="1"/>
  <c r="L17" i="33" s="1"/>
  <c r="P17" i="33" s="1"/>
  <c r="Q17" i="33"/>
  <c r="R17" i="33"/>
  <c r="E18" i="33"/>
  <c r="I18" i="33" s="1"/>
  <c r="K18" i="33" s="1"/>
  <c r="Q18" i="33"/>
  <c r="R18" i="33"/>
  <c r="E19" i="33"/>
  <c r="I19" i="33" s="1"/>
  <c r="Q19" i="33"/>
  <c r="R19" i="33"/>
  <c r="C30" i="33"/>
  <c r="N30" i="33" s="1"/>
  <c r="F30" i="33"/>
  <c r="G30" i="33"/>
  <c r="C31" i="33"/>
  <c r="N31" i="33" s="1"/>
  <c r="F31" i="33"/>
  <c r="H31" i="33" s="1"/>
  <c r="G31" i="33"/>
  <c r="C32" i="33"/>
  <c r="F32" i="33"/>
  <c r="G32" i="33"/>
  <c r="C33" i="33"/>
  <c r="N33" i="33" s="1"/>
  <c r="F33" i="33"/>
  <c r="G33" i="33"/>
  <c r="C34" i="33"/>
  <c r="F34" i="33"/>
  <c r="G34" i="33"/>
  <c r="C35" i="33"/>
  <c r="N35" i="33" s="1"/>
  <c r="F35" i="33"/>
  <c r="G35" i="33"/>
  <c r="C36" i="33"/>
  <c r="N36" i="33" s="1"/>
  <c r="F36" i="33"/>
  <c r="G36" i="33"/>
  <c r="C37" i="33"/>
  <c r="F37" i="33"/>
  <c r="G37" i="33"/>
  <c r="C38" i="33"/>
  <c r="N38" i="33" s="1"/>
  <c r="F38" i="33"/>
  <c r="G38" i="33"/>
  <c r="C39" i="33"/>
  <c r="N39" i="33" s="1"/>
  <c r="F39" i="33"/>
  <c r="G39" i="33"/>
  <c r="C40" i="33"/>
  <c r="N40" i="33" s="1"/>
  <c r="F40" i="33"/>
  <c r="G40" i="33"/>
  <c r="C41" i="33"/>
  <c r="F41" i="33"/>
  <c r="G41" i="33"/>
  <c r="C42" i="33"/>
  <c r="N42" i="33" s="1"/>
  <c r="F42" i="33"/>
  <c r="G42" i="33"/>
  <c r="A1" i="31"/>
  <c r="M19" i="31"/>
  <c r="V4" i="30"/>
  <c r="W4" i="30"/>
  <c r="A62" i="30"/>
  <c r="A66" i="30"/>
  <c r="T66" i="30"/>
  <c r="J8" i="38"/>
  <c r="L8" i="38" s="1"/>
  <c r="P8" i="38" s="1"/>
  <c r="I10" i="38"/>
  <c r="J10" i="38"/>
  <c r="L10" i="38" s="1"/>
  <c r="J12" i="38"/>
  <c r="L12" i="38" s="1"/>
  <c r="D19" i="34"/>
  <c r="I16" i="33" l="1"/>
  <c r="K16" i="33" s="1"/>
  <c r="O16" i="33" s="1"/>
  <c r="T9" i="38"/>
  <c r="O32" i="38"/>
  <c r="N9" i="38"/>
  <c r="AC9" i="38" s="1"/>
  <c r="O38" i="38"/>
  <c r="I42" i="38"/>
  <c r="I16" i="38"/>
  <c r="K16" i="38" s="1"/>
  <c r="O16" i="38" s="1"/>
  <c r="S16" i="38" s="1"/>
  <c r="I38" i="38"/>
  <c r="H30" i="33"/>
  <c r="N32" i="38"/>
  <c r="I30" i="33"/>
  <c r="H38" i="38"/>
  <c r="I14" i="33"/>
  <c r="K14" i="33" s="1"/>
  <c r="H42" i="33"/>
  <c r="H38" i="33"/>
  <c r="H34" i="33"/>
  <c r="J19" i="33"/>
  <c r="L19" i="33" s="1"/>
  <c r="P19" i="33" s="1"/>
  <c r="J18" i="33"/>
  <c r="L18" i="33" s="1"/>
  <c r="P18" i="33" s="1"/>
  <c r="O41" i="38"/>
  <c r="I15" i="38"/>
  <c r="K15" i="38" s="1"/>
  <c r="O15" i="38" s="1"/>
  <c r="U15" i="38" s="1"/>
  <c r="I41" i="38"/>
  <c r="N41" i="38"/>
  <c r="P41" i="38" s="1"/>
  <c r="H36" i="33"/>
  <c r="I32" i="38"/>
  <c r="O36" i="33"/>
  <c r="P36" i="33" s="1"/>
  <c r="H41" i="33"/>
  <c r="H37" i="33"/>
  <c r="I40" i="33"/>
  <c r="I36" i="33"/>
  <c r="S16" i="33"/>
  <c r="J11" i="33"/>
  <c r="L11" i="33" s="1"/>
  <c r="N11" i="33" s="1"/>
  <c r="AC11" i="33" s="1"/>
  <c r="I34" i="33"/>
  <c r="V9" i="38"/>
  <c r="H33" i="38"/>
  <c r="O34" i="38"/>
  <c r="P34" i="38" s="1"/>
  <c r="O37" i="38"/>
  <c r="O42" i="38"/>
  <c r="P42" i="38" s="1"/>
  <c r="P32" i="38"/>
  <c r="H32" i="38"/>
  <c r="J32" i="38" s="1"/>
  <c r="M32" i="38" s="1"/>
  <c r="H36" i="38"/>
  <c r="H41" i="38"/>
  <c r="I35" i="33"/>
  <c r="O31" i="33"/>
  <c r="P31" i="33" s="1"/>
  <c r="T19" i="33"/>
  <c r="J39" i="38"/>
  <c r="M39" i="38" s="1"/>
  <c r="U11" i="38"/>
  <c r="S11" i="38"/>
  <c r="L11" i="38"/>
  <c r="P11" i="38" s="1"/>
  <c r="T11" i="38" s="1"/>
  <c r="M15" i="33"/>
  <c r="AB15" i="33" s="1"/>
  <c r="O15" i="33"/>
  <c r="U15" i="33" s="1"/>
  <c r="I31" i="38"/>
  <c r="H42" i="38"/>
  <c r="O31" i="38"/>
  <c r="P31" i="38" s="1"/>
  <c r="O38" i="33"/>
  <c r="P38" i="33" s="1"/>
  <c r="O33" i="33"/>
  <c r="P33" i="33" s="1"/>
  <c r="N41" i="33"/>
  <c r="J15" i="33"/>
  <c r="L15" i="33" s="1"/>
  <c r="P15" i="33" s="1"/>
  <c r="I17" i="33"/>
  <c r="K17" i="33" s="1"/>
  <c r="O17" i="33" s="1"/>
  <c r="H35" i="33"/>
  <c r="O40" i="38"/>
  <c r="P40" i="38" s="1"/>
  <c r="J9" i="33"/>
  <c r="L9" i="33" s="1"/>
  <c r="P9" i="33" s="1"/>
  <c r="H30" i="38"/>
  <c r="M8" i="38"/>
  <c r="AB8" i="38" s="1"/>
  <c r="O8" i="38"/>
  <c r="K19" i="33"/>
  <c r="O19" i="33" s="1"/>
  <c r="S19" i="33" s="1"/>
  <c r="K9" i="33"/>
  <c r="O9" i="33" s="1"/>
  <c r="U7" i="38"/>
  <c r="S7" i="38"/>
  <c r="N15" i="38"/>
  <c r="AC15" i="38" s="1"/>
  <c r="P15" i="38"/>
  <c r="L14" i="33"/>
  <c r="P14" i="33" s="1"/>
  <c r="T14" i="33" s="1"/>
  <c r="P10" i="38"/>
  <c r="N10" i="38"/>
  <c r="AC10" i="38" s="1"/>
  <c r="M11" i="33"/>
  <c r="AB11" i="33" s="1"/>
  <c r="O35" i="33"/>
  <c r="P35" i="33" s="1"/>
  <c r="O37" i="33"/>
  <c r="N34" i="33"/>
  <c r="I38" i="33"/>
  <c r="J38" i="33" s="1"/>
  <c r="M38" i="33" s="1"/>
  <c r="H33" i="33"/>
  <c r="H32" i="33"/>
  <c r="N33" i="38"/>
  <c r="I37" i="33"/>
  <c r="O34" i="33"/>
  <c r="AE11" i="34"/>
  <c r="AE70" i="34" s="1"/>
  <c r="AE736" i="34" s="1"/>
  <c r="AA11" i="34"/>
  <c r="AA106" i="34" s="1"/>
  <c r="AA729" i="34" s="1"/>
  <c r="J7" i="38"/>
  <c r="J19" i="38"/>
  <c r="L19" i="38" s="1"/>
  <c r="H31" i="38"/>
  <c r="I34" i="38"/>
  <c r="I35" i="38"/>
  <c r="O39" i="38"/>
  <c r="P39" i="38" s="1"/>
  <c r="O19" i="38"/>
  <c r="S19" i="38" s="1"/>
  <c r="N37" i="33"/>
  <c r="N17" i="33"/>
  <c r="AC17" i="33" s="1"/>
  <c r="N19" i="33"/>
  <c r="AC19" i="33" s="1"/>
  <c r="I41" i="33"/>
  <c r="O40" i="33"/>
  <c r="P40" i="33" s="1"/>
  <c r="I33" i="33"/>
  <c r="AD11" i="34"/>
  <c r="AD185" i="34" s="1"/>
  <c r="I30" i="38"/>
  <c r="I40" i="38"/>
  <c r="S11" i="33"/>
  <c r="U11" i="33"/>
  <c r="M7" i="33"/>
  <c r="AB7" i="33" s="1"/>
  <c r="O7" i="33"/>
  <c r="N8" i="38"/>
  <c r="AC8" i="38" s="1"/>
  <c r="V16" i="38"/>
  <c r="U16" i="33"/>
  <c r="M12" i="38"/>
  <c r="AB12" i="38" s="1"/>
  <c r="J7" i="33"/>
  <c r="V19" i="33"/>
  <c r="H39" i="33"/>
  <c r="I13" i="33"/>
  <c r="J13" i="33"/>
  <c r="T8" i="38"/>
  <c r="V8" i="38"/>
  <c r="M14" i="33"/>
  <c r="AB14" i="33" s="1"/>
  <c r="O14" i="33"/>
  <c r="U14" i="33" s="1"/>
  <c r="N16" i="38"/>
  <c r="AC16" i="38" s="1"/>
  <c r="O18" i="33"/>
  <c r="S18" i="33" s="1"/>
  <c r="M18" i="33"/>
  <c r="AB18" i="33" s="1"/>
  <c r="J10" i="33"/>
  <c r="O39" i="33"/>
  <c r="P39" i="33" s="1"/>
  <c r="N32" i="33"/>
  <c r="I32" i="33"/>
  <c r="J32" i="33" s="1"/>
  <c r="M32" i="33" s="1"/>
  <c r="K10" i="38"/>
  <c r="O10" i="38" s="1"/>
  <c r="V11" i="38"/>
  <c r="N16" i="33"/>
  <c r="AC16" i="33" s="1"/>
  <c r="O41" i="33"/>
  <c r="P41" i="33" s="1"/>
  <c r="O30" i="33"/>
  <c r="P30" i="33" s="1"/>
  <c r="T17" i="33"/>
  <c r="V17" i="33"/>
  <c r="J8" i="33"/>
  <c r="L8" i="33" s="1"/>
  <c r="P8" i="33" s="1"/>
  <c r="I8" i="33"/>
  <c r="K8" i="33" s="1"/>
  <c r="M8" i="33" s="1"/>
  <c r="AB8" i="33" s="1"/>
  <c r="M38" i="39"/>
  <c r="N27" i="39"/>
  <c r="N26" i="39" s="1"/>
  <c r="M7" i="38"/>
  <c r="AB7" i="38" s="1"/>
  <c r="I9" i="38"/>
  <c r="O30" i="38"/>
  <c r="H34" i="38"/>
  <c r="H40" i="38"/>
  <c r="N30" i="38"/>
  <c r="J41" i="38"/>
  <c r="M41" i="38" s="1"/>
  <c r="P38" i="38"/>
  <c r="I39" i="33"/>
  <c r="O32" i="33"/>
  <c r="M11" i="38"/>
  <c r="AB11" i="38" s="1"/>
  <c r="I17" i="38"/>
  <c r="AA146" i="34"/>
  <c r="AA76" i="34"/>
  <c r="AA94" i="34"/>
  <c r="AE84" i="34"/>
  <c r="AE145" i="34"/>
  <c r="AE108" i="34"/>
  <c r="AE772" i="34" s="1"/>
  <c r="AE115" i="34"/>
  <c r="AE815" i="34" s="1"/>
  <c r="AE72" i="34"/>
  <c r="AE751" i="34" s="1"/>
  <c r="AE133" i="34"/>
  <c r="AE73" i="34"/>
  <c r="AE104" i="34"/>
  <c r="AE159" i="34"/>
  <c r="AE83" i="34"/>
  <c r="AE811" i="34" s="1"/>
  <c r="AE131" i="34"/>
  <c r="AE817" i="34" s="1"/>
  <c r="AE89" i="34"/>
  <c r="AE155" i="34"/>
  <c r="AE820" i="34" s="1"/>
  <c r="AE128" i="34"/>
  <c r="AE803" i="34" s="1"/>
  <c r="AA174" i="34"/>
  <c r="AA153" i="34"/>
  <c r="AA93" i="34"/>
  <c r="AA755" i="34" s="1"/>
  <c r="AA173" i="34"/>
  <c r="AA157" i="34"/>
  <c r="AA112" i="34"/>
  <c r="AA86" i="34"/>
  <c r="AA147" i="34"/>
  <c r="AA819" i="34" s="1"/>
  <c r="AA71" i="34"/>
  <c r="AA129" i="34"/>
  <c r="AA748" i="34" s="1"/>
  <c r="AA154" i="34"/>
  <c r="AA149" i="34"/>
  <c r="AA806" i="34" s="1"/>
  <c r="AA98" i="34"/>
  <c r="AA756" i="34" s="1"/>
  <c r="AA88" i="34"/>
  <c r="AA725" i="34" s="1"/>
  <c r="AA143" i="34"/>
  <c r="AA127" i="34"/>
  <c r="AA91" i="34"/>
  <c r="AA812" i="34" s="1"/>
  <c r="AA177" i="34"/>
  <c r="AA130" i="34"/>
  <c r="AA776" i="34" s="1"/>
  <c r="AA92" i="34"/>
  <c r="AA726" i="34" s="1"/>
  <c r="AC11" i="34"/>
  <c r="AC79" i="34" s="1"/>
  <c r="AC723" i="34" s="1"/>
  <c r="AA158" i="34"/>
  <c r="AA75" i="34"/>
  <c r="AA103" i="34"/>
  <c r="AA757" i="34" s="1"/>
  <c r="AA120" i="34"/>
  <c r="AA732" i="34" s="1"/>
  <c r="AA171" i="34"/>
  <c r="AA822" i="34" s="1"/>
  <c r="AA99" i="34"/>
  <c r="AA813" i="34" s="1"/>
  <c r="AA73" i="34"/>
  <c r="AA161" i="34"/>
  <c r="AA117" i="34"/>
  <c r="AE53" i="34"/>
  <c r="AE65" i="34"/>
  <c r="AE55" i="34"/>
  <c r="AE54" i="34"/>
  <c r="AE58" i="34"/>
  <c r="AE51" i="34"/>
  <c r="AE59" i="34"/>
  <c r="AE56" i="34"/>
  <c r="AE60" i="34"/>
  <c r="AA53" i="34"/>
  <c r="AA57" i="34"/>
  <c r="AA59" i="34"/>
  <c r="AA67" i="34"/>
  <c r="AA58" i="34"/>
  <c r="AA62" i="34"/>
  <c r="AA63" i="34"/>
  <c r="AA52" i="34"/>
  <c r="AA64" i="34"/>
  <c r="AA68" i="34"/>
  <c r="AA180" i="34"/>
  <c r="AA188" i="34"/>
  <c r="AA192" i="34"/>
  <c r="AA196" i="34"/>
  <c r="AA204" i="34"/>
  <c r="AA208" i="34"/>
  <c r="AA212" i="34"/>
  <c r="AA220" i="34"/>
  <c r="AA224" i="34"/>
  <c r="AA228" i="34"/>
  <c r="AA236" i="34"/>
  <c r="AA240" i="34"/>
  <c r="AA244" i="34"/>
  <c r="AA185" i="34"/>
  <c r="AA189" i="34"/>
  <c r="AA193" i="34"/>
  <c r="AA201" i="34"/>
  <c r="AA205" i="34"/>
  <c r="AA209" i="34"/>
  <c r="AA217" i="34"/>
  <c r="AA221" i="34"/>
  <c r="AA225" i="34"/>
  <c r="AA233" i="34"/>
  <c r="AA237" i="34"/>
  <c r="AA183" i="34"/>
  <c r="AA191" i="34"/>
  <c r="AA195" i="34"/>
  <c r="AA199" i="34"/>
  <c r="AA207" i="34"/>
  <c r="AA211" i="34"/>
  <c r="AA215" i="34"/>
  <c r="AA223" i="34"/>
  <c r="AA227" i="34"/>
  <c r="AA231" i="34"/>
  <c r="AA239" i="34"/>
  <c r="AA243" i="34"/>
  <c r="AA247" i="34"/>
  <c r="AA206" i="34"/>
  <c r="AA222" i="34"/>
  <c r="AA238" i="34"/>
  <c r="AA250" i="34"/>
  <c r="AA254" i="34"/>
  <c r="AA258" i="34"/>
  <c r="AA266" i="34"/>
  <c r="AA270" i="34"/>
  <c r="AA274" i="34"/>
  <c r="AA186" i="34"/>
  <c r="AA202" i="34"/>
  <c r="AA218" i="34"/>
  <c r="AA242" i="34"/>
  <c r="AA249" i="34"/>
  <c r="AA253" i="34"/>
  <c r="AA261" i="34"/>
  <c r="AA265" i="34"/>
  <c r="AA269" i="34"/>
  <c r="AA277" i="34"/>
  <c r="AA281" i="34"/>
  <c r="AA285" i="34"/>
  <c r="AA293" i="34"/>
  <c r="AA297" i="34"/>
  <c r="AA182" i="34"/>
  <c r="AA251" i="34"/>
  <c r="AA259" i="34"/>
  <c r="AA267" i="34"/>
  <c r="AA286" i="34"/>
  <c r="AA287" i="34"/>
  <c r="AA288" i="34"/>
  <c r="AA304" i="34"/>
  <c r="AA308" i="34"/>
  <c r="AA312" i="34"/>
  <c r="AA316" i="34"/>
  <c r="AA320" i="34"/>
  <c r="AA324" i="34"/>
  <c r="AA198" i="34"/>
  <c r="AA230" i="34"/>
  <c r="AA245" i="34"/>
  <c r="AA248" i="34"/>
  <c r="AA256" i="34"/>
  <c r="AA264" i="34"/>
  <c r="AA272" i="34"/>
  <c r="AA282" i="34"/>
  <c r="AA283" i="34"/>
  <c r="AA284" i="34"/>
  <c r="AA301" i="34"/>
  <c r="AA305" i="34"/>
  <c r="AA309" i="34"/>
  <c r="AA313" i="34"/>
  <c r="AA317" i="34"/>
  <c r="AA321" i="34"/>
  <c r="AA325" i="34"/>
  <c r="AA226" i="34"/>
  <c r="AA246" i="34"/>
  <c r="AA263" i="34"/>
  <c r="AA279" i="34"/>
  <c r="AA294" i="34"/>
  <c r="AA296" i="34"/>
  <c r="AA194" i="34"/>
  <c r="AA214" i="34"/>
  <c r="AA260" i="34"/>
  <c r="AA276" i="34"/>
  <c r="AA290" i="34"/>
  <c r="AA292" i="34"/>
  <c r="AA303" i="34"/>
  <c r="AA311" i="34"/>
  <c r="AA319" i="34"/>
  <c r="AA327" i="34"/>
  <c r="AA331" i="34"/>
  <c r="AA335" i="34"/>
  <c r="AA339" i="34"/>
  <c r="AA343" i="34"/>
  <c r="AA347" i="34"/>
  <c r="AA351" i="34"/>
  <c r="AA355" i="34"/>
  <c r="AA359" i="34"/>
  <c r="AA255" i="34"/>
  <c r="AA271" i="34"/>
  <c r="AA280" i="34"/>
  <c r="AA295" i="34"/>
  <c r="AA302" i="34"/>
  <c r="AA310" i="34"/>
  <c r="AA318" i="34"/>
  <c r="AA326" i="34"/>
  <c r="AA328" i="34"/>
  <c r="AA332" i="34"/>
  <c r="AA336" i="34"/>
  <c r="AA340" i="34"/>
  <c r="AA344" i="34"/>
  <c r="AA348" i="34"/>
  <c r="AA352" i="34"/>
  <c r="AA356" i="34"/>
  <c r="AA360" i="34"/>
  <c r="AA364" i="34"/>
  <c r="AA368" i="34"/>
  <c r="AA299" i="34"/>
  <c r="AA315" i="34"/>
  <c r="AA329" i="34"/>
  <c r="AA337" i="34"/>
  <c r="AA345" i="34"/>
  <c r="AA353" i="34"/>
  <c r="AA361" i="34"/>
  <c r="AA372" i="34"/>
  <c r="AA376" i="34"/>
  <c r="AA380" i="34"/>
  <c r="AA384" i="34"/>
  <c r="AA388" i="34"/>
  <c r="AA392" i="34"/>
  <c r="AA396" i="34"/>
  <c r="AA400" i="34"/>
  <c r="AA404" i="34"/>
  <c r="AA408" i="34"/>
  <c r="AA412" i="34"/>
  <c r="AA416" i="34"/>
  <c r="AA420" i="34"/>
  <c r="AA424" i="34"/>
  <c r="AA428" i="34"/>
  <c r="AA432" i="34"/>
  <c r="AA436" i="34"/>
  <c r="AA440" i="34"/>
  <c r="AA444" i="34"/>
  <c r="AA448" i="34"/>
  <c r="AA452" i="34"/>
  <c r="AA456" i="34"/>
  <c r="AA460" i="34"/>
  <c r="AA464" i="34"/>
  <c r="AA468" i="34"/>
  <c r="AA252" i="34"/>
  <c r="AA306" i="34"/>
  <c r="AA322" i="34"/>
  <c r="AA334" i="34"/>
  <c r="AA342" i="34"/>
  <c r="AA350" i="34"/>
  <c r="AA358" i="34"/>
  <c r="AA369" i="34"/>
  <c r="AA373" i="34"/>
  <c r="AA377" i="34"/>
  <c r="AA381" i="34"/>
  <c r="AA385" i="34"/>
  <c r="AA389" i="34"/>
  <c r="AA393" i="34"/>
  <c r="AA397" i="34"/>
  <c r="AA401" i="34"/>
  <c r="AA405" i="34"/>
  <c r="AA409" i="34"/>
  <c r="AA413" i="34"/>
  <c r="AA417" i="34"/>
  <c r="AA421" i="34"/>
  <c r="AA425" i="34"/>
  <c r="AA429" i="34"/>
  <c r="AA433" i="34"/>
  <c r="AA437" i="34"/>
  <c r="AA441" i="34"/>
  <c r="AA445" i="34"/>
  <c r="AA449" i="34"/>
  <c r="AA453" i="34"/>
  <c r="AA457" i="34"/>
  <c r="AA461" i="34"/>
  <c r="AA465" i="34"/>
  <c r="AA469" i="34"/>
  <c r="AA268" i="34"/>
  <c r="AA307" i="34"/>
  <c r="AA323" i="34"/>
  <c r="AA333" i="34"/>
  <c r="AA341" i="34"/>
  <c r="AA349" i="34"/>
  <c r="AA357" i="34"/>
  <c r="AA365" i="34"/>
  <c r="AA366" i="34"/>
  <c r="AA367" i="34"/>
  <c r="AA370" i="34"/>
  <c r="AA374" i="34"/>
  <c r="AA378" i="34"/>
  <c r="AA382" i="34"/>
  <c r="AA386" i="34"/>
  <c r="AA390" i="34"/>
  <c r="AA394" i="34"/>
  <c r="AA398" i="34"/>
  <c r="AA402" i="34"/>
  <c r="AA406" i="34"/>
  <c r="AA410" i="34"/>
  <c r="AA414" i="34"/>
  <c r="AA418" i="34"/>
  <c r="AA422" i="34"/>
  <c r="AA426" i="34"/>
  <c r="AA430" i="34"/>
  <c r="AA434" i="34"/>
  <c r="AA438" i="34"/>
  <c r="AA442" i="34"/>
  <c r="AA446" i="34"/>
  <c r="AA450" i="34"/>
  <c r="AA454" i="34"/>
  <c r="AA458" i="34"/>
  <c r="AA462" i="34"/>
  <c r="AA466" i="34"/>
  <c r="AA470" i="34"/>
  <c r="AA291" i="34"/>
  <c r="AA330" i="34"/>
  <c r="AA362" i="34"/>
  <c r="AA383" i="34"/>
  <c r="AA399" i="34"/>
  <c r="AA415" i="34"/>
  <c r="AA431" i="34"/>
  <c r="AA447" i="34"/>
  <c r="AA463" i="34"/>
  <c r="AA472" i="34"/>
  <c r="AA476" i="34"/>
  <c r="AA480" i="34"/>
  <c r="AA484" i="34"/>
  <c r="AA488" i="34"/>
  <c r="AA492" i="34"/>
  <c r="AA496" i="34"/>
  <c r="AA500" i="34"/>
  <c r="AA504" i="34"/>
  <c r="AA508" i="34"/>
  <c r="AA512" i="34"/>
  <c r="AA516" i="34"/>
  <c r="AA520" i="34"/>
  <c r="AA524" i="34"/>
  <c r="AA528" i="34"/>
  <c r="AA532" i="34"/>
  <c r="AA536" i="34"/>
  <c r="AA540" i="34"/>
  <c r="AA544" i="34"/>
  <c r="AA298" i="34"/>
  <c r="AA338" i="34"/>
  <c r="AA363" i="34"/>
  <c r="AA371" i="34"/>
  <c r="AA387" i="34"/>
  <c r="AA403" i="34"/>
  <c r="AA419" i="34"/>
  <c r="AA435" i="34"/>
  <c r="AA451" i="34"/>
  <c r="AA467" i="34"/>
  <c r="AA473" i="34"/>
  <c r="AA477" i="34"/>
  <c r="AA481" i="34"/>
  <c r="AA485" i="34"/>
  <c r="AA489" i="34"/>
  <c r="AA493" i="34"/>
  <c r="AA497" i="34"/>
  <c r="AA501" i="34"/>
  <c r="AA505" i="34"/>
  <c r="AA509" i="34"/>
  <c r="AA513" i="34"/>
  <c r="AA517" i="34"/>
  <c r="AA521" i="34"/>
  <c r="AA525" i="34"/>
  <c r="AA529" i="34"/>
  <c r="AA533" i="34"/>
  <c r="AA537" i="34"/>
  <c r="AA541" i="34"/>
  <c r="AA545" i="34"/>
  <c r="AA549" i="34"/>
  <c r="AA553" i="34"/>
  <c r="AA557" i="34"/>
  <c r="AA561" i="34"/>
  <c r="AA565" i="34"/>
  <c r="AA569" i="34"/>
  <c r="AA314" i="34"/>
  <c r="AA346" i="34"/>
  <c r="AA375" i="34"/>
  <c r="AA391" i="34"/>
  <c r="AA407" i="34"/>
  <c r="AA423" i="34"/>
  <c r="AA439" i="34"/>
  <c r="AA455" i="34"/>
  <c r="AA474" i="34"/>
  <c r="AA478" i="34"/>
  <c r="AA482" i="34"/>
  <c r="AA486" i="34"/>
  <c r="AA490" i="34"/>
  <c r="AA494" i="34"/>
  <c r="AA498" i="34"/>
  <c r="AA502" i="34"/>
  <c r="AA506" i="34"/>
  <c r="AA510" i="34"/>
  <c r="AA514" i="34"/>
  <c r="AA518" i="34"/>
  <c r="AA522" i="34"/>
  <c r="AA526" i="34"/>
  <c r="AA530" i="34"/>
  <c r="AA534" i="34"/>
  <c r="AA538" i="34"/>
  <c r="AA542" i="34"/>
  <c r="AA546" i="34"/>
  <c r="AA550" i="34"/>
  <c r="AA554" i="34"/>
  <c r="AA558" i="34"/>
  <c r="AA562" i="34"/>
  <c r="AA566" i="34"/>
  <c r="AA570" i="34"/>
  <c r="AA574" i="34"/>
  <c r="AA427" i="34"/>
  <c r="AA475" i="34"/>
  <c r="AA491" i="34"/>
  <c r="AA507" i="34"/>
  <c r="AA523" i="34"/>
  <c r="AA539" i="34"/>
  <c r="AA551" i="34"/>
  <c r="AA559" i="34"/>
  <c r="AA567" i="34"/>
  <c r="AA578" i="34"/>
  <c r="AA582" i="34"/>
  <c r="AA586" i="34"/>
  <c r="AA590" i="34"/>
  <c r="AA594" i="34"/>
  <c r="AA598" i="34"/>
  <c r="AA602" i="34"/>
  <c r="AA606" i="34"/>
  <c r="AA610" i="34"/>
  <c r="AA614" i="34"/>
  <c r="AA618" i="34"/>
  <c r="AA622" i="34"/>
  <c r="AA626" i="34"/>
  <c r="AA630" i="34"/>
  <c r="AA634" i="34"/>
  <c r="AA638" i="34"/>
  <c r="AA642" i="34"/>
  <c r="AA646" i="34"/>
  <c r="AA650" i="34"/>
  <c r="AA654" i="34"/>
  <c r="AA658" i="34"/>
  <c r="AA662" i="34"/>
  <c r="AA666" i="34"/>
  <c r="AA379" i="34"/>
  <c r="AA443" i="34"/>
  <c r="AA479" i="34"/>
  <c r="AA495" i="34"/>
  <c r="AA511" i="34"/>
  <c r="AA527" i="34"/>
  <c r="AA543" i="34"/>
  <c r="AA548" i="34"/>
  <c r="AA556" i="34"/>
  <c r="AA564" i="34"/>
  <c r="AA572" i="34"/>
  <c r="AA573" i="34"/>
  <c r="AA575" i="34"/>
  <c r="AA579" i="34"/>
  <c r="AA583" i="34"/>
  <c r="AA587" i="34"/>
  <c r="AA591" i="34"/>
  <c r="AA595" i="34"/>
  <c r="AA599" i="34"/>
  <c r="AA603" i="34"/>
  <c r="AA607" i="34"/>
  <c r="AA611" i="34"/>
  <c r="AA615" i="34"/>
  <c r="AA619" i="34"/>
  <c r="AA623" i="34"/>
  <c r="AA627" i="34"/>
  <c r="AA631" i="34"/>
  <c r="AA635" i="34"/>
  <c r="AA639" i="34"/>
  <c r="AA643" i="34"/>
  <c r="AA647" i="34"/>
  <c r="AA651" i="34"/>
  <c r="AA655" i="34"/>
  <c r="AA659" i="34"/>
  <c r="AA663" i="34"/>
  <c r="AA667" i="34"/>
  <c r="AA671" i="34"/>
  <c r="AA675" i="34"/>
  <c r="AA679" i="34"/>
  <c r="AA683" i="34"/>
  <c r="AA395" i="34"/>
  <c r="AA459" i="34"/>
  <c r="AA483" i="34"/>
  <c r="AA499" i="34"/>
  <c r="AA515" i="34"/>
  <c r="AA531" i="34"/>
  <c r="AA547" i="34"/>
  <c r="AA555" i="34"/>
  <c r="AA563" i="34"/>
  <c r="AA571" i="34"/>
  <c r="AA576" i="34"/>
  <c r="AA580" i="34"/>
  <c r="AA584" i="34"/>
  <c r="AA588" i="34"/>
  <c r="AA592" i="34"/>
  <c r="AA596" i="34"/>
  <c r="AA600" i="34"/>
  <c r="AA604" i="34"/>
  <c r="AA608" i="34"/>
  <c r="AA612" i="34"/>
  <c r="AA616" i="34"/>
  <c r="AA620" i="34"/>
  <c r="AA624" i="34"/>
  <c r="AA628" i="34"/>
  <c r="AA632" i="34"/>
  <c r="AA636" i="34"/>
  <c r="AA640" i="34"/>
  <c r="AA644" i="34"/>
  <c r="AA648" i="34"/>
  <c r="AA652" i="34"/>
  <c r="AA656" i="34"/>
  <c r="AA660" i="34"/>
  <c r="AA664" i="34"/>
  <c r="AA668" i="34"/>
  <c r="AA672" i="34"/>
  <c r="AA676" i="34"/>
  <c r="AA680" i="34"/>
  <c r="AA503" i="34"/>
  <c r="AA581" i="34"/>
  <c r="AA597" i="34"/>
  <c r="AA613" i="34"/>
  <c r="AA629" i="34"/>
  <c r="AA645" i="34"/>
  <c r="AA661" i="34"/>
  <c r="AA674" i="34"/>
  <c r="AA682" i="34"/>
  <c r="AA685" i="34"/>
  <c r="AA689" i="34"/>
  <c r="AA693" i="34"/>
  <c r="AA697" i="34"/>
  <c r="AA701" i="34"/>
  <c r="AA705" i="34"/>
  <c r="AA709" i="34"/>
  <c r="AA713" i="34"/>
  <c r="AA717" i="34"/>
  <c r="AA700" i="34"/>
  <c r="AA708" i="34"/>
  <c r="AA712" i="34"/>
  <c r="AA354" i="34"/>
  <c r="AA411" i="34"/>
  <c r="AA519" i="34"/>
  <c r="AA552" i="34"/>
  <c r="AA585" i="34"/>
  <c r="AA601" i="34"/>
  <c r="AA617" i="34"/>
  <c r="AA633" i="34"/>
  <c r="AA649" i="34"/>
  <c r="AA665" i="34"/>
  <c r="AA673" i="34"/>
  <c r="AA681" i="34"/>
  <c r="AA686" i="34"/>
  <c r="AA690" i="34"/>
  <c r="AA694" i="34"/>
  <c r="AA698" i="34"/>
  <c r="AA702" i="34"/>
  <c r="AA706" i="34"/>
  <c r="AA710" i="34"/>
  <c r="AA714" i="34"/>
  <c r="AA718" i="34"/>
  <c r="AA593" i="34"/>
  <c r="AA625" i="34"/>
  <c r="AA657" i="34"/>
  <c r="AA669" i="34"/>
  <c r="AA684" i="34"/>
  <c r="AA688" i="34"/>
  <c r="AA692" i="34"/>
  <c r="AA696" i="34"/>
  <c r="AA716" i="34"/>
  <c r="AA471" i="34"/>
  <c r="AA535" i="34"/>
  <c r="AA560" i="34"/>
  <c r="AA589" i="34"/>
  <c r="AA605" i="34"/>
  <c r="AA621" i="34"/>
  <c r="AA637" i="34"/>
  <c r="AA653" i="34"/>
  <c r="AA670" i="34"/>
  <c r="AA678" i="34"/>
  <c r="AA687" i="34"/>
  <c r="AA691" i="34"/>
  <c r="AA695" i="34"/>
  <c r="AA699" i="34"/>
  <c r="AA703" i="34"/>
  <c r="AA707" i="34"/>
  <c r="AA711" i="34"/>
  <c r="AA715" i="34"/>
  <c r="AA487" i="34"/>
  <c r="AA568" i="34"/>
  <c r="AA577" i="34"/>
  <c r="AA609" i="34"/>
  <c r="AA641" i="34"/>
  <c r="AA677" i="34"/>
  <c r="AA704" i="34"/>
  <c r="AB11" i="34"/>
  <c r="AB77" i="34" s="1"/>
  <c r="AB752" i="34" s="1"/>
  <c r="AC444" i="34"/>
  <c r="AC304" i="34"/>
  <c r="AC646" i="34"/>
  <c r="AC509" i="34"/>
  <c r="AE180" i="34"/>
  <c r="AE184" i="34"/>
  <c r="AE188" i="34"/>
  <c r="AE192" i="34"/>
  <c r="AE196" i="34"/>
  <c r="AE200" i="34"/>
  <c r="AE204" i="34"/>
  <c r="AE208" i="34"/>
  <c r="AE212" i="34"/>
  <c r="AE216" i="34"/>
  <c r="AE220" i="34"/>
  <c r="AE224" i="34"/>
  <c r="AE228" i="34"/>
  <c r="AE232" i="34"/>
  <c r="AE236" i="34"/>
  <c r="AE240" i="34"/>
  <c r="AE244" i="34"/>
  <c r="AE181" i="34"/>
  <c r="AE185" i="34"/>
  <c r="AE189" i="34"/>
  <c r="AE193" i="34"/>
  <c r="AE197" i="34"/>
  <c r="AE201" i="34"/>
  <c r="AE205" i="34"/>
  <c r="AE209" i="34"/>
  <c r="AE213" i="34"/>
  <c r="AE217" i="34"/>
  <c r="AE221" i="34"/>
  <c r="AE225" i="34"/>
  <c r="AE229" i="34"/>
  <c r="AE233" i="34"/>
  <c r="AE237" i="34"/>
  <c r="AE183" i="34"/>
  <c r="AE187" i="34"/>
  <c r="AE191" i="34"/>
  <c r="AE195" i="34"/>
  <c r="AE199" i="34"/>
  <c r="AE203" i="34"/>
  <c r="AE207" i="34"/>
  <c r="AE211" i="34"/>
  <c r="AE215" i="34"/>
  <c r="AE219" i="34"/>
  <c r="AE223" i="34"/>
  <c r="AE227" i="34"/>
  <c r="AE231" i="34"/>
  <c r="AE235" i="34"/>
  <c r="AE239" i="34"/>
  <c r="AE243" i="34"/>
  <c r="AE247" i="34"/>
  <c r="AE186" i="34"/>
  <c r="AE202" i="34"/>
  <c r="AE218" i="34"/>
  <c r="AE234" i="34"/>
  <c r="AE245" i="34"/>
  <c r="AE250" i="34"/>
  <c r="AE254" i="34"/>
  <c r="AE258" i="34"/>
  <c r="AE262" i="34"/>
  <c r="AE266" i="34"/>
  <c r="AE270" i="34"/>
  <c r="AE274" i="34"/>
  <c r="AE278" i="34"/>
  <c r="AE182" i="34"/>
  <c r="AE198" i="34"/>
  <c r="AE214" i="34"/>
  <c r="AE230" i="34"/>
  <c r="AE246" i="34"/>
  <c r="AE249" i="34"/>
  <c r="AE253" i="34"/>
  <c r="AE257" i="34"/>
  <c r="AE261" i="34"/>
  <c r="AE265" i="34"/>
  <c r="AE269" i="34"/>
  <c r="AE273" i="34"/>
  <c r="AE277" i="34"/>
  <c r="AE281" i="34"/>
  <c r="AE285" i="34"/>
  <c r="AE289" i="34"/>
  <c r="AE293" i="34"/>
  <c r="AE194" i="34"/>
  <c r="AE190" i="34"/>
  <c r="AE222" i="34"/>
  <c r="AE255" i="34"/>
  <c r="AE263" i="34"/>
  <c r="AE271" i="34"/>
  <c r="AE282" i="34"/>
  <c r="AE283" i="34"/>
  <c r="AE284" i="34"/>
  <c r="AE300" i="34"/>
  <c r="AE304" i="34"/>
  <c r="AE308" i="34"/>
  <c r="AE312" i="34"/>
  <c r="AE316" i="34"/>
  <c r="AE320" i="34"/>
  <c r="AE324" i="34"/>
  <c r="AE210" i="34"/>
  <c r="AE241" i="34"/>
  <c r="AE252" i="34"/>
  <c r="AE260" i="34"/>
  <c r="AE268" i="34"/>
  <c r="AE276" i="34"/>
  <c r="AE279" i="34"/>
  <c r="AE280" i="34"/>
  <c r="AE294" i="34"/>
  <c r="AE295" i="34"/>
  <c r="AE296" i="34"/>
  <c r="AE297" i="34"/>
  <c r="AE301" i="34"/>
  <c r="AE305" i="34"/>
  <c r="AE309" i="34"/>
  <c r="AE313" i="34"/>
  <c r="AE317" i="34"/>
  <c r="AE321" i="34"/>
  <c r="AE325" i="34"/>
  <c r="AE238" i="34"/>
  <c r="AE259" i="34"/>
  <c r="AE275" i="34"/>
  <c r="AE291" i="34"/>
  <c r="AE226" i="34"/>
  <c r="AE256" i="34"/>
  <c r="AE272" i="34"/>
  <c r="AE287" i="34"/>
  <c r="AE299" i="34"/>
  <c r="AE307" i="34"/>
  <c r="AE315" i="34"/>
  <c r="AE323" i="34"/>
  <c r="AE327" i="34"/>
  <c r="AE331" i="34"/>
  <c r="AE335" i="34"/>
  <c r="AE339" i="34"/>
  <c r="AE343" i="34"/>
  <c r="AE347" i="34"/>
  <c r="AE351" i="34"/>
  <c r="AE355" i="34"/>
  <c r="AE359" i="34"/>
  <c r="AE242" i="34"/>
  <c r="AE251" i="34"/>
  <c r="AE267" i="34"/>
  <c r="AE290" i="34"/>
  <c r="AE292" i="34"/>
  <c r="AE298" i="34"/>
  <c r="AE306" i="34"/>
  <c r="AE314" i="34"/>
  <c r="AE322" i="34"/>
  <c r="AE328" i="34"/>
  <c r="AE332" i="34"/>
  <c r="AE336" i="34"/>
  <c r="AE340" i="34"/>
  <c r="AE344" i="34"/>
  <c r="AE348" i="34"/>
  <c r="AE352" i="34"/>
  <c r="AE356" i="34"/>
  <c r="AE360" i="34"/>
  <c r="AE364" i="34"/>
  <c r="AE368" i="34"/>
  <c r="AE206" i="34"/>
  <c r="AE248" i="34"/>
  <c r="AE311" i="34"/>
  <c r="AE333" i="34"/>
  <c r="AE341" i="34"/>
  <c r="AE349" i="34"/>
  <c r="AE357" i="34"/>
  <c r="AE372" i="34"/>
  <c r="AE376" i="34"/>
  <c r="AE380" i="34"/>
  <c r="AE384" i="34"/>
  <c r="AE388" i="34"/>
  <c r="AE392" i="34"/>
  <c r="AE396" i="34"/>
  <c r="AE400" i="34"/>
  <c r="AE404" i="34"/>
  <c r="AE408" i="34"/>
  <c r="AE412" i="34"/>
  <c r="AE416" i="34"/>
  <c r="AE420" i="34"/>
  <c r="AE424" i="34"/>
  <c r="AE428" i="34"/>
  <c r="AE432" i="34"/>
  <c r="AE436" i="34"/>
  <c r="AE440" i="34"/>
  <c r="AE444" i="34"/>
  <c r="AE448" i="34"/>
  <c r="AE452" i="34"/>
  <c r="AE456" i="34"/>
  <c r="AE460" i="34"/>
  <c r="AE464" i="34"/>
  <c r="AE264" i="34"/>
  <c r="AE286" i="34"/>
  <c r="AE302" i="34"/>
  <c r="AE318" i="34"/>
  <c r="AE330" i="34"/>
  <c r="AE338" i="34"/>
  <c r="AE346" i="34"/>
  <c r="AE354" i="34"/>
  <c r="AE365" i="34"/>
  <c r="AE366" i="34"/>
  <c r="AE367" i="34"/>
  <c r="AE369" i="34"/>
  <c r="AE373" i="34"/>
  <c r="AE377" i="34"/>
  <c r="AE381" i="34"/>
  <c r="AE385" i="34"/>
  <c r="AE389" i="34"/>
  <c r="AE393" i="34"/>
  <c r="AE397" i="34"/>
  <c r="AE401" i="34"/>
  <c r="AE405" i="34"/>
  <c r="AE409" i="34"/>
  <c r="AE413" i="34"/>
  <c r="AE417" i="34"/>
  <c r="AE421" i="34"/>
  <c r="AE425" i="34"/>
  <c r="AE429" i="34"/>
  <c r="AE433" i="34"/>
  <c r="AE437" i="34"/>
  <c r="AE441" i="34"/>
  <c r="AE445" i="34"/>
  <c r="AE449" i="34"/>
  <c r="AE453" i="34"/>
  <c r="AE457" i="34"/>
  <c r="AE461" i="34"/>
  <c r="AE465" i="34"/>
  <c r="AE469" i="34"/>
  <c r="AE288" i="34"/>
  <c r="AE303" i="34"/>
  <c r="AE319" i="34"/>
  <c r="AE329" i="34"/>
  <c r="AE337" i="34"/>
  <c r="AE345" i="34"/>
  <c r="AE353" i="34"/>
  <c r="AE361" i="34"/>
  <c r="AE362" i="34"/>
  <c r="AE363" i="34"/>
  <c r="AE370" i="34"/>
  <c r="AE374" i="34"/>
  <c r="AE378" i="34"/>
  <c r="AE382" i="34"/>
  <c r="AE386" i="34"/>
  <c r="AE390" i="34"/>
  <c r="AE394" i="34"/>
  <c r="AE398" i="34"/>
  <c r="AE402" i="34"/>
  <c r="AE406" i="34"/>
  <c r="AE410" i="34"/>
  <c r="AE414" i="34"/>
  <c r="AE418" i="34"/>
  <c r="AE422" i="34"/>
  <c r="AE426" i="34"/>
  <c r="AE430" i="34"/>
  <c r="AE434" i="34"/>
  <c r="AE438" i="34"/>
  <c r="AE442" i="34"/>
  <c r="AE446" i="34"/>
  <c r="AE450" i="34"/>
  <c r="AE454" i="34"/>
  <c r="AE458" i="34"/>
  <c r="AE462" i="34"/>
  <c r="AE466" i="34"/>
  <c r="AE342" i="34"/>
  <c r="AE379" i="34"/>
  <c r="AE395" i="34"/>
  <c r="AE411" i="34"/>
  <c r="AE427" i="34"/>
  <c r="AE443" i="34"/>
  <c r="AE459" i="34"/>
  <c r="AE468" i="34"/>
  <c r="AE472" i="34"/>
  <c r="AE476" i="34"/>
  <c r="AE480" i="34"/>
  <c r="AE484" i="34"/>
  <c r="AE488" i="34"/>
  <c r="AE492" i="34"/>
  <c r="AE496" i="34"/>
  <c r="AE500" i="34"/>
  <c r="AE504" i="34"/>
  <c r="AE508" i="34"/>
  <c r="AE512" i="34"/>
  <c r="AE516" i="34"/>
  <c r="AE520" i="34"/>
  <c r="AE524" i="34"/>
  <c r="AE528" i="34"/>
  <c r="AE532" i="34"/>
  <c r="AE536" i="34"/>
  <c r="AE540" i="34"/>
  <c r="AE544" i="34"/>
  <c r="AE310" i="34"/>
  <c r="AE350" i="34"/>
  <c r="AE383" i="34"/>
  <c r="AE399" i="34"/>
  <c r="AE415" i="34"/>
  <c r="AE431" i="34"/>
  <c r="AE447" i="34"/>
  <c r="AE463" i="34"/>
  <c r="AE473" i="34"/>
  <c r="AE477" i="34"/>
  <c r="AE481" i="34"/>
  <c r="AE485" i="34"/>
  <c r="AE489" i="34"/>
  <c r="AE493" i="34"/>
  <c r="AE497" i="34"/>
  <c r="AE501" i="34"/>
  <c r="AE505" i="34"/>
  <c r="AE509" i="34"/>
  <c r="AE513" i="34"/>
  <c r="AE517" i="34"/>
  <c r="AE521" i="34"/>
  <c r="AE525" i="34"/>
  <c r="AE529" i="34"/>
  <c r="AE533" i="34"/>
  <c r="AE537" i="34"/>
  <c r="AE541" i="34"/>
  <c r="AE545" i="34"/>
  <c r="AE549" i="34"/>
  <c r="AE553" i="34"/>
  <c r="AE557" i="34"/>
  <c r="AE561" i="34"/>
  <c r="AE565" i="34"/>
  <c r="AE569" i="34"/>
  <c r="AE326" i="34"/>
  <c r="AE358" i="34"/>
  <c r="AE371" i="34"/>
  <c r="AE387" i="34"/>
  <c r="AE403" i="34"/>
  <c r="AE419" i="34"/>
  <c r="AE435" i="34"/>
  <c r="AE451" i="34"/>
  <c r="AE467" i="34"/>
  <c r="AE470" i="34"/>
  <c r="AE474" i="34"/>
  <c r="AE478" i="34"/>
  <c r="AE482" i="34"/>
  <c r="AE486" i="34"/>
  <c r="AE490" i="34"/>
  <c r="AE494" i="34"/>
  <c r="AE498" i="34"/>
  <c r="AE502" i="34"/>
  <c r="AE506" i="34"/>
  <c r="AE510" i="34"/>
  <c r="AE514" i="34"/>
  <c r="AE518" i="34"/>
  <c r="AE522" i="34"/>
  <c r="AE526" i="34"/>
  <c r="AE530" i="34"/>
  <c r="AE534" i="34"/>
  <c r="AE538" i="34"/>
  <c r="AE542" i="34"/>
  <c r="AE546" i="34"/>
  <c r="AE550" i="34"/>
  <c r="AE554" i="34"/>
  <c r="AE558" i="34"/>
  <c r="AE562" i="34"/>
  <c r="AE566" i="34"/>
  <c r="AE570" i="34"/>
  <c r="AE334" i="34"/>
  <c r="AE375" i="34"/>
  <c r="AE439" i="34"/>
  <c r="AE471" i="34"/>
  <c r="AE487" i="34"/>
  <c r="AE503" i="34"/>
  <c r="AE519" i="34"/>
  <c r="AE535" i="34"/>
  <c r="AE547" i="34"/>
  <c r="AE555" i="34"/>
  <c r="AE563" i="34"/>
  <c r="AE571" i="34"/>
  <c r="AE572" i="34"/>
  <c r="AE573" i="34"/>
  <c r="AE574" i="34"/>
  <c r="AE578" i="34"/>
  <c r="AE582" i="34"/>
  <c r="AE586" i="34"/>
  <c r="AE590" i="34"/>
  <c r="AE594" i="34"/>
  <c r="AE598" i="34"/>
  <c r="AE602" i="34"/>
  <c r="AE606" i="34"/>
  <c r="AE610" i="34"/>
  <c r="AE614" i="34"/>
  <c r="AE618" i="34"/>
  <c r="AE622" i="34"/>
  <c r="AE626" i="34"/>
  <c r="AE630" i="34"/>
  <c r="AE634" i="34"/>
  <c r="AE638" i="34"/>
  <c r="AE642" i="34"/>
  <c r="AE646" i="34"/>
  <c r="AE650" i="34"/>
  <c r="AE654" i="34"/>
  <c r="AE658" i="34"/>
  <c r="AE662" i="34"/>
  <c r="AE666" i="34"/>
  <c r="AE391" i="34"/>
  <c r="AE455" i="34"/>
  <c r="AE475" i="34"/>
  <c r="AE491" i="34"/>
  <c r="AE507" i="34"/>
  <c r="AE523" i="34"/>
  <c r="AE539" i="34"/>
  <c r="AE552" i="34"/>
  <c r="AE560" i="34"/>
  <c r="AE568" i="34"/>
  <c r="AE575" i="34"/>
  <c r="AE579" i="34"/>
  <c r="AE583" i="34"/>
  <c r="AE587" i="34"/>
  <c r="AE591" i="34"/>
  <c r="AE595" i="34"/>
  <c r="AE599" i="34"/>
  <c r="AE603" i="34"/>
  <c r="AE607" i="34"/>
  <c r="AE611" i="34"/>
  <c r="AE615" i="34"/>
  <c r="AE619" i="34"/>
  <c r="AE623" i="34"/>
  <c r="AE627" i="34"/>
  <c r="AE631" i="34"/>
  <c r="AE635" i="34"/>
  <c r="AE639" i="34"/>
  <c r="AE643" i="34"/>
  <c r="AE647" i="34"/>
  <c r="AE651" i="34"/>
  <c r="AE655" i="34"/>
  <c r="AE659" i="34"/>
  <c r="AE663" i="34"/>
  <c r="AE667" i="34"/>
  <c r="AE671" i="34"/>
  <c r="AE675" i="34"/>
  <c r="AE679" i="34"/>
  <c r="AE407" i="34"/>
  <c r="AE479" i="34"/>
  <c r="AE495" i="34"/>
  <c r="AE511" i="34"/>
  <c r="AE527" i="34"/>
  <c r="AE543" i="34"/>
  <c r="AE551" i="34"/>
  <c r="AE559" i="34"/>
  <c r="AE567" i="34"/>
  <c r="AE576" i="34"/>
  <c r="AE580" i="34"/>
  <c r="AE584" i="34"/>
  <c r="AE588" i="34"/>
  <c r="AE592" i="34"/>
  <c r="AE596" i="34"/>
  <c r="AE600" i="34"/>
  <c r="AE604" i="34"/>
  <c r="AE608" i="34"/>
  <c r="AE612" i="34"/>
  <c r="AE616" i="34"/>
  <c r="AE620" i="34"/>
  <c r="AE624" i="34"/>
  <c r="AE628" i="34"/>
  <c r="AE632" i="34"/>
  <c r="AE636" i="34"/>
  <c r="AE640" i="34"/>
  <c r="AE644" i="34"/>
  <c r="AE648" i="34"/>
  <c r="AE652" i="34"/>
  <c r="AE656" i="34"/>
  <c r="AE660" i="34"/>
  <c r="AE664" i="34"/>
  <c r="AE668" i="34"/>
  <c r="AE672" i="34"/>
  <c r="AE676" i="34"/>
  <c r="AE680" i="34"/>
  <c r="AE515" i="34"/>
  <c r="AE556" i="34"/>
  <c r="AE577" i="34"/>
  <c r="AE593" i="34"/>
  <c r="AE609" i="34"/>
  <c r="AE625" i="34"/>
  <c r="AE641" i="34"/>
  <c r="AE657" i="34"/>
  <c r="AE670" i="34"/>
  <c r="AE678" i="34"/>
  <c r="AE685" i="34"/>
  <c r="AE689" i="34"/>
  <c r="AE693" i="34"/>
  <c r="AE697" i="34"/>
  <c r="AE701" i="34"/>
  <c r="AE705" i="34"/>
  <c r="AE709" i="34"/>
  <c r="AE713" i="34"/>
  <c r="AE717" i="34"/>
  <c r="AE692" i="34"/>
  <c r="AE704" i="34"/>
  <c r="AE716" i="34"/>
  <c r="AE531" i="34"/>
  <c r="AE564" i="34"/>
  <c r="AE581" i="34"/>
  <c r="AE597" i="34"/>
  <c r="AE613" i="34"/>
  <c r="AE629" i="34"/>
  <c r="AE645" i="34"/>
  <c r="AE661" i="34"/>
  <c r="AE669" i="34"/>
  <c r="AE677" i="34"/>
  <c r="AE686" i="34"/>
  <c r="AE690" i="34"/>
  <c r="AE694" i="34"/>
  <c r="AE698" i="34"/>
  <c r="AE702" i="34"/>
  <c r="AE706" i="34"/>
  <c r="AE710" i="34"/>
  <c r="AE714" i="34"/>
  <c r="AE718" i="34"/>
  <c r="AE499" i="34"/>
  <c r="AE548" i="34"/>
  <c r="AE605" i="34"/>
  <c r="AE637" i="34"/>
  <c r="AE681" i="34"/>
  <c r="AE700" i="34"/>
  <c r="AE708" i="34"/>
  <c r="AE423" i="34"/>
  <c r="AE483" i="34"/>
  <c r="AE585" i="34"/>
  <c r="AE601" i="34"/>
  <c r="AE617" i="34"/>
  <c r="AE633" i="34"/>
  <c r="AE649" i="34"/>
  <c r="AE665" i="34"/>
  <c r="AE674" i="34"/>
  <c r="AE682" i="34"/>
  <c r="AE683" i="34"/>
  <c r="AE687" i="34"/>
  <c r="AE691" i="34"/>
  <c r="AE695" i="34"/>
  <c r="AE699" i="34"/>
  <c r="AE703" i="34"/>
  <c r="AE707" i="34"/>
  <c r="AE711" i="34"/>
  <c r="AE715" i="34"/>
  <c r="AE589" i="34"/>
  <c r="AE621" i="34"/>
  <c r="AE653" i="34"/>
  <c r="AE673" i="34"/>
  <c r="AE684" i="34"/>
  <c r="AE688" i="34"/>
  <c r="AE696" i="34"/>
  <c r="AE712" i="34"/>
  <c r="AD182" i="34"/>
  <c r="AD204" i="34"/>
  <c r="AD251" i="34"/>
  <c r="AD270" i="34"/>
  <c r="AD280" i="34"/>
  <c r="AD265" i="34"/>
  <c r="AD287" i="34"/>
  <c r="AD348" i="34"/>
  <c r="AD349" i="34"/>
  <c r="AD369" i="34"/>
  <c r="AD433" i="34"/>
  <c r="AD359" i="34"/>
  <c r="AD418" i="34"/>
  <c r="AD342" i="34"/>
  <c r="AD423" i="34"/>
  <c r="AD408" i="34"/>
  <c r="AD521" i="34"/>
  <c r="AD474" i="34"/>
  <c r="AD538" i="34"/>
  <c r="AD469" i="34"/>
  <c r="AD531" i="34"/>
  <c r="AD567" i="34"/>
  <c r="AD552" i="34"/>
  <c r="AD595" i="34"/>
  <c r="AD627" i="34"/>
  <c r="AD659" i="34"/>
  <c r="AD520" i="34"/>
  <c r="AD588" i="34"/>
  <c r="AD620" i="34"/>
  <c r="AD652" i="34"/>
  <c r="AD347" i="34"/>
  <c r="AD556" i="34"/>
  <c r="AD601" i="34"/>
  <c r="AD633" i="34"/>
  <c r="AD665" i="34"/>
  <c r="AD590" i="34"/>
  <c r="AD694" i="34"/>
  <c r="AD697" i="34"/>
  <c r="AD626" i="34"/>
  <c r="AD695" i="34"/>
  <c r="AD573" i="34"/>
  <c r="AD372" i="34"/>
  <c r="AD646" i="34"/>
  <c r="AD700" i="34"/>
  <c r="AD634" i="34"/>
  <c r="F12" i="36"/>
  <c r="I65" i="32" s="1"/>
  <c r="P12" i="36"/>
  <c r="P11" i="36"/>
  <c r="F19" i="34"/>
  <c r="X825" i="34" s="1"/>
  <c r="Y825" i="34" s="1"/>
  <c r="AA798" i="34"/>
  <c r="AA769" i="34"/>
  <c r="AA781" i="34"/>
  <c r="AA762" i="34"/>
  <c r="AA797" i="34"/>
  <c r="B21" i="35"/>
  <c r="N20" i="39"/>
  <c r="P39" i="39" s="1"/>
  <c r="B26" i="39" s="1"/>
  <c r="C17" i="36"/>
  <c r="B75" i="32" s="1"/>
  <c r="C25" i="35"/>
  <c r="B48" i="35"/>
  <c r="B25" i="35"/>
  <c r="B26" i="35" s="1"/>
  <c r="N34" i="39"/>
  <c r="F11" i="36"/>
  <c r="I63" i="32" s="1"/>
  <c r="D21" i="38"/>
  <c r="B43" i="35"/>
  <c r="B49" i="35" s="1"/>
  <c r="N32" i="39"/>
  <c r="H12" i="36"/>
  <c r="S65" i="32" s="1"/>
  <c r="B37" i="35"/>
  <c r="B30" i="35"/>
  <c r="B32" i="35" s="1"/>
  <c r="F19" i="36"/>
  <c r="I79" i="32" s="1"/>
  <c r="H19" i="36"/>
  <c r="S79" i="32" s="1"/>
  <c r="A37" i="35"/>
  <c r="H11" i="36"/>
  <c r="S63" i="32" s="1"/>
  <c r="S14" i="39"/>
  <c r="U14" i="39"/>
  <c r="T14" i="39"/>
  <c r="P12" i="38"/>
  <c r="N12" i="38"/>
  <c r="AC12" i="38" s="1"/>
  <c r="D21" i="33"/>
  <c r="T10" i="38"/>
  <c r="V10" i="38"/>
  <c r="S12" i="38"/>
  <c r="U12" i="38"/>
  <c r="T16" i="33"/>
  <c r="V16" i="33"/>
  <c r="U18" i="33"/>
  <c r="O8" i="33"/>
  <c r="O10" i="33"/>
  <c r="M10" i="33"/>
  <c r="AB10" i="33" s="1"/>
  <c r="AA737" i="34"/>
  <c r="M16" i="33"/>
  <c r="AB16" i="33" s="1"/>
  <c r="M15" i="38"/>
  <c r="AB15" i="38" s="1"/>
  <c r="AA80" i="34"/>
  <c r="AA738" i="34" s="1"/>
  <c r="AA74" i="34"/>
  <c r="AA108" i="34"/>
  <c r="AA102" i="34"/>
  <c r="AA107" i="34"/>
  <c r="AA134" i="34"/>
  <c r="AA763" i="34" s="1"/>
  <c r="AA118" i="34"/>
  <c r="AA110" i="34"/>
  <c r="AA744" i="34" s="1"/>
  <c r="AA142" i="34"/>
  <c r="AA805" i="34" s="1"/>
  <c r="AA165" i="34"/>
  <c r="AA156" i="34"/>
  <c r="AA807" i="34" s="1"/>
  <c r="AA135" i="34"/>
  <c r="AA804" i="34" s="1"/>
  <c r="AA111" i="34"/>
  <c r="AA730" i="34" s="1"/>
  <c r="AA178" i="34"/>
  <c r="AA167" i="34"/>
  <c r="AA77" i="34"/>
  <c r="AA752" i="34" s="1"/>
  <c r="AA82" i="34"/>
  <c r="AA97" i="34"/>
  <c r="AA727" i="34" s="1"/>
  <c r="AA89" i="34"/>
  <c r="AA85" i="34"/>
  <c r="AA122" i="34"/>
  <c r="AA114" i="34"/>
  <c r="AA140" i="34"/>
  <c r="AA137" i="34"/>
  <c r="AA151" i="34"/>
  <c r="AA793" i="34" s="1"/>
  <c r="AA169" i="34"/>
  <c r="AA179" i="34"/>
  <c r="AA823" i="34" s="1"/>
  <c r="AA168" i="34"/>
  <c r="AA170" i="34"/>
  <c r="U19" i="38"/>
  <c r="I31" i="33"/>
  <c r="J31" i="33" s="1"/>
  <c r="M31" i="33" s="1"/>
  <c r="AD124" i="34"/>
  <c r="AD761" i="34" s="1"/>
  <c r="AD155" i="34"/>
  <c r="AD820" i="34" s="1"/>
  <c r="AD114" i="34"/>
  <c r="AD801" i="34" s="1"/>
  <c r="AD153" i="34"/>
  <c r="AD168" i="34"/>
  <c r="AD179" i="34"/>
  <c r="AD823" i="34" s="1"/>
  <c r="J14" i="38"/>
  <c r="I14" i="38"/>
  <c r="L17" i="38"/>
  <c r="P17" i="38" s="1"/>
  <c r="N37" i="38"/>
  <c r="P37" i="38" s="1"/>
  <c r="H37" i="38"/>
  <c r="I13" i="38"/>
  <c r="J13" i="38"/>
  <c r="I33" i="38"/>
  <c r="J33" i="38" s="1"/>
  <c r="M33" i="38" s="1"/>
  <c r="O33" i="38"/>
  <c r="P33" i="38" s="1"/>
  <c r="H40" i="33"/>
  <c r="O42" i="33"/>
  <c r="P42" i="33" s="1"/>
  <c r="I42" i="33"/>
  <c r="J42" i="33" s="1"/>
  <c r="M42" i="33" s="1"/>
  <c r="AC111" i="34"/>
  <c r="AC730" i="34" s="1"/>
  <c r="AC120" i="34"/>
  <c r="AC732" i="34" s="1"/>
  <c r="AC134" i="34"/>
  <c r="AC763" i="34" s="1"/>
  <c r="AC168" i="34"/>
  <c r="AC94" i="34"/>
  <c r="AC102" i="34"/>
  <c r="AC131" i="34"/>
  <c r="AC817" i="34" s="1"/>
  <c r="AC167" i="34"/>
  <c r="AC87" i="34"/>
  <c r="AC754" i="34" s="1"/>
  <c r="AC173" i="34"/>
  <c r="O35" i="38"/>
  <c r="P35" i="38" s="1"/>
  <c r="H35" i="38"/>
  <c r="J35" i="38" s="1"/>
  <c r="M35" i="38" s="1"/>
  <c r="O36" i="38"/>
  <c r="P36" i="38" s="1"/>
  <c r="I36" i="38"/>
  <c r="J36" i="38" s="1"/>
  <c r="M36" i="38" s="1"/>
  <c r="I37" i="38"/>
  <c r="I12" i="33"/>
  <c r="J12" i="33"/>
  <c r="J18" i="38"/>
  <c r="I18" i="38"/>
  <c r="P30" i="38"/>
  <c r="J35" i="33" l="1"/>
  <c r="M35" i="33" s="1"/>
  <c r="M16" i="38"/>
  <c r="AB16" i="38" s="1"/>
  <c r="U16" i="38"/>
  <c r="J30" i="38"/>
  <c r="M30" i="38" s="1"/>
  <c r="J42" i="38"/>
  <c r="M42" i="38" s="1"/>
  <c r="J30" i="33"/>
  <c r="M30" i="33" s="1"/>
  <c r="AC692" i="34"/>
  <c r="AC582" i="34"/>
  <c r="AC481" i="34"/>
  <c r="AC438" i="34"/>
  <c r="AC137" i="34"/>
  <c r="AC690" i="34"/>
  <c r="AC673" i="34"/>
  <c r="AC445" i="34"/>
  <c r="AC265" i="34"/>
  <c r="S15" i="38"/>
  <c r="J31" i="38"/>
  <c r="M31" i="38" s="1"/>
  <c r="J36" i="33"/>
  <c r="M36" i="33" s="1"/>
  <c r="AC709" i="34"/>
  <c r="AC603" i="34"/>
  <c r="AC609" i="34"/>
  <c r="AC471" i="34"/>
  <c r="AC155" i="34"/>
  <c r="AC820" i="34" s="1"/>
  <c r="AC86" i="34"/>
  <c r="AC797" i="34" s="1"/>
  <c r="AC159" i="34"/>
  <c r="AC125" i="34"/>
  <c r="AC97" i="34"/>
  <c r="AC727" i="34" s="1"/>
  <c r="AC93" i="34"/>
  <c r="AC152" i="34"/>
  <c r="AC133" i="34"/>
  <c r="AC114" i="34"/>
  <c r="AC759" i="34" s="1"/>
  <c r="AC107" i="34"/>
  <c r="AC796" i="34"/>
  <c r="AE724" i="34"/>
  <c r="AE758" i="34"/>
  <c r="AC100" i="34"/>
  <c r="AC742" i="34" s="1"/>
  <c r="AC693" i="34"/>
  <c r="AC686" i="34"/>
  <c r="AC671" i="34"/>
  <c r="AC703" i="34"/>
  <c r="AC477" i="34"/>
  <c r="AC630" i="34"/>
  <c r="AC569" i="34"/>
  <c r="AC657" i="34"/>
  <c r="AC593" i="34"/>
  <c r="AC640" i="34"/>
  <c r="AC560" i="34"/>
  <c r="AC567" i="34"/>
  <c r="AC367" i="34"/>
  <c r="AC380" i="34"/>
  <c r="AC374" i="34"/>
  <c r="AC228" i="34"/>
  <c r="AE130" i="34"/>
  <c r="AE776" i="34" s="1"/>
  <c r="AE96" i="34"/>
  <c r="AE770" i="34" s="1"/>
  <c r="AE178" i="34"/>
  <c r="AE166" i="34"/>
  <c r="AE124" i="34"/>
  <c r="AE103" i="34"/>
  <c r="AE757" i="34" s="1"/>
  <c r="AE94" i="34"/>
  <c r="AE150" i="34"/>
  <c r="AE160" i="34"/>
  <c r="AE111" i="34"/>
  <c r="AE730" i="34" s="1"/>
  <c r="AE146" i="34"/>
  <c r="AE114" i="34"/>
  <c r="AE801" i="34" s="1"/>
  <c r="AE176" i="34"/>
  <c r="AE90" i="34"/>
  <c r="AE740" i="34" s="1"/>
  <c r="AO16" i="38"/>
  <c r="N18" i="33"/>
  <c r="AC18" i="33" s="1"/>
  <c r="J34" i="33"/>
  <c r="M34" i="33" s="1"/>
  <c r="AC119" i="34"/>
  <c r="AC84" i="34"/>
  <c r="AC148" i="34"/>
  <c r="AC105" i="34"/>
  <c r="AC743" i="34" s="1"/>
  <c r="AC96" i="34"/>
  <c r="AC770" i="34" s="1"/>
  <c r="AC92" i="34"/>
  <c r="AC726" i="34" s="1"/>
  <c r="AC144" i="34"/>
  <c r="AC792" i="34" s="1"/>
  <c r="AC132" i="34"/>
  <c r="AC790" i="34" s="1"/>
  <c r="AC113" i="34"/>
  <c r="AC787" i="34" s="1"/>
  <c r="AC101" i="34"/>
  <c r="AC785" i="34" s="1"/>
  <c r="AC767" i="34"/>
  <c r="AC166" i="34"/>
  <c r="AC668" i="34"/>
  <c r="AC599" i="34"/>
  <c r="AC607" i="34"/>
  <c r="AC687" i="34"/>
  <c r="AC678" i="34"/>
  <c r="AC614" i="34"/>
  <c r="AC521" i="34"/>
  <c r="AC641" i="34"/>
  <c r="AC577" i="34"/>
  <c r="AC608" i="34"/>
  <c r="AC528" i="34"/>
  <c r="AC535" i="34"/>
  <c r="AC526" i="34"/>
  <c r="AC443" i="34"/>
  <c r="AC350" i="34"/>
  <c r="AC195" i="34"/>
  <c r="AE137" i="34"/>
  <c r="AE109" i="34"/>
  <c r="AE179" i="34"/>
  <c r="AE823" i="34" s="1"/>
  <c r="AE163" i="34"/>
  <c r="AE120" i="34"/>
  <c r="AE732" i="34" s="1"/>
  <c r="AE171" i="34"/>
  <c r="AE822" i="34" s="1"/>
  <c r="AE69" i="34"/>
  <c r="AE721" i="34" s="1"/>
  <c r="AE100" i="34"/>
  <c r="AE154" i="34"/>
  <c r="AE113" i="34"/>
  <c r="AE787" i="34" s="1"/>
  <c r="AE88" i="34"/>
  <c r="AE725" i="34" s="1"/>
  <c r="AE121" i="34"/>
  <c r="AE802" i="34" s="1"/>
  <c r="AE101" i="34"/>
  <c r="AE785" i="34" s="1"/>
  <c r="AE79" i="34"/>
  <c r="AC115" i="34"/>
  <c r="AC815" i="34" s="1"/>
  <c r="AC175" i="34"/>
  <c r="AC147" i="34"/>
  <c r="AC819" i="34" s="1"/>
  <c r="AC104" i="34"/>
  <c r="AC95" i="34"/>
  <c r="AC80" i="34"/>
  <c r="AC738" i="34" s="1"/>
  <c r="AC138" i="34"/>
  <c r="AC791" i="34" s="1"/>
  <c r="AC127" i="34"/>
  <c r="AC112" i="34"/>
  <c r="AC179" i="34"/>
  <c r="AC823" i="34" s="1"/>
  <c r="AC70" i="34"/>
  <c r="AC736" i="34" s="1"/>
  <c r="AC583" i="34"/>
  <c r="AC611" i="34"/>
  <c r="AC708" i="34"/>
  <c r="AC493" i="34"/>
  <c r="AC667" i="34"/>
  <c r="AC662" i="34"/>
  <c r="AC598" i="34"/>
  <c r="AC433" i="34"/>
  <c r="AC625" i="34"/>
  <c r="AC533" i="34"/>
  <c r="AC576" i="34"/>
  <c r="AC496" i="34"/>
  <c r="AC503" i="34"/>
  <c r="AC470" i="34"/>
  <c r="AC379" i="34"/>
  <c r="AC250" i="34"/>
  <c r="AE127" i="34"/>
  <c r="AE153" i="34"/>
  <c r="AE81" i="34"/>
  <c r="AE147" i="34"/>
  <c r="AE819" i="34" s="1"/>
  <c r="AE82" i="34"/>
  <c r="AE753" i="34" s="1"/>
  <c r="AE136" i="34"/>
  <c r="AE777" i="34" s="1"/>
  <c r="AE75" i="34"/>
  <c r="AE737" i="34" s="1"/>
  <c r="AE99" i="34"/>
  <c r="AE813" i="34" s="1"/>
  <c r="AE112" i="34"/>
  <c r="AE77" i="34"/>
  <c r="AE752" i="34" s="1"/>
  <c r="AE158" i="34"/>
  <c r="AE110" i="34"/>
  <c r="AE744" i="34" s="1"/>
  <c r="AE135" i="34"/>
  <c r="AE804" i="34" s="1"/>
  <c r="P11" i="33"/>
  <c r="T11" i="33" s="1"/>
  <c r="F11" i="33" s="1"/>
  <c r="W11" i="33" s="1"/>
  <c r="J37" i="33"/>
  <c r="M37" i="33" s="1"/>
  <c r="J38" i="38"/>
  <c r="M38" i="38" s="1"/>
  <c r="AB159" i="34"/>
  <c r="AD162" i="34"/>
  <c r="AD166" i="34"/>
  <c r="AD146" i="34"/>
  <c r="AD177" i="34"/>
  <c r="AD150" i="34"/>
  <c r="AD87" i="34"/>
  <c r="AD754" i="34" s="1"/>
  <c r="AL16" i="38"/>
  <c r="U19" i="33"/>
  <c r="AA783" i="34"/>
  <c r="AD701" i="34"/>
  <c r="AD512" i="34"/>
  <c r="AD696" i="34"/>
  <c r="AD630" i="34"/>
  <c r="AD717" i="34"/>
  <c r="AD561" i="34"/>
  <c r="AD691" i="34"/>
  <c r="AD610" i="34"/>
  <c r="AD685" i="34"/>
  <c r="AD690" i="34"/>
  <c r="AD574" i="34"/>
  <c r="AD661" i="34"/>
  <c r="AD629" i="34"/>
  <c r="AD597" i="34"/>
  <c r="AD548" i="34"/>
  <c r="AD680" i="34"/>
  <c r="AD648" i="34"/>
  <c r="AD616" i="34"/>
  <c r="AD584" i="34"/>
  <c r="AD504" i="34"/>
  <c r="AD655" i="34"/>
  <c r="AD623" i="34"/>
  <c r="AD591" i="34"/>
  <c r="AD532" i="34"/>
  <c r="AD563" i="34"/>
  <c r="AD515" i="34"/>
  <c r="AD416" i="34"/>
  <c r="AD522" i="34"/>
  <c r="AD428" i="34"/>
  <c r="AD505" i="34"/>
  <c r="AD307" i="34"/>
  <c r="AD407" i="34"/>
  <c r="AD466" i="34"/>
  <c r="AD402" i="34"/>
  <c r="AD327" i="34"/>
  <c r="AD417" i="34"/>
  <c r="AD354" i="34"/>
  <c r="AD333" i="34"/>
  <c r="AD332" i="34"/>
  <c r="AD326" i="34"/>
  <c r="AD191" i="34"/>
  <c r="AD260" i="34"/>
  <c r="AD254" i="34"/>
  <c r="AD199" i="34"/>
  <c r="AD184" i="34"/>
  <c r="AD229" i="34"/>
  <c r="J40" i="33"/>
  <c r="M40" i="33" s="1"/>
  <c r="AD130" i="34"/>
  <c r="AD776" i="34" s="1"/>
  <c r="AD164" i="34"/>
  <c r="AD138" i="34"/>
  <c r="AD791" i="34" s="1"/>
  <c r="AD173" i="34"/>
  <c r="AD149" i="34"/>
  <c r="AD806" i="34" s="1"/>
  <c r="AD670" i="34"/>
  <c r="AD716" i="34"/>
  <c r="AD684" i="34"/>
  <c r="AD582" i="34"/>
  <c r="AD678" i="34"/>
  <c r="AD711" i="34"/>
  <c r="AD682" i="34"/>
  <c r="AD544" i="34"/>
  <c r="AD710" i="34"/>
  <c r="AD654" i="34"/>
  <c r="AD681" i="34"/>
  <c r="AD649" i="34"/>
  <c r="AD617" i="34"/>
  <c r="AD585" i="34"/>
  <c r="AD508" i="34"/>
  <c r="AD668" i="34"/>
  <c r="AD636" i="34"/>
  <c r="AD604" i="34"/>
  <c r="AD565" i="34"/>
  <c r="AD468" i="34"/>
  <c r="AD643" i="34"/>
  <c r="AD611" i="34"/>
  <c r="AD579" i="34"/>
  <c r="AD484" i="34"/>
  <c r="AD551" i="34"/>
  <c r="AD499" i="34"/>
  <c r="AD570" i="34"/>
  <c r="AD506" i="34"/>
  <c r="AD331" i="34"/>
  <c r="AD489" i="34"/>
  <c r="AD455" i="34"/>
  <c r="AD391" i="34"/>
  <c r="AD450" i="34"/>
  <c r="AD386" i="34"/>
  <c r="AD465" i="34"/>
  <c r="AD401" i="34"/>
  <c r="AD324" i="34"/>
  <c r="AD303" i="34"/>
  <c r="AD304" i="34"/>
  <c r="AD310" i="34"/>
  <c r="AD313" i="34"/>
  <c r="AD203" i="34"/>
  <c r="AD211" i="34"/>
  <c r="AD236" i="34"/>
  <c r="AD226" i="34"/>
  <c r="AD205" i="34"/>
  <c r="V14" i="33"/>
  <c r="AN14" i="33" s="1"/>
  <c r="P34" i="33"/>
  <c r="N8" i="33"/>
  <c r="AC8" i="33" s="1"/>
  <c r="AD106" i="34"/>
  <c r="AD729" i="34" s="1"/>
  <c r="AD163" i="34"/>
  <c r="AD808" i="34" s="1"/>
  <c r="AD134" i="34"/>
  <c r="AD763" i="34" s="1"/>
  <c r="AD158" i="34"/>
  <c r="AD142" i="34"/>
  <c r="AD805" i="34" s="1"/>
  <c r="AN16" i="38"/>
  <c r="AD666" i="34"/>
  <c r="AD712" i="34"/>
  <c r="AD679" i="34"/>
  <c r="AD572" i="34"/>
  <c r="AD650" i="34"/>
  <c r="AD707" i="34"/>
  <c r="AD674" i="34"/>
  <c r="AD480" i="34"/>
  <c r="AD706" i="34"/>
  <c r="AD638" i="34"/>
  <c r="AD677" i="34"/>
  <c r="AD645" i="34"/>
  <c r="AD613" i="34"/>
  <c r="AD581" i="34"/>
  <c r="AD492" i="34"/>
  <c r="AD664" i="34"/>
  <c r="AD632" i="34"/>
  <c r="AD600" i="34"/>
  <c r="AD557" i="34"/>
  <c r="AD404" i="34"/>
  <c r="AD639" i="34"/>
  <c r="AD607" i="34"/>
  <c r="AD575" i="34"/>
  <c r="AD452" i="34"/>
  <c r="AD547" i="34"/>
  <c r="AD483" i="34"/>
  <c r="AD554" i="34"/>
  <c r="AD490" i="34"/>
  <c r="AD537" i="34"/>
  <c r="AD473" i="34"/>
  <c r="AD439" i="34"/>
  <c r="AD375" i="34"/>
  <c r="AD434" i="34"/>
  <c r="AD370" i="34"/>
  <c r="AD449" i="34"/>
  <c r="AD385" i="34"/>
  <c r="AD365" i="34"/>
  <c r="AD219" i="34"/>
  <c r="AD253" i="34"/>
  <c r="AD293" i="34"/>
  <c r="AD297" i="34"/>
  <c r="AD286" i="34"/>
  <c r="AD267" i="34"/>
  <c r="AD220" i="34"/>
  <c r="AD202" i="34"/>
  <c r="S15" i="33"/>
  <c r="J41" i="33"/>
  <c r="M41" i="33" s="1"/>
  <c r="N11" i="38"/>
  <c r="AC11" i="38" s="1"/>
  <c r="F11" i="38" s="1"/>
  <c r="AE11" i="38" s="1"/>
  <c r="M9" i="33"/>
  <c r="AB9" i="33" s="1"/>
  <c r="S17" i="33"/>
  <c r="U17" i="33"/>
  <c r="AE723" i="34"/>
  <c r="AE92" i="34"/>
  <c r="AE726" i="34" s="1"/>
  <c r="AE140" i="34"/>
  <c r="AE169" i="34"/>
  <c r="AE74" i="34"/>
  <c r="AE157" i="34"/>
  <c r="AE107" i="34"/>
  <c r="AE139" i="34"/>
  <c r="AE818" i="34" s="1"/>
  <c r="AE117" i="34"/>
  <c r="AE95" i="34"/>
  <c r="AE134" i="34"/>
  <c r="AE763" i="34" s="1"/>
  <c r="AE161" i="34"/>
  <c r="AE170" i="34"/>
  <c r="AE129" i="34"/>
  <c r="AE173" i="34"/>
  <c r="AE156" i="34"/>
  <c r="AE807" i="34" s="1"/>
  <c r="AE126" i="34"/>
  <c r="AE789" i="34" s="1"/>
  <c r="AE105" i="34"/>
  <c r="AE743" i="34" s="1"/>
  <c r="AE80" i="34"/>
  <c r="AE738" i="34" s="1"/>
  <c r="AE123" i="34"/>
  <c r="AE816" i="34" s="1"/>
  <c r="AE143" i="34"/>
  <c r="AE175" i="34"/>
  <c r="AE87" i="34"/>
  <c r="AE754" i="34" s="1"/>
  <c r="AE118" i="34"/>
  <c r="AE102" i="34"/>
  <c r="AE728" i="34" s="1"/>
  <c r="AE78" i="34"/>
  <c r="AE151" i="34"/>
  <c r="AE793" i="34" s="1"/>
  <c r="AE116" i="34"/>
  <c r="AE731" i="34" s="1"/>
  <c r="AE61" i="34"/>
  <c r="AE50" i="34"/>
  <c r="AE66" i="34"/>
  <c r="AE52" i="34"/>
  <c r="AE68" i="34"/>
  <c r="AE97" i="34"/>
  <c r="AE727" i="34" s="1"/>
  <c r="AE125" i="34"/>
  <c r="AE733" i="34" s="1"/>
  <c r="AE149" i="34"/>
  <c r="AE806" i="34" s="1"/>
  <c r="AE177" i="34"/>
  <c r="AE144" i="34"/>
  <c r="AE792" i="34" s="1"/>
  <c r="AE93" i="34"/>
  <c r="AE755" i="34" s="1"/>
  <c r="AE152" i="34"/>
  <c r="AE168" i="34"/>
  <c r="AE91" i="34"/>
  <c r="AE769" i="34" s="1"/>
  <c r="AE106" i="34"/>
  <c r="AE729" i="34" s="1"/>
  <c r="AE142" i="34"/>
  <c r="AE805" i="34" s="1"/>
  <c r="AE164" i="34"/>
  <c r="AE119" i="34"/>
  <c r="AE774" i="34" s="1"/>
  <c r="AE162" i="34"/>
  <c r="AE141" i="34"/>
  <c r="AE778" i="34" s="1"/>
  <c r="AE98" i="34"/>
  <c r="AE756" i="34" s="1"/>
  <c r="AE71" i="34"/>
  <c r="AE132" i="34"/>
  <c r="AE790" i="34" s="1"/>
  <c r="AE85" i="34"/>
  <c r="AE768" i="34" s="1"/>
  <c r="AE138" i="34"/>
  <c r="AE791" i="34" s="1"/>
  <c r="AE165" i="34"/>
  <c r="AE172" i="34"/>
  <c r="AE122" i="34"/>
  <c r="AE76" i="34"/>
  <c r="AE781" i="34" s="1"/>
  <c r="AE174" i="34"/>
  <c r="AE148" i="34"/>
  <c r="AE86" i="34"/>
  <c r="AE797" i="34" s="1"/>
  <c r="AE167" i="34"/>
  <c r="AE57" i="34"/>
  <c r="AE63" i="34"/>
  <c r="AE62" i="34"/>
  <c r="AE67" i="34"/>
  <c r="AE64" i="34"/>
  <c r="M17" i="33"/>
  <c r="AB17" i="33" s="1"/>
  <c r="N15" i="33"/>
  <c r="AC15" i="33" s="1"/>
  <c r="AA145" i="34"/>
  <c r="AA162" i="34"/>
  <c r="AA70" i="34"/>
  <c r="AA736" i="34" s="1"/>
  <c r="AA136" i="34"/>
  <c r="AA777" i="34" s="1"/>
  <c r="AA109" i="34"/>
  <c r="AA175" i="34"/>
  <c r="AA78" i="34"/>
  <c r="AA128" i="34"/>
  <c r="AA803" i="34" s="1"/>
  <c r="AA69" i="34"/>
  <c r="AA721" i="34" s="1"/>
  <c r="AA126" i="34"/>
  <c r="AA789" i="34" s="1"/>
  <c r="AA160" i="34"/>
  <c r="AA104" i="34"/>
  <c r="AA155" i="34"/>
  <c r="AA820" i="34" s="1"/>
  <c r="AA84" i="34"/>
  <c r="AA148" i="34"/>
  <c r="AA150" i="34"/>
  <c r="AA119" i="34"/>
  <c r="AA166" i="34"/>
  <c r="AA113" i="34"/>
  <c r="AA65" i="34"/>
  <c r="AA54" i="34"/>
  <c r="AA55" i="34"/>
  <c r="AA60" i="34"/>
  <c r="AA121" i="34"/>
  <c r="AA802" i="34" s="1"/>
  <c r="AA72" i="34"/>
  <c r="AA751" i="34" s="1"/>
  <c r="AA115" i="34"/>
  <c r="AA815" i="34" s="1"/>
  <c r="AA138" i="34"/>
  <c r="AA791" i="34" s="1"/>
  <c r="AA176" i="34"/>
  <c r="AA105" i="34"/>
  <c r="AA743" i="34" s="1"/>
  <c r="AA163" i="34"/>
  <c r="AA96" i="34"/>
  <c r="AA770" i="34" s="1"/>
  <c r="AA159" i="34"/>
  <c r="AA164" i="34"/>
  <c r="AA124" i="34"/>
  <c r="AA116" i="34"/>
  <c r="AA731" i="34" s="1"/>
  <c r="AA90" i="34"/>
  <c r="AA740" i="34" s="1"/>
  <c r="AA132" i="34"/>
  <c r="AA790" i="34" s="1"/>
  <c r="AA172" i="34"/>
  <c r="AA144" i="34"/>
  <c r="AA792" i="34" s="1"/>
  <c r="AA152" i="34"/>
  <c r="AA100" i="34"/>
  <c r="AA61" i="34"/>
  <c r="AA50" i="34"/>
  <c r="AA66" i="34"/>
  <c r="AA56" i="34"/>
  <c r="AA51" i="34"/>
  <c r="AA184" i="34"/>
  <c r="AA200" i="34"/>
  <c r="AA216" i="34"/>
  <c r="AA232" i="34"/>
  <c r="AA181" i="34"/>
  <c r="AA197" i="34"/>
  <c r="AA213" i="34"/>
  <c r="AA229" i="34"/>
  <c r="AA187" i="34"/>
  <c r="AA203" i="34"/>
  <c r="AA219" i="34"/>
  <c r="AA235" i="34"/>
  <c r="AA190" i="34"/>
  <c r="AA241" i="34"/>
  <c r="AA262" i="34"/>
  <c r="AA278" i="34"/>
  <c r="AA234" i="34"/>
  <c r="AA257" i="34"/>
  <c r="AA273" i="34"/>
  <c r="AA289" i="34"/>
  <c r="AA210" i="34"/>
  <c r="AA275" i="34"/>
  <c r="AA300" i="34"/>
  <c r="N14" i="33"/>
  <c r="AC14" i="33" s="1"/>
  <c r="J34" i="38"/>
  <c r="M34" i="38" s="1"/>
  <c r="J33" i="33"/>
  <c r="M33" i="33" s="1"/>
  <c r="J40" i="38"/>
  <c r="M40" i="38" s="1"/>
  <c r="AD136" i="34"/>
  <c r="AD777" i="34" s="1"/>
  <c r="AD171" i="34"/>
  <c r="AD822" i="34" s="1"/>
  <c r="AD75" i="34"/>
  <c r="AD737" i="34" s="1"/>
  <c r="AD89" i="34"/>
  <c r="AD84" i="34"/>
  <c r="AD92" i="34"/>
  <c r="AD726" i="34" s="1"/>
  <c r="AD73" i="34"/>
  <c r="AD111" i="34"/>
  <c r="AD730" i="34" s="1"/>
  <c r="AD94" i="34"/>
  <c r="AD112" i="34"/>
  <c r="AD101" i="34"/>
  <c r="AD785" i="34" s="1"/>
  <c r="AD118" i="34"/>
  <c r="AD132" i="34"/>
  <c r="AD790" i="34" s="1"/>
  <c r="AD98" i="34"/>
  <c r="AD756" i="34" s="1"/>
  <c r="AD133" i="34"/>
  <c r="AD147" i="34"/>
  <c r="AD819" i="34" s="1"/>
  <c r="AD99" i="34"/>
  <c r="AD813" i="34" s="1"/>
  <c r="AD131" i="34"/>
  <c r="AD817" i="34" s="1"/>
  <c r="AD159" i="34"/>
  <c r="AD109" i="34"/>
  <c r="AD140" i="34"/>
  <c r="AD160" i="34"/>
  <c r="AD174" i="34"/>
  <c r="AD79" i="34"/>
  <c r="AD72" i="34"/>
  <c r="AD751" i="34" s="1"/>
  <c r="AD86" i="34"/>
  <c r="AD797" i="34" s="1"/>
  <c r="AD96" i="34"/>
  <c r="AD770" i="34" s="1"/>
  <c r="AD77" i="34"/>
  <c r="AD752" i="34" s="1"/>
  <c r="AD70" i="34"/>
  <c r="AD736" i="34" s="1"/>
  <c r="AD95" i="34"/>
  <c r="AD116" i="34"/>
  <c r="AD731" i="34" s="1"/>
  <c r="AD105" i="34"/>
  <c r="AD743" i="34" s="1"/>
  <c r="AD119" i="34"/>
  <c r="AD88" i="34"/>
  <c r="AD102" i="34"/>
  <c r="AD135" i="34"/>
  <c r="AD804" i="34" s="1"/>
  <c r="AD148" i="34"/>
  <c r="AD115" i="34"/>
  <c r="AD815" i="34" s="1"/>
  <c r="AD144" i="34"/>
  <c r="AD792" i="34" s="1"/>
  <c r="AD169" i="34"/>
  <c r="AD123" i="34"/>
  <c r="AD816" i="34" s="1"/>
  <c r="AD145" i="34"/>
  <c r="AD165" i="34"/>
  <c r="AD176" i="34"/>
  <c r="AD167" i="34"/>
  <c r="AD178" i="34"/>
  <c r="AD104" i="34"/>
  <c r="AD82" i="34"/>
  <c r="AD157" i="34"/>
  <c r="AD100" i="34"/>
  <c r="AD121" i="34"/>
  <c r="AD802" i="34" s="1"/>
  <c r="AD125" i="34"/>
  <c r="AD152" i="34"/>
  <c r="AD175" i="34"/>
  <c r="AD126" i="34"/>
  <c r="AD789" i="34" s="1"/>
  <c r="AD151" i="34"/>
  <c r="AD793" i="34" s="1"/>
  <c r="AD170" i="34"/>
  <c r="AD141" i="34"/>
  <c r="AD778" i="34" s="1"/>
  <c r="AD161" i="34"/>
  <c r="AD71" i="34"/>
  <c r="AD85" i="34"/>
  <c r="AD80" i="34"/>
  <c r="AD738" i="34" s="1"/>
  <c r="AD90" i="34"/>
  <c r="AD740" i="34" s="1"/>
  <c r="AD69" i="34"/>
  <c r="AD721" i="34" s="1"/>
  <c r="AD107" i="34"/>
  <c r="AD78" i="34"/>
  <c r="AD108" i="34"/>
  <c r="AD122" i="34"/>
  <c r="AD117" i="34"/>
  <c r="AD128" i="34"/>
  <c r="AD803" i="34" s="1"/>
  <c r="AD93" i="34"/>
  <c r="AD129" i="34"/>
  <c r="AD143" i="34"/>
  <c r="AD127" i="34"/>
  <c r="AD154" i="34"/>
  <c r="AD103" i="34"/>
  <c r="AD757" i="34" s="1"/>
  <c r="AD137" i="34"/>
  <c r="AD156" i="34"/>
  <c r="AD807" i="34" s="1"/>
  <c r="AD172" i="34"/>
  <c r="AD81" i="34"/>
  <c r="AD76" i="34"/>
  <c r="AD781" i="34" s="1"/>
  <c r="AD83" i="34"/>
  <c r="AD97" i="34"/>
  <c r="AD727" i="34" s="1"/>
  <c r="AD74" i="34"/>
  <c r="AD120" i="34"/>
  <c r="AD732" i="34" s="1"/>
  <c r="AD113" i="34"/>
  <c r="AD91" i="34"/>
  <c r="AD110" i="34"/>
  <c r="AD744" i="34" s="1"/>
  <c r="AD139" i="34"/>
  <c r="AD818" i="34" s="1"/>
  <c r="AD62" i="34"/>
  <c r="AD51" i="34"/>
  <c r="AD67" i="34"/>
  <c r="AD53" i="34"/>
  <c r="AD54" i="34"/>
  <c r="AD60" i="34"/>
  <c r="AD59" i="34"/>
  <c r="AD56" i="34"/>
  <c r="AD61" i="34"/>
  <c r="AD58" i="34"/>
  <c r="AD68" i="34"/>
  <c r="AD63" i="34"/>
  <c r="AD64" i="34"/>
  <c r="AD65" i="34"/>
  <c r="AD50" i="34"/>
  <c r="AD57" i="34"/>
  <c r="AD55" i="34"/>
  <c r="AD52" i="34"/>
  <c r="AD193" i="34"/>
  <c r="AD209" i="34"/>
  <c r="AD225" i="34"/>
  <c r="AD241" i="34"/>
  <c r="AD190" i="34"/>
  <c r="AD206" i="34"/>
  <c r="AD222" i="34"/>
  <c r="AD238" i="34"/>
  <c r="AD192" i="34"/>
  <c r="AD66" i="34"/>
  <c r="AD181" i="34"/>
  <c r="AD201" i="34"/>
  <c r="AD221" i="34"/>
  <c r="AD245" i="34"/>
  <c r="AD198" i="34"/>
  <c r="AD218" i="34"/>
  <c r="AD180" i="34"/>
  <c r="AD200" i="34"/>
  <c r="AD216" i="34"/>
  <c r="AD232" i="34"/>
  <c r="AD183" i="34"/>
  <c r="AD242" i="34"/>
  <c r="AD263" i="34"/>
  <c r="AD195" i="34"/>
  <c r="AD250" i="34"/>
  <c r="AD266" i="34"/>
  <c r="AD282" i="34"/>
  <c r="AD207" i="34"/>
  <c r="AD252" i="34"/>
  <c r="AD279" i="34"/>
  <c r="AD296" i="34"/>
  <c r="AD309" i="34"/>
  <c r="AD325" i="34"/>
  <c r="AD257" i="34"/>
  <c r="AD292" i="34"/>
  <c r="AD306" i="34"/>
  <c r="AD322" i="34"/>
  <c r="AD272" i="34"/>
  <c r="AD246" i="34"/>
  <c r="AD285" i="34"/>
  <c r="AD328" i="34"/>
  <c r="AD344" i="34"/>
  <c r="AD360" i="34"/>
  <c r="AD288" i="34"/>
  <c r="AD329" i="34"/>
  <c r="AD345" i="34"/>
  <c r="AD361" i="34"/>
  <c r="AD308" i="34"/>
  <c r="AD346" i="34"/>
  <c r="AD368" i="34"/>
  <c r="AD381" i="34"/>
  <c r="AD397" i="34"/>
  <c r="AD413" i="34"/>
  <c r="AD429" i="34"/>
  <c r="AD445" i="34"/>
  <c r="AD461" i="34"/>
  <c r="AD315" i="34"/>
  <c r="AD351" i="34"/>
  <c r="AD364" i="34"/>
  <c r="AD382" i="34"/>
  <c r="AD398" i="34"/>
  <c r="AD414" i="34"/>
  <c r="AD430" i="34"/>
  <c r="AD446" i="34"/>
  <c r="AD462" i="34"/>
  <c r="AD334" i="34"/>
  <c r="AD371" i="34"/>
  <c r="AD387" i="34"/>
  <c r="AD403" i="34"/>
  <c r="AD419" i="34"/>
  <c r="AD435" i="34"/>
  <c r="AD451" i="34"/>
  <c r="AD467" i="34"/>
  <c r="AD392" i="34"/>
  <c r="AD456" i="34"/>
  <c r="AD485" i="34"/>
  <c r="AD501" i="34"/>
  <c r="AD517" i="34"/>
  <c r="AD533" i="34"/>
  <c r="AD323" i="34"/>
  <c r="AD412" i="34"/>
  <c r="AD470" i="34"/>
  <c r="AD486" i="34"/>
  <c r="AD502" i="34"/>
  <c r="AD518" i="34"/>
  <c r="AD534" i="34"/>
  <c r="AD550" i="34"/>
  <c r="AD566" i="34"/>
  <c r="AD400" i="34"/>
  <c r="AD464" i="34"/>
  <c r="AD479" i="34"/>
  <c r="AD495" i="34"/>
  <c r="AD511" i="34"/>
  <c r="AD527" i="34"/>
  <c r="AD543" i="34"/>
  <c r="AD559" i="34"/>
  <c r="AD388" i="34"/>
  <c r="AD516" i="34"/>
  <c r="AD568" i="34"/>
  <c r="AD587" i="34"/>
  <c r="AD603" i="34"/>
  <c r="AD619" i="34"/>
  <c r="AD635" i="34"/>
  <c r="AD651" i="34"/>
  <c r="AD667" i="34"/>
  <c r="AD488" i="34"/>
  <c r="AD549" i="34"/>
  <c r="AD580" i="34"/>
  <c r="AD596" i="34"/>
  <c r="AD612" i="34"/>
  <c r="AD628" i="34"/>
  <c r="AD644" i="34"/>
  <c r="AD660" i="34"/>
  <c r="AD676" i="34"/>
  <c r="AD476" i="34"/>
  <c r="AD540" i="34"/>
  <c r="AD577" i="34"/>
  <c r="AD593" i="34"/>
  <c r="AD609" i="34"/>
  <c r="AD625" i="34"/>
  <c r="AD641" i="34"/>
  <c r="AD657" i="34"/>
  <c r="AD673" i="34"/>
  <c r="AD569" i="34"/>
  <c r="AD622" i="34"/>
  <c r="AD686" i="34"/>
  <c r="AD702" i="34"/>
  <c r="AD718" i="34"/>
  <c r="AD709" i="34"/>
  <c r="AD594" i="34"/>
  <c r="AD658" i="34"/>
  <c r="AD687" i="34"/>
  <c r="AD703" i="34"/>
  <c r="AD436" i="34"/>
  <c r="AD618" i="34"/>
  <c r="AD713" i="34"/>
  <c r="AD553" i="34"/>
  <c r="AD614" i="34"/>
  <c r="AD671" i="34"/>
  <c r="AD692" i="34"/>
  <c r="AD708" i="34"/>
  <c r="AD602" i="34"/>
  <c r="AD693" i="34"/>
  <c r="AD189" i="34"/>
  <c r="AD213" i="34"/>
  <c r="AD233" i="34"/>
  <c r="AD186" i="34"/>
  <c r="AD210" i="34"/>
  <c r="AD230" i="34"/>
  <c r="AD188" i="34"/>
  <c r="AD208" i="34"/>
  <c r="AD224" i="34"/>
  <c r="AD240" i="34"/>
  <c r="AD215" i="34"/>
  <c r="AD255" i="34"/>
  <c r="AD271" i="34"/>
  <c r="AD227" i="34"/>
  <c r="AD258" i="34"/>
  <c r="AD274" i="34"/>
  <c r="AD290" i="34"/>
  <c r="AD235" i="34"/>
  <c r="AD268" i="34"/>
  <c r="AD281" i="34"/>
  <c r="AD301" i="34"/>
  <c r="AD317" i="34"/>
  <c r="AD223" i="34"/>
  <c r="AD273" i="34"/>
  <c r="AD298" i="34"/>
  <c r="AD314" i="34"/>
  <c r="AD187" i="34"/>
  <c r="AD289" i="34"/>
  <c r="AD269" i="34"/>
  <c r="AD312" i="34"/>
  <c r="AD336" i="34"/>
  <c r="AD352" i="34"/>
  <c r="AD248" i="34"/>
  <c r="AD311" i="34"/>
  <c r="AD337" i="34"/>
  <c r="AD353" i="34"/>
  <c r="AD261" i="34"/>
  <c r="AD330" i="34"/>
  <c r="AD366" i="34"/>
  <c r="AD373" i="34"/>
  <c r="AD389" i="34"/>
  <c r="AD405" i="34"/>
  <c r="AD421" i="34"/>
  <c r="AD437" i="34"/>
  <c r="AD453" i="34"/>
  <c r="AD277" i="34"/>
  <c r="AD335" i="34"/>
  <c r="AD362" i="34"/>
  <c r="AD374" i="34"/>
  <c r="AD390" i="34"/>
  <c r="AD406" i="34"/>
  <c r="AD422" i="34"/>
  <c r="AD438" i="34"/>
  <c r="AD454" i="34"/>
  <c r="AD300" i="34"/>
  <c r="AD350" i="34"/>
  <c r="AD379" i="34"/>
  <c r="AD395" i="34"/>
  <c r="AD411" i="34"/>
  <c r="AD427" i="34"/>
  <c r="AD443" i="34"/>
  <c r="AD459" i="34"/>
  <c r="AD355" i="34"/>
  <c r="AD424" i="34"/>
  <c r="AD477" i="34"/>
  <c r="AD493" i="34"/>
  <c r="AD509" i="34"/>
  <c r="AD525" i="34"/>
  <c r="AD541" i="34"/>
  <c r="AD380" i="34"/>
  <c r="AD444" i="34"/>
  <c r="AD478" i="34"/>
  <c r="AD494" i="34"/>
  <c r="AD510" i="34"/>
  <c r="AD526" i="34"/>
  <c r="AD542" i="34"/>
  <c r="AD558" i="34"/>
  <c r="AD339" i="34"/>
  <c r="AD432" i="34"/>
  <c r="AD471" i="34"/>
  <c r="AD487" i="34"/>
  <c r="AD503" i="34"/>
  <c r="AD519" i="34"/>
  <c r="AD535" i="34"/>
  <c r="AD197" i="34"/>
  <c r="AD217" i="34"/>
  <c r="AD237" i="34"/>
  <c r="AD194" i="34"/>
  <c r="AD214" i="34"/>
  <c r="AD234" i="34"/>
  <c r="AD196" i="34"/>
  <c r="AD212" i="34"/>
  <c r="AD228" i="34"/>
  <c r="AD244" i="34"/>
  <c r="AD231" i="34"/>
  <c r="AD259" i="34"/>
  <c r="AD275" i="34"/>
  <c r="AD243" i="34"/>
  <c r="AD262" i="34"/>
  <c r="AD278" i="34"/>
  <c r="AD294" i="34"/>
  <c r="AD247" i="34"/>
  <c r="AD276" i="34"/>
  <c r="AD295" i="34"/>
  <c r="AD305" i="34"/>
  <c r="AD321" i="34"/>
  <c r="AD249" i="34"/>
  <c r="AD291" i="34"/>
  <c r="AD302" i="34"/>
  <c r="AD318" i="34"/>
  <c r="AD256" i="34"/>
  <c r="AD239" i="34"/>
  <c r="AD283" i="34"/>
  <c r="AD320" i="34"/>
  <c r="AD340" i="34"/>
  <c r="AD356" i="34"/>
  <c r="AD264" i="34"/>
  <c r="AD319" i="34"/>
  <c r="AD341" i="34"/>
  <c r="AD357" i="34"/>
  <c r="AD284" i="34"/>
  <c r="AD338" i="34"/>
  <c r="AD367" i="34"/>
  <c r="AD377" i="34"/>
  <c r="AD393" i="34"/>
  <c r="AD409" i="34"/>
  <c r="AD425" i="34"/>
  <c r="AD441" i="34"/>
  <c r="AD457" i="34"/>
  <c r="AD299" i="34"/>
  <c r="AD343" i="34"/>
  <c r="AD363" i="34"/>
  <c r="AD378" i="34"/>
  <c r="AD394" i="34"/>
  <c r="AD410" i="34"/>
  <c r="AD426" i="34"/>
  <c r="AD442" i="34"/>
  <c r="AD458" i="34"/>
  <c r="AD316" i="34"/>
  <c r="AD358" i="34"/>
  <c r="AD383" i="34"/>
  <c r="AD399" i="34"/>
  <c r="AD415" i="34"/>
  <c r="AD431" i="34"/>
  <c r="AD447" i="34"/>
  <c r="AD463" i="34"/>
  <c r="AD376" i="34"/>
  <c r="AD440" i="34"/>
  <c r="AD481" i="34"/>
  <c r="AD497" i="34"/>
  <c r="AD513" i="34"/>
  <c r="AD529" i="34"/>
  <c r="AD545" i="34"/>
  <c r="AD396" i="34"/>
  <c r="AD460" i="34"/>
  <c r="AD482" i="34"/>
  <c r="AD498" i="34"/>
  <c r="AD514" i="34"/>
  <c r="AD530" i="34"/>
  <c r="AD546" i="34"/>
  <c r="AD562" i="34"/>
  <c r="AD384" i="34"/>
  <c r="AD448" i="34"/>
  <c r="AD475" i="34"/>
  <c r="AD491" i="34"/>
  <c r="AD507" i="34"/>
  <c r="AD523" i="34"/>
  <c r="AD539" i="34"/>
  <c r="AD555" i="34"/>
  <c r="AD571" i="34"/>
  <c r="AD500" i="34"/>
  <c r="AD560" i="34"/>
  <c r="AD583" i="34"/>
  <c r="AD599" i="34"/>
  <c r="AD615" i="34"/>
  <c r="AD631" i="34"/>
  <c r="AD647" i="34"/>
  <c r="AD663" i="34"/>
  <c r="AD472" i="34"/>
  <c r="AD536" i="34"/>
  <c r="AD576" i="34"/>
  <c r="AD592" i="34"/>
  <c r="AD608" i="34"/>
  <c r="AD624" i="34"/>
  <c r="AD640" i="34"/>
  <c r="AD656" i="34"/>
  <c r="AD672" i="34"/>
  <c r="AD420" i="34"/>
  <c r="AD524" i="34"/>
  <c r="AD564" i="34"/>
  <c r="AD589" i="34"/>
  <c r="AD605" i="34"/>
  <c r="AD621" i="34"/>
  <c r="AD637" i="34"/>
  <c r="AD653" i="34"/>
  <c r="AD669" i="34"/>
  <c r="AD528" i="34"/>
  <c r="AD606" i="34"/>
  <c r="AD675" i="34"/>
  <c r="AD698" i="34"/>
  <c r="AD714" i="34"/>
  <c r="AD705" i="34"/>
  <c r="AD578" i="34"/>
  <c r="AD642" i="34"/>
  <c r="AD683" i="34"/>
  <c r="AD699" i="34"/>
  <c r="AD715" i="34"/>
  <c r="AD586" i="34"/>
  <c r="AD689" i="34"/>
  <c r="AD496" i="34"/>
  <c r="AD598" i="34"/>
  <c r="AD662" i="34"/>
  <c r="AD688" i="34"/>
  <c r="AD704" i="34"/>
  <c r="N19" i="38"/>
  <c r="AC19" i="38" s="1"/>
  <c r="P19" i="38"/>
  <c r="AC130" i="34"/>
  <c r="AC776" i="34" s="1"/>
  <c r="AC89" i="34"/>
  <c r="AC164" i="34"/>
  <c r="AC139" i="34"/>
  <c r="AC818" i="34" s="1"/>
  <c r="AC143" i="34"/>
  <c r="AC186" i="34"/>
  <c r="AC218" i="34"/>
  <c r="AC183" i="34"/>
  <c r="AC215" i="34"/>
  <c r="AC185" i="34"/>
  <c r="AC217" i="34"/>
  <c r="AC180" i="34"/>
  <c r="AC260" i="34"/>
  <c r="AC240" i="34"/>
  <c r="AC279" i="34"/>
  <c r="AC244" i="34"/>
  <c r="AC298" i="34"/>
  <c r="AC204" i="34"/>
  <c r="AC290" i="34"/>
  <c r="AC253" i="34"/>
  <c r="AC309" i="34"/>
  <c r="AC349" i="34"/>
  <c r="AC284" i="34"/>
  <c r="AC338" i="34"/>
  <c r="AC274" i="34"/>
  <c r="AC363" i="34"/>
  <c r="AC390" i="34"/>
  <c r="AC422" i="34"/>
  <c r="AC454" i="34"/>
  <c r="AC348" i="34"/>
  <c r="AC395" i="34"/>
  <c r="AC427" i="34"/>
  <c r="AC459" i="34"/>
  <c r="AC347" i="34"/>
  <c r="AC396" i="34"/>
  <c r="AC428" i="34"/>
  <c r="AC460" i="34"/>
  <c r="AC405" i="34"/>
  <c r="AC486" i="34"/>
  <c r="AC518" i="34"/>
  <c r="AC534" i="34"/>
  <c r="AC258" i="34"/>
  <c r="AC393" i="34"/>
  <c r="AC457" i="34"/>
  <c r="AC479" i="34"/>
  <c r="AC495" i="34"/>
  <c r="AC511" i="34"/>
  <c r="AC527" i="34"/>
  <c r="AC543" i="34"/>
  <c r="AC559" i="34"/>
  <c r="AC352" i="34"/>
  <c r="AC413" i="34"/>
  <c r="AC472" i="34"/>
  <c r="AC488" i="34"/>
  <c r="AC504" i="34"/>
  <c r="AC520" i="34"/>
  <c r="AC536" i="34"/>
  <c r="AC552" i="34"/>
  <c r="AC568" i="34"/>
  <c r="AC401" i="34"/>
  <c r="AC513" i="34"/>
  <c r="AC557" i="34"/>
  <c r="AC584" i="34"/>
  <c r="AC600" i="34"/>
  <c r="AC616" i="34"/>
  <c r="AC632" i="34"/>
  <c r="AC648" i="34"/>
  <c r="AC56" i="34"/>
  <c r="AC135" i="34"/>
  <c r="AC804" i="34" s="1"/>
  <c r="AC150" i="34"/>
  <c r="AC202" i="34"/>
  <c r="AC234" i="34"/>
  <c r="AC199" i="34"/>
  <c r="AC231" i="34"/>
  <c r="AC201" i="34"/>
  <c r="AC233" i="34"/>
  <c r="AC247" i="34"/>
  <c r="AC276" i="34"/>
  <c r="AC263" i="34"/>
  <c r="AC295" i="34"/>
  <c r="AC273" i="34"/>
  <c r="AC314" i="34"/>
  <c r="AC270" i="34"/>
  <c r="AC311" i="34"/>
  <c r="AC266" i="34"/>
  <c r="AC333" i="34"/>
  <c r="AC200" i="34"/>
  <c r="AC316" i="34"/>
  <c r="AC354" i="34"/>
  <c r="AC76" i="34"/>
  <c r="AC781" i="34" s="1"/>
  <c r="AC108" i="34"/>
  <c r="AC772" i="34" s="1"/>
  <c r="AC176" i="34"/>
  <c r="AC182" i="34"/>
  <c r="AC214" i="34"/>
  <c r="AC246" i="34"/>
  <c r="AC211" i="34"/>
  <c r="AC181" i="34"/>
  <c r="AC213" i="34"/>
  <c r="AC245" i="34"/>
  <c r="AC256" i="34"/>
  <c r="AC224" i="34"/>
  <c r="AC275" i="34"/>
  <c r="AC216" i="34"/>
  <c r="AC294" i="34"/>
  <c r="AC326" i="34"/>
  <c r="AC289" i="34"/>
  <c r="AC323" i="34"/>
  <c r="AC301" i="34"/>
  <c r="AC345" i="34"/>
  <c r="AC277" i="34"/>
  <c r="AC334" i="34"/>
  <c r="AC366" i="34"/>
  <c r="AC359" i="34"/>
  <c r="AC386" i="34"/>
  <c r="AC418" i="34"/>
  <c r="AC450" i="34"/>
  <c r="AC340" i="34"/>
  <c r="AC391" i="34"/>
  <c r="AC423" i="34"/>
  <c r="AC455" i="34"/>
  <c r="AC339" i="34"/>
  <c r="AC392" i="34"/>
  <c r="AC424" i="34"/>
  <c r="AC456" i="34"/>
  <c r="AC389" i="34"/>
  <c r="AC482" i="34"/>
  <c r="AC514" i="34"/>
  <c r="AC530" i="34"/>
  <c r="AC546" i="34"/>
  <c r="AC377" i="34"/>
  <c r="AC441" i="34"/>
  <c r="AC475" i="34"/>
  <c r="AC491" i="34"/>
  <c r="AC507" i="34"/>
  <c r="AC523" i="34"/>
  <c r="AC539" i="34"/>
  <c r="AC555" i="34"/>
  <c r="AC571" i="34"/>
  <c r="AC397" i="34"/>
  <c r="AC461" i="34"/>
  <c r="AC484" i="34"/>
  <c r="AC500" i="34"/>
  <c r="AC516" i="34"/>
  <c r="AC532" i="34"/>
  <c r="AC548" i="34"/>
  <c r="AC564" i="34"/>
  <c r="AC360" i="34"/>
  <c r="AC497" i="34"/>
  <c r="AC549" i="34"/>
  <c r="AC580" i="34"/>
  <c r="AC596" i="34"/>
  <c r="AC612" i="34"/>
  <c r="AC628" i="34"/>
  <c r="AC644" i="34"/>
  <c r="AC660" i="34"/>
  <c r="AC485" i="34"/>
  <c r="AC91" i="34"/>
  <c r="AC812" i="34" s="1"/>
  <c r="AC230" i="34"/>
  <c r="AC229" i="34"/>
  <c r="AC291" i="34"/>
  <c r="AC307" i="34"/>
  <c r="AC308" i="34"/>
  <c r="AC370" i="34"/>
  <c r="AC434" i="34"/>
  <c r="AC375" i="34"/>
  <c r="AC439" i="34"/>
  <c r="AC376" i="34"/>
  <c r="AC440" i="34"/>
  <c r="AC453" i="34"/>
  <c r="AC522" i="34"/>
  <c r="AC344" i="34"/>
  <c r="AC469" i="34"/>
  <c r="AC499" i="34"/>
  <c r="AC531" i="34"/>
  <c r="AC563" i="34"/>
  <c r="AC429" i="34"/>
  <c r="AC492" i="34"/>
  <c r="AC524" i="34"/>
  <c r="AC556" i="34"/>
  <c r="AC465" i="34"/>
  <c r="AC565" i="34"/>
  <c r="AC604" i="34"/>
  <c r="AC636" i="34"/>
  <c r="AC664" i="34"/>
  <c r="AC517" i="34"/>
  <c r="AC570" i="34"/>
  <c r="AC589" i="34"/>
  <c r="AC605" i="34"/>
  <c r="AC621" i="34"/>
  <c r="AC637" i="34"/>
  <c r="AC653" i="34"/>
  <c r="AC669" i="34"/>
  <c r="AC369" i="34"/>
  <c r="AC505" i="34"/>
  <c r="AC561" i="34"/>
  <c r="AC578" i="34"/>
  <c r="AC594" i="34"/>
  <c r="AC610" i="34"/>
  <c r="AC626" i="34"/>
  <c r="AC642" i="34"/>
  <c r="AC658" i="34"/>
  <c r="AC674" i="34"/>
  <c r="AC449" i="34"/>
  <c r="AC587" i="34"/>
  <c r="AC651" i="34"/>
  <c r="AC683" i="34"/>
  <c r="AC699" i="34"/>
  <c r="AC715" i="34"/>
  <c r="AC718" i="34"/>
  <c r="AC591" i="34"/>
  <c r="AC655" i="34"/>
  <c r="AC688" i="34"/>
  <c r="AC704" i="34"/>
  <c r="AC525" i="34"/>
  <c r="AC675" i="34"/>
  <c r="AC706" i="34"/>
  <c r="AC595" i="34"/>
  <c r="AC659" i="34"/>
  <c r="AC689" i="34"/>
  <c r="AC705" i="34"/>
  <c r="AC385" i="34"/>
  <c r="AC710" i="34"/>
  <c r="AC117" i="34"/>
  <c r="AC129" i="34"/>
  <c r="AC145" i="34"/>
  <c r="AC77" i="34"/>
  <c r="AC752" i="34" s="1"/>
  <c r="AC88" i="34"/>
  <c r="AC725" i="34" s="1"/>
  <c r="AC171" i="34"/>
  <c r="AC822" i="34" s="1"/>
  <c r="AC227" i="34"/>
  <c r="AC272" i="34"/>
  <c r="AC310" i="34"/>
  <c r="AC329" i="34"/>
  <c r="AC327" i="34"/>
  <c r="AC402" i="34"/>
  <c r="AC466" i="34"/>
  <c r="AC407" i="34"/>
  <c r="AC280" i="34"/>
  <c r="AC408" i="34"/>
  <c r="AC243" i="34"/>
  <c r="AC498" i="34"/>
  <c r="AC538" i="34"/>
  <c r="AC409" i="34"/>
  <c r="AC483" i="34"/>
  <c r="AC515" i="34"/>
  <c r="AC547" i="34"/>
  <c r="AC368" i="34"/>
  <c r="AC476" i="34"/>
  <c r="AC508" i="34"/>
  <c r="AC540" i="34"/>
  <c r="AC572" i="34"/>
  <c r="AC529" i="34"/>
  <c r="AC588" i="34"/>
  <c r="AC620" i="34"/>
  <c r="AC652" i="34"/>
  <c r="AC417" i="34"/>
  <c r="AC554" i="34"/>
  <c r="AC581" i="34"/>
  <c r="AC597" i="34"/>
  <c r="AC613" i="34"/>
  <c r="AC629" i="34"/>
  <c r="AC645" i="34"/>
  <c r="AC661" i="34"/>
  <c r="AC677" i="34"/>
  <c r="AC473" i="34"/>
  <c r="AC537" i="34"/>
  <c r="AC573" i="34"/>
  <c r="AC586" i="34"/>
  <c r="AC602" i="34"/>
  <c r="AC618" i="34"/>
  <c r="AC634" i="34"/>
  <c r="AC650" i="34"/>
  <c r="AC666" i="34"/>
  <c r="AC682" i="34"/>
  <c r="AC541" i="34"/>
  <c r="AC619" i="34"/>
  <c r="AC672" i="34"/>
  <c r="AC691" i="34"/>
  <c r="AC707" i="34"/>
  <c r="AC702" i="34"/>
  <c r="AC558" i="34"/>
  <c r="AC623" i="34"/>
  <c r="AC679" i="34"/>
  <c r="AC696" i="34"/>
  <c r="AC712" i="34"/>
  <c r="AC631" i="34"/>
  <c r="AC694" i="34"/>
  <c r="AC566" i="34"/>
  <c r="AC627" i="34"/>
  <c r="AC676" i="34"/>
  <c r="AC697" i="34"/>
  <c r="AC713" i="34"/>
  <c r="AC615" i="34"/>
  <c r="AC153" i="34"/>
  <c r="AC174" i="34"/>
  <c r="AC122" i="34"/>
  <c r="AC123" i="34"/>
  <c r="AC816" i="34" s="1"/>
  <c r="AC198" i="34"/>
  <c r="AC197" i="34"/>
  <c r="AC259" i="34"/>
  <c r="AC262" i="34"/>
  <c r="AC361" i="34"/>
  <c r="AC335" i="34"/>
  <c r="AC406" i="34"/>
  <c r="AC220" i="34"/>
  <c r="AC411" i="34"/>
  <c r="AC297" i="34"/>
  <c r="AC412" i="34"/>
  <c r="AC320" i="34"/>
  <c r="AC502" i="34"/>
  <c r="AC542" i="34"/>
  <c r="AC425" i="34"/>
  <c r="AC487" i="34"/>
  <c r="AC519" i="34"/>
  <c r="AC551" i="34"/>
  <c r="AC381" i="34"/>
  <c r="AC480" i="34"/>
  <c r="AC512" i="34"/>
  <c r="AC544" i="34"/>
  <c r="AC282" i="34"/>
  <c r="AC545" i="34"/>
  <c r="AC592" i="34"/>
  <c r="AC624" i="34"/>
  <c r="AC656" i="34"/>
  <c r="AC501" i="34"/>
  <c r="AC562" i="34"/>
  <c r="AC585" i="34"/>
  <c r="AC601" i="34"/>
  <c r="AC617" i="34"/>
  <c r="AC633" i="34"/>
  <c r="AC649" i="34"/>
  <c r="AC665" i="34"/>
  <c r="AC681" i="34"/>
  <c r="AC489" i="34"/>
  <c r="AC553" i="34"/>
  <c r="AC574" i="34"/>
  <c r="AC590" i="34"/>
  <c r="AC606" i="34"/>
  <c r="AC622" i="34"/>
  <c r="AC638" i="34"/>
  <c r="AC654" i="34"/>
  <c r="AC670" i="34"/>
  <c r="AC328" i="34"/>
  <c r="AC550" i="34"/>
  <c r="AC635" i="34"/>
  <c r="AC680" i="34"/>
  <c r="AC695" i="34"/>
  <c r="AC711" i="34"/>
  <c r="AC714" i="34"/>
  <c r="AC575" i="34"/>
  <c r="AC639" i="34"/>
  <c r="AC684" i="34"/>
  <c r="AC700" i="34"/>
  <c r="AC716" i="34"/>
  <c r="AC663" i="34"/>
  <c r="AC698" i="34"/>
  <c r="AC579" i="34"/>
  <c r="AC643" i="34"/>
  <c r="AC685" i="34"/>
  <c r="AC701" i="34"/>
  <c r="AC717" i="34"/>
  <c r="AC647" i="34"/>
  <c r="AC169" i="34"/>
  <c r="AC141" i="34"/>
  <c r="AC778" i="34" s="1"/>
  <c r="AC160" i="34"/>
  <c r="AC116" i="34"/>
  <c r="AC731" i="34" s="1"/>
  <c r="AC81" i="34"/>
  <c r="AC106" i="34"/>
  <c r="AC729" i="34" s="1"/>
  <c r="U8" i="38"/>
  <c r="AQ8" i="38" s="1"/>
  <c r="S8" i="38"/>
  <c r="V18" i="33"/>
  <c r="AO18" i="33" s="1"/>
  <c r="T18" i="33"/>
  <c r="AE773" i="34"/>
  <c r="AA83" i="34"/>
  <c r="AA139" i="34"/>
  <c r="AA818" i="34" s="1"/>
  <c r="AA141" i="34"/>
  <c r="AA778" i="34" s="1"/>
  <c r="AA133" i="34"/>
  <c r="AA87" i="34"/>
  <c r="AA754" i="34" s="1"/>
  <c r="AA95" i="34"/>
  <c r="AA123" i="34"/>
  <c r="AA816" i="34" s="1"/>
  <c r="AA81" i="34"/>
  <c r="AA79" i="34"/>
  <c r="AA125" i="34"/>
  <c r="AA131" i="34"/>
  <c r="AA817" i="34" s="1"/>
  <c r="AA101" i="34"/>
  <c r="AA785" i="34" s="1"/>
  <c r="S9" i="33"/>
  <c r="U9" i="33"/>
  <c r="M19" i="33"/>
  <c r="AB19" i="33" s="1"/>
  <c r="M10" i="38"/>
  <c r="AB10" i="38" s="1"/>
  <c r="P37" i="33"/>
  <c r="F17" i="33"/>
  <c r="W17" i="33" s="1"/>
  <c r="L7" i="38"/>
  <c r="P7" i="38" s="1"/>
  <c r="T15" i="38"/>
  <c r="V15" i="38"/>
  <c r="AM15" i="38" s="1"/>
  <c r="AQ16" i="33"/>
  <c r="AM16" i="33"/>
  <c r="AO16" i="33"/>
  <c r="J37" i="38"/>
  <c r="M37" i="38" s="1"/>
  <c r="AC178" i="34"/>
  <c r="AC68" i="34"/>
  <c r="AC103" i="34"/>
  <c r="AC757" i="34" s="1"/>
  <c r="K9" i="38"/>
  <c r="O9" i="38" s="1"/>
  <c r="T15" i="33"/>
  <c r="V15" i="33"/>
  <c r="U10" i="38"/>
  <c r="S10" i="38"/>
  <c r="L10" i="33"/>
  <c r="P10" i="33" s="1"/>
  <c r="F16" i="38"/>
  <c r="W16" i="38" s="1"/>
  <c r="AP8" i="38"/>
  <c r="K13" i="33"/>
  <c r="O13" i="33" s="1"/>
  <c r="AM16" i="38"/>
  <c r="AQ16" i="38"/>
  <c r="AP16" i="38"/>
  <c r="V9" i="33"/>
  <c r="T9" i="33"/>
  <c r="P32" i="33"/>
  <c r="AP14" i="33"/>
  <c r="J39" i="33"/>
  <c r="M39" i="33" s="1"/>
  <c r="AC142" i="34"/>
  <c r="AC805" i="34" s="1"/>
  <c r="AC74" i="34"/>
  <c r="AC766" i="34" s="1"/>
  <c r="AC110" i="34"/>
  <c r="AC744" i="34" s="1"/>
  <c r="AC73" i="34"/>
  <c r="AC128" i="34"/>
  <c r="AC803" i="34" s="1"/>
  <c r="AC66" i="34"/>
  <c r="AC59" i="34"/>
  <c r="S14" i="33"/>
  <c r="U7" i="33"/>
  <c r="S7" i="33"/>
  <c r="AC54" i="34"/>
  <c r="K17" i="38"/>
  <c r="O17" i="38" s="1"/>
  <c r="B25" i="39"/>
  <c r="B41" i="39"/>
  <c r="AQ17" i="33"/>
  <c r="AT17" i="33"/>
  <c r="AM11" i="38"/>
  <c r="AN11" i="38"/>
  <c r="AP11" i="38"/>
  <c r="AL11" i="38"/>
  <c r="AQ11" i="38"/>
  <c r="AO11" i="38"/>
  <c r="F8" i="38"/>
  <c r="AE8" i="38" s="1"/>
  <c r="N9" i="33"/>
  <c r="AC9" i="33" s="1"/>
  <c r="L13" i="33"/>
  <c r="P13" i="33" s="1"/>
  <c r="L7" i="33"/>
  <c r="P7" i="33" s="1"/>
  <c r="AE775" i="34"/>
  <c r="AE746" i="34"/>
  <c r="AE798" i="34"/>
  <c r="AC769" i="34"/>
  <c r="AC51" i="34"/>
  <c r="AC90" i="34"/>
  <c r="AC740" i="34" s="1"/>
  <c r="AC52" i="34"/>
  <c r="AC50" i="34"/>
  <c r="AC162" i="34"/>
  <c r="AC149" i="34"/>
  <c r="AC806" i="34" s="1"/>
  <c r="AC140" i="34"/>
  <c r="AC158" i="34"/>
  <c r="AC151" i="34"/>
  <c r="AC793" i="34" s="1"/>
  <c r="AC83" i="34"/>
  <c r="AC71" i="34"/>
  <c r="AC194" i="34"/>
  <c r="AC210" i="34"/>
  <c r="AC226" i="34"/>
  <c r="AC242" i="34"/>
  <c r="AC191" i="34"/>
  <c r="AC207" i="34"/>
  <c r="AC223" i="34"/>
  <c r="AC239" i="34"/>
  <c r="AC193" i="34"/>
  <c r="AC209" i="34"/>
  <c r="AC225" i="34"/>
  <c r="AC241" i="34"/>
  <c r="AC212" i="34"/>
  <c r="AC252" i="34"/>
  <c r="AC268" i="34"/>
  <c r="AC208" i="34"/>
  <c r="AC255" i="34"/>
  <c r="AC271" i="34"/>
  <c r="AC287" i="34"/>
  <c r="AC184" i="34"/>
  <c r="AC257" i="34"/>
  <c r="AC293" i="34"/>
  <c r="AC306" i="34"/>
  <c r="AC322" i="34"/>
  <c r="AC254" i="34"/>
  <c r="AC288" i="34"/>
  <c r="AC303" i="34"/>
  <c r="AC319" i="34"/>
  <c r="AC285" i="34"/>
  <c r="AC296" i="34"/>
  <c r="AC325" i="34"/>
  <c r="AC341" i="34"/>
  <c r="AC357" i="34"/>
  <c r="AC261" i="34"/>
  <c r="AC300" i="34"/>
  <c r="AC330" i="34"/>
  <c r="AC346" i="34"/>
  <c r="AC362" i="34"/>
  <c r="AC321" i="34"/>
  <c r="AC351" i="34"/>
  <c r="AC365" i="34"/>
  <c r="AC382" i="34"/>
  <c r="AC398" i="34"/>
  <c r="AC414" i="34"/>
  <c r="AC430" i="34"/>
  <c r="AC446" i="34"/>
  <c r="AC462" i="34"/>
  <c r="AC332" i="34"/>
  <c r="AC371" i="34"/>
  <c r="AC387" i="34"/>
  <c r="AC403" i="34"/>
  <c r="AC419" i="34"/>
  <c r="AC435" i="34"/>
  <c r="AC451" i="34"/>
  <c r="AC467" i="34"/>
  <c r="AC331" i="34"/>
  <c r="AC372" i="34"/>
  <c r="AC388" i="34"/>
  <c r="AC404" i="34"/>
  <c r="AC420" i="34"/>
  <c r="AC436" i="34"/>
  <c r="AC452" i="34"/>
  <c r="AC468" i="34"/>
  <c r="AC373" i="34"/>
  <c r="AC437" i="34"/>
  <c r="AC478" i="34"/>
  <c r="AC494" i="34"/>
  <c r="AC510" i="34"/>
  <c r="AC63" i="34"/>
  <c r="AC53" i="34"/>
  <c r="AC157" i="34"/>
  <c r="AC124" i="34"/>
  <c r="AC761" i="34" s="1"/>
  <c r="AC99" i="34"/>
  <c r="AC813" i="34" s="1"/>
  <c r="AC156" i="34"/>
  <c r="AC807" i="34" s="1"/>
  <c r="AC82" i="34"/>
  <c r="AC72" i="34"/>
  <c r="AC751" i="34" s="1"/>
  <c r="AC177" i="34"/>
  <c r="AC165" i="34"/>
  <c r="AC118" i="34"/>
  <c r="AC85" i="34"/>
  <c r="AC190" i="34"/>
  <c r="AC206" i="34"/>
  <c r="AC222" i="34"/>
  <c r="AC238" i="34"/>
  <c r="AC187" i="34"/>
  <c r="AC203" i="34"/>
  <c r="AC219" i="34"/>
  <c r="AC235" i="34"/>
  <c r="AC189" i="34"/>
  <c r="AC205" i="34"/>
  <c r="AC221" i="34"/>
  <c r="AC237" i="34"/>
  <c r="AC196" i="34"/>
  <c r="AC248" i="34"/>
  <c r="AC264" i="34"/>
  <c r="AC192" i="34"/>
  <c r="AC251" i="34"/>
  <c r="AC267" i="34"/>
  <c r="AC283" i="34"/>
  <c r="AC188" i="34"/>
  <c r="AC249" i="34"/>
  <c r="AC292" i="34"/>
  <c r="AC302" i="34"/>
  <c r="AC318" i="34"/>
  <c r="AC236" i="34"/>
  <c r="AC278" i="34"/>
  <c r="AC299" i="34"/>
  <c r="AC315" i="34"/>
  <c r="AC269" i="34"/>
  <c r="AC281" i="34"/>
  <c r="AC317" i="34"/>
  <c r="AC337" i="34"/>
  <c r="AC353" i="34"/>
  <c r="AC232" i="34"/>
  <c r="AC286" i="34"/>
  <c r="AC324" i="34"/>
  <c r="AC342" i="34"/>
  <c r="AC358" i="34"/>
  <c r="AC305" i="34"/>
  <c r="AC343" i="34"/>
  <c r="AC364" i="34"/>
  <c r="AC378" i="34"/>
  <c r="AC394" i="34"/>
  <c r="AC410" i="34"/>
  <c r="AC426" i="34"/>
  <c r="AC442" i="34"/>
  <c r="AC458" i="34"/>
  <c r="AC312" i="34"/>
  <c r="AC356" i="34"/>
  <c r="AC383" i="34"/>
  <c r="AC399" i="34"/>
  <c r="AC415" i="34"/>
  <c r="AC431" i="34"/>
  <c r="AC447" i="34"/>
  <c r="AC463" i="34"/>
  <c r="AC313" i="34"/>
  <c r="AC355" i="34"/>
  <c r="AC384" i="34"/>
  <c r="AC400" i="34"/>
  <c r="AC416" i="34"/>
  <c r="AC432" i="34"/>
  <c r="AC448" i="34"/>
  <c r="AC464" i="34"/>
  <c r="AC336" i="34"/>
  <c r="AC421" i="34"/>
  <c r="AC474" i="34"/>
  <c r="AC490" i="34"/>
  <c r="AC506" i="34"/>
  <c r="AC154" i="34"/>
  <c r="AC109" i="34"/>
  <c r="AC172" i="34"/>
  <c r="AC163" i="34"/>
  <c r="AC808" i="34" s="1"/>
  <c r="AC121" i="34"/>
  <c r="AC802" i="34" s="1"/>
  <c r="AC136" i="34"/>
  <c r="AC777" i="34" s="1"/>
  <c r="AC58" i="34"/>
  <c r="AC57" i="34"/>
  <c r="AC60" i="34"/>
  <c r="AC67" i="34"/>
  <c r="AC98" i="34"/>
  <c r="AC756" i="34" s="1"/>
  <c r="AC170" i="34"/>
  <c r="AC146" i="34"/>
  <c r="AC69" i="34"/>
  <c r="AC721" i="34" s="1"/>
  <c r="AC75" i="34"/>
  <c r="AC737" i="34" s="1"/>
  <c r="AE745" i="34"/>
  <c r="AC78" i="34"/>
  <c r="AC126" i="34"/>
  <c r="AC789" i="34" s="1"/>
  <c r="AC62" i="34"/>
  <c r="AC61" i="34"/>
  <c r="AC64" i="34"/>
  <c r="AC65" i="34"/>
  <c r="AC55" i="34"/>
  <c r="AC161" i="34"/>
  <c r="AB52" i="34"/>
  <c r="AB56" i="34"/>
  <c r="AB60" i="34"/>
  <c r="AB64" i="34"/>
  <c r="AB68" i="34"/>
  <c r="AB50" i="34"/>
  <c r="AB62" i="34"/>
  <c r="AB53" i="34"/>
  <c r="AB57" i="34"/>
  <c r="AB61" i="34"/>
  <c r="AB65" i="34"/>
  <c r="AB54" i="34"/>
  <c r="AB58" i="34"/>
  <c r="AB66" i="34"/>
  <c r="AB51" i="34"/>
  <c r="AB55" i="34"/>
  <c r="AB59" i="34"/>
  <c r="AB63" i="34"/>
  <c r="AB67" i="34"/>
  <c r="AB165" i="34"/>
  <c r="AB69" i="34"/>
  <c r="AB721" i="34" s="1"/>
  <c r="AB73" i="34"/>
  <c r="AE825" i="34"/>
  <c r="AA825" i="34"/>
  <c r="AD825" i="34"/>
  <c r="AC825" i="34"/>
  <c r="AB117" i="34"/>
  <c r="AD747" i="34"/>
  <c r="AB183" i="34"/>
  <c r="AB187" i="34"/>
  <c r="AB191" i="34"/>
  <c r="AB195" i="34"/>
  <c r="AB199" i="34"/>
  <c r="AB203" i="34"/>
  <c r="AB207" i="34"/>
  <c r="AB211" i="34"/>
  <c r="AB215" i="34"/>
  <c r="AB219" i="34"/>
  <c r="AB223" i="34"/>
  <c r="AB227" i="34"/>
  <c r="AB231" i="34"/>
  <c r="AB235" i="34"/>
  <c r="AB239" i="34"/>
  <c r="AB243" i="34"/>
  <c r="AB247" i="34"/>
  <c r="AB180" i="34"/>
  <c r="AB184" i="34"/>
  <c r="AB188" i="34"/>
  <c r="AB192" i="34"/>
  <c r="AB196" i="34"/>
  <c r="AB200" i="34"/>
  <c r="AB204" i="34"/>
  <c r="AB208" i="34"/>
  <c r="AB212" i="34"/>
  <c r="AB216" i="34"/>
  <c r="AB220" i="34"/>
  <c r="AB224" i="34"/>
  <c r="AB228" i="34"/>
  <c r="AB232" i="34"/>
  <c r="AB236" i="34"/>
  <c r="AB240" i="34"/>
  <c r="AB182" i="34"/>
  <c r="AB186" i="34"/>
  <c r="AB190" i="34"/>
  <c r="AB194" i="34"/>
  <c r="AB198" i="34"/>
  <c r="AB202" i="34"/>
  <c r="AB206" i="34"/>
  <c r="AB210" i="34"/>
  <c r="AB214" i="34"/>
  <c r="AB218" i="34"/>
  <c r="AB222" i="34"/>
  <c r="AB226" i="34"/>
  <c r="AB230" i="34"/>
  <c r="AB234" i="34"/>
  <c r="AB238" i="34"/>
  <c r="AB242" i="34"/>
  <c r="AB246" i="34"/>
  <c r="AB193" i="34"/>
  <c r="AB209" i="34"/>
  <c r="AB225" i="34"/>
  <c r="AB244" i="34"/>
  <c r="AB249" i="34"/>
  <c r="AB253" i="34"/>
  <c r="AB257" i="34"/>
  <c r="AB261" i="34"/>
  <c r="AB265" i="34"/>
  <c r="AB269" i="34"/>
  <c r="AB273" i="34"/>
  <c r="AB277" i="34"/>
  <c r="AB181" i="34"/>
  <c r="AB189" i="34"/>
  <c r="AB205" i="34"/>
  <c r="AB221" i="34"/>
  <c r="AB237" i="34"/>
  <c r="AB245" i="34"/>
  <c r="AB248" i="34"/>
  <c r="AB252" i="34"/>
  <c r="AB256" i="34"/>
  <c r="AB260" i="34"/>
  <c r="AB264" i="34"/>
  <c r="AB268" i="34"/>
  <c r="AB272" i="34"/>
  <c r="AB276" i="34"/>
  <c r="AB280" i="34"/>
  <c r="AB284" i="34"/>
  <c r="AB288" i="34"/>
  <c r="AB292" i="34"/>
  <c r="AB296" i="34"/>
  <c r="AB201" i="34"/>
  <c r="AB197" i="34"/>
  <c r="AB229" i="34"/>
  <c r="AB241" i="34"/>
  <c r="AB254" i="34"/>
  <c r="AB262" i="34"/>
  <c r="AB270" i="34"/>
  <c r="AB278" i="34"/>
  <c r="AB289" i="34"/>
  <c r="AB290" i="34"/>
  <c r="AB291" i="34"/>
  <c r="AB299" i="34"/>
  <c r="AB303" i="34"/>
  <c r="AB307" i="34"/>
  <c r="AB311" i="34"/>
  <c r="AB315" i="34"/>
  <c r="AB319" i="34"/>
  <c r="AB323" i="34"/>
  <c r="AB185" i="34"/>
  <c r="AB217" i="34"/>
  <c r="AB251" i="34"/>
  <c r="AB259" i="34"/>
  <c r="AB267" i="34"/>
  <c r="AB275" i="34"/>
  <c r="AB285" i="34"/>
  <c r="AB286" i="34"/>
  <c r="AB287" i="34"/>
  <c r="AB300" i="34"/>
  <c r="AB304" i="34"/>
  <c r="AB308" i="34"/>
  <c r="AB312" i="34"/>
  <c r="AB316" i="34"/>
  <c r="AB320" i="34"/>
  <c r="AB324" i="34"/>
  <c r="AB213" i="34"/>
  <c r="AB250" i="34"/>
  <c r="AB266" i="34"/>
  <c r="AB281" i="34"/>
  <c r="AB283" i="34"/>
  <c r="AB263" i="34"/>
  <c r="AB279" i="34"/>
  <c r="AB294" i="34"/>
  <c r="AB298" i="34"/>
  <c r="AB306" i="34"/>
  <c r="AB314" i="34"/>
  <c r="AB322" i="34"/>
  <c r="AB330" i="34"/>
  <c r="AB334" i="34"/>
  <c r="AB338" i="34"/>
  <c r="AB342" i="34"/>
  <c r="AB346" i="34"/>
  <c r="AB350" i="34"/>
  <c r="AB354" i="34"/>
  <c r="AB358" i="34"/>
  <c r="AB258" i="34"/>
  <c r="AB274" i="34"/>
  <c r="AB282" i="34"/>
  <c r="AB297" i="34"/>
  <c r="AB305" i="34"/>
  <c r="AB313" i="34"/>
  <c r="AB321" i="34"/>
  <c r="AB327" i="34"/>
  <c r="AB331" i="34"/>
  <c r="AB335" i="34"/>
  <c r="AB339" i="34"/>
  <c r="AB343" i="34"/>
  <c r="AB347" i="34"/>
  <c r="AB351" i="34"/>
  <c r="AB355" i="34"/>
  <c r="AB359" i="34"/>
  <c r="AB363" i="34"/>
  <c r="AB367" i="34"/>
  <c r="AB293" i="34"/>
  <c r="AB302" i="34"/>
  <c r="AB318" i="34"/>
  <c r="AB332" i="34"/>
  <c r="AB340" i="34"/>
  <c r="AB348" i="34"/>
  <c r="AB356" i="34"/>
  <c r="AB362" i="34"/>
  <c r="AB371" i="34"/>
  <c r="AB375" i="34"/>
  <c r="AB379" i="34"/>
  <c r="AB383" i="34"/>
  <c r="AB387" i="34"/>
  <c r="AB391" i="34"/>
  <c r="AB395" i="34"/>
  <c r="AB399" i="34"/>
  <c r="AB403" i="34"/>
  <c r="AB407" i="34"/>
  <c r="AB411" i="34"/>
  <c r="AB415" i="34"/>
  <c r="AB419" i="34"/>
  <c r="AB423" i="34"/>
  <c r="AB427" i="34"/>
  <c r="AB431" i="34"/>
  <c r="AB435" i="34"/>
  <c r="AB439" i="34"/>
  <c r="AB443" i="34"/>
  <c r="AB447" i="34"/>
  <c r="AB451" i="34"/>
  <c r="AB455" i="34"/>
  <c r="AB459" i="34"/>
  <c r="AB463" i="34"/>
  <c r="AB467" i="34"/>
  <c r="AB295" i="34"/>
  <c r="AB309" i="34"/>
  <c r="AB325" i="34"/>
  <c r="AB329" i="34"/>
  <c r="AB337" i="34"/>
  <c r="AB345" i="34"/>
  <c r="AB353" i="34"/>
  <c r="AB361" i="34"/>
  <c r="AB372" i="34"/>
  <c r="AB376" i="34"/>
  <c r="AB380" i="34"/>
  <c r="AB384" i="34"/>
  <c r="AB388" i="34"/>
  <c r="AB392" i="34"/>
  <c r="AB396" i="34"/>
  <c r="AB400" i="34"/>
  <c r="AB404" i="34"/>
  <c r="AB408" i="34"/>
  <c r="AB412" i="34"/>
  <c r="AB416" i="34"/>
  <c r="AB420" i="34"/>
  <c r="AB424" i="34"/>
  <c r="AB428" i="34"/>
  <c r="AB432" i="34"/>
  <c r="AB436" i="34"/>
  <c r="AB440" i="34"/>
  <c r="AB444" i="34"/>
  <c r="AB448" i="34"/>
  <c r="AB452" i="34"/>
  <c r="AB456" i="34"/>
  <c r="AB460" i="34"/>
  <c r="AB464" i="34"/>
  <c r="AB468" i="34"/>
  <c r="AB233" i="34"/>
  <c r="AB255" i="34"/>
  <c r="AB310" i="34"/>
  <c r="AB326" i="34"/>
  <c r="AB328" i="34"/>
  <c r="AB336" i="34"/>
  <c r="AB344" i="34"/>
  <c r="AB352" i="34"/>
  <c r="AB360" i="34"/>
  <c r="AB368" i="34"/>
  <c r="AB369" i="34"/>
  <c r="AB373" i="34"/>
  <c r="AB377" i="34"/>
  <c r="AB381" i="34"/>
  <c r="AB385" i="34"/>
  <c r="AB389" i="34"/>
  <c r="AB393" i="34"/>
  <c r="AB397" i="34"/>
  <c r="AB401" i="34"/>
  <c r="AB405" i="34"/>
  <c r="AB409" i="34"/>
  <c r="AB413" i="34"/>
  <c r="AB417" i="34"/>
  <c r="AB421" i="34"/>
  <c r="AB425" i="34"/>
  <c r="AB429" i="34"/>
  <c r="AB433" i="34"/>
  <c r="AB437" i="34"/>
  <c r="AB441" i="34"/>
  <c r="AB445" i="34"/>
  <c r="AB449" i="34"/>
  <c r="AB453" i="34"/>
  <c r="AB457" i="34"/>
  <c r="AB461" i="34"/>
  <c r="AB465" i="34"/>
  <c r="AB469" i="34"/>
  <c r="AB349" i="34"/>
  <c r="AB366" i="34"/>
  <c r="AB370" i="34"/>
  <c r="AB386" i="34"/>
  <c r="AB402" i="34"/>
  <c r="AB418" i="34"/>
  <c r="AB434" i="34"/>
  <c r="AB450" i="34"/>
  <c r="AB466" i="34"/>
  <c r="AB471" i="34"/>
  <c r="AB475" i="34"/>
  <c r="AB479" i="34"/>
  <c r="AB483" i="34"/>
  <c r="AB487" i="34"/>
  <c r="AB491" i="34"/>
  <c r="AB495" i="34"/>
  <c r="AB499" i="34"/>
  <c r="AB503" i="34"/>
  <c r="AB507" i="34"/>
  <c r="AB511" i="34"/>
  <c r="AB515" i="34"/>
  <c r="AB519" i="34"/>
  <c r="AB523" i="34"/>
  <c r="AB527" i="34"/>
  <c r="AB531" i="34"/>
  <c r="AB535" i="34"/>
  <c r="AB539" i="34"/>
  <c r="AB543" i="34"/>
  <c r="AB357" i="34"/>
  <c r="AB374" i="34"/>
  <c r="AB390" i="34"/>
  <c r="AB406" i="34"/>
  <c r="AB422" i="34"/>
  <c r="AB438" i="34"/>
  <c r="AB454" i="34"/>
  <c r="AB472" i="34"/>
  <c r="AB476" i="34"/>
  <c r="AB480" i="34"/>
  <c r="AB484" i="34"/>
  <c r="AB488" i="34"/>
  <c r="AB492" i="34"/>
  <c r="AB496" i="34"/>
  <c r="AB500" i="34"/>
  <c r="AB504" i="34"/>
  <c r="AB508" i="34"/>
  <c r="AB512" i="34"/>
  <c r="AB516" i="34"/>
  <c r="AB520" i="34"/>
  <c r="AB524" i="34"/>
  <c r="AB528" i="34"/>
  <c r="AB532" i="34"/>
  <c r="AB536" i="34"/>
  <c r="AB540" i="34"/>
  <c r="AB544" i="34"/>
  <c r="AB548" i="34"/>
  <c r="AB552" i="34"/>
  <c r="AB556" i="34"/>
  <c r="AB560" i="34"/>
  <c r="AB564" i="34"/>
  <c r="AB568" i="34"/>
  <c r="AB271" i="34"/>
  <c r="AB301" i="34"/>
  <c r="AB333" i="34"/>
  <c r="AB364" i="34"/>
  <c r="AB378" i="34"/>
  <c r="AB394" i="34"/>
  <c r="AB410" i="34"/>
  <c r="AB426" i="34"/>
  <c r="AB442" i="34"/>
  <c r="AB458" i="34"/>
  <c r="AB473" i="34"/>
  <c r="AB477" i="34"/>
  <c r="AB481" i="34"/>
  <c r="AB485" i="34"/>
  <c r="AB489" i="34"/>
  <c r="AB493" i="34"/>
  <c r="AB497" i="34"/>
  <c r="AB501" i="34"/>
  <c r="AB505" i="34"/>
  <c r="AB509" i="34"/>
  <c r="AB513" i="34"/>
  <c r="AB517" i="34"/>
  <c r="AB521" i="34"/>
  <c r="AB525" i="34"/>
  <c r="AB529" i="34"/>
  <c r="AB533" i="34"/>
  <c r="AB537" i="34"/>
  <c r="AB541" i="34"/>
  <c r="AB545" i="34"/>
  <c r="AB549" i="34"/>
  <c r="AB553" i="34"/>
  <c r="AB557" i="34"/>
  <c r="AB561" i="34"/>
  <c r="AB565" i="34"/>
  <c r="AB569" i="34"/>
  <c r="AB573" i="34"/>
  <c r="AB414" i="34"/>
  <c r="AB478" i="34"/>
  <c r="AB494" i="34"/>
  <c r="AB510" i="34"/>
  <c r="AB526" i="34"/>
  <c r="AB542" i="34"/>
  <c r="AB554" i="34"/>
  <c r="AB562" i="34"/>
  <c r="AB570" i="34"/>
  <c r="AB577" i="34"/>
  <c r="AB581" i="34"/>
  <c r="AB585" i="34"/>
  <c r="AB589" i="34"/>
  <c r="AB593" i="34"/>
  <c r="AB597" i="34"/>
  <c r="AB601" i="34"/>
  <c r="AB605" i="34"/>
  <c r="AB609" i="34"/>
  <c r="AB613" i="34"/>
  <c r="AB617" i="34"/>
  <c r="AB621" i="34"/>
  <c r="AB625" i="34"/>
  <c r="AB629" i="34"/>
  <c r="AB633" i="34"/>
  <c r="AB637" i="34"/>
  <c r="AB641" i="34"/>
  <c r="AB645" i="34"/>
  <c r="AB649" i="34"/>
  <c r="AB653" i="34"/>
  <c r="AB657" i="34"/>
  <c r="AB661" i="34"/>
  <c r="AB665" i="34"/>
  <c r="AB341" i="34"/>
  <c r="AB365" i="34"/>
  <c r="AB430" i="34"/>
  <c r="AB482" i="34"/>
  <c r="AB498" i="34"/>
  <c r="AB514" i="34"/>
  <c r="AB530" i="34"/>
  <c r="AB546" i="34"/>
  <c r="AB551" i="34"/>
  <c r="AB559" i="34"/>
  <c r="AB567" i="34"/>
  <c r="AB574" i="34"/>
  <c r="AB578" i="34"/>
  <c r="AB582" i="34"/>
  <c r="AB586" i="34"/>
  <c r="AB590" i="34"/>
  <c r="AB594" i="34"/>
  <c r="AB598" i="34"/>
  <c r="AB602" i="34"/>
  <c r="AB606" i="34"/>
  <c r="AB610" i="34"/>
  <c r="AB614" i="34"/>
  <c r="AB618" i="34"/>
  <c r="AB622" i="34"/>
  <c r="AB626" i="34"/>
  <c r="AB630" i="34"/>
  <c r="AB634" i="34"/>
  <c r="AB638" i="34"/>
  <c r="AB642" i="34"/>
  <c r="AB646" i="34"/>
  <c r="AB650" i="34"/>
  <c r="AB654" i="34"/>
  <c r="AB658" i="34"/>
  <c r="AB662" i="34"/>
  <c r="AB666" i="34"/>
  <c r="AB670" i="34"/>
  <c r="AB674" i="34"/>
  <c r="AB678" i="34"/>
  <c r="AB682" i="34"/>
  <c r="AB317" i="34"/>
  <c r="AB382" i="34"/>
  <c r="AB446" i="34"/>
  <c r="AB470" i="34"/>
  <c r="AB486" i="34"/>
  <c r="AB502" i="34"/>
  <c r="AB518" i="34"/>
  <c r="AB534" i="34"/>
  <c r="AB550" i="34"/>
  <c r="AB558" i="34"/>
  <c r="AB566" i="34"/>
  <c r="AB572" i="34"/>
  <c r="AB575" i="34"/>
  <c r="AB579" i="34"/>
  <c r="AB583" i="34"/>
  <c r="AB587" i="34"/>
  <c r="AB591" i="34"/>
  <c r="AB595" i="34"/>
  <c r="AB599" i="34"/>
  <c r="AB603" i="34"/>
  <c r="AB607" i="34"/>
  <c r="AB611" i="34"/>
  <c r="AB615" i="34"/>
  <c r="AB619" i="34"/>
  <c r="AB623" i="34"/>
  <c r="AB627" i="34"/>
  <c r="AB631" i="34"/>
  <c r="AB635" i="34"/>
  <c r="AB639" i="34"/>
  <c r="AB643" i="34"/>
  <c r="AB647" i="34"/>
  <c r="AB651" i="34"/>
  <c r="AB655" i="34"/>
  <c r="AB659" i="34"/>
  <c r="AB663" i="34"/>
  <c r="AB667" i="34"/>
  <c r="AB671" i="34"/>
  <c r="AB675" i="34"/>
  <c r="AB679" i="34"/>
  <c r="AB398" i="34"/>
  <c r="AB490" i="34"/>
  <c r="AB563" i="34"/>
  <c r="AB584" i="34"/>
  <c r="AB600" i="34"/>
  <c r="AB616" i="34"/>
  <c r="AB632" i="34"/>
  <c r="AB648" i="34"/>
  <c r="AB664" i="34"/>
  <c r="AB669" i="34"/>
  <c r="AB677" i="34"/>
  <c r="AB684" i="34"/>
  <c r="AB688" i="34"/>
  <c r="AB692" i="34"/>
  <c r="AB696" i="34"/>
  <c r="AB700" i="34"/>
  <c r="AB704" i="34"/>
  <c r="AB708" i="34"/>
  <c r="AB712" i="34"/>
  <c r="AB716" i="34"/>
  <c r="AB695" i="34"/>
  <c r="AB462" i="34"/>
  <c r="AB506" i="34"/>
  <c r="AB571" i="34"/>
  <c r="AB588" i="34"/>
  <c r="AB604" i="34"/>
  <c r="AB620" i="34"/>
  <c r="AB636" i="34"/>
  <c r="AB652" i="34"/>
  <c r="AB668" i="34"/>
  <c r="AB676" i="34"/>
  <c r="AB685" i="34"/>
  <c r="AB689" i="34"/>
  <c r="AB693" i="34"/>
  <c r="AB697" i="34"/>
  <c r="AB701" i="34"/>
  <c r="AB705" i="34"/>
  <c r="AB709" i="34"/>
  <c r="AB713" i="34"/>
  <c r="AB717" i="34"/>
  <c r="AB474" i="34"/>
  <c r="AB580" i="34"/>
  <c r="AB612" i="34"/>
  <c r="AB644" i="34"/>
  <c r="AB672" i="34"/>
  <c r="AB703" i="34"/>
  <c r="AB711" i="34"/>
  <c r="AB522" i="34"/>
  <c r="AB547" i="34"/>
  <c r="AB576" i="34"/>
  <c r="AB592" i="34"/>
  <c r="AB608" i="34"/>
  <c r="AB624" i="34"/>
  <c r="AB640" i="34"/>
  <c r="AB656" i="34"/>
  <c r="AB673" i="34"/>
  <c r="AB681" i="34"/>
  <c r="AB686" i="34"/>
  <c r="AB690" i="34"/>
  <c r="AB694" i="34"/>
  <c r="AB698" i="34"/>
  <c r="AB702" i="34"/>
  <c r="AB706" i="34"/>
  <c r="AB710" i="34"/>
  <c r="AB714" i="34"/>
  <c r="AB718" i="34"/>
  <c r="AB538" i="34"/>
  <c r="AB555" i="34"/>
  <c r="AB596" i="34"/>
  <c r="AB628" i="34"/>
  <c r="AB660" i="34"/>
  <c r="AB680" i="34"/>
  <c r="AB683" i="34"/>
  <c r="AB687" i="34"/>
  <c r="AB691" i="34"/>
  <c r="AB699" i="34"/>
  <c r="AB707" i="34"/>
  <c r="AB715" i="34"/>
  <c r="AB70" i="34"/>
  <c r="AB736" i="34" s="1"/>
  <c r="AB89" i="34"/>
  <c r="AB81" i="34"/>
  <c r="AB86" i="34"/>
  <c r="AB797" i="34" s="1"/>
  <c r="AB100" i="34"/>
  <c r="AB124" i="34"/>
  <c r="AB130" i="34"/>
  <c r="AB776" i="34" s="1"/>
  <c r="AB108" i="34"/>
  <c r="AB141" i="34"/>
  <c r="AB778" i="34" s="1"/>
  <c r="AB134" i="34"/>
  <c r="AB763" i="34" s="1"/>
  <c r="AB144" i="34"/>
  <c r="AB792" i="34" s="1"/>
  <c r="AB111" i="34"/>
  <c r="AB730" i="34" s="1"/>
  <c r="AB120" i="34"/>
  <c r="AB732" i="34" s="1"/>
  <c r="AB152" i="34"/>
  <c r="AB129" i="34"/>
  <c r="AB176" i="34"/>
  <c r="AB167" i="34"/>
  <c r="AB171" i="34"/>
  <c r="AB822" i="34" s="1"/>
  <c r="AB128" i="34"/>
  <c r="AB803" i="34" s="1"/>
  <c r="AB155" i="34"/>
  <c r="AB820" i="34" s="1"/>
  <c r="AB74" i="34"/>
  <c r="AB102" i="34"/>
  <c r="AB114" i="34"/>
  <c r="AB149" i="34"/>
  <c r="AB806" i="34" s="1"/>
  <c r="AB156" i="34"/>
  <c r="AB807" i="34" s="1"/>
  <c r="AB173" i="34"/>
  <c r="AB82" i="34"/>
  <c r="AB75" i="34"/>
  <c r="AB737" i="34" s="1"/>
  <c r="AB93" i="34"/>
  <c r="AB99" i="34"/>
  <c r="AB813" i="34" s="1"/>
  <c r="AB95" i="34"/>
  <c r="AB145" i="34"/>
  <c r="AB150" i="34"/>
  <c r="AB143" i="34"/>
  <c r="AB162" i="34"/>
  <c r="AB161" i="34"/>
  <c r="AB80" i="34"/>
  <c r="AB738" i="34" s="1"/>
  <c r="AB101" i="34"/>
  <c r="AB785" i="34" s="1"/>
  <c r="AB78" i="34"/>
  <c r="AB71" i="34"/>
  <c r="AB94" i="34"/>
  <c r="AB91" i="34"/>
  <c r="AB105" i="34"/>
  <c r="AB743" i="34" s="1"/>
  <c r="AB103" i="34"/>
  <c r="AB757" i="34" s="1"/>
  <c r="AB112" i="34"/>
  <c r="AB76" i="34"/>
  <c r="AB781" i="34" s="1"/>
  <c r="AB115" i="34"/>
  <c r="AB815" i="34" s="1"/>
  <c r="AB135" i="34"/>
  <c r="AB804" i="34" s="1"/>
  <c r="AB147" i="34"/>
  <c r="AB819" i="34" s="1"/>
  <c r="AB133" i="34"/>
  <c r="AB158" i="34"/>
  <c r="AB157" i="34"/>
  <c r="AB122" i="34"/>
  <c r="AB177" i="34"/>
  <c r="AB169" i="34"/>
  <c r="AB121" i="34"/>
  <c r="AB802" i="34" s="1"/>
  <c r="AB178" i="34"/>
  <c r="AB168" i="34"/>
  <c r="AB88" i="34"/>
  <c r="AB109" i="34"/>
  <c r="AB72" i="34"/>
  <c r="AB751" i="34" s="1"/>
  <c r="AB138" i="34"/>
  <c r="AB791" i="34" s="1"/>
  <c r="AB170" i="34"/>
  <c r="AB179" i="34"/>
  <c r="AB823" i="34" s="1"/>
  <c r="AB98" i="34"/>
  <c r="AB756" i="34" s="1"/>
  <c r="AB110" i="34"/>
  <c r="AB744" i="34" s="1"/>
  <c r="AB125" i="34"/>
  <c r="AB127" i="34"/>
  <c r="AB136" i="34"/>
  <c r="AB777" i="34" s="1"/>
  <c r="AB113" i="34"/>
  <c r="AB160" i="34"/>
  <c r="AB104" i="34"/>
  <c r="AB92" i="34"/>
  <c r="AB726" i="34" s="1"/>
  <c r="AB154" i="34"/>
  <c r="AB151" i="34"/>
  <c r="AB793" i="34" s="1"/>
  <c r="AB83" i="34"/>
  <c r="AB85" i="34"/>
  <c r="AB79" i="34"/>
  <c r="AB84" i="34"/>
  <c r="AB96" i="34"/>
  <c r="AB770" i="34" s="1"/>
  <c r="AB118" i="34"/>
  <c r="AB126" i="34"/>
  <c r="AB789" i="34" s="1"/>
  <c r="AB97" i="34"/>
  <c r="AB727" i="34" s="1"/>
  <c r="AB131" i="34"/>
  <c r="AB817" i="34" s="1"/>
  <c r="AB132" i="34"/>
  <c r="AB790" i="34" s="1"/>
  <c r="AB139" i="34"/>
  <c r="AB818" i="34" s="1"/>
  <c r="AB107" i="34"/>
  <c r="AB116" i="34"/>
  <c r="AB731" i="34" s="1"/>
  <c r="AB148" i="34"/>
  <c r="AB166" i="34"/>
  <c r="AB174" i="34"/>
  <c r="AB164" i="34"/>
  <c r="AB172" i="34"/>
  <c r="AB142" i="34"/>
  <c r="AB805" i="34" s="1"/>
  <c r="AB119" i="34"/>
  <c r="AB87" i="34"/>
  <c r="AB754" i="34" s="1"/>
  <c r="AB90" i="34"/>
  <c r="AB740" i="34" s="1"/>
  <c r="AB106" i="34"/>
  <c r="AB729" i="34" s="1"/>
  <c r="AB137" i="34"/>
  <c r="AB140" i="34"/>
  <c r="AB146" i="34"/>
  <c r="AB153" i="34"/>
  <c r="AB175" i="34"/>
  <c r="AB123" i="34"/>
  <c r="AB816" i="34" s="1"/>
  <c r="AB163" i="34"/>
  <c r="AC799" i="34"/>
  <c r="AC773" i="34"/>
  <c r="E11" i="39"/>
  <c r="B47" i="35"/>
  <c r="A46" i="35" s="1"/>
  <c r="B35" i="35"/>
  <c r="B34" i="35"/>
  <c r="B52" i="35"/>
  <c r="N33" i="39"/>
  <c r="B51" i="35"/>
  <c r="B31" i="35"/>
  <c r="B42" i="39"/>
  <c r="B14" i="39"/>
  <c r="AC728" i="34"/>
  <c r="AC771" i="34"/>
  <c r="V8" i="33"/>
  <c r="T8" i="33"/>
  <c r="AC755" i="34"/>
  <c r="AC798" i="34"/>
  <c r="L18" i="38"/>
  <c r="P18" i="38" s="1"/>
  <c r="AC788" i="34"/>
  <c r="AC760" i="34"/>
  <c r="AC746" i="34"/>
  <c r="AC774" i="34"/>
  <c r="L14" i="38"/>
  <c r="P14" i="38" s="1"/>
  <c r="AD821" i="34"/>
  <c r="AA745" i="34"/>
  <c r="AA759" i="34"/>
  <c r="AA801" i="34"/>
  <c r="AA722" i="34"/>
  <c r="AA766" i="34"/>
  <c r="AD11" i="33"/>
  <c r="AE11" i="33"/>
  <c r="AK11" i="33"/>
  <c r="AJ11" i="33"/>
  <c r="X11" i="33"/>
  <c r="AM10" i="38"/>
  <c r="AC775" i="34"/>
  <c r="AC733" i="34"/>
  <c r="L12" i="33"/>
  <c r="P12" i="33" s="1"/>
  <c r="AC784" i="34"/>
  <c r="AC741" i="34"/>
  <c r="L13" i="38"/>
  <c r="P13" i="38" s="1"/>
  <c r="N17" i="38"/>
  <c r="AC17" i="38" s="1"/>
  <c r="AD759" i="34"/>
  <c r="AD745" i="34"/>
  <c r="AA753" i="34"/>
  <c r="AA782" i="34"/>
  <c r="AA800" i="34"/>
  <c r="AA786" i="34"/>
  <c r="AA814" i="34"/>
  <c r="S8" i="33"/>
  <c r="U8" i="33"/>
  <c r="AT16" i="33"/>
  <c r="AN16" i="33"/>
  <c r="AP16" i="33"/>
  <c r="AL16" i="33"/>
  <c r="AS16" i="33"/>
  <c r="W11" i="38"/>
  <c r="X11" i="38"/>
  <c r="K13" i="38"/>
  <c r="O13" i="38" s="1"/>
  <c r="T17" i="38"/>
  <c r="V17" i="38"/>
  <c r="AA739" i="34"/>
  <c r="AA768" i="34"/>
  <c r="AA771" i="34"/>
  <c r="AA728" i="34"/>
  <c r="F15" i="38"/>
  <c r="AD15" i="38" s="1"/>
  <c r="F19" i="33"/>
  <c r="AN15" i="38"/>
  <c r="T12" i="38"/>
  <c r="F12" i="38" s="1"/>
  <c r="V12" i="38"/>
  <c r="F16" i="33"/>
  <c r="K12" i="33"/>
  <c r="O12" i="33" s="1"/>
  <c r="K18" i="38"/>
  <c r="O18" i="38" s="1"/>
  <c r="AC745" i="34"/>
  <c r="AC814" i="34"/>
  <c r="AC800" i="34"/>
  <c r="AC786" i="34"/>
  <c r="K14" i="38"/>
  <c r="O14" i="38" s="1"/>
  <c r="AA758" i="34"/>
  <c r="AA772" i="34"/>
  <c r="AD16" i="33"/>
  <c r="U10" i="33"/>
  <c r="S10" i="33"/>
  <c r="AL18" i="33"/>
  <c r="AS18" i="33"/>
  <c r="AP18" i="33"/>
  <c r="Y11" i="33"/>
  <c r="AA11" i="33" s="1"/>
  <c r="AE812" i="34" l="1"/>
  <c r="V11" i="33"/>
  <c r="AE783" i="34"/>
  <c r="AE759" i="34"/>
  <c r="AE788" i="34"/>
  <c r="AQ15" i="38"/>
  <c r="AT18" i="33"/>
  <c r="AP15" i="38"/>
  <c r="AN18" i="33"/>
  <c r="AL15" i="38"/>
  <c r="AO15" i="38"/>
  <c r="AE760" i="34"/>
  <c r="F18" i="33"/>
  <c r="W18" i="33" s="1"/>
  <c r="F10" i="38"/>
  <c r="X10" i="38" s="1"/>
  <c r="AM19" i="33"/>
  <c r="AE796" i="34"/>
  <c r="AE767" i="34"/>
  <c r="AC801" i="34"/>
  <c r="AJ11" i="38"/>
  <c r="AP19" i="33"/>
  <c r="AQ14" i="33"/>
  <c r="AT14" i="33"/>
  <c r="AN8" i="38"/>
  <c r="AQ19" i="33"/>
  <c r="AM17" i="33"/>
  <c r="AK11" i="38"/>
  <c r="AC722" i="34"/>
  <c r="AO14" i="33"/>
  <c r="AS14" i="33"/>
  <c r="AL8" i="38"/>
  <c r="AM8" i="38"/>
  <c r="AN10" i="38"/>
  <c r="AM14" i="33"/>
  <c r="AE742" i="34"/>
  <c r="AE799" i="34"/>
  <c r="AE808" i="34"/>
  <c r="AE821" i="34"/>
  <c r="AE761" i="34"/>
  <c r="AE747" i="34"/>
  <c r="AD11" i="38"/>
  <c r="AF11" i="38" s="1"/>
  <c r="AH11" i="38" s="1"/>
  <c r="AE782" i="34"/>
  <c r="AL14" i="33"/>
  <c r="AO8" i="38"/>
  <c r="AL19" i="33"/>
  <c r="AQ10" i="38"/>
  <c r="AL10" i="38"/>
  <c r="AE739" i="34"/>
  <c r="AS17" i="33"/>
  <c r="AP17" i="33"/>
  <c r="N7" i="38"/>
  <c r="AC7" i="38" s="1"/>
  <c r="AS19" i="33"/>
  <c r="AN19" i="33"/>
  <c r="AO10" i="38"/>
  <c r="AP10" i="38"/>
  <c r="AC783" i="34"/>
  <c r="AN17" i="33"/>
  <c r="AO17" i="33"/>
  <c r="AT19" i="33"/>
  <c r="AL17" i="33"/>
  <c r="N7" i="33"/>
  <c r="AC7" i="33" s="1"/>
  <c r="AD16" i="38"/>
  <c r="X17" i="33"/>
  <c r="AE771" i="34"/>
  <c r="AA742" i="34"/>
  <c r="AA799" i="34"/>
  <c r="AA788" i="34"/>
  <c r="AA760" i="34"/>
  <c r="AA774" i="34"/>
  <c r="AA746" i="34"/>
  <c r="AE748" i="34"/>
  <c r="AE762" i="34"/>
  <c r="AE784" i="34"/>
  <c r="AE741" i="34"/>
  <c r="AE766" i="34"/>
  <c r="AE722" i="34"/>
  <c r="AO19" i="33"/>
  <c r="AJ17" i="33"/>
  <c r="AA773" i="34"/>
  <c r="AA787" i="34"/>
  <c r="AC758" i="34"/>
  <c r="AK17" i="33"/>
  <c r="AA747" i="34"/>
  <c r="AA761" i="34"/>
  <c r="AA821" i="34"/>
  <c r="AA808" i="34"/>
  <c r="AE786" i="34"/>
  <c r="AE814" i="34"/>
  <c r="AE800" i="34"/>
  <c r="AS11" i="33"/>
  <c r="AC748" i="34"/>
  <c r="AC762" i="34"/>
  <c r="V19" i="38"/>
  <c r="T19" i="38"/>
  <c r="AD787" i="34"/>
  <c r="AD773" i="34"/>
  <c r="AD811" i="34"/>
  <c r="AD724" i="34"/>
  <c r="AD799" i="34"/>
  <c r="AD742" i="34"/>
  <c r="AD725" i="34"/>
  <c r="AD783" i="34"/>
  <c r="AD784" i="34"/>
  <c r="AD741" i="34"/>
  <c r="M14" i="38"/>
  <c r="AB14" i="38" s="1"/>
  <c r="M18" i="38"/>
  <c r="AB18" i="38" s="1"/>
  <c r="AN11" i="33"/>
  <c r="AM11" i="33"/>
  <c r="AQ18" i="33"/>
  <c r="AE17" i="33"/>
  <c r="AD786" i="34"/>
  <c r="AD800" i="34"/>
  <c r="AD814" i="34"/>
  <c r="AD768" i="34"/>
  <c r="AD739" i="34"/>
  <c r="AD774" i="34"/>
  <c r="AD788" i="34"/>
  <c r="AD746" i="34"/>
  <c r="AD760" i="34"/>
  <c r="Y17" i="33"/>
  <c r="AA17" i="33" s="1"/>
  <c r="AA775" i="34"/>
  <c r="AA733" i="34"/>
  <c r="AA784" i="34"/>
  <c r="AA741" i="34"/>
  <c r="AD766" i="34"/>
  <c r="AD722" i="34"/>
  <c r="AD748" i="34"/>
  <c r="AD762" i="34"/>
  <c r="AD775" i="34"/>
  <c r="AD733" i="34"/>
  <c r="AD753" i="34"/>
  <c r="AD782" i="34"/>
  <c r="AD767" i="34"/>
  <c r="AD796" i="34"/>
  <c r="AD723" i="34"/>
  <c r="N14" i="38"/>
  <c r="AC14" i="38" s="1"/>
  <c r="AP11" i="33"/>
  <c r="AE16" i="38"/>
  <c r="AF16" i="38" s="1"/>
  <c r="AH16" i="38" s="1"/>
  <c r="AM18" i="33"/>
  <c r="M13" i="33"/>
  <c r="AB13" i="33" s="1"/>
  <c r="AD17" i="33"/>
  <c r="T7" i="38"/>
  <c r="F7" i="38" s="1"/>
  <c r="X7" i="38" s="1"/>
  <c r="V7" i="38"/>
  <c r="AA723" i="34"/>
  <c r="AA767" i="34"/>
  <c r="AA796" i="34"/>
  <c r="AA724" i="34"/>
  <c r="AA811" i="34"/>
  <c r="AD812" i="34"/>
  <c r="AD769" i="34"/>
  <c r="AD755" i="34"/>
  <c r="AD798" i="34"/>
  <c r="AD758" i="34"/>
  <c r="AD772" i="34"/>
  <c r="AD771" i="34"/>
  <c r="AD728" i="34"/>
  <c r="AE12" i="38"/>
  <c r="W12" i="38"/>
  <c r="AQ8" i="33"/>
  <c r="AM8" i="33"/>
  <c r="AO8" i="33"/>
  <c r="T13" i="33"/>
  <c r="V13" i="33"/>
  <c r="U13" i="33"/>
  <c r="S13" i="33"/>
  <c r="AK16" i="38"/>
  <c r="AJ16" i="38"/>
  <c r="X16" i="38"/>
  <c r="Y16" i="38" s="1"/>
  <c r="AA16" i="38" s="1"/>
  <c r="M9" i="38"/>
  <c r="AB9" i="38" s="1"/>
  <c r="M13" i="38"/>
  <c r="AB13" i="38" s="1"/>
  <c r="Y11" i="38"/>
  <c r="AA11" i="38" s="1"/>
  <c r="N13" i="33"/>
  <c r="AC13" i="33" s="1"/>
  <c r="F14" i="33"/>
  <c r="W14" i="33" s="1"/>
  <c r="F9" i="33"/>
  <c r="X9" i="33" s="1"/>
  <c r="V10" i="33"/>
  <c r="AN10" i="33" s="1"/>
  <c r="T10" i="33"/>
  <c r="AO15" i="33"/>
  <c r="AQ15" i="33"/>
  <c r="AM15" i="33"/>
  <c r="AN15" i="33"/>
  <c r="AP15" i="33"/>
  <c r="AL15" i="33"/>
  <c r="AT15" i="33"/>
  <c r="AS15" i="33"/>
  <c r="S17" i="38"/>
  <c r="U17" i="38"/>
  <c r="AQ9" i="33"/>
  <c r="AM9" i="33"/>
  <c r="AO9" i="33"/>
  <c r="AP9" i="33"/>
  <c r="AS9" i="33"/>
  <c r="AL9" i="33"/>
  <c r="AT9" i="33"/>
  <c r="AN9" i="33"/>
  <c r="N10" i="33"/>
  <c r="AC10" i="33" s="1"/>
  <c r="F15" i="33"/>
  <c r="M12" i="33"/>
  <c r="AB12" i="33" s="1"/>
  <c r="N13" i="38"/>
  <c r="AC13" i="38" s="1"/>
  <c r="T7" i="33"/>
  <c r="F7" i="33" s="1"/>
  <c r="V7" i="33"/>
  <c r="AD8" i="38"/>
  <c r="AF8" i="38" s="1"/>
  <c r="AH8" i="38" s="1"/>
  <c r="AJ8" i="38"/>
  <c r="W8" i="38"/>
  <c r="X8" i="38"/>
  <c r="AK8" i="38"/>
  <c r="M17" i="38"/>
  <c r="AB17" i="38" s="1"/>
  <c r="F17" i="38" s="1"/>
  <c r="AE17" i="38" s="1"/>
  <c r="S9" i="38"/>
  <c r="F9" i="38" s="1"/>
  <c r="U9" i="38"/>
  <c r="AB825" i="34"/>
  <c r="AC768" i="34"/>
  <c r="AC739" i="34"/>
  <c r="AC821" i="34"/>
  <c r="AC747" i="34"/>
  <c r="AC782" i="34"/>
  <c r="AC753" i="34"/>
  <c r="AC811" i="34"/>
  <c r="AC724" i="34"/>
  <c r="AB747" i="34"/>
  <c r="AB761" i="34"/>
  <c r="AB808" i="34"/>
  <c r="AB821" i="34"/>
  <c r="AB739" i="34"/>
  <c r="AB768" i="34"/>
  <c r="AB755" i="34"/>
  <c r="AB798" i="34"/>
  <c r="AB766" i="34"/>
  <c r="AB722" i="34"/>
  <c r="AB799" i="34"/>
  <c r="AB742" i="34"/>
  <c r="AB723" i="34"/>
  <c r="AB767" i="34"/>
  <c r="AB796" i="34"/>
  <c r="AB787" i="34"/>
  <c r="AB773" i="34"/>
  <c r="AB769" i="34"/>
  <c r="AB812" i="34"/>
  <c r="AB724" i="34"/>
  <c r="AB811" i="34"/>
  <c r="AB772" i="34"/>
  <c r="AB758" i="34"/>
  <c r="AB771" i="34"/>
  <c r="AB728" i="34"/>
  <c r="AB774" i="34"/>
  <c r="AB760" i="34"/>
  <c r="AB746" i="34"/>
  <c r="AB788" i="34"/>
  <c r="AB786" i="34"/>
  <c r="AB800" i="34"/>
  <c r="AB814" i="34"/>
  <c r="AB775" i="34"/>
  <c r="AB733" i="34"/>
  <c r="AB783" i="34"/>
  <c r="AB725" i="34"/>
  <c r="AB784" i="34"/>
  <c r="AB741" i="34"/>
  <c r="AB753" i="34"/>
  <c r="AB782" i="34"/>
  <c r="AB801" i="34"/>
  <c r="AB745" i="34"/>
  <c r="AB759" i="34"/>
  <c r="AB762" i="34"/>
  <c r="AB748" i="34"/>
  <c r="B36" i="35"/>
  <c r="B53" i="35"/>
  <c r="B54" i="35" s="1"/>
  <c r="B56" i="35" s="1"/>
  <c r="B43" i="39"/>
  <c r="B27" i="39"/>
  <c r="AP10" i="33"/>
  <c r="S12" i="33"/>
  <c r="U12" i="33"/>
  <c r="AJ16" i="33"/>
  <c r="AE16" i="33"/>
  <c r="AK16" i="33"/>
  <c r="W16" i="33"/>
  <c r="X12" i="38"/>
  <c r="X16" i="33"/>
  <c r="S13" i="38"/>
  <c r="U13" i="38"/>
  <c r="F8" i="33"/>
  <c r="W8" i="33" s="1"/>
  <c r="AF11" i="33"/>
  <c r="AH11" i="33" s="1"/>
  <c r="AI11" i="33" s="1"/>
  <c r="AT8" i="33"/>
  <c r="AS8" i="33"/>
  <c r="AN8" i="33"/>
  <c r="AP8" i="33"/>
  <c r="AL8" i="33"/>
  <c r="AJ19" i="33"/>
  <c r="AE19" i="33"/>
  <c r="X19" i="33"/>
  <c r="AK19" i="33"/>
  <c r="AD19" i="33"/>
  <c r="AK15" i="38"/>
  <c r="W15" i="38"/>
  <c r="AJ15" i="38"/>
  <c r="AE15" i="38"/>
  <c r="AF15" i="38" s="1"/>
  <c r="AH15" i="38" s="1"/>
  <c r="X15" i="38"/>
  <c r="AF16" i="33"/>
  <c r="AH16" i="33" s="1"/>
  <c r="AK18" i="33"/>
  <c r="AD18" i="33"/>
  <c r="AJ18" i="33"/>
  <c r="X18" i="33"/>
  <c r="Y18" i="33" s="1"/>
  <c r="AA18" i="33" s="1"/>
  <c r="AE18" i="33"/>
  <c r="AP17" i="38"/>
  <c r="AK10" i="38"/>
  <c r="W10" i="38"/>
  <c r="Y10" i="38" s="1"/>
  <c r="AA10" i="38" s="1"/>
  <c r="AE10" i="38"/>
  <c r="AD10" i="38"/>
  <c r="AJ10" i="38"/>
  <c r="AI11" i="38"/>
  <c r="T13" i="38"/>
  <c r="V13" i="38"/>
  <c r="N12" i="33"/>
  <c r="AC12" i="33" s="1"/>
  <c r="N18" i="38"/>
  <c r="AC18" i="38" s="1"/>
  <c r="V12" i="33"/>
  <c r="T12" i="33"/>
  <c r="T18" i="38"/>
  <c r="V18" i="38"/>
  <c r="S14" i="38"/>
  <c r="U14" i="38"/>
  <c r="U18" i="38"/>
  <c r="S18" i="38"/>
  <c r="AQ12" i="38"/>
  <c r="AM12" i="38"/>
  <c r="AL12" i="38"/>
  <c r="AO12" i="38"/>
  <c r="AN12" i="38"/>
  <c r="AP12" i="38"/>
  <c r="W19" i="33"/>
  <c r="AK12" i="38"/>
  <c r="AJ12" i="38"/>
  <c r="AD12" i="38"/>
  <c r="AF12" i="38" s="1"/>
  <c r="AH12" i="38" s="1"/>
  <c r="T14" i="38"/>
  <c r="V14" i="38"/>
  <c r="AF10" i="38" l="1"/>
  <c r="AH10" i="38" s="1"/>
  <c r="AO11" i="33"/>
  <c r="AQ11" i="33"/>
  <c r="AL11" i="33"/>
  <c r="AT11" i="33"/>
  <c r="W7" i="38"/>
  <c r="Y7" i="38" s="1"/>
  <c r="AA7" i="38" s="1"/>
  <c r="AQ17" i="38"/>
  <c r="X8" i="33"/>
  <c r="Y8" i="33" s="1"/>
  <c r="AA8" i="33" s="1"/>
  <c r="AE7" i="38"/>
  <c r="AK7" i="38"/>
  <c r="AF19" i="33"/>
  <c r="AH19" i="33" s="1"/>
  <c r="AO17" i="38"/>
  <c r="AL10" i="33"/>
  <c r="AL17" i="38"/>
  <c r="AN17" i="38"/>
  <c r="AD7" i="38"/>
  <c r="Y15" i="38"/>
  <c r="AA15" i="38" s="1"/>
  <c r="AI15" i="38" s="1"/>
  <c r="AS10" i="33"/>
  <c r="AT10" i="33"/>
  <c r="AF17" i="33"/>
  <c r="AH17" i="33" s="1"/>
  <c r="AI17" i="33" s="1"/>
  <c r="AM17" i="38"/>
  <c r="AJ7" i="38"/>
  <c r="Y12" i="38"/>
  <c r="AA12" i="38" s="1"/>
  <c r="X17" i="38"/>
  <c r="AI10" i="38"/>
  <c r="AI16" i="38"/>
  <c r="AO19" i="38"/>
  <c r="AP19" i="38"/>
  <c r="AM19" i="38"/>
  <c r="AQ19" i="38"/>
  <c r="AL19" i="38"/>
  <c r="AN19" i="38"/>
  <c r="AN7" i="38"/>
  <c r="AL7" i="38"/>
  <c r="AM7" i="38"/>
  <c r="AO7" i="38"/>
  <c r="AQ7" i="38"/>
  <c r="AP7" i="38"/>
  <c r="F10" i="33"/>
  <c r="X10" i="33" s="1"/>
  <c r="Y16" i="33"/>
  <c r="AA16" i="33" s="1"/>
  <c r="F19" i="38"/>
  <c r="X19" i="38" s="1"/>
  <c r="AJ7" i="33"/>
  <c r="AK7" i="33"/>
  <c r="AD7" i="33"/>
  <c r="W7" i="33"/>
  <c r="AE7" i="33"/>
  <c r="AQ12" i="33"/>
  <c r="AM12" i="33"/>
  <c r="AO12" i="33"/>
  <c r="AQ7" i="33"/>
  <c r="AM7" i="33"/>
  <c r="AP7" i="33"/>
  <c r="AL7" i="33"/>
  <c r="AO7" i="33"/>
  <c r="AN7" i="33"/>
  <c r="AS7" i="33"/>
  <c r="AT7" i="33"/>
  <c r="AE9" i="33"/>
  <c r="AD9" i="33"/>
  <c r="AJ9" i="33"/>
  <c r="W9" i="33"/>
  <c r="Y9" i="33" s="1"/>
  <c r="AA9" i="33" s="1"/>
  <c r="AK9" i="33"/>
  <c r="AO9" i="38"/>
  <c r="AQ9" i="38"/>
  <c r="AM9" i="38"/>
  <c r="AL9" i="38"/>
  <c r="AN9" i="38"/>
  <c r="AP9" i="38"/>
  <c r="AK15" i="33"/>
  <c r="AJ15" i="33"/>
  <c r="AD15" i="33"/>
  <c r="AE15" i="33"/>
  <c r="W15" i="33"/>
  <c r="AQ13" i="33"/>
  <c r="AM13" i="33"/>
  <c r="AO13" i="33"/>
  <c r="AP13" i="33"/>
  <c r="AT13" i="33"/>
  <c r="AS13" i="33"/>
  <c r="AL13" i="33"/>
  <c r="AN13" i="33"/>
  <c r="Y19" i="33"/>
  <c r="AA19" i="33" s="1"/>
  <c r="AF18" i="33"/>
  <c r="AH18" i="33" s="1"/>
  <c r="AI18" i="33" s="1"/>
  <c r="W9" i="38"/>
  <c r="X9" i="38"/>
  <c r="AK9" i="38"/>
  <c r="AJ9" i="38"/>
  <c r="AE9" i="38"/>
  <c r="Y8" i="38"/>
  <c r="AA8" i="38" s="1"/>
  <c r="AI8" i="38" s="1"/>
  <c r="X7" i="33"/>
  <c r="X15" i="33"/>
  <c r="AO10" i="33"/>
  <c r="AQ10" i="33"/>
  <c r="AM10" i="33"/>
  <c r="X14" i="33"/>
  <c r="Y14" i="33" s="1"/>
  <c r="AA14" i="33" s="1"/>
  <c r="AE14" i="33"/>
  <c r="AD14" i="33"/>
  <c r="AJ14" i="33"/>
  <c r="AK14" i="33"/>
  <c r="AD9" i="38"/>
  <c r="F13" i="33"/>
  <c r="W13" i="33" s="1"/>
  <c r="H15" i="39"/>
  <c r="M12" i="36"/>
  <c r="B29" i="39"/>
  <c r="B28" i="39"/>
  <c r="B79" i="39"/>
  <c r="B78" i="39"/>
  <c r="B44" i="39"/>
  <c r="B45" i="39"/>
  <c r="AI12" i="38"/>
  <c r="AI16" i="33"/>
  <c r="AD8" i="33"/>
  <c r="AK8" i="33"/>
  <c r="AJ8" i="33"/>
  <c r="AE8" i="33"/>
  <c r="F13" i="38"/>
  <c r="X13" i="38" s="1"/>
  <c r="F12" i="33"/>
  <c r="AE12" i="33" s="1"/>
  <c r="AE10" i="33"/>
  <c r="AM13" i="38"/>
  <c r="AP13" i="38"/>
  <c r="AN13" i="38"/>
  <c r="AQ13" i="38"/>
  <c r="AL13" i="38"/>
  <c r="AO13" i="38"/>
  <c r="AP14" i="38"/>
  <c r="AM14" i="38"/>
  <c r="AQ14" i="38"/>
  <c r="AL14" i="38"/>
  <c r="AO14" i="38"/>
  <c r="AN14" i="38"/>
  <c r="F14" i="38"/>
  <c r="X14" i="38" s="1"/>
  <c r="AN18" i="38"/>
  <c r="AO18" i="38"/>
  <c r="AL18" i="38"/>
  <c r="AQ18" i="38"/>
  <c r="AM18" i="38"/>
  <c r="AP18" i="38"/>
  <c r="F18" i="38"/>
  <c r="AE18" i="38" s="1"/>
  <c r="AN12" i="33"/>
  <c r="AL12" i="33"/>
  <c r="AT12" i="33"/>
  <c r="AS12" i="33"/>
  <c r="AP12" i="33"/>
  <c r="AJ17" i="38"/>
  <c r="W17" i="38"/>
  <c r="AD17" i="38"/>
  <c r="AF17" i="38" s="1"/>
  <c r="AH17" i="38" s="1"/>
  <c r="AK17" i="38"/>
  <c r="AF7" i="38" l="1"/>
  <c r="AH7" i="38" s="1"/>
  <c r="AI7" i="38" s="1"/>
  <c r="Y7" i="33"/>
  <c r="AA7" i="33" s="1"/>
  <c r="AI19" i="33"/>
  <c r="AF14" i="33"/>
  <c r="AH14" i="33" s="1"/>
  <c r="AI14" i="33" s="1"/>
  <c r="Y17" i="38"/>
  <c r="AA17" i="38" s="1"/>
  <c r="AI17" i="38" s="1"/>
  <c r="W10" i="33"/>
  <c r="Y10" i="33" s="1"/>
  <c r="AA10" i="33" s="1"/>
  <c r="AD10" i="33"/>
  <c r="AF10" i="33" s="1"/>
  <c r="AH10" i="33" s="1"/>
  <c r="AJ10" i="33"/>
  <c r="AK10" i="33"/>
  <c r="W12" i="33"/>
  <c r="AF7" i="33"/>
  <c r="AH7" i="33" s="1"/>
  <c r="W14" i="38"/>
  <c r="Y14" i="38" s="1"/>
  <c r="AA14" i="38" s="1"/>
  <c r="AF9" i="33"/>
  <c r="AH9" i="33" s="1"/>
  <c r="X12" i="33"/>
  <c r="AD19" i="38"/>
  <c r="W19" i="38"/>
  <c r="Y19" i="38" s="1"/>
  <c r="AA19" i="38" s="1"/>
  <c r="AK19" i="38"/>
  <c r="AJ19" i="38"/>
  <c r="AE19" i="38"/>
  <c r="X18" i="38"/>
  <c r="AF8" i="33"/>
  <c r="AH8" i="33" s="1"/>
  <c r="AF9" i="38"/>
  <c r="AH9" i="38" s="1"/>
  <c r="Y9" i="38"/>
  <c r="AA9" i="38" s="1"/>
  <c r="Y15" i="33"/>
  <c r="AA15" i="33" s="1"/>
  <c r="AI9" i="33"/>
  <c r="AK13" i="33"/>
  <c r="AD13" i="33"/>
  <c r="AE13" i="33"/>
  <c r="AJ13" i="33"/>
  <c r="X13" i="33"/>
  <c r="Y13" i="33" s="1"/>
  <c r="AA13" i="33" s="1"/>
  <c r="AI7" i="33"/>
  <c r="AF15" i="33"/>
  <c r="AH15" i="33" s="1"/>
  <c r="AI15" i="33" s="1"/>
  <c r="P13" i="36"/>
  <c r="C16" i="36"/>
  <c r="B73" i="32" s="1"/>
  <c r="F17" i="36"/>
  <c r="I75" i="32" s="1"/>
  <c r="H17" i="36"/>
  <c r="S75" i="32" s="1"/>
  <c r="C13" i="36"/>
  <c r="B67" i="32" s="1"/>
  <c r="C14" i="36"/>
  <c r="B69" i="32" s="1"/>
  <c r="H13" i="36"/>
  <c r="S67" i="32" s="1"/>
  <c r="H14" i="36"/>
  <c r="S69" i="32" s="1"/>
  <c r="F13" i="36"/>
  <c r="I67" i="32" s="1"/>
  <c r="F14" i="36"/>
  <c r="I69" i="32" s="1"/>
  <c r="B80" i="39"/>
  <c r="H45" i="39"/>
  <c r="H48" i="39" s="1"/>
  <c r="B48" i="39"/>
  <c r="M14" i="36"/>
  <c r="H28" i="39"/>
  <c r="H31" i="39" s="1"/>
  <c r="B31" i="39"/>
  <c r="C31" i="39"/>
  <c r="B47" i="39"/>
  <c r="C47" i="39" s="1"/>
  <c r="H44" i="39"/>
  <c r="H47" i="39" s="1"/>
  <c r="M15" i="36"/>
  <c r="H16" i="36" s="1"/>
  <c r="B32" i="39"/>
  <c r="H29" i="39"/>
  <c r="H32" i="39" s="1"/>
  <c r="W18" i="38"/>
  <c r="AJ13" i="38"/>
  <c r="AK13" i="38"/>
  <c r="AE13" i="38"/>
  <c r="AD13" i="38"/>
  <c r="W13" i="38"/>
  <c r="Y13" i="38" s="1"/>
  <c r="AA13" i="38" s="1"/>
  <c r="AI8" i="33"/>
  <c r="AJ18" i="38"/>
  <c r="AK18" i="38"/>
  <c r="AD18" i="38"/>
  <c r="AF18" i="38" s="1"/>
  <c r="AH18" i="38" s="1"/>
  <c r="AK14" i="38"/>
  <c r="AJ14" i="38"/>
  <c r="AD14" i="38"/>
  <c r="AE14" i="38"/>
  <c r="AK12" i="33"/>
  <c r="AJ12" i="33"/>
  <c r="AD12" i="33"/>
  <c r="AF12" i="33" s="1"/>
  <c r="AH12" i="33" s="1"/>
  <c r="Y18" i="38" l="1"/>
  <c r="AA18" i="38" s="1"/>
  <c r="AI18" i="38" s="1"/>
  <c r="AI10" i="33"/>
  <c r="Y12" i="33"/>
  <c r="AA12" i="33" s="1"/>
  <c r="AI12" i="33" s="1"/>
  <c r="AF13" i="38"/>
  <c r="AH13" i="38" s="1"/>
  <c r="AI13" i="38" s="1"/>
  <c r="AF19" i="38"/>
  <c r="AH19" i="38" s="1"/>
  <c r="AI19" i="38" s="1"/>
  <c r="AI9" i="38"/>
  <c r="AF13" i="33"/>
  <c r="AH13" i="33" s="1"/>
  <c r="AI13" i="33" s="1"/>
  <c r="P16" i="36"/>
  <c r="P15" i="36"/>
  <c r="P14" i="36"/>
  <c r="F15" i="36"/>
  <c r="F18" i="36"/>
  <c r="F16" i="36"/>
  <c r="H15" i="36"/>
  <c r="H18" i="36"/>
  <c r="AF14" i="38"/>
  <c r="AH14" i="38" s="1"/>
  <c r="AI14" i="38" s="1"/>
  <c r="Q15" i="36" l="1"/>
  <c r="Q11" i="36"/>
  <c r="Q12" i="36"/>
  <c r="Q13" i="36"/>
  <c r="Q14" i="36"/>
  <c r="Q16" i="36"/>
  <c r="I16" i="36"/>
  <c r="S73" i="32"/>
  <c r="I73" i="32"/>
  <c r="G16" i="36"/>
  <c r="S77" i="32"/>
  <c r="I18" i="36"/>
  <c r="G18" i="36"/>
  <c r="I77" i="32"/>
  <c r="S71" i="32"/>
  <c r="I11" i="36"/>
  <c r="I13" i="36"/>
  <c r="I19" i="36"/>
  <c r="H20" i="36"/>
  <c r="I17" i="36"/>
  <c r="I14" i="36"/>
  <c r="I15" i="36"/>
  <c r="I12" i="36"/>
  <c r="G11" i="36"/>
  <c r="G19" i="36"/>
  <c r="G17" i="36"/>
  <c r="G12" i="36"/>
  <c r="G13" i="36"/>
  <c r="I71" i="32"/>
  <c r="F20" i="36"/>
  <c r="G15" i="36"/>
  <c r="G14" i="36"/>
  <c r="E26" i="36" l="1"/>
  <c r="D34" i="36"/>
  <c r="E34" i="36" s="1"/>
  <c r="E111" i="32" s="1"/>
  <c r="E96" i="36" s="1"/>
  <c r="D35" i="36"/>
  <c r="E35" i="36" s="1"/>
  <c r="E113" i="32" s="1"/>
  <c r="D37" i="36"/>
  <c r="E37" i="36" s="1"/>
  <c r="E118" i="32" s="1"/>
  <c r="E100" i="36" s="1"/>
  <c r="D42" i="36"/>
  <c r="E42" i="36" s="1"/>
  <c r="D44" i="36"/>
  <c r="E44" i="36" s="1"/>
  <c r="D39" i="36"/>
  <c r="E39" i="36" s="1"/>
  <c r="F39" i="36"/>
  <c r="G39" i="36" s="1"/>
  <c r="F42" i="36"/>
  <c r="G42" i="36" s="1"/>
  <c r="F44" i="36"/>
  <c r="G44" i="36" s="1"/>
  <c r="D30" i="36"/>
  <c r="D32" i="36"/>
  <c r="D31" i="36"/>
  <c r="Q17" i="36"/>
  <c r="F26" i="36"/>
  <c r="E84" i="36"/>
  <c r="D84" i="36"/>
  <c r="H21" i="38"/>
  <c r="H21" i="33"/>
  <c r="AA4" i="34"/>
  <c r="D41" i="36"/>
  <c r="E41" i="36" s="1"/>
  <c r="E132" i="32" s="1"/>
  <c r="E104" i="36" s="1"/>
  <c r="D43" i="36"/>
  <c r="E43" i="36" s="1"/>
  <c r="E136" i="32" s="1"/>
  <c r="M77" i="32"/>
  <c r="M71" i="32"/>
  <c r="M65" i="32"/>
  <c r="M79" i="32"/>
  <c r="M63" i="32"/>
  <c r="M75" i="32"/>
  <c r="M69" i="32"/>
  <c r="M67" i="32"/>
  <c r="M73" i="32"/>
  <c r="W73" i="32"/>
  <c r="E85" i="36"/>
  <c r="G21" i="38"/>
  <c r="AA3" i="34"/>
  <c r="D85" i="36"/>
  <c r="D63" i="36"/>
  <c r="E63" i="36" s="1"/>
  <c r="F63" i="36"/>
  <c r="G63" i="36" s="1"/>
  <c r="F62" i="36"/>
  <c r="G62" i="36" s="1"/>
  <c r="G21" i="33"/>
  <c r="D62" i="36"/>
  <c r="E62" i="36" s="1"/>
  <c r="W63" i="32"/>
  <c r="W79" i="32"/>
  <c r="W71" i="32"/>
  <c r="W65" i="32"/>
  <c r="W75" i="32"/>
  <c r="W69" i="32"/>
  <c r="W67" i="32"/>
  <c r="W77" i="32"/>
  <c r="E180" i="32" l="1"/>
  <c r="E125" i="36" s="1"/>
  <c r="G59" i="33"/>
  <c r="H161" i="34"/>
  <c r="G161" i="34"/>
  <c r="F59" i="33"/>
  <c r="E234" i="32"/>
  <c r="E148" i="36" s="1"/>
  <c r="E236" i="32"/>
  <c r="E182" i="32"/>
  <c r="E125" i="32"/>
  <c r="E102" i="36" s="1"/>
  <c r="E138" i="32"/>
  <c r="E134" i="32"/>
  <c r="E105" i="36" s="1"/>
  <c r="V19" i="34"/>
  <c r="U19" i="34"/>
  <c r="T19" i="34"/>
  <c r="S19" i="34"/>
  <c r="E90" i="32"/>
  <c r="G90" i="32" s="1"/>
  <c r="E31" i="36"/>
  <c r="E102" i="32" s="1"/>
  <c r="I37" i="34"/>
  <c r="K126" i="34"/>
  <c r="H120" i="34"/>
  <c r="K63" i="34"/>
  <c r="V88" i="34"/>
  <c r="H123" i="34"/>
  <c r="I53" i="34"/>
  <c r="K127" i="34"/>
  <c r="J36" i="34"/>
  <c r="J106" i="34"/>
  <c r="U81" i="34"/>
  <c r="H47" i="34"/>
  <c r="K49" i="34"/>
  <c r="J87" i="34"/>
  <c r="L88" i="34"/>
  <c r="L43" i="34"/>
  <c r="J68" i="34"/>
  <c r="I84" i="34"/>
  <c r="L144" i="34"/>
  <c r="H25" i="34"/>
  <c r="V109" i="34"/>
  <c r="K79" i="34"/>
  <c r="K28" i="34"/>
  <c r="H53" i="34"/>
  <c r="V126" i="34"/>
  <c r="V102" i="34"/>
  <c r="V79" i="34"/>
  <c r="J64" i="34"/>
  <c r="I73" i="34"/>
  <c r="K90" i="34"/>
  <c r="V32" i="34"/>
  <c r="J53" i="34"/>
  <c r="H85" i="34"/>
  <c r="K26" i="34"/>
  <c r="H135" i="34"/>
  <c r="H103" i="34"/>
  <c r="H143" i="34"/>
  <c r="I65" i="34"/>
  <c r="K64" i="34"/>
  <c r="K34" i="34"/>
  <c r="V134" i="34"/>
  <c r="J127" i="34"/>
  <c r="V55" i="34"/>
  <c r="L52" i="34"/>
  <c r="L109" i="34"/>
  <c r="K29" i="34"/>
  <c r="H100" i="34"/>
  <c r="J100" i="34"/>
  <c r="J30" i="34"/>
  <c r="U108" i="34"/>
  <c r="V64" i="34"/>
  <c r="J85" i="34"/>
  <c r="H34" i="34"/>
  <c r="V108" i="34"/>
  <c r="K46" i="34"/>
  <c r="V27" i="34"/>
  <c r="V122" i="34"/>
  <c r="H105" i="34"/>
  <c r="V117" i="34"/>
  <c r="K138" i="34"/>
  <c r="J65" i="34"/>
  <c r="K124" i="34"/>
  <c r="I32" i="34"/>
  <c r="J84" i="34"/>
  <c r="L141" i="34"/>
  <c r="K35" i="34"/>
  <c r="H80" i="34"/>
  <c r="J102" i="34"/>
  <c r="V89" i="34"/>
  <c r="H44" i="34"/>
  <c r="V44" i="34"/>
  <c r="K51" i="34"/>
  <c r="I85" i="34"/>
  <c r="J122" i="34"/>
  <c r="J140" i="34"/>
  <c r="K97" i="34"/>
  <c r="L138" i="34"/>
  <c r="U53" i="34"/>
  <c r="V35" i="34"/>
  <c r="J109" i="34"/>
  <c r="I105" i="34"/>
  <c r="J115" i="34"/>
  <c r="L70" i="34"/>
  <c r="L26" i="34"/>
  <c r="U91" i="34"/>
  <c r="K68" i="34"/>
  <c r="V123" i="34"/>
  <c r="V82" i="34"/>
  <c r="H133" i="34"/>
  <c r="U49" i="34"/>
  <c r="L55" i="34"/>
  <c r="L140" i="34"/>
  <c r="U98" i="34"/>
  <c r="U30" i="34"/>
  <c r="J120" i="34"/>
  <c r="J25" i="34"/>
  <c r="H27" i="34"/>
  <c r="K115" i="34"/>
  <c r="U50" i="34"/>
  <c r="H62" i="34"/>
  <c r="J34" i="34"/>
  <c r="L87" i="34"/>
  <c r="L68" i="34"/>
  <c r="U104" i="34"/>
  <c r="H66" i="34"/>
  <c r="U62" i="34"/>
  <c r="K33" i="34"/>
  <c r="J88" i="34"/>
  <c r="I34" i="34"/>
  <c r="L100" i="34"/>
  <c r="I44" i="34"/>
  <c r="L62" i="34"/>
  <c r="U117" i="34"/>
  <c r="U135" i="34"/>
  <c r="J46" i="34"/>
  <c r="J52" i="34"/>
  <c r="H101" i="34"/>
  <c r="H122" i="34"/>
  <c r="U126" i="34"/>
  <c r="I87" i="34"/>
  <c r="J141" i="34"/>
  <c r="J79" i="34"/>
  <c r="I122" i="34"/>
  <c r="U99" i="34"/>
  <c r="K145" i="34"/>
  <c r="L54" i="34"/>
  <c r="K117" i="34"/>
  <c r="I48" i="34"/>
  <c r="J99" i="34"/>
  <c r="H87" i="34"/>
  <c r="J105" i="34"/>
  <c r="H45" i="34"/>
  <c r="H35" i="34"/>
  <c r="L65" i="34"/>
  <c r="U122" i="34"/>
  <c r="J55" i="34"/>
  <c r="I71" i="34"/>
  <c r="V43" i="34"/>
  <c r="I45" i="34"/>
  <c r="L98" i="34"/>
  <c r="J70" i="34"/>
  <c r="K72" i="34"/>
  <c r="U144" i="34"/>
  <c r="H29" i="34"/>
  <c r="K91" i="34"/>
  <c r="K84" i="34"/>
  <c r="J86" i="34"/>
  <c r="K106" i="34"/>
  <c r="L37" i="34"/>
  <c r="L72" i="34"/>
  <c r="H73" i="34"/>
  <c r="L45" i="34"/>
  <c r="H106" i="34"/>
  <c r="H90" i="34"/>
  <c r="L124" i="34"/>
  <c r="L27" i="34"/>
  <c r="I98" i="34"/>
  <c r="K47" i="34"/>
  <c r="K89" i="34"/>
  <c r="V48" i="34"/>
  <c r="J90" i="34"/>
  <c r="I102" i="34"/>
  <c r="H55" i="34"/>
  <c r="H26" i="34"/>
  <c r="V97" i="34"/>
  <c r="U106" i="34"/>
  <c r="K88" i="34"/>
  <c r="I66" i="34"/>
  <c r="I117" i="34"/>
  <c r="H139" i="34"/>
  <c r="V30" i="34"/>
  <c r="V90" i="34"/>
  <c r="I52" i="34"/>
  <c r="V136" i="34"/>
  <c r="V85" i="34"/>
  <c r="I81" i="34"/>
  <c r="U140" i="34"/>
  <c r="J101" i="34"/>
  <c r="K137" i="34"/>
  <c r="V73" i="34"/>
  <c r="U63" i="34"/>
  <c r="J117" i="34"/>
  <c r="I139" i="34"/>
  <c r="J82" i="34"/>
  <c r="H99" i="34"/>
  <c r="J98" i="34"/>
  <c r="H83" i="34"/>
  <c r="K125" i="34"/>
  <c r="I62" i="34"/>
  <c r="U35" i="34"/>
  <c r="H91" i="34"/>
  <c r="U31" i="34"/>
  <c r="H125" i="34"/>
  <c r="U80" i="34"/>
  <c r="K71" i="34"/>
  <c r="K118" i="34"/>
  <c r="L117" i="34"/>
  <c r="H33" i="34"/>
  <c r="H107" i="34"/>
  <c r="H28" i="34"/>
  <c r="H121" i="34"/>
  <c r="L31" i="34"/>
  <c r="V87" i="34"/>
  <c r="K101" i="34"/>
  <c r="L101" i="34"/>
  <c r="I123" i="34"/>
  <c r="V101" i="34"/>
  <c r="U138" i="34"/>
  <c r="L30" i="34"/>
  <c r="J54" i="34"/>
  <c r="L126" i="34"/>
  <c r="V144" i="34"/>
  <c r="I135" i="34"/>
  <c r="U83" i="34"/>
  <c r="H97" i="34"/>
  <c r="U28" i="34"/>
  <c r="U69" i="34"/>
  <c r="J62" i="34"/>
  <c r="V80" i="34"/>
  <c r="H124" i="34"/>
  <c r="L36" i="34"/>
  <c r="V51" i="34"/>
  <c r="H98" i="34"/>
  <c r="U125" i="34"/>
  <c r="L125" i="34"/>
  <c r="L137" i="34"/>
  <c r="I137" i="34"/>
  <c r="I86" i="34"/>
  <c r="K43" i="34"/>
  <c r="L133" i="34"/>
  <c r="H71" i="34"/>
  <c r="V103" i="34"/>
  <c r="L122" i="34"/>
  <c r="V29" i="34"/>
  <c r="H102" i="34"/>
  <c r="H137" i="34"/>
  <c r="I97" i="34"/>
  <c r="U33" i="34"/>
  <c r="V26" i="34"/>
  <c r="V99" i="34"/>
  <c r="U32" i="34"/>
  <c r="L33" i="34"/>
  <c r="K27" i="34"/>
  <c r="I80" i="34"/>
  <c r="L66" i="34"/>
  <c r="V68" i="34"/>
  <c r="H117" i="34"/>
  <c r="J67" i="34"/>
  <c r="J134" i="34"/>
  <c r="U137" i="34"/>
  <c r="V104" i="34"/>
  <c r="U66" i="34"/>
  <c r="H118" i="34"/>
  <c r="J135" i="34"/>
  <c r="L127" i="34"/>
  <c r="K67" i="34"/>
  <c r="V105" i="34"/>
  <c r="I109" i="34"/>
  <c r="L85" i="34"/>
  <c r="I108" i="34"/>
  <c r="U133" i="34"/>
  <c r="I89" i="34"/>
  <c r="I120" i="34"/>
  <c r="V65" i="34"/>
  <c r="V140" i="34"/>
  <c r="I106" i="34"/>
  <c r="I140" i="34"/>
  <c r="H104" i="34"/>
  <c r="L80" i="34"/>
  <c r="K82" i="34"/>
  <c r="V36" i="34"/>
  <c r="U116" i="34"/>
  <c r="K123" i="34"/>
  <c r="I107" i="34"/>
  <c r="U71" i="34"/>
  <c r="I125" i="34"/>
  <c r="L69" i="34"/>
  <c r="U52" i="34"/>
  <c r="K116" i="34"/>
  <c r="I36" i="34"/>
  <c r="V135" i="34"/>
  <c r="U84" i="34"/>
  <c r="J73" i="34"/>
  <c r="L29" i="34"/>
  <c r="K37" i="34"/>
  <c r="L34" i="34"/>
  <c r="L53" i="34"/>
  <c r="V142" i="34"/>
  <c r="V86" i="34"/>
  <c r="V46" i="34"/>
  <c r="U123" i="34"/>
  <c r="U45" i="34"/>
  <c r="H134" i="34"/>
  <c r="I29" i="34"/>
  <c r="V37" i="34"/>
  <c r="V137" i="34"/>
  <c r="H138" i="34"/>
  <c r="V116" i="34"/>
  <c r="U67" i="34"/>
  <c r="J107" i="34"/>
  <c r="U36" i="34"/>
  <c r="V107" i="34"/>
  <c r="J33" i="34"/>
  <c r="U120" i="34"/>
  <c r="U100" i="34"/>
  <c r="I116" i="34"/>
  <c r="L71" i="34"/>
  <c r="J35" i="34"/>
  <c r="V72" i="34"/>
  <c r="J143" i="34"/>
  <c r="J116" i="34"/>
  <c r="K107" i="34"/>
  <c r="I141" i="34"/>
  <c r="I26" i="34"/>
  <c r="L35" i="34"/>
  <c r="I138" i="34"/>
  <c r="J28" i="34"/>
  <c r="V71" i="34"/>
  <c r="L107" i="34"/>
  <c r="L134" i="34"/>
  <c r="L81" i="34"/>
  <c r="H30" i="34"/>
  <c r="U88" i="34"/>
  <c r="K135" i="34"/>
  <c r="I82" i="34"/>
  <c r="K104" i="34"/>
  <c r="H36" i="34"/>
  <c r="K44" i="34"/>
  <c r="K25" i="34"/>
  <c r="J104" i="34"/>
  <c r="L63" i="34"/>
  <c r="K48" i="34"/>
  <c r="K119" i="34"/>
  <c r="I101" i="34"/>
  <c r="H63" i="34"/>
  <c r="L89" i="34"/>
  <c r="J44" i="34"/>
  <c r="K139" i="34"/>
  <c r="L51" i="34"/>
  <c r="L46" i="34"/>
  <c r="V54" i="34"/>
  <c r="J61" i="34"/>
  <c r="L32" i="34"/>
  <c r="I119" i="34"/>
  <c r="J83" i="34"/>
  <c r="U97" i="34"/>
  <c r="V49" i="34"/>
  <c r="U25" i="34"/>
  <c r="U141" i="34"/>
  <c r="K66" i="34"/>
  <c r="U26" i="34"/>
  <c r="J108" i="34"/>
  <c r="K52" i="34"/>
  <c r="V81" i="34"/>
  <c r="U65" i="34"/>
  <c r="L123" i="34"/>
  <c r="J142" i="34"/>
  <c r="J133" i="34"/>
  <c r="I63" i="34"/>
  <c r="U142" i="34"/>
  <c r="L139" i="34"/>
  <c r="K109" i="34"/>
  <c r="H61" i="34"/>
  <c r="L28" i="34"/>
  <c r="V83" i="34"/>
  <c r="L25" i="34"/>
  <c r="K144" i="34"/>
  <c r="H81" i="34"/>
  <c r="I68" i="34"/>
  <c r="U136" i="34"/>
  <c r="I133" i="34"/>
  <c r="V121" i="34"/>
  <c r="U73" i="34"/>
  <c r="I70" i="34"/>
  <c r="K61" i="34"/>
  <c r="V63" i="34"/>
  <c r="I64" i="34"/>
  <c r="K70" i="34"/>
  <c r="V145" i="34"/>
  <c r="H69" i="34"/>
  <c r="L83" i="34"/>
  <c r="V31" i="34"/>
  <c r="K54" i="34"/>
  <c r="J51" i="34"/>
  <c r="J47" i="34"/>
  <c r="V133" i="34"/>
  <c r="I126" i="34"/>
  <c r="U79" i="34"/>
  <c r="I136" i="34"/>
  <c r="H108" i="34"/>
  <c r="U103" i="34"/>
  <c r="I72" i="34"/>
  <c r="L48" i="34"/>
  <c r="J91" i="34"/>
  <c r="U55" i="34"/>
  <c r="H43" i="34"/>
  <c r="L115" i="34"/>
  <c r="J89" i="34"/>
  <c r="K85" i="34"/>
  <c r="I88" i="34"/>
  <c r="V138" i="34"/>
  <c r="K31" i="34"/>
  <c r="K136" i="34"/>
  <c r="I143" i="34"/>
  <c r="K99" i="34"/>
  <c r="K140" i="34"/>
  <c r="U51" i="34"/>
  <c r="H72" i="34"/>
  <c r="H79" i="34"/>
  <c r="H136" i="34"/>
  <c r="I31" i="34"/>
  <c r="K73" i="34"/>
  <c r="L119" i="34"/>
  <c r="L120" i="34"/>
  <c r="U82" i="34"/>
  <c r="L86" i="34"/>
  <c r="J69" i="34"/>
  <c r="V34" i="34"/>
  <c r="I127" i="34"/>
  <c r="H64" i="34"/>
  <c r="J80" i="34"/>
  <c r="H46" i="34"/>
  <c r="U43" i="34"/>
  <c r="L105" i="34"/>
  <c r="U121" i="34"/>
  <c r="H84" i="34"/>
  <c r="L121" i="34"/>
  <c r="U54" i="34"/>
  <c r="L64" i="34"/>
  <c r="H32" i="34"/>
  <c r="L118" i="34"/>
  <c r="V98" i="34"/>
  <c r="I79" i="34"/>
  <c r="I55" i="34"/>
  <c r="J136" i="34"/>
  <c r="L90" i="34"/>
  <c r="I142" i="34"/>
  <c r="I46" i="34"/>
  <c r="H37" i="34"/>
  <c r="U46" i="34"/>
  <c r="L47" i="34"/>
  <c r="U70" i="34"/>
  <c r="U101" i="34"/>
  <c r="I118" i="34"/>
  <c r="K81" i="34"/>
  <c r="U89" i="34"/>
  <c r="U44" i="34"/>
  <c r="I121" i="34"/>
  <c r="V91" i="34"/>
  <c r="U85" i="34"/>
  <c r="K120" i="34"/>
  <c r="H142" i="34"/>
  <c r="I145" i="34"/>
  <c r="U90" i="34"/>
  <c r="J124" i="34"/>
  <c r="U105" i="34"/>
  <c r="I104" i="34"/>
  <c r="J26" i="34"/>
  <c r="I69" i="34"/>
  <c r="K30" i="34"/>
  <c r="U109" i="34"/>
  <c r="L108" i="34"/>
  <c r="I27" i="34"/>
  <c r="H115" i="34"/>
  <c r="J32" i="34"/>
  <c r="I124" i="34"/>
  <c r="J125" i="34"/>
  <c r="L91" i="34"/>
  <c r="K122" i="34"/>
  <c r="V127" i="34"/>
  <c r="K105" i="34"/>
  <c r="V118" i="34"/>
  <c r="K45" i="34"/>
  <c r="L135" i="34"/>
  <c r="I25" i="34"/>
  <c r="I30" i="34"/>
  <c r="I115" i="34"/>
  <c r="H88" i="34"/>
  <c r="V45" i="34"/>
  <c r="K133" i="34"/>
  <c r="H52" i="34"/>
  <c r="K87" i="34"/>
  <c r="J72" i="34"/>
  <c r="V141" i="34"/>
  <c r="U134" i="34"/>
  <c r="J138" i="34"/>
  <c r="J27" i="34"/>
  <c r="V61" i="34"/>
  <c r="J137" i="34"/>
  <c r="U72" i="34"/>
  <c r="V50" i="34"/>
  <c r="K86" i="34"/>
  <c r="V28" i="34"/>
  <c r="J126" i="34"/>
  <c r="J31" i="34"/>
  <c r="V139" i="34"/>
  <c r="V124" i="34"/>
  <c r="V120" i="34"/>
  <c r="H49" i="34"/>
  <c r="U86" i="34"/>
  <c r="J81" i="34"/>
  <c r="I49" i="34"/>
  <c r="K80" i="34"/>
  <c r="L84" i="34"/>
  <c r="L97" i="34"/>
  <c r="V69" i="34"/>
  <c r="L142" i="34"/>
  <c r="U118" i="34"/>
  <c r="K103" i="34"/>
  <c r="I28" i="34"/>
  <c r="U87" i="34"/>
  <c r="K121" i="34"/>
  <c r="I51" i="34"/>
  <c r="K100" i="34"/>
  <c r="I90" i="34"/>
  <c r="J139" i="34"/>
  <c r="K62" i="34"/>
  <c r="J63" i="34"/>
  <c r="L50" i="34"/>
  <c r="H144" i="34"/>
  <c r="U47" i="34"/>
  <c r="J144" i="34"/>
  <c r="I47" i="34"/>
  <c r="V25" i="34"/>
  <c r="H145" i="34"/>
  <c r="K98" i="34"/>
  <c r="U107" i="34"/>
  <c r="I54" i="34"/>
  <c r="K69" i="34"/>
  <c r="K134" i="34"/>
  <c r="I33" i="34"/>
  <c r="U68" i="34"/>
  <c r="J97" i="34"/>
  <c r="V119" i="34"/>
  <c r="H140" i="34"/>
  <c r="K53" i="34"/>
  <c r="L44" i="34"/>
  <c r="V47" i="34"/>
  <c r="H126" i="34"/>
  <c r="H65" i="34"/>
  <c r="H109" i="34"/>
  <c r="I50" i="34"/>
  <c r="L102" i="34"/>
  <c r="H54" i="34"/>
  <c r="I91" i="34"/>
  <c r="U139" i="34"/>
  <c r="J43" i="34"/>
  <c r="L106" i="34"/>
  <c r="L145" i="34"/>
  <c r="H67" i="34"/>
  <c r="V53" i="34"/>
  <c r="H50" i="34"/>
  <c r="L79" i="34"/>
  <c r="H51" i="34"/>
  <c r="H89" i="34"/>
  <c r="J49" i="34"/>
  <c r="J29" i="34"/>
  <c r="U145" i="34"/>
  <c r="L104" i="34"/>
  <c r="H82" i="34"/>
  <c r="I43" i="34"/>
  <c r="J45" i="34"/>
  <c r="I99" i="34"/>
  <c r="U29" i="34"/>
  <c r="J66" i="34"/>
  <c r="L49" i="34"/>
  <c r="J37" i="34"/>
  <c r="J71" i="34"/>
  <c r="L103" i="34"/>
  <c r="V67" i="34"/>
  <c r="J50" i="34"/>
  <c r="H48" i="34"/>
  <c r="I83" i="34"/>
  <c r="K108" i="34"/>
  <c r="U34" i="34"/>
  <c r="V106" i="34"/>
  <c r="J103" i="34"/>
  <c r="K143" i="34"/>
  <c r="L99" i="34"/>
  <c r="J119" i="34"/>
  <c r="K141" i="34"/>
  <c r="V100" i="34"/>
  <c r="V62" i="34"/>
  <c r="J121" i="34"/>
  <c r="V115" i="34"/>
  <c r="U64" i="34"/>
  <c r="U127" i="34"/>
  <c r="I35" i="34"/>
  <c r="H119" i="34"/>
  <c r="V52" i="34"/>
  <c r="J48" i="34"/>
  <c r="I67" i="34"/>
  <c r="L61" i="34"/>
  <c r="K102" i="34"/>
  <c r="J118" i="34"/>
  <c r="I144" i="34"/>
  <c r="V125" i="34"/>
  <c r="L143" i="34"/>
  <c r="K83" i="34"/>
  <c r="H116" i="34"/>
  <c r="I100" i="34"/>
  <c r="U37" i="34"/>
  <c r="L82" i="34"/>
  <c r="K142" i="34"/>
  <c r="J123" i="34"/>
  <c r="H68" i="34"/>
  <c r="J145" i="34"/>
  <c r="V70" i="34"/>
  <c r="U27" i="34"/>
  <c r="L116" i="34"/>
  <c r="U61" i="34"/>
  <c r="K55" i="34"/>
  <c r="L67" i="34"/>
  <c r="U124" i="34"/>
  <c r="V66" i="34"/>
  <c r="H141" i="34"/>
  <c r="U48" i="34"/>
  <c r="U119" i="34"/>
  <c r="K36" i="34"/>
  <c r="K65" i="34"/>
  <c r="V143" i="34"/>
  <c r="U143" i="34"/>
  <c r="V84" i="34"/>
  <c r="U115" i="34"/>
  <c r="L73" i="34"/>
  <c r="V33" i="34"/>
  <c r="L136" i="34"/>
  <c r="I134" i="34"/>
  <c r="H86" i="34"/>
  <c r="K50" i="34"/>
  <c r="H127" i="34"/>
  <c r="K32" i="34"/>
  <c r="U102" i="34"/>
  <c r="I61" i="34"/>
  <c r="H70" i="34"/>
  <c r="I103" i="34"/>
  <c r="H31" i="34"/>
  <c r="E32" i="36"/>
  <c r="E104" i="32" s="1"/>
  <c r="E94" i="36" s="1"/>
  <c r="R21" i="33"/>
  <c r="J21" i="33"/>
  <c r="Q21" i="33"/>
  <c r="I21" i="33"/>
  <c r="Q21" i="38"/>
  <c r="I21" i="38"/>
  <c r="J21" i="38"/>
  <c r="R21" i="38"/>
  <c r="E30" i="36"/>
  <c r="E100" i="32" s="1"/>
  <c r="E92" i="36" s="1"/>
  <c r="S36" i="34"/>
  <c r="S34" i="34"/>
  <c r="T28" i="34"/>
  <c r="S127" i="34"/>
  <c r="T66" i="34"/>
  <c r="S107" i="34"/>
  <c r="T133" i="34"/>
  <c r="T89" i="34"/>
  <c r="S105" i="34"/>
  <c r="T69" i="34"/>
  <c r="T82" i="34"/>
  <c r="S104" i="34"/>
  <c r="T54" i="34"/>
  <c r="T107" i="34"/>
  <c r="S142" i="34"/>
  <c r="S118" i="34"/>
  <c r="T119" i="34"/>
  <c r="T61" i="34"/>
  <c r="S30" i="34"/>
  <c r="S106" i="34"/>
  <c r="T70" i="34"/>
  <c r="T126" i="34"/>
  <c r="T63" i="34"/>
  <c r="S62" i="34"/>
  <c r="T103" i="34"/>
  <c r="S98" i="34"/>
  <c r="T127" i="34"/>
  <c r="T46" i="34"/>
  <c r="T71" i="34"/>
  <c r="T120" i="34"/>
  <c r="S70" i="34"/>
  <c r="T27" i="34"/>
  <c r="S143" i="34"/>
  <c r="S67" i="34"/>
  <c r="S144" i="34"/>
  <c r="T37" i="34"/>
  <c r="T140" i="34"/>
  <c r="T141" i="34"/>
  <c r="T52" i="34"/>
  <c r="T125" i="34"/>
  <c r="S109" i="34"/>
  <c r="T87" i="34"/>
  <c r="T105" i="34"/>
  <c r="S80" i="34"/>
  <c r="T122" i="34"/>
  <c r="S97" i="34"/>
  <c r="T139" i="34"/>
  <c r="S119" i="34"/>
  <c r="T138" i="34"/>
  <c r="S139" i="34"/>
  <c r="T121" i="34"/>
  <c r="S125" i="34"/>
  <c r="S89" i="34"/>
  <c r="S33" i="34"/>
  <c r="T55" i="34"/>
  <c r="T80" i="34"/>
  <c r="S121" i="34"/>
  <c r="S64" i="34"/>
  <c r="T30" i="34"/>
  <c r="S84" i="34"/>
  <c r="T50" i="34"/>
  <c r="S137" i="34"/>
  <c r="S81" i="34"/>
  <c r="S82" i="34"/>
  <c r="S86" i="34"/>
  <c r="T47" i="34"/>
  <c r="S134" i="34"/>
  <c r="T34" i="34"/>
  <c r="S32" i="34"/>
  <c r="S71" i="34"/>
  <c r="S63" i="34"/>
  <c r="S55" i="34"/>
  <c r="T101" i="34"/>
  <c r="S61" i="34"/>
  <c r="T106" i="34"/>
  <c r="T98" i="34"/>
  <c r="S116" i="34"/>
  <c r="T31" i="34"/>
  <c r="S65" i="34"/>
  <c r="T145" i="34"/>
  <c r="S120" i="34"/>
  <c r="S85" i="34"/>
  <c r="S49" i="34"/>
  <c r="T118" i="34"/>
  <c r="T72" i="34"/>
  <c r="S37" i="34"/>
  <c r="T68" i="34"/>
  <c r="T116" i="34"/>
  <c r="S51" i="34"/>
  <c r="T109" i="34"/>
  <c r="T99" i="34"/>
  <c r="S79" i="34"/>
  <c r="S66" i="34"/>
  <c r="S102" i="34"/>
  <c r="S133" i="34"/>
  <c r="S26" i="34"/>
  <c r="T100" i="34"/>
  <c r="S138" i="34"/>
  <c r="S122" i="34"/>
  <c r="S69" i="34"/>
  <c r="S47" i="34"/>
  <c r="S27" i="34"/>
  <c r="T86" i="34"/>
  <c r="T53" i="34"/>
  <c r="T45" i="34"/>
  <c r="T83" i="34"/>
  <c r="T142" i="34"/>
  <c r="S145" i="34"/>
  <c r="S135" i="34"/>
  <c r="S52" i="34"/>
  <c r="T81" i="34"/>
  <c r="S25" i="34"/>
  <c r="T115" i="34"/>
  <c r="S91" i="34"/>
  <c r="T91" i="34"/>
  <c r="T65" i="34"/>
  <c r="T29" i="34"/>
  <c r="S103" i="34"/>
  <c r="S100" i="34"/>
  <c r="S72" i="34"/>
  <c r="T90" i="34"/>
  <c r="T123" i="34"/>
  <c r="S50" i="34"/>
  <c r="T134" i="34"/>
  <c r="S136" i="34"/>
  <c r="S53" i="34"/>
  <c r="T97" i="34"/>
  <c r="T73" i="34"/>
  <c r="S45" i="34"/>
  <c r="T136" i="34"/>
  <c r="T51" i="34"/>
  <c r="T117" i="34"/>
  <c r="T143" i="34"/>
  <c r="S73" i="34"/>
  <c r="S43" i="34"/>
  <c r="T43" i="34"/>
  <c r="T79" i="34"/>
  <c r="T85" i="34"/>
  <c r="T44" i="34"/>
  <c r="T124" i="34"/>
  <c r="S115" i="34"/>
  <c r="T88" i="34"/>
  <c r="S48" i="34"/>
  <c r="T32" i="34"/>
  <c r="S46" i="34"/>
  <c r="T144" i="34"/>
  <c r="S126" i="34"/>
  <c r="T108" i="34"/>
  <c r="S90" i="34"/>
  <c r="T137" i="34"/>
  <c r="S29" i="34"/>
  <c r="S141" i="34"/>
  <c r="S54" i="34"/>
  <c r="T104" i="34"/>
  <c r="S31" i="34"/>
  <c r="S44" i="34"/>
  <c r="S87" i="34"/>
  <c r="S108" i="34"/>
  <c r="S83" i="34"/>
  <c r="T67" i="34"/>
  <c r="T135" i="34"/>
  <c r="T35" i="34"/>
  <c r="S35" i="34"/>
  <c r="S99" i="34"/>
  <c r="S88" i="34"/>
  <c r="T25" i="34"/>
  <c r="T48" i="34"/>
  <c r="S123" i="34"/>
  <c r="T33" i="34"/>
  <c r="T36" i="34"/>
  <c r="S68" i="34"/>
  <c r="S28" i="34"/>
  <c r="S117" i="34"/>
  <c r="T26" i="34"/>
  <c r="T84" i="34"/>
  <c r="T62" i="34"/>
  <c r="T49" i="34"/>
  <c r="T64" i="34"/>
  <c r="S101" i="34"/>
  <c r="S124" i="34"/>
  <c r="S140" i="34"/>
  <c r="T102" i="34"/>
  <c r="F46" i="36" l="1"/>
  <c r="F49" i="36"/>
  <c r="G49" i="36" s="1"/>
  <c r="F50" i="36"/>
  <c r="G50" i="36" s="1"/>
  <c r="F51" i="36"/>
  <c r="G51" i="36" s="1"/>
  <c r="F52" i="36"/>
  <c r="G52" i="36" s="1"/>
  <c r="F53" i="36"/>
  <c r="G53" i="36" s="1"/>
  <c r="F48" i="36"/>
  <c r="G48" i="36" s="1"/>
  <c r="D49" i="36"/>
  <c r="E49" i="36" s="1"/>
  <c r="D50" i="36"/>
  <c r="E50" i="36" s="1"/>
  <c r="D51" i="36"/>
  <c r="E51" i="36" s="1"/>
  <c r="D52" i="36"/>
  <c r="E52" i="36" s="1"/>
  <c r="D53" i="36"/>
  <c r="E53" i="36" s="1"/>
  <c r="D46" i="36"/>
  <c r="E46" i="36" s="1"/>
  <c r="D48" i="36"/>
  <c r="E48" i="36" s="1"/>
  <c r="L21" i="38"/>
  <c r="N21" i="38" s="1"/>
  <c r="K21" i="38"/>
  <c r="M21" i="38" s="1"/>
  <c r="K21" i="33"/>
  <c r="M21" i="33" s="1"/>
  <c r="L21" i="33"/>
  <c r="N21" i="33" s="1"/>
  <c r="K37" i="36"/>
  <c r="K34" i="36"/>
  <c r="H63" i="36"/>
  <c r="H34" i="36"/>
  <c r="H37" i="36"/>
  <c r="I37" i="36"/>
  <c r="I34" i="36"/>
  <c r="J35" i="36"/>
  <c r="J37" i="36"/>
  <c r="J34" i="36"/>
  <c r="AR11" i="33"/>
  <c r="AR9" i="33"/>
  <c r="AR15" i="33"/>
  <c r="AR14" i="33"/>
  <c r="AR17" i="33"/>
  <c r="AR13" i="33"/>
  <c r="AR7" i="33"/>
  <c r="AR16" i="33"/>
  <c r="AR19" i="33"/>
  <c r="AR18" i="33"/>
  <c r="AR8" i="33"/>
  <c r="AR10" i="33"/>
  <c r="AR12" i="33"/>
  <c r="I63" i="36"/>
  <c r="D55" i="36"/>
  <c r="E55" i="36" s="1"/>
  <c r="D47" i="36"/>
  <c r="E47" i="36" s="1"/>
  <c r="D54" i="36"/>
  <c r="E54" i="36" s="1"/>
  <c r="D57" i="36"/>
  <c r="E57" i="36" s="1"/>
  <c r="F54" i="36"/>
  <c r="G54" i="36" s="1"/>
  <c r="F47" i="36"/>
  <c r="G47" i="36" s="1"/>
  <c r="F56" i="36"/>
  <c r="G56" i="36" s="1"/>
  <c r="G46" i="36"/>
  <c r="F57" i="36"/>
  <c r="G57" i="36" s="1"/>
  <c r="F55" i="36"/>
  <c r="G55" i="36" s="1"/>
  <c r="K42" i="36"/>
  <c r="J63" i="36"/>
  <c r="J42" i="36"/>
  <c r="J44" i="36"/>
  <c r="J43" i="36"/>
  <c r="J62" i="36"/>
  <c r="J41" i="36"/>
  <c r="J39" i="36"/>
  <c r="Q117" i="34"/>
  <c r="R117" i="34"/>
  <c r="O117" i="34"/>
  <c r="M117" i="34"/>
  <c r="N117" i="34"/>
  <c r="P117" i="34"/>
  <c r="Q73" i="34"/>
  <c r="M73" i="34"/>
  <c r="P73" i="34"/>
  <c r="N73" i="34"/>
  <c r="O73" i="34"/>
  <c r="R73" i="34"/>
  <c r="P52" i="34"/>
  <c r="R52" i="34"/>
  <c r="Q52" i="34"/>
  <c r="M52" i="34"/>
  <c r="O52" i="34"/>
  <c r="N52" i="34"/>
  <c r="M71" i="34"/>
  <c r="Q71" i="34"/>
  <c r="O71" i="34"/>
  <c r="P71" i="34"/>
  <c r="N71" i="34"/>
  <c r="R71" i="34"/>
  <c r="K41" i="36"/>
  <c r="F58" i="36"/>
  <c r="G58" i="36" s="1"/>
  <c r="F60" i="36"/>
  <c r="G60" i="36" s="1"/>
  <c r="F59" i="36"/>
  <c r="G59" i="36" s="1"/>
  <c r="M140" i="34"/>
  <c r="O140" i="34"/>
  <c r="R140" i="34"/>
  <c r="N140" i="34"/>
  <c r="P140" i="34"/>
  <c r="Q140" i="34"/>
  <c r="N102" i="34"/>
  <c r="R102" i="34"/>
  <c r="P102" i="34"/>
  <c r="M102" i="34"/>
  <c r="O102" i="34"/>
  <c r="Q102" i="34"/>
  <c r="N70" i="34"/>
  <c r="M70" i="34"/>
  <c r="Q70" i="34"/>
  <c r="R70" i="34"/>
  <c r="P70" i="34"/>
  <c r="O70" i="34"/>
  <c r="N142" i="34"/>
  <c r="R142" i="34"/>
  <c r="P142" i="34"/>
  <c r="Q142" i="34"/>
  <c r="M142" i="34"/>
  <c r="O142" i="34"/>
  <c r="H35" i="36"/>
  <c r="H44" i="36"/>
  <c r="O124" i="34"/>
  <c r="R124" i="34"/>
  <c r="P124" i="34"/>
  <c r="N124" i="34"/>
  <c r="Q124" i="34"/>
  <c r="M124" i="34"/>
  <c r="Q28" i="34"/>
  <c r="P28" i="34"/>
  <c r="M28" i="34"/>
  <c r="O28" i="34"/>
  <c r="N28" i="34"/>
  <c r="R28" i="34"/>
  <c r="N88" i="34"/>
  <c r="M88" i="34"/>
  <c r="R88" i="34"/>
  <c r="Q88" i="34"/>
  <c r="O88" i="34"/>
  <c r="P88" i="34"/>
  <c r="M87" i="34"/>
  <c r="Q87" i="34"/>
  <c r="R87" i="34"/>
  <c r="P87" i="34"/>
  <c r="N87" i="34"/>
  <c r="O87" i="34"/>
  <c r="N54" i="34"/>
  <c r="P54" i="34"/>
  <c r="R54" i="34"/>
  <c r="M54" i="34"/>
  <c r="Q54" i="34"/>
  <c r="O54" i="34"/>
  <c r="N90" i="34"/>
  <c r="P90" i="34"/>
  <c r="M90" i="34"/>
  <c r="R90" i="34"/>
  <c r="O90" i="34"/>
  <c r="Q90" i="34"/>
  <c r="M46" i="34"/>
  <c r="O46" i="34"/>
  <c r="R46" i="34"/>
  <c r="P46" i="34"/>
  <c r="N46" i="34"/>
  <c r="Q46" i="34"/>
  <c r="M115" i="34"/>
  <c r="P115" i="34"/>
  <c r="R115" i="34"/>
  <c r="Q115" i="34"/>
  <c r="N115" i="34"/>
  <c r="O115" i="34"/>
  <c r="N45" i="34"/>
  <c r="Q45" i="34"/>
  <c r="P45" i="34"/>
  <c r="M45" i="34"/>
  <c r="O45" i="34"/>
  <c r="R45" i="34"/>
  <c r="N136" i="34"/>
  <c r="O136" i="34"/>
  <c r="P136" i="34"/>
  <c r="R136" i="34"/>
  <c r="M136" i="34"/>
  <c r="Q136" i="34"/>
  <c r="O135" i="34"/>
  <c r="Q135" i="34"/>
  <c r="P135" i="34"/>
  <c r="M135" i="34"/>
  <c r="N135" i="34"/>
  <c r="R135" i="34"/>
  <c r="Q47" i="34"/>
  <c r="P47" i="34"/>
  <c r="R47" i="34"/>
  <c r="M47" i="34"/>
  <c r="O47" i="34"/>
  <c r="N47" i="34"/>
  <c r="Q66" i="34"/>
  <c r="O66" i="34"/>
  <c r="R66" i="34"/>
  <c r="N66" i="34"/>
  <c r="M66" i="34"/>
  <c r="P66" i="34"/>
  <c r="R51" i="34"/>
  <c r="P51" i="34"/>
  <c r="Q51" i="34"/>
  <c r="O51" i="34"/>
  <c r="N51" i="34"/>
  <c r="M51" i="34"/>
  <c r="P120" i="34"/>
  <c r="N120" i="34"/>
  <c r="M120" i="34"/>
  <c r="R120" i="34"/>
  <c r="Q120" i="34"/>
  <c r="O120" i="34"/>
  <c r="R116" i="34"/>
  <c r="M116" i="34"/>
  <c r="P116" i="34"/>
  <c r="O116" i="34"/>
  <c r="N116" i="34"/>
  <c r="Q116" i="34"/>
  <c r="O32" i="34"/>
  <c r="Q32" i="34"/>
  <c r="N32" i="34"/>
  <c r="R32" i="34"/>
  <c r="M32" i="34"/>
  <c r="P32" i="34"/>
  <c r="Q86" i="34"/>
  <c r="R86" i="34"/>
  <c r="M86" i="34"/>
  <c r="O86" i="34"/>
  <c r="P86" i="34"/>
  <c r="N86" i="34"/>
  <c r="P64" i="34"/>
  <c r="Q64" i="34"/>
  <c r="M64" i="34"/>
  <c r="O64" i="34"/>
  <c r="R64" i="34"/>
  <c r="N64" i="34"/>
  <c r="P33" i="34"/>
  <c r="Q33" i="34"/>
  <c r="M33" i="34"/>
  <c r="O33" i="34"/>
  <c r="N33" i="34"/>
  <c r="R33" i="34"/>
  <c r="O139" i="34"/>
  <c r="P139" i="34"/>
  <c r="R139" i="34"/>
  <c r="M139" i="34"/>
  <c r="Q139" i="34"/>
  <c r="N139" i="34"/>
  <c r="R97" i="34"/>
  <c r="N97" i="34"/>
  <c r="Q97" i="34"/>
  <c r="O97" i="34"/>
  <c r="P97" i="34"/>
  <c r="M97" i="34"/>
  <c r="R67" i="34"/>
  <c r="O67" i="34"/>
  <c r="M67" i="34"/>
  <c r="N67" i="34"/>
  <c r="Q67" i="34"/>
  <c r="P67" i="34"/>
  <c r="M98" i="34"/>
  <c r="R98" i="34"/>
  <c r="Q98" i="34"/>
  <c r="P98" i="34"/>
  <c r="O98" i="34"/>
  <c r="N98" i="34"/>
  <c r="R107" i="34"/>
  <c r="O107" i="34"/>
  <c r="M107" i="34"/>
  <c r="P107" i="34"/>
  <c r="N107" i="34"/>
  <c r="Q107" i="34"/>
  <c r="M34" i="34"/>
  <c r="Q34" i="34"/>
  <c r="N34" i="34"/>
  <c r="R34" i="34"/>
  <c r="O34" i="34"/>
  <c r="P34" i="34"/>
  <c r="J30" i="36"/>
  <c r="K30" i="36"/>
  <c r="H30" i="36"/>
  <c r="I30" i="36"/>
  <c r="H62" i="36"/>
  <c r="I39" i="36"/>
  <c r="I35" i="36"/>
  <c r="I44" i="36"/>
  <c r="D58" i="36"/>
  <c r="E58" i="36" s="1"/>
  <c r="D59" i="36"/>
  <c r="E59" i="36" s="1"/>
  <c r="D60" i="36"/>
  <c r="E60" i="36" s="1"/>
  <c r="D56" i="36"/>
  <c r="E56" i="36" s="1"/>
  <c r="N108" i="34"/>
  <c r="O108" i="34"/>
  <c r="P108" i="34"/>
  <c r="Q108" i="34"/>
  <c r="R108" i="34"/>
  <c r="M108" i="34"/>
  <c r="P53" i="34"/>
  <c r="R53" i="34"/>
  <c r="N53" i="34"/>
  <c r="Q53" i="34"/>
  <c r="M53" i="34"/>
  <c r="O53" i="34"/>
  <c r="Q103" i="34"/>
  <c r="R103" i="34"/>
  <c r="O103" i="34"/>
  <c r="P103" i="34"/>
  <c r="M103" i="34"/>
  <c r="N103" i="34"/>
  <c r="O138" i="34"/>
  <c r="Q138" i="34"/>
  <c r="P138" i="34"/>
  <c r="R138" i="34"/>
  <c r="N138" i="34"/>
  <c r="M138" i="34"/>
  <c r="Q85" i="34"/>
  <c r="O85" i="34"/>
  <c r="M85" i="34"/>
  <c r="R85" i="34"/>
  <c r="P85" i="34"/>
  <c r="N85" i="34"/>
  <c r="O30" i="34"/>
  <c r="N30" i="34"/>
  <c r="M30" i="34"/>
  <c r="Q30" i="34"/>
  <c r="R30" i="34"/>
  <c r="P30" i="34"/>
  <c r="H39" i="36"/>
  <c r="R101" i="34"/>
  <c r="P101" i="34"/>
  <c r="Q101" i="34"/>
  <c r="O101" i="34"/>
  <c r="N101" i="34"/>
  <c r="M101" i="34"/>
  <c r="P68" i="34"/>
  <c r="M68" i="34"/>
  <c r="Q68" i="34"/>
  <c r="O68" i="34"/>
  <c r="N68" i="34"/>
  <c r="R68" i="34"/>
  <c r="O99" i="34"/>
  <c r="P99" i="34"/>
  <c r="R99" i="34"/>
  <c r="M99" i="34"/>
  <c r="N99" i="34"/>
  <c r="Q99" i="34"/>
  <c r="N44" i="34"/>
  <c r="R44" i="34"/>
  <c r="M44" i="34"/>
  <c r="P44" i="34"/>
  <c r="Q44" i="34"/>
  <c r="O44" i="34"/>
  <c r="O72" i="34"/>
  <c r="R72" i="34"/>
  <c r="P72" i="34"/>
  <c r="Q72" i="34"/>
  <c r="N72" i="34"/>
  <c r="M72" i="34"/>
  <c r="R25" i="34"/>
  <c r="Q25" i="34"/>
  <c r="M25" i="34"/>
  <c r="P25" i="34"/>
  <c r="N25" i="34"/>
  <c r="O25" i="34"/>
  <c r="Q26" i="34"/>
  <c r="P26" i="34"/>
  <c r="O26" i="34"/>
  <c r="M26" i="34"/>
  <c r="N26" i="34"/>
  <c r="R26" i="34"/>
  <c r="Q55" i="34"/>
  <c r="N55" i="34"/>
  <c r="R55" i="34"/>
  <c r="P55" i="34"/>
  <c r="M55" i="34"/>
  <c r="O55" i="34"/>
  <c r="P82" i="34"/>
  <c r="O82" i="34"/>
  <c r="N82" i="34"/>
  <c r="Q82" i="34"/>
  <c r="R82" i="34"/>
  <c r="M82" i="34"/>
  <c r="P84" i="34"/>
  <c r="M84" i="34"/>
  <c r="R84" i="34"/>
  <c r="O84" i="34"/>
  <c r="N84" i="34"/>
  <c r="Q84" i="34"/>
  <c r="O121" i="34"/>
  <c r="P121" i="34"/>
  <c r="N121" i="34"/>
  <c r="M121" i="34"/>
  <c r="R121" i="34"/>
  <c r="Q121" i="34"/>
  <c r="Q89" i="34"/>
  <c r="P89" i="34"/>
  <c r="N89" i="34"/>
  <c r="M89" i="34"/>
  <c r="R89" i="34"/>
  <c r="O89" i="34"/>
  <c r="R109" i="34"/>
  <c r="M109" i="34"/>
  <c r="Q109" i="34"/>
  <c r="P109" i="34"/>
  <c r="O109" i="34"/>
  <c r="N109" i="34"/>
  <c r="P143" i="34"/>
  <c r="O143" i="34"/>
  <c r="Q143" i="34"/>
  <c r="N143" i="34"/>
  <c r="M143" i="34"/>
  <c r="R143" i="34"/>
  <c r="Q105" i="34"/>
  <c r="N105" i="34"/>
  <c r="R105" i="34"/>
  <c r="O105" i="34"/>
  <c r="P105" i="34"/>
  <c r="M105" i="34"/>
  <c r="P36" i="34"/>
  <c r="N36" i="34"/>
  <c r="M36" i="34"/>
  <c r="O36" i="34"/>
  <c r="Q36" i="34"/>
  <c r="R36" i="34"/>
  <c r="H43" i="36"/>
  <c r="I41" i="36"/>
  <c r="H42" i="36"/>
  <c r="K63" i="36"/>
  <c r="H32" i="36"/>
  <c r="I32" i="36"/>
  <c r="J32" i="36"/>
  <c r="K32" i="36"/>
  <c r="I31" i="36"/>
  <c r="H31" i="36"/>
  <c r="J31" i="36"/>
  <c r="K31" i="36"/>
  <c r="P91" i="34"/>
  <c r="Q91" i="34"/>
  <c r="R91" i="34"/>
  <c r="M91" i="34"/>
  <c r="O91" i="34"/>
  <c r="N91" i="34"/>
  <c r="R27" i="34"/>
  <c r="M27" i="34"/>
  <c r="P27" i="34"/>
  <c r="O27" i="34"/>
  <c r="Q27" i="34"/>
  <c r="N27" i="34"/>
  <c r="O37" i="34"/>
  <c r="Q37" i="34"/>
  <c r="M37" i="34"/>
  <c r="P37" i="34"/>
  <c r="R37" i="34"/>
  <c r="N37" i="34"/>
  <c r="N61" i="34"/>
  <c r="P61" i="34"/>
  <c r="R61" i="34"/>
  <c r="Q61" i="34"/>
  <c r="O61" i="34"/>
  <c r="M61" i="34"/>
  <c r="R137" i="34"/>
  <c r="P137" i="34"/>
  <c r="M137" i="34"/>
  <c r="N137" i="34"/>
  <c r="Q137" i="34"/>
  <c r="O137" i="34"/>
  <c r="R144" i="34"/>
  <c r="O144" i="34"/>
  <c r="P144" i="34"/>
  <c r="M144" i="34"/>
  <c r="N144" i="34"/>
  <c r="Q144" i="34"/>
  <c r="I62" i="36"/>
  <c r="P123" i="34"/>
  <c r="R123" i="34"/>
  <c r="O123" i="34"/>
  <c r="M123" i="34"/>
  <c r="N123" i="34"/>
  <c r="Q123" i="34"/>
  <c r="O141" i="34"/>
  <c r="P141" i="34"/>
  <c r="R141" i="34"/>
  <c r="N141" i="34"/>
  <c r="M141" i="34"/>
  <c r="Q141" i="34"/>
  <c r="N145" i="34"/>
  <c r="Q145" i="34"/>
  <c r="O145" i="34"/>
  <c r="R145" i="34"/>
  <c r="P145" i="34"/>
  <c r="M145" i="34"/>
  <c r="R69" i="34"/>
  <c r="N69" i="34"/>
  <c r="O69" i="34"/>
  <c r="Q69" i="34"/>
  <c r="P69" i="34"/>
  <c r="M69" i="34"/>
  <c r="O79" i="34"/>
  <c r="N79" i="34"/>
  <c r="P79" i="34"/>
  <c r="Q79" i="34"/>
  <c r="R79" i="34"/>
  <c r="M79" i="34"/>
  <c r="P35" i="34"/>
  <c r="N35" i="34"/>
  <c r="Q35" i="34"/>
  <c r="O35" i="34"/>
  <c r="R35" i="34"/>
  <c r="M35" i="34"/>
  <c r="R83" i="34"/>
  <c r="P83" i="34"/>
  <c r="Q83" i="34"/>
  <c r="N83" i="34"/>
  <c r="O83" i="34"/>
  <c r="M83" i="34"/>
  <c r="M31" i="34"/>
  <c r="N31" i="34"/>
  <c r="P31" i="34"/>
  <c r="O31" i="34"/>
  <c r="Q31" i="34"/>
  <c r="R31" i="34"/>
  <c r="O29" i="34"/>
  <c r="R29" i="34"/>
  <c r="M29" i="34"/>
  <c r="N29" i="34"/>
  <c r="Q29" i="34"/>
  <c r="P29" i="34"/>
  <c r="O126" i="34"/>
  <c r="P126" i="34"/>
  <c r="N126" i="34"/>
  <c r="Q126" i="34"/>
  <c r="R126" i="34"/>
  <c r="M126" i="34"/>
  <c r="N48" i="34"/>
  <c r="O48" i="34"/>
  <c r="P48" i="34"/>
  <c r="M48" i="34"/>
  <c r="R48" i="34"/>
  <c r="Q48" i="34"/>
  <c r="P43" i="34"/>
  <c r="N43" i="34"/>
  <c r="M43" i="34"/>
  <c r="Q43" i="34"/>
  <c r="O43" i="34"/>
  <c r="R43" i="34"/>
  <c r="N50" i="34"/>
  <c r="Q50" i="34"/>
  <c r="R50" i="34"/>
  <c r="M50" i="34"/>
  <c r="P50" i="34"/>
  <c r="O50" i="34"/>
  <c r="Q100" i="34"/>
  <c r="R100" i="34"/>
  <c r="N100" i="34"/>
  <c r="O100" i="34"/>
  <c r="P100" i="34"/>
  <c r="M100" i="34"/>
  <c r="Q122" i="34"/>
  <c r="N122" i="34"/>
  <c r="R122" i="34"/>
  <c r="M122" i="34"/>
  <c r="P122" i="34"/>
  <c r="O122" i="34"/>
  <c r="P133" i="34"/>
  <c r="M133" i="34"/>
  <c r="Q133" i="34"/>
  <c r="N133" i="34"/>
  <c r="O133" i="34"/>
  <c r="R133" i="34"/>
  <c r="Q49" i="34"/>
  <c r="M49" i="34"/>
  <c r="P49" i="34"/>
  <c r="R49" i="34"/>
  <c r="O49" i="34"/>
  <c r="N49" i="34"/>
  <c r="Q65" i="34"/>
  <c r="N65" i="34"/>
  <c r="O65" i="34"/>
  <c r="R65" i="34"/>
  <c r="M65" i="34"/>
  <c r="P65" i="34"/>
  <c r="R63" i="34"/>
  <c r="Q63" i="34"/>
  <c r="O63" i="34"/>
  <c r="P63" i="34"/>
  <c r="N63" i="34"/>
  <c r="M63" i="34"/>
  <c r="O134" i="34"/>
  <c r="M134" i="34"/>
  <c r="R134" i="34"/>
  <c r="Q134" i="34"/>
  <c r="P134" i="34"/>
  <c r="N134" i="34"/>
  <c r="M81" i="34"/>
  <c r="N81" i="34"/>
  <c r="O81" i="34"/>
  <c r="Q81" i="34"/>
  <c r="P81" i="34"/>
  <c r="R81" i="34"/>
  <c r="O125" i="34"/>
  <c r="N125" i="34"/>
  <c r="Q125" i="34"/>
  <c r="P125" i="34"/>
  <c r="R125" i="34"/>
  <c r="M125" i="34"/>
  <c r="P119" i="34"/>
  <c r="M119" i="34"/>
  <c r="O119" i="34"/>
  <c r="N119" i="34"/>
  <c r="R119" i="34"/>
  <c r="Q119" i="34"/>
  <c r="M80" i="34"/>
  <c r="P80" i="34"/>
  <c r="Q80" i="34"/>
  <c r="N80" i="34"/>
  <c r="R80" i="34"/>
  <c r="O80" i="34"/>
  <c r="Q62" i="34"/>
  <c r="R62" i="34"/>
  <c r="M62" i="34"/>
  <c r="N62" i="34"/>
  <c r="O62" i="34"/>
  <c r="P62" i="34"/>
  <c r="O106" i="34"/>
  <c r="P106" i="34"/>
  <c r="Q106" i="34"/>
  <c r="R106" i="34"/>
  <c r="M106" i="34"/>
  <c r="N106" i="34"/>
  <c r="O118" i="34"/>
  <c r="N118" i="34"/>
  <c r="M118" i="34"/>
  <c r="R118" i="34"/>
  <c r="Q118" i="34"/>
  <c r="P118" i="34"/>
  <c r="N104" i="34"/>
  <c r="P104" i="34"/>
  <c r="Q104" i="34"/>
  <c r="M104" i="34"/>
  <c r="O104" i="34"/>
  <c r="R104" i="34"/>
  <c r="Q127" i="34"/>
  <c r="N127" i="34"/>
  <c r="R127" i="34"/>
  <c r="M127" i="34"/>
  <c r="O127" i="34"/>
  <c r="P127" i="34"/>
  <c r="K43" i="36"/>
  <c r="I43" i="36"/>
  <c r="K62" i="36"/>
  <c r="H41" i="36"/>
  <c r="I42" i="36"/>
  <c r="K39" i="36"/>
  <c r="K35" i="36"/>
  <c r="K44" i="36"/>
  <c r="E157" i="32" l="1"/>
  <c r="E149" i="32"/>
  <c r="E155" i="32"/>
  <c r="E153" i="32"/>
  <c r="E113" i="36" s="1"/>
  <c r="E159" i="32"/>
  <c r="E151" i="32"/>
  <c r="J47" i="36"/>
  <c r="H47" i="36"/>
  <c r="K47" i="36"/>
  <c r="I47" i="36"/>
  <c r="H53" i="36"/>
  <c r="I53" i="36"/>
  <c r="K53" i="36"/>
  <c r="J53" i="36"/>
  <c r="H49" i="36"/>
  <c r="K49" i="36"/>
  <c r="J49" i="36"/>
  <c r="I49" i="36"/>
  <c r="H52" i="36"/>
  <c r="K52" i="36"/>
  <c r="I52" i="36"/>
  <c r="J52" i="36"/>
  <c r="K48" i="36"/>
  <c r="I48" i="36"/>
  <c r="J48" i="36"/>
  <c r="H48" i="36"/>
  <c r="H51" i="36"/>
  <c r="K51" i="36"/>
  <c r="I51" i="36"/>
  <c r="J51" i="36"/>
  <c r="H50" i="36"/>
  <c r="J50" i="36"/>
  <c r="K50" i="36"/>
  <c r="I50" i="36"/>
  <c r="P21" i="38"/>
  <c r="P21" i="33"/>
  <c r="V21" i="33" s="1"/>
  <c r="E173" i="32"/>
  <c r="E169" i="32"/>
  <c r="E163" i="32"/>
  <c r="E161" i="32"/>
  <c r="E171" i="32"/>
  <c r="E145" i="32"/>
  <c r="E109" i="36" s="1"/>
  <c r="H46" i="36"/>
  <c r="J56" i="36"/>
  <c r="H56" i="36"/>
  <c r="K56" i="36"/>
  <c r="I56" i="36"/>
  <c r="E147" i="32"/>
  <c r="I55" i="36"/>
  <c r="K55" i="36"/>
  <c r="J55" i="36"/>
  <c r="H55" i="36"/>
  <c r="J54" i="36"/>
  <c r="H54" i="36"/>
  <c r="K54" i="36"/>
  <c r="I54" i="36"/>
  <c r="K57" i="36"/>
  <c r="I57" i="36"/>
  <c r="H57" i="36"/>
  <c r="J57" i="36"/>
  <c r="E167" i="32"/>
  <c r="AC21" i="33"/>
  <c r="AC21" i="38"/>
  <c r="E165" i="32"/>
  <c r="K46" i="36"/>
  <c r="J46" i="36"/>
  <c r="I46" i="36"/>
  <c r="AB21" i="33"/>
  <c r="O21" i="38"/>
  <c r="U21" i="38" s="1"/>
  <c r="I58" i="36"/>
  <c r="J58" i="36"/>
  <c r="K58" i="36"/>
  <c r="H58" i="36"/>
  <c r="O21" i="33"/>
  <c r="U21" i="33" s="1"/>
  <c r="I60" i="36"/>
  <c r="K60" i="36"/>
  <c r="J60" i="36"/>
  <c r="H60" i="36"/>
  <c r="K59" i="36"/>
  <c r="H59" i="36"/>
  <c r="J59" i="36"/>
  <c r="I59" i="36"/>
  <c r="T21" i="38" l="1"/>
  <c r="V21" i="38"/>
  <c r="F111" i="36"/>
  <c r="I149" i="32" s="1"/>
  <c r="F115" i="36"/>
  <c r="F112" i="36"/>
  <c r="I151" i="32" s="1"/>
  <c r="F116" i="36"/>
  <c r="I159" i="32" s="1"/>
  <c r="F113" i="36"/>
  <c r="F114" i="36"/>
  <c r="I155" i="32" s="1"/>
  <c r="T21" i="33"/>
  <c r="F21" i="33"/>
  <c r="F118" i="36"/>
  <c r="G118" i="36" s="1"/>
  <c r="F122" i="36"/>
  <c r="G122" i="36" s="1"/>
  <c r="F117" i="36"/>
  <c r="F121" i="36"/>
  <c r="F110" i="36"/>
  <c r="G110" i="36" s="1"/>
  <c r="F120" i="36"/>
  <c r="G120" i="36" s="1"/>
  <c r="F123" i="36"/>
  <c r="F119" i="36"/>
  <c r="F109" i="36"/>
  <c r="G109" i="36" s="1"/>
  <c r="F105" i="36"/>
  <c r="G105" i="36" s="1"/>
  <c r="F125" i="36"/>
  <c r="G125" i="36" s="1"/>
  <c r="F94" i="36"/>
  <c r="G94" i="36" s="1"/>
  <c r="F107" i="36"/>
  <c r="G107" i="36" s="1"/>
  <c r="F106" i="36"/>
  <c r="G106" i="36" s="1"/>
  <c r="F93" i="36"/>
  <c r="G93" i="36" s="1"/>
  <c r="F126" i="36"/>
  <c r="G126" i="36" s="1"/>
  <c r="F102" i="36"/>
  <c r="G102" i="36" s="1"/>
  <c r="F96" i="36"/>
  <c r="G96" i="36" s="1"/>
  <c r="F100" i="36"/>
  <c r="G100" i="36" s="1"/>
  <c r="I169" i="32"/>
  <c r="F104" i="36"/>
  <c r="G104" i="36" s="1"/>
  <c r="F98" i="36"/>
  <c r="G98" i="36" s="1"/>
  <c r="F97" i="36"/>
  <c r="G97" i="36" s="1"/>
  <c r="F92" i="36"/>
  <c r="G92" i="36" s="1"/>
  <c r="AB21" i="38"/>
  <c r="S21" i="38"/>
  <c r="AQ21" i="33"/>
  <c r="S21" i="33"/>
  <c r="M50" i="36" l="1"/>
  <c r="P50" i="36" s="1"/>
  <c r="I153" i="32"/>
  <c r="M52" i="36"/>
  <c r="Q52" i="36" s="1"/>
  <c r="I157" i="32"/>
  <c r="G116" i="36"/>
  <c r="M53" i="36"/>
  <c r="G112" i="36"/>
  <c r="M49" i="36"/>
  <c r="G114" i="36"/>
  <c r="M51" i="36"/>
  <c r="G111" i="36"/>
  <c r="M48" i="36"/>
  <c r="G115" i="36"/>
  <c r="G113" i="36"/>
  <c r="G119" i="36"/>
  <c r="G123" i="36"/>
  <c r="G121" i="36"/>
  <c r="G117" i="36"/>
  <c r="E67" i="36"/>
  <c r="E68" i="36"/>
  <c r="F21" i="38"/>
  <c r="M58" i="36"/>
  <c r="N58" i="36" s="1"/>
  <c r="M54" i="36"/>
  <c r="N54" i="36" s="1"/>
  <c r="M44" i="36"/>
  <c r="N44" i="36" s="1"/>
  <c r="M34" i="36"/>
  <c r="N34" i="36" s="1"/>
  <c r="M43" i="36"/>
  <c r="N43" i="36" s="1"/>
  <c r="I171" i="32"/>
  <c r="M59" i="36"/>
  <c r="N59" i="36" s="1"/>
  <c r="I100" i="32"/>
  <c r="M30" i="36"/>
  <c r="I182" i="32"/>
  <c r="M63" i="36"/>
  <c r="N63" i="36" s="1"/>
  <c r="I104" i="32"/>
  <c r="M32" i="36"/>
  <c r="N32" i="36" s="1"/>
  <c r="I165" i="32"/>
  <c r="M56" i="36"/>
  <c r="N56" i="36" s="1"/>
  <c r="I167" i="32"/>
  <c r="M57" i="36"/>
  <c r="N57" i="36" s="1"/>
  <c r="I113" i="32"/>
  <c r="M35" i="36"/>
  <c r="N35" i="36" s="1"/>
  <c r="I118" i="32"/>
  <c r="M37" i="36"/>
  <c r="N37" i="36" s="1"/>
  <c r="I102" i="32"/>
  <c r="M31" i="36"/>
  <c r="N31" i="36" s="1"/>
  <c r="I180" i="32"/>
  <c r="M62" i="36"/>
  <c r="N62" i="36" s="1"/>
  <c r="I173" i="32"/>
  <c r="M60" i="36"/>
  <c r="N60" i="36" s="1"/>
  <c r="I161" i="32"/>
  <c r="I134" i="32"/>
  <c r="M42" i="36"/>
  <c r="N42" i="36" s="1"/>
  <c r="I132" i="32"/>
  <c r="M41" i="36"/>
  <c r="N41" i="36" s="1"/>
  <c r="I125" i="32"/>
  <c r="M39" i="36"/>
  <c r="N39" i="36" s="1"/>
  <c r="I145" i="32"/>
  <c r="M46" i="36"/>
  <c r="N46" i="36" s="1"/>
  <c r="I147" i="32"/>
  <c r="M47" i="36"/>
  <c r="N47" i="36" s="1"/>
  <c r="I163" i="32"/>
  <c r="M55" i="36"/>
  <c r="N55" i="36" s="1"/>
  <c r="AP21" i="33"/>
  <c r="H74" i="36" s="1"/>
  <c r="AM21" i="33"/>
  <c r="D71" i="36" s="1"/>
  <c r="E203" i="32" s="1"/>
  <c r="E135" i="36" s="1"/>
  <c r="AL21" i="33"/>
  <c r="J70" i="36" s="1"/>
  <c r="AO21" i="33"/>
  <c r="J73" i="36" s="1"/>
  <c r="AN21" i="33"/>
  <c r="D72" i="36" s="1"/>
  <c r="D75" i="36"/>
  <c r="J75" i="36"/>
  <c r="H75" i="36"/>
  <c r="I136" i="32"/>
  <c r="I138" i="32"/>
  <c r="I111" i="32"/>
  <c r="AR21" i="33"/>
  <c r="AT21" i="33"/>
  <c r="AS21" i="33"/>
  <c r="AQ21" i="38"/>
  <c r="AN21" i="38"/>
  <c r="AL21" i="38"/>
  <c r="AP21" i="38"/>
  <c r="AM21" i="38"/>
  <c r="AO21" i="38"/>
  <c r="O50" i="36" l="1"/>
  <c r="N52" i="36"/>
  <c r="O52" i="36"/>
  <c r="P52" i="36"/>
  <c r="R52" i="36"/>
  <c r="Q50" i="36"/>
  <c r="R50" i="36"/>
  <c r="N50" i="36"/>
  <c r="Q49" i="36"/>
  <c r="R49" i="36"/>
  <c r="N49" i="36"/>
  <c r="P49" i="36"/>
  <c r="O49" i="36"/>
  <c r="P48" i="36"/>
  <c r="N48" i="36"/>
  <c r="Q48" i="36"/>
  <c r="R48" i="36"/>
  <c r="O48" i="36"/>
  <c r="P51" i="36"/>
  <c r="O51" i="36"/>
  <c r="Q51" i="36"/>
  <c r="R51" i="36"/>
  <c r="N51" i="36"/>
  <c r="Q53" i="36"/>
  <c r="R53" i="36"/>
  <c r="N53" i="36"/>
  <c r="P53" i="36"/>
  <c r="O53" i="36"/>
  <c r="K75" i="36"/>
  <c r="I75" i="36"/>
  <c r="K71" i="36"/>
  <c r="I71" i="36"/>
  <c r="K72" i="36"/>
  <c r="I72" i="36"/>
  <c r="E205" i="32"/>
  <c r="E211" i="32"/>
  <c r="E139" i="36" s="1"/>
  <c r="G127" i="36"/>
  <c r="Q34" i="36"/>
  <c r="P34" i="36"/>
  <c r="R44" i="36"/>
  <c r="P44" i="36"/>
  <c r="R58" i="36"/>
  <c r="Q58" i="36"/>
  <c r="O34" i="36"/>
  <c r="O44" i="36"/>
  <c r="R43" i="36"/>
  <c r="O43" i="36"/>
  <c r="Q43" i="36"/>
  <c r="Q44" i="36"/>
  <c r="O58" i="36"/>
  <c r="P43" i="36"/>
  <c r="P58" i="36"/>
  <c r="R34" i="36"/>
  <c r="D73" i="36"/>
  <c r="H73" i="36"/>
  <c r="O30" i="36"/>
  <c r="N30" i="36"/>
  <c r="R55" i="36"/>
  <c r="P55" i="36"/>
  <c r="Q55" i="36"/>
  <c r="O55" i="36"/>
  <c r="O46" i="36"/>
  <c r="P46" i="36"/>
  <c r="Q46" i="36"/>
  <c r="R46" i="36"/>
  <c r="Q41" i="36"/>
  <c r="R41" i="36"/>
  <c r="O41" i="36"/>
  <c r="P41" i="36"/>
  <c r="Q54" i="36"/>
  <c r="R54" i="36"/>
  <c r="O54" i="36"/>
  <c r="P54" i="36"/>
  <c r="Q62" i="36"/>
  <c r="R62" i="36"/>
  <c r="O62" i="36"/>
  <c r="P62" i="36"/>
  <c r="Q37" i="36"/>
  <c r="R37" i="36"/>
  <c r="O37" i="36"/>
  <c r="P37" i="36"/>
  <c r="P57" i="36"/>
  <c r="Q57" i="36"/>
  <c r="O57" i="36"/>
  <c r="R57" i="36"/>
  <c r="Q32" i="36"/>
  <c r="R32" i="36"/>
  <c r="O32" i="36"/>
  <c r="P32" i="36"/>
  <c r="Q30" i="36"/>
  <c r="R30" i="36"/>
  <c r="P30" i="36"/>
  <c r="J74" i="36"/>
  <c r="P47" i="36"/>
  <c r="Q47" i="36"/>
  <c r="O47" i="36"/>
  <c r="R47" i="36"/>
  <c r="R39" i="36"/>
  <c r="O39" i="36"/>
  <c r="P39" i="36"/>
  <c r="Q39" i="36"/>
  <c r="R42" i="36"/>
  <c r="O42" i="36"/>
  <c r="P42" i="36"/>
  <c r="Q42" i="36"/>
  <c r="O60" i="36"/>
  <c r="P60" i="36"/>
  <c r="Q60" i="36"/>
  <c r="R60" i="36"/>
  <c r="Q31" i="36"/>
  <c r="R31" i="36"/>
  <c r="O31" i="36"/>
  <c r="P31" i="36"/>
  <c r="R35" i="36"/>
  <c r="O35" i="36"/>
  <c r="P35" i="36"/>
  <c r="Q35" i="36"/>
  <c r="O56" i="36"/>
  <c r="P56" i="36"/>
  <c r="Q56" i="36"/>
  <c r="R56" i="36"/>
  <c r="R63" i="36"/>
  <c r="O63" i="36"/>
  <c r="P63" i="36"/>
  <c r="Q63" i="36"/>
  <c r="R59" i="36"/>
  <c r="P59" i="36"/>
  <c r="Q59" i="36"/>
  <c r="O59" i="36"/>
  <c r="H72" i="36"/>
  <c r="H71" i="36"/>
  <c r="J72" i="36"/>
  <c r="H70" i="36"/>
  <c r="J71" i="36"/>
  <c r="D74" i="36"/>
  <c r="D70" i="36"/>
  <c r="D76" i="36"/>
  <c r="J76" i="36"/>
  <c r="H76" i="36"/>
  <c r="D67" i="36"/>
  <c r="AK21" i="33"/>
  <c r="AJ21" i="33"/>
  <c r="X21" i="33"/>
  <c r="AD21" i="33"/>
  <c r="AE21" i="33"/>
  <c r="AD21" i="38"/>
  <c r="D68" i="36"/>
  <c r="AK21" i="38"/>
  <c r="X21" i="38"/>
  <c r="AE21" i="38"/>
  <c r="AJ21" i="38"/>
  <c r="D78" i="36"/>
  <c r="J78" i="36"/>
  <c r="H78" i="36"/>
  <c r="W21" i="38"/>
  <c r="D77" i="36"/>
  <c r="H77" i="36"/>
  <c r="J77" i="36"/>
  <c r="W21" i="33"/>
  <c r="B82" i="36" l="1"/>
  <c r="B146" i="36"/>
  <c r="N64" i="36"/>
  <c r="F245" i="32" s="1"/>
  <c r="I74" i="36"/>
  <c r="K74" i="36"/>
  <c r="I70" i="36"/>
  <c r="K70" i="36"/>
  <c r="K76" i="36"/>
  <c r="I76" i="36"/>
  <c r="I73" i="36"/>
  <c r="K73" i="36"/>
  <c r="K77" i="36"/>
  <c r="I77" i="36"/>
  <c r="I78" i="36"/>
  <c r="K78" i="36"/>
  <c r="E215" i="32"/>
  <c r="I68" i="36"/>
  <c r="K68" i="36"/>
  <c r="E213" i="32"/>
  <c r="E207" i="32"/>
  <c r="E217" i="32"/>
  <c r="K67" i="36"/>
  <c r="I67" i="36"/>
  <c r="J68" i="36"/>
  <c r="H68" i="36"/>
  <c r="E194" i="32"/>
  <c r="J67" i="36"/>
  <c r="H67" i="36"/>
  <c r="E192" i="32"/>
  <c r="E131" i="36" s="1"/>
  <c r="A227" i="32"/>
  <c r="E209" i="32"/>
  <c r="Q64" i="36"/>
  <c r="L247" i="32" s="1"/>
  <c r="P64" i="36"/>
  <c r="R245" i="32" s="1"/>
  <c r="O64" i="36"/>
  <c r="L245" i="32" s="1"/>
  <c r="R64" i="36"/>
  <c r="R247" i="32" s="1"/>
  <c r="E201" i="32"/>
  <c r="E134" i="36" s="1"/>
  <c r="Y21" i="38"/>
  <c r="AA21" i="38" s="1"/>
  <c r="Y21" i="33"/>
  <c r="AA21" i="33" s="1"/>
  <c r="AF21" i="33"/>
  <c r="AH21" i="33" s="1"/>
  <c r="AF21" i="38"/>
  <c r="AH21" i="38" s="1"/>
  <c r="D82" i="36" l="1"/>
  <c r="E227" i="32" s="1"/>
  <c r="E146" i="36" s="1"/>
  <c r="F142" i="36"/>
  <c r="F140" i="36"/>
  <c r="AC203" i="32" s="1"/>
  <c r="F141" i="36"/>
  <c r="AC204" i="32" s="1"/>
  <c r="F138" i="36"/>
  <c r="F131" i="36"/>
  <c r="I192" i="32" s="1"/>
  <c r="F134" i="36"/>
  <c r="F132" i="36"/>
  <c r="F135" i="36"/>
  <c r="F137" i="36"/>
  <c r="F136" i="36"/>
  <c r="F139" i="36"/>
  <c r="AI21" i="38"/>
  <c r="AI21" i="33"/>
  <c r="N82" i="36" l="1"/>
  <c r="I203" i="32"/>
  <c r="I194" i="32"/>
  <c r="I217" i="32"/>
  <c r="I213" i="32"/>
  <c r="I211" i="32"/>
  <c r="I215" i="32"/>
  <c r="I201" i="32"/>
  <c r="I205" i="32"/>
  <c r="I207" i="32"/>
  <c r="I209" i="32"/>
  <c r="M71" i="36"/>
  <c r="R71" i="36" s="1"/>
  <c r="AC195" i="32"/>
  <c r="M67" i="36"/>
  <c r="AC202" i="32"/>
  <c r="M75" i="36"/>
  <c r="M77" i="36"/>
  <c r="AC197" i="32"/>
  <c r="M70" i="36"/>
  <c r="M76" i="36"/>
  <c r="AC199" i="32"/>
  <c r="M72" i="36"/>
  <c r="AC200" i="32"/>
  <c r="M73" i="36"/>
  <c r="AC205" i="32"/>
  <c r="M78" i="36"/>
  <c r="AC201" i="32"/>
  <c r="M74" i="36"/>
  <c r="AC196" i="32"/>
  <c r="M68" i="36"/>
  <c r="AC198" i="32"/>
  <c r="F149" i="36"/>
  <c r="F148" i="36"/>
  <c r="F146" i="36"/>
  <c r="N71" i="36" l="1"/>
  <c r="O71" i="36"/>
  <c r="P71" i="36"/>
  <c r="Q71" i="36"/>
  <c r="R78" i="36"/>
  <c r="O78" i="36"/>
  <c r="Q78" i="36"/>
  <c r="N78" i="36"/>
  <c r="P78" i="36"/>
  <c r="R72" i="36"/>
  <c r="N72" i="36"/>
  <c r="Q72" i="36"/>
  <c r="O72" i="36"/>
  <c r="P72" i="36"/>
  <c r="R70" i="36"/>
  <c r="P70" i="36"/>
  <c r="Q70" i="36"/>
  <c r="N70" i="36"/>
  <c r="O70" i="36"/>
  <c r="R75" i="36"/>
  <c r="P75" i="36"/>
  <c r="O75" i="36"/>
  <c r="N75" i="36"/>
  <c r="Q75" i="36"/>
  <c r="Q74" i="36"/>
  <c r="R74" i="36"/>
  <c r="P74" i="36"/>
  <c r="O74" i="36"/>
  <c r="N74" i="36"/>
  <c r="R73" i="36"/>
  <c r="P73" i="36"/>
  <c r="O73" i="36"/>
  <c r="Q73" i="36"/>
  <c r="N73" i="36"/>
  <c r="P76" i="36"/>
  <c r="N76" i="36"/>
  <c r="R76" i="36"/>
  <c r="Q76" i="36"/>
  <c r="O76" i="36"/>
  <c r="R77" i="36"/>
  <c r="P77" i="36"/>
  <c r="O77" i="36"/>
  <c r="Q77" i="36"/>
  <c r="N77" i="36"/>
  <c r="Q67" i="36"/>
  <c r="R67" i="36"/>
  <c r="P67" i="36"/>
  <c r="N67" i="36"/>
  <c r="O67" i="36"/>
  <c r="R68" i="36"/>
  <c r="P68" i="36"/>
  <c r="O68" i="36"/>
  <c r="Q68" i="36"/>
  <c r="N68" i="36"/>
  <c r="I227" i="32"/>
  <c r="M82" i="36"/>
  <c r="I234" i="32"/>
  <c r="M84" i="36"/>
  <c r="N84" i="36" s="1"/>
  <c r="I236" i="32"/>
  <c r="M85" i="36"/>
  <c r="N85" i="36" s="1"/>
  <c r="R79" i="36" l="1"/>
  <c r="R251" i="32" s="1"/>
  <c r="P79" i="36"/>
  <c r="R249" i="32" s="1"/>
  <c r="N79" i="36"/>
  <c r="F249" i="32" s="1"/>
  <c r="N86" i="36"/>
  <c r="F253" i="32" s="1"/>
  <c r="O79" i="36"/>
  <c r="L249" i="32" s="1"/>
  <c r="Q79" i="36"/>
  <c r="L251"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Zachary Rubin</author>
  </authors>
  <commentList>
    <comment ref="D30" authorId="0" shapeId="0" xr:uid="{00000000-0006-0000-0000-000001000000}">
      <text>
        <r>
          <rPr>
            <sz val="9"/>
            <color indexed="81"/>
            <rFont val="Tahoma"/>
            <family val="2"/>
          </rPr>
          <t>Mean Roof Height:</t>
        </r>
      </text>
    </comment>
    <comment ref="D32" authorId="0" shapeId="0" xr:uid="{00000000-0006-0000-0000-000002000000}">
      <text>
        <r>
          <rPr>
            <sz val="9"/>
            <color indexed="81"/>
            <rFont val="Tahoma"/>
            <family val="2"/>
          </rPr>
          <t>Upper Roof Length:</t>
        </r>
      </text>
    </comment>
    <comment ref="D37" authorId="0" shapeId="0" xr:uid="{3D843D9B-3FEB-434C-B3CD-0E109CC0D901}">
      <text>
        <r>
          <rPr>
            <sz val="9"/>
            <color indexed="81"/>
            <rFont val="Tahoma"/>
            <family val="2"/>
          </rPr>
          <t>Projection:</t>
        </r>
      </text>
    </comment>
    <comment ref="D39" authorId="0" shapeId="0" xr:uid="{A5DC8DD2-4F92-4B27-A625-03D0F2882C50}">
      <text>
        <r>
          <rPr>
            <sz val="9"/>
            <color indexed="81"/>
            <rFont val="Tahoma"/>
            <family val="2"/>
          </rPr>
          <t>Arm Attachment:</t>
        </r>
      </text>
    </comment>
    <comment ref="D41" authorId="0" shapeId="0" xr:uid="{00000000-0006-0000-0000-000003000000}">
      <text>
        <r>
          <rPr>
            <sz val="9"/>
            <color indexed="81"/>
            <rFont val="Tahoma"/>
            <family val="2"/>
          </rPr>
          <t>Arm Height:</t>
        </r>
      </text>
    </comment>
    <comment ref="D45" authorId="0" shapeId="0" xr:uid="{00000000-0006-0000-0000-000004000000}">
      <text>
        <r>
          <rPr>
            <sz val="9"/>
            <color indexed="81"/>
            <rFont val="Tahoma"/>
            <family val="2"/>
          </rPr>
          <t>Canopy Height:</t>
        </r>
      </text>
    </comment>
    <comment ref="D49" authorId="0" shapeId="0" xr:uid="{00000000-0006-0000-0000-000005000000}">
      <text>
        <r>
          <rPr>
            <sz val="9"/>
            <color indexed="81"/>
            <rFont val="Tahoma"/>
            <family val="2"/>
          </rPr>
          <t>(Affects Design Checks 2, 3, &amp; 11)</t>
        </r>
      </text>
    </comment>
    <comment ref="D51" authorId="0" shapeId="0" xr:uid="{00000000-0006-0000-0000-000006000000}">
      <text>
        <r>
          <rPr>
            <sz val="9"/>
            <color indexed="81"/>
            <rFont val="Tahoma"/>
            <family val="2"/>
          </rPr>
          <t>(Affects Design Checks 6, 8 ,9, 11, &amp; 12</t>
        </r>
      </text>
    </comment>
    <comment ref="D53" authorId="0" shapeId="0" xr:uid="{00000000-0006-0000-0000-000007000000}">
      <text>
        <r>
          <rPr>
            <sz val="9"/>
            <color indexed="81"/>
            <rFont val="Tahoma"/>
            <family val="2"/>
          </rPr>
          <t>(Affects Design Check 7 &amp; 11)</t>
        </r>
      </text>
    </comment>
    <comment ref="D55" authorId="0" shapeId="0" xr:uid="{00000000-0006-0000-0000-000008000000}">
      <text>
        <r>
          <rPr>
            <sz val="9"/>
            <color indexed="81"/>
            <rFont val="Tahoma"/>
            <family val="2"/>
          </rPr>
          <t>(Affects Design Check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Andrel</author>
  </authors>
  <commentList>
    <comment ref="B27" authorId="0" shapeId="0" xr:uid="{00000000-0006-0000-0500-000001000000}">
      <text>
        <r>
          <rPr>
            <b/>
            <sz val="8"/>
            <color indexed="81"/>
            <rFont val="Tahoma"/>
            <family val="2"/>
          </rPr>
          <t>Andrel:</t>
        </r>
        <r>
          <rPr>
            <sz val="8"/>
            <color indexed="81"/>
            <rFont val="Tahoma"/>
            <family val="2"/>
          </rPr>
          <t xml:space="preserve">
NEEDS TO ADD CONDITIONAL 7.3.4 PG 81</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c10" type="4" refreshedVersion="0" background="1">
    <webPr xml="1" sourceData="1" url="http://www.engexp.com/calculators/cc10.xml" htmlTables="1" htmlFormat="all"/>
  </connection>
  <connection id="2" xr16:uid="{00000000-0015-0000-FFFF-FFFF01000000}" name="EX_Employees1" type="4" refreshedVersion="0" background="1">
    <webPr xml="1" sourceData="1" url="http://www.engexp.com/xml/EX_Employees.xml" htmlTables="1" htmlFormat="all"/>
  </connection>
  <connection id="3" xr16:uid="{00000000-0015-0000-FFFF-FFFF02000000}" name="pes2" type="4" refreshedVersion="0" background="1">
    <webPr xml="1" sourceData="1" url="http://www.engexp.com/xml/pes2.xml" htmlTables="1" htmlFormat="all"/>
  </connection>
</connections>
</file>

<file path=xl/sharedStrings.xml><?xml version="1.0" encoding="utf-8"?>
<sst xmlns="http://schemas.openxmlformats.org/spreadsheetml/2006/main" count="1569" uniqueCount="655">
  <si>
    <t>Round</t>
  </si>
  <si>
    <t>B</t>
  </si>
  <si>
    <t>C</t>
  </si>
  <si>
    <t>D</t>
  </si>
  <si>
    <t>A</t>
  </si>
  <si>
    <t>mph</t>
  </si>
  <si>
    <t>ft</t>
  </si>
  <si>
    <t>Frank L. Bennardo, P.E.</t>
  </si>
  <si>
    <t>FL</t>
  </si>
  <si>
    <t>AL</t>
  </si>
  <si>
    <t>PE10606888</t>
  </si>
  <si>
    <t>Contractor:</t>
  </si>
  <si>
    <t>Project Details:</t>
  </si>
  <si>
    <t>-</t>
  </si>
  <si>
    <t>Work Prepared For:</t>
  </si>
  <si>
    <t>Project:</t>
  </si>
  <si>
    <t>psf</t>
  </si>
  <si>
    <t>Project #</t>
  </si>
  <si>
    <t>Contractor Address:</t>
  </si>
  <si>
    <t>Contractor Name:</t>
  </si>
  <si>
    <t>Ix</t>
  </si>
  <si>
    <t>Iy</t>
  </si>
  <si>
    <t>rx</t>
  </si>
  <si>
    <t>Bc</t>
  </si>
  <si>
    <t>Dc</t>
  </si>
  <si>
    <t>S1</t>
  </si>
  <si>
    <t>S2</t>
  </si>
  <si>
    <t>W =</t>
  </si>
  <si>
    <t>Exposures</t>
  </si>
  <si>
    <t>a</t>
  </si>
  <si>
    <t>z_g</t>
  </si>
  <si>
    <t>z_min</t>
  </si>
  <si>
    <t xml:space="preserve">Exposure: </t>
  </si>
  <si>
    <t>Wind Velocity (3-Second Gust)</t>
  </si>
  <si>
    <t>Directionality Factor</t>
  </si>
  <si>
    <t xml:space="preserve">Design Live Load: </t>
  </si>
  <si>
    <t>Velocity Pressure Coefficient</t>
  </si>
  <si>
    <t xml:space="preserve">Design Dead Load: </t>
  </si>
  <si>
    <t>Topographic Factor</t>
  </si>
  <si>
    <t xml:space="preserve">L1 = </t>
  </si>
  <si>
    <t xml:space="preserve">W1 = </t>
  </si>
  <si>
    <t xml:space="preserve">A = </t>
  </si>
  <si>
    <t>Effective Wind Area, L1*W1</t>
  </si>
  <si>
    <t>Velocity Pressure</t>
  </si>
  <si>
    <t>For Deflection Check Only:</t>
  </si>
  <si>
    <t>Positive Wind Load, = qz*G*CNp</t>
  </si>
  <si>
    <t>(0.42*WLp)</t>
  </si>
  <si>
    <t>Negative Wind Load, = qz*G*CNn</t>
  </si>
  <si>
    <t>(0.42*WLn)</t>
  </si>
  <si>
    <t xml:space="preserve">Grav = </t>
  </si>
  <si>
    <t xml:space="preserve">Uplift = </t>
  </si>
  <si>
    <t>Critical Negative DP, 0.6*WLn+0.6*DL</t>
  </si>
  <si>
    <t>LOADS ON CANOPY FASCIA:</t>
  </si>
  <si>
    <t xml:space="preserve">WL = </t>
  </si>
  <si>
    <r>
      <t>V</t>
    </r>
    <r>
      <rPr>
        <vertAlign val="subscript"/>
        <sz val="10"/>
        <rFont val="Arial"/>
        <family val="2"/>
      </rPr>
      <t>ult</t>
    </r>
    <r>
      <rPr>
        <sz val="10"/>
        <rFont val="Arial"/>
        <family val="2"/>
      </rPr>
      <t xml:space="preserve"> = </t>
    </r>
  </si>
  <si>
    <t>Mean Canopy Height</t>
  </si>
  <si>
    <t xml:space="preserve">Design Snow Load: </t>
  </si>
  <si>
    <r>
      <t>K</t>
    </r>
    <r>
      <rPr>
        <vertAlign val="subscript"/>
        <sz val="10"/>
        <rFont val="Arial"/>
        <family val="2"/>
      </rPr>
      <t>e</t>
    </r>
    <r>
      <rPr>
        <sz val="10"/>
        <rFont val="Arial"/>
        <family val="2"/>
      </rPr>
      <t xml:space="preserve"> = </t>
    </r>
  </si>
  <si>
    <t>Ground Elevation Factor</t>
  </si>
  <si>
    <r>
      <t>K</t>
    </r>
    <r>
      <rPr>
        <vertAlign val="subscript"/>
        <sz val="10"/>
        <rFont val="Arial"/>
        <family val="2"/>
      </rPr>
      <t>z</t>
    </r>
    <r>
      <rPr>
        <sz val="10"/>
        <rFont val="Arial"/>
        <family val="2"/>
      </rPr>
      <t xml:space="preserve"> = </t>
    </r>
  </si>
  <si>
    <r>
      <t>K</t>
    </r>
    <r>
      <rPr>
        <vertAlign val="subscript"/>
        <sz val="10"/>
        <rFont val="Arial"/>
        <family val="2"/>
      </rPr>
      <t>zt</t>
    </r>
    <r>
      <rPr>
        <sz val="10"/>
        <rFont val="Arial"/>
        <family val="2"/>
      </rPr>
      <t xml:space="preserve"> = </t>
    </r>
  </si>
  <si>
    <t>LOADS ON BEAMS:</t>
  </si>
  <si>
    <t xml:space="preserve">L2 = </t>
  </si>
  <si>
    <t xml:space="preserve">W2 = </t>
  </si>
  <si>
    <r>
      <t>K</t>
    </r>
    <r>
      <rPr>
        <vertAlign val="subscript"/>
        <sz val="10"/>
        <rFont val="Arial"/>
        <family val="2"/>
      </rPr>
      <t>d</t>
    </r>
    <r>
      <rPr>
        <sz val="10"/>
        <rFont val="Arial"/>
        <family val="2"/>
      </rPr>
      <t xml:space="preserve"> = </t>
    </r>
  </si>
  <si>
    <t xml:space="preserve"> feet of any building corner. This engineer has not field visited this location and if this cannot be clearly identified by others, the opening shall be re-evaluated prior to installation of any fenestration.  All other information provided above including mean roof height, building minimum dimensions, opening sizes, &amp; other supporting data was provided by others.  For definitions of the above terms, visit EngineeringExpress.com/Wiki "</t>
  </si>
  <si>
    <t>End zone</t>
  </si>
  <si>
    <t>"Note: For openings to be properly rated in Zone 4, no part of the opening shall be within "</t>
  </si>
  <si>
    <t>ENGINEERINGEXPRESS.COM</t>
  </si>
  <si>
    <t>PHONE: (954) 354-0660 - FAX: (954) 354-0443</t>
  </si>
  <si>
    <t>160 SW 12TH AVENUE, SUITE 106, DEERFIELD BEACH, FLORIDA 33442</t>
  </si>
  <si>
    <t>Valid Only With Raised Engineer Seal</t>
  </si>
  <si>
    <t>DIGITAL SEAL</t>
  </si>
  <si>
    <t>Order (Ref) #:</t>
  </si>
  <si>
    <t>(Code is for admin use only)</t>
  </si>
  <si>
    <t>Internal code:</t>
  </si>
  <si>
    <t>If you're done with the above, go on top and click on "Order Engineering" to submit for review and certification</t>
  </si>
  <si>
    <t>Job City/State:</t>
  </si>
  <si>
    <t>Job Address:</t>
  </si>
  <si>
    <t>Job Name:</t>
  </si>
  <si>
    <t>Contractor City/State:</t>
  </si>
  <si>
    <t>CONTRACTOR &amp; JOB INFORMATION</t>
  </si>
  <si>
    <t>TO SAVE YOUR WORK:
1.  Click Real Time Sync below, Enter A unique name, click connect.
2.	   When you return, open Real Time Sync, type your code, press connect, work will be restored.
3.	  You can click on "Share the link" and send it to your coworkers for you to collaborate.</t>
  </si>
  <si>
    <t>When you're finished with the above, press "Next page" above to enter project information and submit for review and certification.</t>
  </si>
  <si>
    <t xml:space="preserve"> Click 'Next Page' above when you're done to easily process your order</t>
  </si>
  <si>
    <t xml:space="preserve">Order Certified Copies of these preliminary results - useful for permitting   </t>
  </si>
  <si>
    <t>1/2" THRU BOLT TO 1/4" BACKING PLATE</t>
  </si>
  <si>
    <t>1/2" BOLT TO 1/4" ASTM A36 STEEL</t>
  </si>
  <si>
    <t>1/2" LAG SCREW TO SYP #2 WOOD</t>
  </si>
  <si>
    <t>V</t>
  </si>
  <si>
    <t>T</t>
  </si>
  <si>
    <t>Deflection Unity</t>
  </si>
  <si>
    <t>Actual Deflection (in)</t>
  </si>
  <si>
    <t>Deflection Limit (L/180)</t>
  </si>
  <si>
    <t>Bending Unity fb,x / Fb,x</t>
  </si>
  <si>
    <t>Ix (Strong) in.^4</t>
  </si>
  <si>
    <t>Sx (Strong) in.^3</t>
  </si>
  <si>
    <t>Max Moment</t>
  </si>
  <si>
    <t>Mx_Grav (kip-ft)</t>
  </si>
  <si>
    <t>Mx_Up (kip-ft)</t>
  </si>
  <si>
    <t>W_Grav</t>
  </si>
  <si>
    <t>W_up</t>
  </si>
  <si>
    <t>Pressure Grav</t>
  </si>
  <si>
    <t>Pressure Uplift</t>
  </si>
  <si>
    <t>Max Hanger Arm O.C. (ft)</t>
  </si>
  <si>
    <t>Fb (Stong) ksi</t>
  </si>
  <si>
    <t>Projection</t>
  </si>
  <si>
    <t>STRONG AXIS</t>
  </si>
  <si>
    <t>8" Front Gutter (2)</t>
  </si>
  <si>
    <t>CASE 3</t>
  </si>
  <si>
    <t>MID EACH</t>
  </si>
  <si>
    <t>CASE 2</t>
  </si>
  <si>
    <t>MAX SNOW</t>
  </si>
  <si>
    <t>CASE 1</t>
  </si>
  <si>
    <t>MAX WIND</t>
  </si>
  <si>
    <t>GRAVITY</t>
  </si>
  <si>
    <t>UPLIFT</t>
  </si>
  <si>
    <t>THRU BOLT</t>
  </si>
  <si>
    <t>STEEL</t>
  </si>
  <si>
    <t>WOOD</t>
  </si>
  <si>
    <t>HOLLOW</t>
  </si>
  <si>
    <t>GFB</t>
  </si>
  <si>
    <t>CONC.</t>
  </si>
  <si>
    <t>Max Key Reaction at Gutter Y</t>
  </si>
  <si>
    <t>Max Key Reaction at Gutter X</t>
  </si>
  <si>
    <t>Combined Bending Unity</t>
  </si>
  <si>
    <t>fb,Y / Fb,Y</t>
  </si>
  <si>
    <t>Sy (Weak) in.^3</t>
  </si>
  <si>
    <t>My_Grav (kip-ft)</t>
  </si>
  <si>
    <t>My_Up (kip-ft)</t>
  </si>
  <si>
    <t>Wp_Grav/ ft</t>
  </si>
  <si>
    <t>Wp_Up/ ft</t>
  </si>
  <si>
    <t>Wt_Grav (Key)</t>
  </si>
  <si>
    <t>Wt_up (Key)</t>
  </si>
  <si>
    <t>Wt_Grav (Gutter)</t>
  </si>
  <si>
    <t>Wt_up (Gutter)</t>
  </si>
  <si>
    <t>Wa_Grav</t>
  </si>
  <si>
    <t>Wa_Up</t>
  </si>
  <si>
    <t>Key React X Grav</t>
  </si>
  <si>
    <t>Key React X Up</t>
  </si>
  <si>
    <t>Key React Y Grav</t>
  </si>
  <si>
    <t>Key React Y Up</t>
  </si>
  <si>
    <t>P Load top Grav</t>
  </si>
  <si>
    <t>P Load top Up</t>
  </si>
  <si>
    <t>Key Spacing (ft) Based on Flexure</t>
  </si>
  <si>
    <t>Angle</t>
  </si>
  <si>
    <t>Fb (Weak) ksi</t>
  </si>
  <si>
    <t>ANCHORAGE KEY SPACING</t>
  </si>
  <si>
    <t>WEAK AXIS</t>
  </si>
  <si>
    <t>8" Back Gutter (6)</t>
  </si>
  <si>
    <t>Arm Length</t>
  </si>
  <si>
    <t>60 Degrees</t>
  </si>
  <si>
    <t>55 Degrees</t>
  </si>
  <si>
    <t>50 Degrees</t>
  </si>
  <si>
    <t>45 Degrees</t>
  </si>
  <si>
    <t>40 Degrees</t>
  </si>
  <si>
    <t>35 Degrees</t>
  </si>
  <si>
    <t>30 Degrees</t>
  </si>
  <si>
    <t>UP Y-DIR</t>
  </si>
  <si>
    <t>UP X-DIR</t>
  </si>
  <si>
    <t>GRAV Y-DIR</t>
  </si>
  <si>
    <t>GRAV X-DIR</t>
  </si>
  <si>
    <t>CONCRETE</t>
  </si>
  <si>
    <t xml:space="preserve">2"x2"x1/4" </t>
  </si>
  <si>
    <t>2" SCH 80</t>
  </si>
  <si>
    <t>2" SCH 40</t>
  </si>
  <si>
    <t>1.5" SCH 80</t>
  </si>
  <si>
    <t>1.5" SCH 40</t>
  </si>
  <si>
    <t>Arm Length ADJ</t>
  </si>
  <si>
    <t>Arm Length ACT</t>
  </si>
  <si>
    <t>Vertical Spacing @ 2/3</t>
  </si>
  <si>
    <t>Arm Angle</t>
  </si>
  <si>
    <t>Arm Spacing</t>
  </si>
  <si>
    <t>60 DEGREE HANGER ARM ANGLE</t>
  </si>
  <si>
    <t>55 DEGREE HANGER ARM ANGLE</t>
  </si>
  <si>
    <t>50 DEGREE HANGER ARM ANGLE</t>
  </si>
  <si>
    <t>45 DEGREE HANGER ARM ANGLE</t>
  </si>
  <si>
    <t>40 DEGREE HANGER ARM ANGLE</t>
  </si>
  <si>
    <t>35 DEGREE HANGER ARM ANGLE</t>
  </si>
  <si>
    <t>30 DEGREE HANGER ARM ANGLE</t>
  </si>
  <si>
    <t>Ftu_n/Omega</t>
  </si>
  <si>
    <t>Omega</t>
  </si>
  <si>
    <t>5 PSF</t>
  </si>
  <si>
    <t>Dead Loading Criteria</t>
  </si>
  <si>
    <t>20 PSF</t>
  </si>
  <si>
    <t>Roof Live Loading Criteria</t>
  </si>
  <si>
    <t>0 PSF</t>
  </si>
  <si>
    <t>Canopy Drift Snow Loading Criteria</t>
  </si>
  <si>
    <t>175 MPH, EXP. C, CANOPY MRH = 15', BUILDING MRH = 30'</t>
  </si>
  <si>
    <t>Wind Loading Criteria</t>
  </si>
  <si>
    <t>t</t>
  </si>
  <si>
    <t>d OR b/h</t>
  </si>
  <si>
    <t>Hanger Arm Tables</t>
  </si>
  <si>
    <t>Datum Holdings, LLC</t>
  </si>
  <si>
    <t>18-5915</t>
  </si>
  <si>
    <t>Gravity</t>
  </si>
  <si>
    <t>Uplift</t>
  </si>
  <si>
    <t>Loading</t>
  </si>
  <si>
    <r>
      <t>V</t>
    </r>
    <r>
      <rPr>
        <vertAlign val="subscript"/>
        <sz val="11"/>
        <color indexed="8"/>
        <rFont val="Arial"/>
        <family val="2"/>
      </rPr>
      <t>ult</t>
    </r>
    <r>
      <rPr>
        <sz val="11"/>
        <color indexed="8"/>
        <rFont val="Arial"/>
        <family val="2"/>
      </rPr>
      <t>:</t>
    </r>
  </si>
  <si>
    <t>Exposure:</t>
  </si>
  <si>
    <t>II</t>
  </si>
  <si>
    <t>Live Load:</t>
  </si>
  <si>
    <t>Dead Load:</t>
  </si>
  <si>
    <t>Ground Snow Load:</t>
  </si>
  <si>
    <t>Superstructure</t>
  </si>
  <si>
    <t xml:space="preserve">Canopy </t>
  </si>
  <si>
    <t>degrees</t>
  </si>
  <si>
    <t>Arm Type:</t>
  </si>
  <si>
    <t>Gutter Type:</t>
  </si>
  <si>
    <t>Concrete</t>
  </si>
  <si>
    <t>Grout Filled CMU</t>
  </si>
  <si>
    <t>Hollow CMU</t>
  </si>
  <si>
    <t>Wood</t>
  </si>
  <si>
    <t>Steel</t>
  </si>
  <si>
    <t>Thru Bolt</t>
  </si>
  <si>
    <t>Hanger Arm Spacing</t>
  </si>
  <si>
    <t>Key Spacing</t>
  </si>
  <si>
    <t>Total snow load (balanced + drift snow)</t>
  </si>
  <si>
    <t>SL=</t>
  </si>
  <si>
    <t>Surcharge load</t>
  </si>
  <si>
    <t>pd=</t>
  </si>
  <si>
    <t>Drift height at edge of lower roof</t>
  </si>
  <si>
    <t>hend=</t>
  </si>
  <si>
    <t>Governing drift width</t>
  </si>
  <si>
    <t>w=</t>
  </si>
  <si>
    <t>Governing drift height</t>
  </si>
  <si>
    <t>hd=</t>
  </si>
  <si>
    <t>Height of snow drift (Fig 7-9): 0.43(lu)^(1/3)(Pg+10)^(1/4)-1.5 (Windward)</t>
  </si>
  <si>
    <t>hd2=</t>
  </si>
  <si>
    <t>Height of snow drift (Fig 7-9): 0.43(lu)^(1/3)(Pg+10)^(1/4)-1.5 (Leeward)</t>
  </si>
  <si>
    <t>hd1=</t>
  </si>
  <si>
    <r>
      <t>Height of balanced snow: Ps/(</t>
    </r>
    <r>
      <rPr>
        <sz val="10"/>
        <rFont val="Symbol"/>
        <family val="1"/>
        <charset val="2"/>
      </rPr>
      <t>g</t>
    </r>
    <r>
      <rPr>
        <sz val="10"/>
        <rFont val="Arial"/>
        <family val="2"/>
      </rPr>
      <t>)</t>
    </r>
  </si>
  <si>
    <t>hb=</t>
  </si>
  <si>
    <t>ft, Height from top of lower roof to top of eave</t>
  </si>
  <si>
    <t>hc=</t>
  </si>
  <si>
    <t>Length of lower roof projection</t>
  </si>
  <si>
    <t>lu2=</t>
  </si>
  <si>
    <t>ft, Length of upper roof</t>
  </si>
  <si>
    <t>lu1=</t>
  </si>
  <si>
    <t>Drifts on Lower Roofs (Aerodynamic Shade)</t>
  </si>
  <si>
    <t>Total surcharge: Ps+Leeward</t>
  </si>
  <si>
    <t>Su =</t>
  </si>
  <si>
    <t>Leeward side: Ps</t>
  </si>
  <si>
    <t>Windward side: Su = (0.3)(Ps)</t>
  </si>
  <si>
    <t>Length of surcharge: 8(hd)(S)^0.5/3</t>
  </si>
  <si>
    <r>
      <t>Surchage: (hd)(</t>
    </r>
    <r>
      <rPr>
        <sz val="10"/>
        <rFont val="Symbol"/>
        <family val="1"/>
        <charset val="2"/>
      </rPr>
      <t>g</t>
    </r>
    <r>
      <rPr>
        <sz val="10"/>
        <rFont val="Arial"/>
        <family val="2"/>
      </rPr>
      <t>)/(S)^0.5</t>
    </r>
  </si>
  <si>
    <t>Height of snow drift (Fig 7-9): 0.43(W)^(1/3)(Pg+10)^(1/4)-1.5</t>
  </si>
  <si>
    <t>hd =</t>
  </si>
  <si>
    <t>Unbalanced Snow Loads</t>
  </si>
  <si>
    <t>Ps =</t>
  </si>
  <si>
    <t>Pf =</t>
  </si>
  <si>
    <t>Balanced Snow Loads</t>
  </si>
  <si>
    <t>Snow density Eq. 7-3: 0.13(Pg)+14 &lt; 30 psf</t>
  </si>
  <si>
    <r>
      <rPr>
        <sz val="10"/>
        <rFont val="Symbol"/>
        <family val="1"/>
        <charset val="2"/>
      </rPr>
      <t>g</t>
    </r>
    <r>
      <rPr>
        <sz val="10"/>
        <rFont val="Arial"/>
        <family val="2"/>
      </rPr>
      <t xml:space="preserve"> =</t>
    </r>
  </si>
  <si>
    <t>ft, Horizontal distance from eave to ridge</t>
  </si>
  <si>
    <t>Roof slope run for a rise of one</t>
  </si>
  <si>
    <t>S =</t>
  </si>
  <si>
    <t>Curved roof</t>
  </si>
  <si>
    <t>Eave slope</t>
  </si>
  <si>
    <t>Evs =</t>
  </si>
  <si>
    <t>Sloped roof</t>
  </si>
  <si>
    <t>Importance factor (Table 7-4)</t>
  </si>
  <si>
    <t>I =</t>
  </si>
  <si>
    <t>Flat roof (slope &lt; 5°)</t>
  </si>
  <si>
    <t>Thermal factor (Table 7-3)</t>
  </si>
  <si>
    <t>Ct =</t>
  </si>
  <si>
    <t>Type of roof</t>
  </si>
  <si>
    <t>Exposure factor (Table 7-2)</t>
  </si>
  <si>
    <t>Ce =</t>
  </si>
  <si>
    <t>Snow design</t>
  </si>
  <si>
    <t>psf, Ground snow load</t>
  </si>
  <si>
    <t>Pg =</t>
  </si>
  <si>
    <t>Snow Loads</t>
  </si>
  <si>
    <t>NOTES: Design is in accordance with ASCE 7. Results are not certified or approved in any way by this office unless they are signed and sealed by a Professional Engineer of this firm. Results are based on contractor-supplied data and shall be field verified by others prior to use. Selection &amp; installation of products shall be approved using these dimensions and pressures and are not part of the engineering certification.</t>
  </si>
  <si>
    <t>Arm</t>
  </si>
  <si>
    <t>Arm Capacity:</t>
  </si>
  <si>
    <t>Gutter Capacity:</t>
  </si>
  <si>
    <t>Top Con.:</t>
  </si>
  <si>
    <t>Bottom Con.:</t>
  </si>
  <si>
    <t>Bottom Connection Capacity:</t>
  </si>
  <si>
    <t>Top Connection Capacity:</t>
  </si>
  <si>
    <t>Rod Capacity:</t>
  </si>
  <si>
    <t>Strut Capacity:</t>
  </si>
  <si>
    <t>Load Combinations</t>
  </si>
  <si>
    <t>Gravity:</t>
  </si>
  <si>
    <t>Uplift:</t>
  </si>
  <si>
    <t>0.6D+0.6W</t>
  </si>
  <si>
    <t>Gutter Overhang</t>
  </si>
  <si>
    <t>ASD Load Combinations</t>
  </si>
  <si>
    <t>6a</t>
  </si>
  <si>
    <t>6b</t>
  </si>
  <si>
    <t>6a.</t>
  </si>
  <si>
    <t>6b.</t>
  </si>
  <si>
    <t>1.</t>
  </si>
  <si>
    <t>2.</t>
  </si>
  <si>
    <t>3.</t>
  </si>
  <si>
    <t>4.</t>
  </si>
  <si>
    <t>5.</t>
  </si>
  <si>
    <t>7.</t>
  </si>
  <si>
    <t>8.</t>
  </si>
  <si>
    <t>Effective Combinations:</t>
  </si>
  <si>
    <t>Rain Load (R) is ignored (will update eventually)</t>
  </si>
  <si>
    <t>Lr and W considered at same time for HVHZ which is overkill (will update eventually)</t>
  </si>
  <si>
    <t>REACTIONS</t>
  </si>
  <si>
    <t>0.6D</t>
  </si>
  <si>
    <t>D+0.6W</t>
  </si>
  <si>
    <t>S</t>
  </si>
  <si>
    <t>Lr</t>
  </si>
  <si>
    <t>Wp</t>
  </si>
  <si>
    <t>Wn</t>
  </si>
  <si>
    <t>R</t>
  </si>
  <si>
    <t>Grav</t>
  </si>
  <si>
    <t>Control</t>
  </si>
  <si>
    <t>Rod</t>
  </si>
  <si>
    <t>Select</t>
  </si>
  <si>
    <t>Govern</t>
  </si>
  <si>
    <t>Strut</t>
  </si>
  <si>
    <t>Top Connection</t>
  </si>
  <si>
    <t>Gutter</t>
  </si>
  <si>
    <t>2" SCH 80 Pipe</t>
  </si>
  <si>
    <t>1.5" SCH 40 Pipe</t>
  </si>
  <si>
    <t>4"x12" Gutter</t>
  </si>
  <si>
    <t>2"x2"x1/4" Tube</t>
  </si>
  <si>
    <t>4"x5-1/4" Tee</t>
  </si>
  <si>
    <t>Bottom Connection</t>
  </si>
  <si>
    <t>4"x8" Gutter</t>
  </si>
  <si>
    <t>Max:</t>
  </si>
  <si>
    <t>Lmax(m)</t>
  </si>
  <si>
    <t>Lmax(def)</t>
  </si>
  <si>
    <t>L(max)</t>
  </si>
  <si>
    <t>Rx, grav</t>
  </si>
  <si>
    <t>Ry, grav</t>
  </si>
  <si>
    <t>Rx, up</t>
  </si>
  <si>
    <t>Ry, up</t>
  </si>
  <si>
    <t>Sel &amp; Min</t>
  </si>
  <si>
    <t>S(tension)</t>
  </si>
  <si>
    <t>Smax(gr)</t>
  </si>
  <si>
    <t>Smax(up)</t>
  </si>
  <si>
    <t>fa/Fa(up)</t>
  </si>
  <si>
    <t>PLF</t>
  </si>
  <si>
    <t>12" Back Gutter 7</t>
  </si>
  <si>
    <t>12" Front Gutter 5</t>
  </si>
  <si>
    <t>Strut Rivet Capacity:</t>
  </si>
  <si>
    <t>Strut Rivet Capacity</t>
  </si>
  <si>
    <t>Unity(gr)</t>
  </si>
  <si>
    <t>Unity(up)</t>
  </si>
  <si>
    <t>S(grav)</t>
  </si>
  <si>
    <t>S(up)</t>
  </si>
  <si>
    <t>@ Edge to 4"x8"</t>
  </si>
  <si>
    <t>@ Host to 4"x8"</t>
  </si>
  <si>
    <t>@ Edge to 4"x12"</t>
  </si>
  <si>
    <t>@ Host to 4"x12"</t>
  </si>
  <si>
    <t>Average Wind Load on Fascia, qz*GCpnwl</t>
  </si>
  <si>
    <t>Negative Wind Load on Fascia, qz*GCpnl*0.6</t>
  </si>
  <si>
    <r>
      <t>WL</t>
    </r>
    <r>
      <rPr>
        <b/>
        <vertAlign val="subscript"/>
        <sz val="10"/>
        <rFont val="Arial"/>
        <family val="2"/>
      </rPr>
      <t>n</t>
    </r>
    <r>
      <rPr>
        <b/>
        <sz val="10"/>
        <rFont val="Arial"/>
        <family val="2"/>
      </rPr>
      <t xml:space="preserve"> = </t>
    </r>
  </si>
  <si>
    <t>Positive Wind Load on Fascia, qz*GCpnw*0.6</t>
  </si>
  <si>
    <r>
      <t>WL</t>
    </r>
    <r>
      <rPr>
        <b/>
        <vertAlign val="subscript"/>
        <sz val="10"/>
        <rFont val="Arial"/>
        <family val="2"/>
      </rPr>
      <t>p</t>
    </r>
    <r>
      <rPr>
        <b/>
        <sz val="10"/>
        <rFont val="Arial"/>
        <family val="2"/>
      </rPr>
      <t xml:space="preserve"> = </t>
    </r>
  </si>
  <si>
    <t>Combined Net Pressure Coefficient on leeward fascia</t>
  </si>
  <si>
    <r>
      <t>GC</t>
    </r>
    <r>
      <rPr>
        <vertAlign val="subscript"/>
        <sz val="10"/>
        <rFont val="Arial"/>
        <family val="2"/>
      </rPr>
      <t>pnl</t>
    </r>
    <r>
      <rPr>
        <sz val="10"/>
        <rFont val="Arial"/>
        <family val="2"/>
      </rPr>
      <t xml:space="preserve"> = </t>
    </r>
  </si>
  <si>
    <t>Combined Net Pressure Coefficient on windward fascia</t>
  </si>
  <si>
    <r>
      <t>GC</t>
    </r>
    <r>
      <rPr>
        <vertAlign val="subscript"/>
        <sz val="10"/>
        <rFont val="Arial"/>
        <family val="2"/>
      </rPr>
      <t>pnw</t>
    </r>
    <r>
      <rPr>
        <sz val="10"/>
        <rFont val="Arial"/>
        <family val="2"/>
      </rPr>
      <t xml:space="preserve"> = </t>
    </r>
  </si>
  <si>
    <t>LOADS ON POSTS:</t>
  </si>
  <si>
    <r>
      <t>WL</t>
    </r>
    <r>
      <rPr>
        <vertAlign val="subscript"/>
        <sz val="10"/>
        <rFont val="Arial"/>
        <family val="2"/>
      </rPr>
      <t>n'</t>
    </r>
    <r>
      <rPr>
        <sz val="10"/>
        <rFont val="Arial"/>
        <family val="2"/>
      </rPr>
      <t xml:space="preserve"> = </t>
    </r>
  </si>
  <si>
    <r>
      <t>WL</t>
    </r>
    <r>
      <rPr>
        <vertAlign val="subscript"/>
        <sz val="10"/>
        <rFont val="Arial"/>
        <family val="2"/>
      </rPr>
      <t>n</t>
    </r>
    <r>
      <rPr>
        <sz val="10"/>
        <rFont val="Arial"/>
        <family val="2"/>
      </rPr>
      <t xml:space="preserve"> = </t>
    </r>
  </si>
  <si>
    <r>
      <t>WL</t>
    </r>
    <r>
      <rPr>
        <vertAlign val="subscript"/>
        <sz val="10"/>
        <rFont val="Arial"/>
        <family val="2"/>
      </rPr>
      <t>p'</t>
    </r>
    <r>
      <rPr>
        <sz val="10"/>
        <rFont val="Arial"/>
        <family val="2"/>
      </rPr>
      <t xml:space="preserve"> = </t>
    </r>
  </si>
  <si>
    <r>
      <t>WL</t>
    </r>
    <r>
      <rPr>
        <vertAlign val="subscript"/>
        <sz val="10"/>
        <rFont val="Arial"/>
        <family val="2"/>
      </rPr>
      <t>p</t>
    </r>
    <r>
      <rPr>
        <sz val="10"/>
        <rFont val="Arial"/>
        <family val="2"/>
      </rPr>
      <t xml:space="preserve"> = </t>
    </r>
  </si>
  <si>
    <r>
      <t>q</t>
    </r>
    <r>
      <rPr>
        <vertAlign val="subscript"/>
        <sz val="10"/>
        <rFont val="Arial"/>
        <family val="2"/>
      </rPr>
      <t>z</t>
    </r>
    <r>
      <rPr>
        <sz val="10"/>
        <rFont val="Arial"/>
        <family val="2"/>
      </rPr>
      <t xml:space="preserve"> = </t>
    </r>
  </si>
  <si>
    <t>Negative Pressure Coefficient</t>
  </si>
  <si>
    <r>
      <t>GCN</t>
    </r>
    <r>
      <rPr>
        <vertAlign val="subscript"/>
        <sz val="10"/>
        <rFont val="Arial"/>
        <family val="2"/>
      </rPr>
      <t>n</t>
    </r>
    <r>
      <rPr>
        <sz val="10"/>
        <rFont val="Arial"/>
        <family val="2"/>
      </rPr>
      <t xml:space="preserve"> = </t>
    </r>
  </si>
  <si>
    <t>Positive Pressure Coefficient</t>
  </si>
  <si>
    <r>
      <t>GCN</t>
    </r>
    <r>
      <rPr>
        <vertAlign val="subscript"/>
        <sz val="10"/>
        <rFont val="Arial"/>
        <family val="2"/>
      </rPr>
      <t>p</t>
    </r>
    <r>
      <rPr>
        <sz val="10"/>
        <rFont val="Arial"/>
        <family val="2"/>
      </rPr>
      <t xml:space="preserve"> = </t>
    </r>
  </si>
  <si>
    <t>x≤ 0.5</t>
  </si>
  <si>
    <r>
      <t>0.5</t>
    </r>
    <r>
      <rPr>
        <i/>
        <sz val="11"/>
        <color indexed="8"/>
        <rFont val="Calibri"/>
        <family val="2"/>
      </rPr>
      <t>&lt;x&lt;0.9</t>
    </r>
  </si>
  <si>
    <r>
      <t xml:space="preserve">0.9 </t>
    </r>
    <r>
      <rPr>
        <i/>
        <sz val="11"/>
        <color indexed="8"/>
        <rFont val="Calibri"/>
        <family val="2"/>
      </rPr>
      <t>≤x≤ 1</t>
    </r>
  </si>
  <si>
    <t>Negative</t>
  </si>
  <si>
    <t>Effective Wind Area, L2*W2</t>
  </si>
  <si>
    <t>100&lt;x&lt;1000</t>
  </si>
  <si>
    <t>Positive</t>
  </si>
  <si>
    <t>Effective Beam Width</t>
  </si>
  <si>
    <t>1&lt;x&lt;10</t>
  </si>
  <si>
    <t>hc/he ≤ 0.5</t>
  </si>
  <si>
    <t>Net Pressure Coefficient</t>
  </si>
  <si>
    <t>Effective Beam Length</t>
  </si>
  <si>
    <t>Decking / Louvers</t>
  </si>
  <si>
    <r>
      <t xml:space="preserve">0.5 </t>
    </r>
    <r>
      <rPr>
        <sz val="11"/>
        <color indexed="8"/>
        <rFont val="Calibri"/>
        <family val="2"/>
      </rPr>
      <t>&lt; hc/he &lt;  0.9</t>
    </r>
  </si>
  <si>
    <t>Lower</t>
  </si>
  <si>
    <t>Current</t>
  </si>
  <si>
    <t>Upper</t>
  </si>
  <si>
    <r>
      <t xml:space="preserve">0.9 </t>
    </r>
    <r>
      <rPr>
        <sz val="11"/>
        <color indexed="8"/>
        <rFont val="Calibri"/>
        <family val="2"/>
      </rPr>
      <t>≤ hc/he ≤ 1</t>
    </r>
  </si>
  <si>
    <r>
      <t>GC</t>
    </r>
    <r>
      <rPr>
        <b/>
        <vertAlign val="subscript"/>
        <sz val="11"/>
        <rFont val="Arial"/>
        <family val="2"/>
      </rPr>
      <t>pn</t>
    </r>
  </si>
  <si>
    <r>
      <t>Area (ft</t>
    </r>
    <r>
      <rPr>
        <b/>
        <vertAlign val="superscript"/>
        <sz val="11"/>
        <rFont val="Arial"/>
        <family val="2"/>
      </rPr>
      <t>2</t>
    </r>
    <r>
      <rPr>
        <b/>
        <sz val="11"/>
        <rFont val="Arial"/>
        <family val="2"/>
      </rPr>
      <t>)</t>
    </r>
  </si>
  <si>
    <t>Negative Net Pressure Coef.</t>
  </si>
  <si>
    <t>Negative Wind Load, = qz*GCNn</t>
  </si>
  <si>
    <t>Positive Wind Load, = qz*GCNp</t>
  </si>
  <si>
    <t>Positive Net Pressure Coef.</t>
  </si>
  <si>
    <t>Effective Member Width</t>
  </si>
  <si>
    <t>Effective Member Length</t>
  </si>
  <si>
    <r>
      <t>h</t>
    </r>
    <r>
      <rPr>
        <vertAlign val="subscript"/>
        <sz val="11"/>
        <color indexed="8"/>
        <rFont val="Calibri"/>
        <family val="2"/>
      </rPr>
      <t>c</t>
    </r>
    <r>
      <rPr>
        <sz val="11"/>
        <color theme="1"/>
        <rFont val="Calibri"/>
        <family val="2"/>
        <scheme val="minor"/>
      </rPr>
      <t>/h</t>
    </r>
    <r>
      <rPr>
        <vertAlign val="subscript"/>
        <sz val="11"/>
        <color indexed="8"/>
        <rFont val="Calibri"/>
        <family val="2"/>
      </rPr>
      <t xml:space="preserve">e </t>
    </r>
    <r>
      <rPr>
        <sz val="10"/>
        <rFont val="Arial"/>
        <family val="2"/>
      </rPr>
      <t>=</t>
    </r>
  </si>
  <si>
    <t>Mean Eave Height</t>
  </si>
  <si>
    <r>
      <t>h</t>
    </r>
    <r>
      <rPr>
        <vertAlign val="subscript"/>
        <sz val="10"/>
        <rFont val="Arial"/>
        <family val="2"/>
      </rPr>
      <t>e</t>
    </r>
    <r>
      <rPr>
        <sz val="10"/>
        <rFont val="Arial"/>
        <family val="2"/>
      </rPr>
      <t xml:space="preserve"> = </t>
    </r>
  </si>
  <si>
    <r>
      <rPr>
        <sz val="10"/>
        <rFont val="Arial"/>
        <family val="2"/>
      </rPr>
      <t>h</t>
    </r>
    <r>
      <rPr>
        <vertAlign val="subscript"/>
        <sz val="10"/>
        <rFont val="Arial"/>
        <family val="2"/>
      </rPr>
      <t>c</t>
    </r>
    <r>
      <rPr>
        <sz val="10"/>
        <rFont val="Arial"/>
        <family val="2"/>
      </rPr>
      <t xml:space="preserve"> = </t>
    </r>
  </si>
  <si>
    <t>ASCE 7-16 HOST ATTACHED CANOPY DESIGN CRITERIA:</t>
  </si>
  <si>
    <t>LOADS ON CANOPY:</t>
  </si>
  <si>
    <t>Legend:</t>
  </si>
  <si>
    <t>D = Dead Load</t>
  </si>
  <si>
    <t>Lr = Roof Live Load</t>
  </si>
  <si>
    <t>S = Snow Load</t>
  </si>
  <si>
    <t>W = Wind Load</t>
  </si>
  <si>
    <t>Design Check 1</t>
  </si>
  <si>
    <t>Design Check 2</t>
  </si>
  <si>
    <t>Design Check 3</t>
  </si>
  <si>
    <t>Design Check 4</t>
  </si>
  <si>
    <t>Design Check 5</t>
  </si>
  <si>
    <t>Design Check 6</t>
  </si>
  <si>
    <t>Design Check 7</t>
  </si>
  <si>
    <t>Design Check 8</t>
  </si>
  <si>
    <t>Design Check 9</t>
  </si>
  <si>
    <t>Design Check 10</t>
  </si>
  <si>
    <t>θ:</t>
  </si>
  <si>
    <t>Hanger Arm Spacing (S)</t>
  </si>
  <si>
    <t>Gutter Overhang (O)</t>
  </si>
  <si>
    <t>{"IsHide":false,"HiddenInExcel":false,"SheetId":-1,"Name":"HTML Frame","Guid":"7L2ZMC","Index":1,"VisibleRange":"","SheetTheme":{"TabColor":"","BodyColor":"","BodyImage":""}}</t>
  </si>
  <si>
    <t>{"IsHide":true,"HiddenInExcel":true,"SheetId":-1,"Name":"Information","Guid":"CHA6LV","Index":2,"VisibleRange":"","SheetTheme":{"TabColor":"","BodyColor":"","BodyImage":""}}</t>
  </si>
  <si>
    <t>{"IsHide":true,"HiddenInExcel":true,"SheetId":-1,"Name":"SnowLoad","Guid":"7S4TWB","Index":6,"VisibleRange":"","SheetTheme":{"TabColor":"","BodyColor":"","BodyImage":""}}</t>
  </si>
  <si>
    <t>{"IsHide":true,"HiddenInExcel":false,"SheetId":-1,"Name":"Control","Guid":"ZIHTZ4","Index":4,"VisibleRange":"","SheetTheme":{"TabColor":"","BodyColor":"","BodyImage":""}}</t>
  </si>
  <si>
    <t>Suspended Canopy Calculator (ASD)</t>
  </si>
  <si>
    <t>MRH:</t>
  </si>
  <si>
    <t>URL:</t>
  </si>
  <si>
    <t>P:</t>
  </si>
  <si>
    <t>AH:</t>
  </si>
  <si>
    <t>CH:</t>
  </si>
  <si>
    <t>Risk Cat.:</t>
  </si>
  <si>
    <t>_Ctrl_1</t>
  </si>
  <si>
    <t>_Ctrl_2</t>
  </si>
  <si>
    <t>I</t>
  </si>
  <si>
    <t>III</t>
  </si>
  <si>
    <t>IV</t>
  </si>
  <si>
    <t>_Ctrl_3</t>
  </si>
  <si>
    <t>2"x2"x1/4" Pipe</t>
  </si>
  <si>
    <t>_Ctrl_4</t>
  </si>
  <si>
    <t>4"x6" Gutter</t>
  </si>
  <si>
    <t>_Ctrl_5</t>
  </si>
  <si>
    <t>_Ctrl_6</t>
  </si>
  <si>
    <t>{"WidgetClassification":0,"State":1,"IsRequired":false,"DDLDefaultRequiredText":"","ListItem":"B\r\nC\r\nD","VlookupRange":"","ShowListLabel":true,"ShowDt":false,"CellName":"_Ctrl_1","CellAddress":"='HTML Frame'!$D$17","WidgetName":3,"HiddenRow":1,"SheetCodeName":null,"ControlId":"","wcb":0}</t>
  </si>
  <si>
    <t>_Ctrl_7</t>
  </si>
  <si>
    <t>{"WidgetClassification":0,"State":1,"IsRequired":false,"DDLDefaultRequiredText":"Please Select","ListItem":"I\r\nII\r\nIII\r\nIV","VlookupRange":"","ShowListLabel":false,"ShowDt":false,"CellName":"_Ctrl_7","CellAddress":"='HTML Frame'!$D$19","WidgetName":3,"HiddenRow":7,"SheetCodeName":null,"ControlId":"","wcb":0}</t>
  </si>
  <si>
    <t>"Concrete"</t>
  </si>
  <si>
    <t>"Grout Filled CMU"</t>
  </si>
  <si>
    <t>"Hollow CMU"</t>
  </si>
  <si>
    <t>"Wood"</t>
  </si>
  <si>
    <t>"Steel"</t>
  </si>
  <si>
    <t>"Thru Bolt"</t>
  </si>
  <si>
    <t>Decking Capacity</t>
  </si>
  <si>
    <t>3"x6"x0.065" Pan</t>
  </si>
  <si>
    <t>Unity(m)</t>
  </si>
  <si>
    <t>Unity(def)</t>
  </si>
  <si>
    <t>AA:</t>
  </si>
  <si>
    <t>Summary</t>
  </si>
  <si>
    <t>Connection Description</t>
  </si>
  <si>
    <t>Hanger Arm Connection</t>
  </si>
  <si>
    <t>Concrete:</t>
  </si>
  <si>
    <t>Grout Filled CMU:</t>
  </si>
  <si>
    <t>Hollow CMU:</t>
  </si>
  <si>
    <t>Steel:</t>
  </si>
  <si>
    <t>Wood:</t>
  </si>
  <si>
    <t>Thru Bolt:</t>
  </si>
  <si>
    <t>Key Connection</t>
  </si>
  <si>
    <t>Reactions to Host Structure:</t>
  </si>
  <si>
    <t>(4) 1/2" SS HILTI KWIK BOLT 3 W/ 3-1/4" EMBED. TO f'c=3 KSI MIN. CONCRETE</t>
  </si>
  <si>
    <t>3/4" THRU BOLT TO 6061-T6 1/2" BACKING PLATE</t>
  </si>
  <si>
    <t>(1) 3/4" 304 SS THREADED ROD W/ NUTS AND WASHERS TO 1/2" 6061-T6 BACKING PLATE</t>
  </si>
  <si>
    <t>(1) 1/2" SS HILTI KWIK BOLT 3 W/ 3-1/4" EMBED. TO f'c=3 KSI MIN. CONCRETE</t>
  </si>
  <si>
    <t>(1) 1/2" 304 SS THREADED ROD W/ NUTS AND WASHERS TO 1/2" 6061-T6 BACKING PLATE</t>
  </si>
  <si>
    <t>Limiting Arm Spacing</t>
  </si>
  <si>
    <t>1/2" Clevis Pin</t>
  </si>
  <si>
    <t>Clevis Pin</t>
  </si>
  <si>
    <t>Design Check 11</t>
  </si>
  <si>
    <t>Design Check 12</t>
  </si>
  <si>
    <t>S(shear)</t>
  </si>
  <si>
    <t>1/2" BOLT TO 3/16" ASTM A36 STEEL</t>
  </si>
  <si>
    <t>(4) 1/2" 304 SS BOLTS W/ 1-1/4" WASHERS DRILL AND TAP TO 3/16" MIN. ASTM A36 (fy=36 KSI MIN.)</t>
  </si>
  <si>
    <t>(1) 1/2" 304 SS BOLT W/ 1-1/4" WASHER DRILL AND TAP TO 3/16" MIN. ASTM A36 (fy=36 KSI MIN.)</t>
  </si>
  <si>
    <t>1/2" HILTI KWIK BOLT 3 TO GFB 12 E.D.</t>
  </si>
  <si>
    <t>1/2" HILTI KWIK BOLT 3 TO GFB 4 E.D.</t>
  </si>
  <si>
    <t>1/2" HILTI HIT-HY 70 TO HOLLOW BLOCK 12 E.D.</t>
  </si>
  <si>
    <t>1/2" HILTI HIT-HY 70 TO HOLLOW BLOCK 4 E.D.</t>
  </si>
  <si>
    <t>1/2" HILTI KWIK BOLT 3 TO CONCRETE 12 E.D.</t>
  </si>
  <si>
    <t>1/2" HILTI KWIK BOLT 3 TO CONCRETE 4 E.D.</t>
  </si>
  <si>
    <t>Concrete 12" E.D.</t>
  </si>
  <si>
    <t>Concrete 4" E.D.</t>
  </si>
  <si>
    <t>GFB 12" E.D.</t>
  </si>
  <si>
    <t>GFB 4" E.D.</t>
  </si>
  <si>
    <t>HB 12" E.D.</t>
  </si>
  <si>
    <t>HB 4" E.D.</t>
  </si>
  <si>
    <t>Decking</t>
  </si>
  <si>
    <t>CONC. 12" E.D.</t>
  </si>
  <si>
    <t>CONC. 4" E.D.</t>
  </si>
  <si>
    <t>HOLLOW 12" E.D.</t>
  </si>
  <si>
    <t>HOLLOW 4" E.D.</t>
  </si>
  <si>
    <t>SUMMARY</t>
  </si>
  <si>
    <t>Smax</t>
  </si>
  <si>
    <t>Output</t>
  </si>
  <si>
    <t>Half of Limiting Arm Spacing (from above):</t>
  </si>
  <si>
    <t>Top connection eccentricity acts at a distance less than 6" away so it is assumed to act in direct shear</t>
  </si>
  <si>
    <t>Canopy height (wind pressure/statics) and arm height (statics) assumed to act through centerlines of gutter for simplicity</t>
  </si>
  <si>
    <t>(4) 1/2" SS HILTI KWIK BOLT 3 W/ 3-1/2" EMBED. TO ASTM C90 f'c=1.5 KSI MIN. GFB, (1) PER CELL</t>
  </si>
  <si>
    <t>(4) 1/2" SS RODS W/ HILTI HIT-HY 70 EPOXY W/ 2" EMBED. TO ASTM C90 f'c=1.5 KSI MIN., (1) PER CELL</t>
  </si>
  <si>
    <t>(1) 1/2" SS HILTI KWIK BOLT 3 W/ 3-1/2" EMBED. TO ASTM C90 f'c=1.5 KSI MIN. GFB, (1) PER CELL</t>
  </si>
  <si>
    <t>(1) 1/2" SS ROD W/ HILTI HIT-HY 70 EPOXY W/ 2" EMBED. TO ASTM C90 f'c=1.5 KSI MIN., (1) PER CELL</t>
  </si>
  <si>
    <t>(4) 1/2" LAG SCREWS W/ 3" EMBED. TO SYP #2 G=0.55 MIN.</t>
  </si>
  <si>
    <t>(1) 1/2" LAG SCREW W/ 3" EMBED. TO SYP #2 G=0.55 MIN.</t>
  </si>
  <si>
    <t>Cd(wood)</t>
  </si>
  <si>
    <t>D+Lr</t>
  </si>
  <si>
    <t>D+S</t>
  </si>
  <si>
    <t>D+W</t>
  </si>
  <si>
    <t>D+W+Lr</t>
  </si>
  <si>
    <t>D+W+S</t>
  </si>
  <si>
    <t>Loads</t>
  </si>
  <si>
    <t>{"BrowserAndLocation":{"ConversionPath":"C:\\Users\\termuser\\Documents\\SpreadsheetConverter","SelectedBrowsers":[]},"SpreadsheetServer":{"Username":"","Password":"","ServerUrl":"","TestUsername":"","TestPassword":""},"ConfigureSubmitDefault":{"Email":"office@engexp.com","Free":false,"Advanced":false,"AdvancedSecured":false,"Demo":true},"MessageBubble":{"Close":false,"TopMsg":0},"CustomizeTheme":{"Theme":"C:\\Users\\termuser\\AppData\\Local\\ssc\\customfiles\\theme-ssc-1521239512.min.css"},"QrSetting":{"ShowOnConversion":true},"CongratsPage":{"LastOpenedVersion":""},"WordPressPluginSetting":{"IsPluginInstalled":false},"Preferences":{"IsAdvancedSettingModelInitialize":true,"IsCaptchaInitialize":true,"IsNodeSettingInitialize":false,"IsRequiredFieldModalInitialize":true,"IsSubmitDialogModelInitialize":true,"IsToolbarButtonModelInitialize":true,"IsWizardButtonModelInitialize":true,"ReadFromHidden":false,"AdvancedSetting":null,"NodeSetting":{"LoginText":{"LoginButtonText":"Login","PageDescription":"Restricted access only","LoginErrorMessage":"Authentication failed, please check your username and password.","PlaceholderPassword":"password","PlaceholderUsername":"username / email","UserExtraMessage":""}},"Captcha":{"Heading":"Enter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 or invalid.","OkButton":"OK","DDLDefaultRequiredText":"Please Select"},"WizardButton":{"Next":"Next","Previous":"Previous","Cancel":"Cancel","Finish":"Finish"},"ToolbarButton":{"Submit":"Submit","Print":"Print","PrintAll":"Print All","Reset":"Reset","Update":"Update","Back":"Back"},"SubmitDialog":{"SubmitDialogHeading":"Submit Successful.","SubmitDialogDesc":"The form was successfully submitted.","BeforeSubmitDesc":"The form is being submitted.","OfflineHeading":"Save until online","OfflineDesc":"You are currently offline and the submit failed. Do you want to save the submit and send it later when you are online.","OfflineConfirm":"Do you want to save?","OfflineSubmitHeading":"Offline forms submit confirmation","OfflineSubmitDesc":"There are Offline form(s), which are now ready to submit in server.","OfflineSubmitConfirm":"Do you want to submit?","FailOfflineHeading":"Offline Form submit failed","FailOfflineDesc":"Unable to connect to the Internet. Please try submitting the offline forms later in internet connection.","OfflineSubmitWait":"It may take sometime to finish all submits depending on the size of offline forms and internet connection.","OfflineSubmitWaitCounter":"Left","OfflineSubmitError":"Submit error: Please try later."}},"UxPreferences":null}</t>
  </si>
  <si>
    <t>_Ctrl_8</t>
  </si>
  <si>
    <t>https://www.engineeringexpress.com/files/Datum/Image.PNG</t>
  </si>
  <si>
    <t>_Ctrl_9</t>
  </si>
  <si>
    <t>{"WidgetClassification":3,"State":1,"IsHidden":true,"CellName":"_Ctrl_9","CellAddress":"='HTML Frame'!$M$181","WidgetName":20,"HiddenRow":9,"SheetCodeName":null,"ControlId":"","wcb":0}</t>
  </si>
  <si>
    <t>_Ctrl_10</t>
  </si>
  <si>
    <t>{"WidgetClassification":3,"State":1,"IsHidden":true,"CellName":"_Ctrl_10","CellAddress":"='HTML Frame'!$N$181","WidgetName":20,"HiddenRow":10,"SheetCodeName":null,"ControlId":"","wcb":0}</t>
  </si>
  <si>
    <t>_Ctrl_11</t>
  </si>
  <si>
    <t>{"WidgetClassification":3,"State":1,"IsHidden":true,"CellName":"_Ctrl_11","CellAddress":"='HTML Frame'!$M$183","WidgetName":20,"HiddenRow":11,"SheetCodeName":null,"ControlId":"","wcb":0}</t>
  </si>
  <si>
    <t>_Ctrl_12</t>
  </si>
  <si>
    <t>{"WidgetClassification":3,"State":1,"IsHidden":true,"CellName":"_Ctrl_12","CellAddress":"='HTML Frame'!$N$183","WidgetName":20,"HiddenRow":12,"SheetCodeName":null,"ControlId":"","wcb":0}</t>
  </si>
  <si>
    <t>_Ctrl_13</t>
  </si>
  <si>
    <t>_Ctrl_14</t>
  </si>
  <si>
    <t>_Ctrl_15</t>
  </si>
  <si>
    <t>_Ctrl_16</t>
  </si>
  <si>
    <t>_Ctrl_17</t>
  </si>
  <si>
    <t>_Ctrl_18</t>
  </si>
  <si>
    <t>_Ctrl_19</t>
  </si>
  <si>
    <t>_Ctrl_20</t>
  </si>
  <si>
    <t>_Ctrl_21</t>
  </si>
  <si>
    <t>_Ctrl_22</t>
  </si>
  <si>
    <t>_Ctrl_23</t>
  </si>
  <si>
    <t>_Ctrl_24</t>
  </si>
  <si>
    <t>_Ctrl_25</t>
  </si>
  <si>
    <t>_Ctrl_26</t>
  </si>
  <si>
    <t>_Ctrl_27</t>
  </si>
  <si>
    <t>_Ctrl_28</t>
  </si>
  <si>
    <t>_Ctrl_29</t>
  </si>
  <si>
    <t>_Ctrl_30</t>
  </si>
  <si>
    <t>Information</t>
  </si>
  <si>
    <t>60' max. MRH as there is lack of provisions in ASCE 7-10 for attached canopies</t>
  </si>
  <si>
    <t>{"IsHide":true,"HiddenInExcel":true,"SheetId":-1,"Name":"Printable Page","Guid":"G4MYW1","Index":3,"VisibleRange":"","SheetTheme":{"TabColor":"","BodyColor":"","BodyImage":""}}</t>
  </si>
  <si>
    <t>_Ctrl_31</t>
  </si>
  <si>
    <t>_Ctrl_32</t>
  </si>
  <si>
    <t>[Dynamic Dropdown]</t>
  </si>
  <si>
    <t>_Ctrl_33</t>
  </si>
  <si>
    <t>{"WidgetClassification":0,"State":1,"IsRequired":false,"DDLDefaultRequiredText":"Please Select","ListItem":"1.5\" SCH 40 Pipe\r\n2\" SCH 80 Pipe\r\n2\"x2\"x1/4\" Tube","VlookupRange":"","ShowListLabel":false,"ShowDt":false,"CellName":"_Ctrl_33","CellAddress":"='HTML Frame'!$D$49","WidgetName":3,"HiddenRow":33,"SheetCodeName":null,"ControlId":"","wcb":0}</t>
  </si>
  <si>
    <t>_Ctrl_34</t>
  </si>
  <si>
    <t>{"WidgetClassification":0,"State":1,"IsRequired":false,"DDLDefaultRequiredText":"Please Select","ListItem":"4\"x8\" Gutter\r\n4\"x12\" Gutter","VlookupRange":"","ShowListLabel":false,"ShowDt":false,"CellName":"_Ctrl_34","CellAddress":"='HTML Frame'!$D$51","WidgetName":3,"HiddenRow":34,"SheetCodeName":null,"ControlId":"","wcb":0}</t>
  </si>
  <si>
    <t>_Ctrl_35</t>
  </si>
  <si>
    <t>_Ctrl_36</t>
  </si>
  <si>
    <t>1/2" HILTI KWIK BOLT 3 TO CONCRETE 4" S., 12" E.D.</t>
  </si>
  <si>
    <t>1/2" HILTI KWIK BOLT 3 TO CONCRETE 4" S., 4" E.D.</t>
  </si>
  <si>
    <t>1/2" HILTI KWIK BOLT 3 TO CONCRETE 6" S., 12" E.D.</t>
  </si>
  <si>
    <t>1/2" HILTI KWIK BOLT 3 TO CONCRETE 6" S., 4" E.D.</t>
  </si>
  <si>
    <t>1/2" HILTI KWIK BOLT 3 TO CONCRETE 8" S., 12" E.D.</t>
  </si>
  <si>
    <t>1/2" HILTI KWIK BOLT 3 TO CONCRETE 8" S., 4" E.D.</t>
  </si>
  <si>
    <t>1/2" HILTI KWIK BOLT 3 TO CONCRETE 10" S., 12" E.D.</t>
  </si>
  <si>
    <t>1/2" HILTI KWIK BOLT 3 TO CONCRETE 10" S., 4" E.D.</t>
  </si>
  <si>
    <t>Concrete 4" S., 12" E.D.</t>
  </si>
  <si>
    <t>Concrete 4" S., 4" E.D.</t>
  </si>
  <si>
    <t>Concrete 4" S. 12" E.D.</t>
  </si>
  <si>
    <t>Conc. 4" S. &amp; 12" E.D.</t>
  </si>
  <si>
    <t>Conc. 4" S. &amp; 4" E.D.</t>
  </si>
  <si>
    <t>Conc. 4" S., 12" E.D.</t>
  </si>
  <si>
    <t>Conc. 4" S., 4" E.D.</t>
  </si>
  <si>
    <t>Conc. 6" S., 12" E.D.</t>
  </si>
  <si>
    <t>Conc. 6" S., 4" E.D.</t>
  </si>
  <si>
    <t>Conc. 8" S., 12" E.D.</t>
  </si>
  <si>
    <t>Conc. 8" S., 4" E.D.</t>
  </si>
  <si>
    <t>Conc. 10" S., 12" E.D.</t>
  </si>
  <si>
    <t>Conc. 10" S., 4" E.D.</t>
  </si>
  <si>
    <t>Conc. 4" S.,12" E.D.</t>
  </si>
  <si>
    <t>Conc. 4" S.,4" E.D.</t>
  </si>
  <si>
    <t>Conc. 6" S.,12" E.D.</t>
  </si>
  <si>
    <t>Conc. 6" S.,4" E.D.</t>
  </si>
  <si>
    <t>Conc. 8" S.,12" E.D.</t>
  </si>
  <si>
    <t>Conc. 8" S.,4" E.D.</t>
  </si>
  <si>
    <t>Conc. 10" S.,12" E.D.</t>
  </si>
  <si>
    <t>Conc. 10" S.,4" E.D.</t>
  </si>
  <si>
    <t>Con. 4" S.,12" E.D.</t>
  </si>
  <si>
    <t>Con. 4" S.,4" E.D.</t>
  </si>
  <si>
    <t>Con. 6" S.,12" E.D.</t>
  </si>
  <si>
    <t>Con. 6" S.,4" E.D.</t>
  </si>
  <si>
    <t>Con. 8" S.,12" E.D.</t>
  </si>
  <si>
    <t>Con. 8" S.,4" E.D.</t>
  </si>
  <si>
    <t>Con. 10" S.,12" E.D.</t>
  </si>
  <si>
    <t>Con. 10" S.,4" E.D.</t>
  </si>
  <si>
    <t>Conc. 4" S, 12" ED</t>
  </si>
  <si>
    <t>Conc. 4" S, 4" ED</t>
  </si>
  <si>
    <t>Conc. 6" S, 12" ED</t>
  </si>
  <si>
    <t>Conc. 6" S, 4" ED</t>
  </si>
  <si>
    <t>Conc. 8" S, 12" ED</t>
  </si>
  <si>
    <t>Conc. 8" S, 4" ED</t>
  </si>
  <si>
    <t>Conc. 10" S, 12" ED</t>
  </si>
  <si>
    <t>Conc. 10" S, 4" ED</t>
  </si>
  <si>
    <t>Con. 4" S, 12" ED</t>
  </si>
  <si>
    <t>Con. 4" S, 4" ED</t>
  </si>
  <si>
    <t>Con. 6" S, 12" ED</t>
  </si>
  <si>
    <t>Con. 6" S, 4" ED</t>
  </si>
  <si>
    <t>Con. 8" S, 12" ED</t>
  </si>
  <si>
    <t>Con. 8" S, 4" ED</t>
  </si>
  <si>
    <t>Con. 10" S, 12" ED</t>
  </si>
  <si>
    <t>Con. 10" S, 4" ED</t>
  </si>
  <si>
    <t>{"WidgetClassification":0,"State":1,"IsRequired":false,"DDLDefaultRequiredText":"Please Select","ListItem":"Concrete 12\" ED\r\nConcrete 4\" ED\r\nGFB 12\" ED\r\nGFB 4\" ED\r\nHB 12\" ED\r\nHB 4\" ED\r\nWood\r\nSteel\r\nThru Bolt","VlookupRange":"","ShowListLabel":false,"ShowDt":false,"CellName":"_Ctrl_36","CellAddress":"='HTML Frame'!$D$55","WidgetName":3,"HiddenRow":36,"SheetCodeName":null,"ControlId":"","wcb":0}</t>
  </si>
  <si>
    <t>Concrete 12" ED</t>
  </si>
  <si>
    <t>Concrete 4" ED</t>
  </si>
  <si>
    <t>GFB 12" ED</t>
  </si>
  <si>
    <t>GFB 4" ED</t>
  </si>
  <si>
    <t>HB 12" ED</t>
  </si>
  <si>
    <t>HB 4" ED</t>
  </si>
  <si>
    <t>HILTI KB3 to concrete values from Profis divided by SF of 2.5</t>
  </si>
  <si>
    <t>{"WidgetClassification":3,"State":1,"IsHidden":false,"CellName":"_Ctrl_13","CellAddress":"='HTML Frame'!$M$189","WidgetName":20,"HiddenRow":13,"SheetCodeName":null,"ControlId":"","wcb":0}</t>
  </si>
  <si>
    <t>{"WidgetClassification":3,"State":1,"IsHidden":false,"CellName":"_Ctrl_22","CellAddress":"='HTML Frame'!$N$189","WidgetName":20,"HiddenRow":22,"SheetCodeName":null,"ControlId":"","wcb":0}</t>
  </si>
  <si>
    <t>{"WidgetClassification":3,"State":1,"IsHidden":false,"CellName":"_Ctrl_14","CellAddress":"='HTML Frame'!$M$191","WidgetName":20,"HiddenRow":14,"SheetCodeName":null,"ControlId":"","wcb":0}</t>
  </si>
  <si>
    <t>{"WidgetClassification":3,"State":1,"IsHidden":false,"CellName":"_Ctrl_23","CellAddress":"='HTML Frame'!$N$191","WidgetName":20,"HiddenRow":23,"SheetCodeName":null,"ControlId":"","wcb":0}</t>
  </si>
  <si>
    <t>{"WidgetClassification":3,"State":1,"IsHidden":false,"CellName":"_Ctrl_24","CellAddress":"='HTML Frame'!$N$193","WidgetName":20,"HiddenRow":24,"SheetCodeName":null,"ControlId":"","wcb":0}</t>
  </si>
  <si>
    <t>{"WidgetClassification":3,"State":1,"IsHidden":false,"CellName":"_Ctrl_15","CellAddress":"='HTML Frame'!$M$193","WidgetName":20,"HiddenRow":15,"SheetCodeName":null,"ControlId":"","wcb":0}</t>
  </si>
  <si>
    <t>{"WidgetClassification":3,"State":1,"IsHidden":false,"CellName":"_Ctrl_16","CellAddress":"='HTML Frame'!$M$195","WidgetName":20,"HiddenRow":16,"SheetCodeName":null,"ControlId":"","wcb":0}</t>
  </si>
  <si>
    <t>{"WidgetClassification":3,"State":1,"IsHidden":false,"CellName":"_Ctrl_25","CellAddress":"='HTML Frame'!$N$195","WidgetName":20,"HiddenRow":25,"SheetCodeName":null,"ControlId":"","wcb":0}</t>
  </si>
  <si>
    <t>{"WidgetClassification":3,"State":1,"IsHidden":false,"CellName":"_Ctrl_26","CellAddress":"='HTML Frame'!$N$197","WidgetName":20,"HiddenRow":26,"SheetCodeName":null,"ControlId":"","wcb":0}</t>
  </si>
  <si>
    <t>{"WidgetClassification":3,"State":1,"IsHidden":false,"CellName":"_Ctrl_17","CellAddress":"='HTML Frame'!$M$197","WidgetName":20,"HiddenRow":17,"SheetCodeName":null,"ControlId":"","wcb":0}</t>
  </si>
  <si>
    <t>{"WidgetClassification":3,"State":1,"IsHidden":false,"CellName":"_Ctrl_18","CellAddress":"='HTML Frame'!$M$199","WidgetName":20,"HiddenRow":18,"SheetCodeName":null,"ControlId":"","wcb":0}</t>
  </si>
  <si>
    <t>{"WidgetClassification":3,"State":1,"IsHidden":false,"CellName":"_Ctrl_27","CellAddress":"='HTML Frame'!$N$199","WidgetName":20,"HiddenRow":27,"SheetCodeName":null,"ControlId":"","wcb":0}</t>
  </si>
  <si>
    <t>{"WidgetClassification":3,"State":1,"IsHidden":false,"CellName":"_Ctrl_28","CellAddress":"='HTML Frame'!$N$201","WidgetName":20,"HiddenRow":28,"SheetCodeName":null,"ControlId":"","wcb":0}</t>
  </si>
  <si>
    <t>{"WidgetClassification":3,"State":1,"IsHidden":false,"CellName":"_Ctrl_19","CellAddress":"='HTML Frame'!$M$201","WidgetName":20,"HiddenRow":19,"SheetCodeName":null,"ControlId":"","wcb":0}</t>
  </si>
  <si>
    <t>{"WidgetClassification":3,"State":1,"IsHidden":false,"CellName":"_Ctrl_29","CellAddress":"='HTML Frame'!$N$203","WidgetName":20,"HiddenRow":29,"SheetCodeName":null,"ControlId":"","wcb":0}</t>
  </si>
  <si>
    <t>{"WidgetClassification":3,"State":1,"IsHidden":false,"CellName":"_Ctrl_20","CellAddress":"='HTML Frame'!$M$203","WidgetName":20,"HiddenRow":20,"SheetCodeName":null,"ControlId":"","wcb":0}</t>
  </si>
  <si>
    <t>{"WidgetClassification":3,"State":1,"IsHidden":false,"CellName":"_Ctrl_21","CellAddress":"='HTML Frame'!$M$205","WidgetName":20,"HiddenRow":21,"SheetCodeName":null,"ControlId":"","wcb":0}</t>
  </si>
  <si>
    <t>{"WidgetClassification":3,"State":1,"IsHidden":false,"CellName":"_Ctrl_30","CellAddress":"='HTML Frame'!$N$205","WidgetName":20,"HiddenRow":30,"SheetCodeName":null,"ControlId":"","wcb":0}</t>
  </si>
  <si>
    <t>{"OldImageHeight":817.0,"OldImageWidth":600.0,"WidgetClassification":4,"State":1,"ImageRefName":"_img_ref_Ctrl_8","ImageRef":"HTML Frame!$AB$15","ImageHeight":851.0,"ImageWidth":583.0,"CellName":"_Ctrl_8","CellAddress":"='HTML Frame'!$R$26","WidgetName":28,"HiddenRow":8,"SheetCodeName":null,"ControlId":"","wcb":0}</t>
  </si>
  <si>
    <t>Fb(l)</t>
  </si>
  <si>
    <t>{"WidgetClassification":0,"State":1,"IsRequired":false,"DDLDefaultRequiredText":"Please Select","ListItem":"Con. 4\" S, 12\" ED\r\nCon. 4\" S, 4\" ED\r\nCon. 6\" S, 12\" ED\r\nCon. 6\" S, 4\" ED\r\nCon. 8\" S, 12\" ED\r\nCon. 8\" S, 4\" ED\r\nCon. 10\" S, 12\" ED\r\nCon. 10\" S, 4\" ED\r\nGFB 12\" ED\r\nGFB 4\" ED\r\nHB 12\" ED\r\nHB 4\" ED\r\nWood\r\nSteel\r\nThru Bolt","VlookupRange":"","ShowListLabel":false,"ShowDt":false,"CellName":"_Ctrl_35","CellAddress":"='HTML Frame'!$D$53","WidgetName":3,"HiddenRow":35,"SheetCodeName":null,"ControlId":"","wcb":0}</t>
  </si>
  <si>
    <t>{"IsHide":true,"HiddenInExcel":true,"SheetId":-1,"Name":"S12  Gutter Loading_","Guid":"83Q5UM","Index":8,"VisibleRange":"","SheetTheme":{"TabColor":"","BodyColor":"","BodyImage":""}}</t>
  </si>
  <si>
    <t>AT</t>
  </si>
  <si>
    <t>GT</t>
  </si>
  <si>
    <t>TopCon</t>
  </si>
  <si>
    <t>BotCon</t>
  </si>
  <si>
    <t>_Ctrl_37</t>
  </si>
  <si>
    <t>{"IsHide":true,"HiddenInExcel":false,"SheetId":-1,"Name":"Loading","Guid":"IVYTBT","Index":5,"VisibleRange":"","SheetTheme":{"TabColor":"","BodyColor":"","BodyImage":""}}</t>
  </si>
  <si>
    <t>{"IsHide":true,"HiddenInExcel":false,"SheetId":-1,"Name":"Hanger Arm Tables (2)","Guid":"JR97BR","Index":9,"VisibleRange":"","SheetTheme":{"TabColor":"","BodyColor":"","BodyImage":""}}</t>
  </si>
  <si>
    <t>{"IsHide":true,"HiddenInExcel":false,"SheetId":-1,"Name":"S8  Gutter Loading_","Guid":"88YUQE","Index":7,"VisibleRange":"","SheetTheme":{"TabColor":"","BodyColor":"","BodyImage":""}}</t>
  </si>
  <si>
    <t>ASCE 7     Version v13      12/10/18</t>
  </si>
  <si>
    <t>{"WidgetClassification":3,"State":1,"HyperlinkFlavor":0,"Placement":0,"LinkTarget":0,"CellName":"_Ctrl_37","CellAddress":"='HTML Frame'!$K$255","WidgetName":8,"HiddenRow":37,"SheetCodeName":null,"ControlId":"","wcb":0}</t>
  </si>
  <si>
    <t>_Ctrl_38</t>
  </si>
  <si>
    <t>Version 9 = Pre-API</t>
  </si>
  <si>
    <t>{"InputDetection":1,"RecalcMode":1,"Name":"","Flavor":0,"Edition":3,"CopyProtect":{"IsEnabled":false,"DomainName":""},"HideSscPoweredlogo":false,"AspnetConfig":{"BrowseUrl":"http://localhost/ssc","FileExtension":0},"NodeSecureLoginEnabled":false,"SmartphoneSettings":{"ViewportLock":true,"UseOldViewEngine":false,"EnableZoom":false,"EnableSwipe":false,"HideToolbar":false,"InheritBackgroundColor":false,"CheckboxFlavor":1,"ShowBubble":false},"SmartphoneTheme":1,"Theme":{"BgColor":"#FFFFFFFF","BgImage":"","InputBorderStyle":2,"AppliedTheme":""},"Layout":0,"LayoutSamePagesHeightEnabled":false,"Toolbar":{"Position":1,"IsSubmit":true,"IsPrint":true,"IsPrintAll":false,"IsReset":true,"IsUpdate":true},"ConfigureSubmit":{"IsShowCaptcha":false,"IsUseSscWebServer":false,"ReceiverCode":"office@engexp.com","IsFreeService":false,"IsAdvanceService":false,"IsSecureEmail":false,"IsDemonstrationService":true,"AfterSuccessfulSubmit":"","AfterFailSubmit":"","AfterCancelWizard":"","IsUseOwnWebServer":true,"OwnWebServerURL":"http://datumholdings.ddns.net/result/","OwnWebServerTarget":"","SubmitTarget":0},"IgnoreBgInputCell":false,"ButtonStyle":0,"ResponsiveDesignDisabled":false,"HideLookupRange":false,"BrowserStorageEnabled":false,"RealtimeSyncEnabled":true,"GoogleAnalyticsTrackingId":"","GoogleApiKey":"","ChartSelected":3,"ChartYAxisFixed":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</si>
</sst>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164" formatCode="0.0"/>
    <numFmt numFmtId="165" formatCode="&quot;z_Max =&quot;\ #\ &quot;ft&quot;"/>
    <numFmt numFmtId="166" formatCode="0.00\ &quot;degrees&quot;"/>
    <numFmt numFmtId="167" formatCode="&quot;$&quot;#,##0\ ;\(&quot;$&quot;#,##0\)"/>
    <numFmt numFmtId="168" formatCode="0.0\ &quot;ft&quot;"/>
    <numFmt numFmtId="169" formatCode="0.0\ &quot;in&quot;"/>
    <numFmt numFmtId="170" formatCode="0.00\ &quot;psf&quot;"/>
    <numFmt numFmtId="171" formatCode="0.00\ &quot;p.s.f&quot;"/>
    <numFmt numFmtId="172" formatCode="0.00&quot; ft&quot;"/>
    <numFmt numFmtId="173" formatCode="0.00&quot; psf&quot;"/>
    <numFmt numFmtId="174" formatCode="0.0&quot; ft&quot;"/>
    <numFmt numFmtId="175" formatCode="0&quot; mph&quot;"/>
    <numFmt numFmtId="176" formatCode="0.0&quot; psf&quot;"/>
    <numFmt numFmtId="177" formatCode="0.00&quot; ft^2&quot;"/>
    <numFmt numFmtId="178" formatCode="0.0\ &quot;in.&quot;"/>
    <numFmt numFmtId="179" formatCode="0&quot;º&quot;"/>
    <numFmt numFmtId="180" formatCode="0.00\ &quot;ft.&quot;"/>
    <numFmt numFmtId="181" formatCode="0.0\ &quot;ft.&quot;"/>
    <numFmt numFmtId="182" formatCode="0.00\ &quot;ft&quot;"/>
    <numFmt numFmtId="183" formatCode="0.00\ &quot;pcf&quot;"/>
    <numFmt numFmtId="184" formatCode="?.0&quot; psf&quot;"/>
    <numFmt numFmtId="185" formatCode="0.00\ &quot;°&quot;"/>
    <numFmt numFmtId="186" formatCode="0.00&quot;º&quot;"/>
    <numFmt numFmtId="187" formatCode="#,###\ &quot;ft&quot;"/>
    <numFmt numFmtId="188" formatCode="0.000"/>
  </numFmts>
  <fonts count="70" x14ac:knownFonts="1">
    <font>
      <sz val="11"/>
      <color theme="1"/>
      <name val="Calibri"/>
      <family val="2"/>
      <scheme val="minor"/>
    </font>
    <font>
      <sz val="9"/>
      <color indexed="81"/>
      <name val="Tahoma"/>
      <family val="2"/>
    </font>
    <font>
      <b/>
      <sz val="10"/>
      <name val="Arial"/>
      <family val="2"/>
    </font>
    <font>
      <sz val="8"/>
      <color indexed="81"/>
      <name val="Tahoma"/>
      <family val="2"/>
    </font>
    <font>
      <b/>
      <sz val="8"/>
      <color indexed="81"/>
      <name val="Tahoma"/>
      <family val="2"/>
    </font>
    <font>
      <sz val="10"/>
      <name val="Arial"/>
      <family val="2"/>
    </font>
    <font>
      <sz val="11"/>
      <name val="Arial"/>
      <family val="2"/>
    </font>
    <font>
      <sz val="12"/>
      <name val="Arial"/>
      <family val="2"/>
    </font>
    <font>
      <b/>
      <u/>
      <sz val="10"/>
      <name val="Arial"/>
      <family val="2"/>
    </font>
    <font>
      <u/>
      <sz val="7.3"/>
      <color indexed="12"/>
      <name val="Arial"/>
      <family val="2"/>
    </font>
    <font>
      <u/>
      <sz val="10"/>
      <color indexed="12"/>
      <name val="Arial"/>
      <family val="2"/>
    </font>
    <font>
      <sz val="11"/>
      <color indexed="8"/>
      <name val="Calibri"/>
      <family val="2"/>
    </font>
    <font>
      <b/>
      <sz val="18"/>
      <name val="Arial"/>
      <family val="2"/>
    </font>
    <font>
      <b/>
      <sz val="12"/>
      <name val="Arial"/>
      <family val="2"/>
    </font>
    <font>
      <b/>
      <u/>
      <sz val="12"/>
      <name val="Arial"/>
      <family val="2"/>
    </font>
    <font>
      <b/>
      <i/>
      <sz val="10"/>
      <name val="Arial"/>
      <family val="2"/>
    </font>
    <font>
      <i/>
      <sz val="10"/>
      <name val="Arial"/>
      <family val="2"/>
    </font>
    <font>
      <u/>
      <sz val="10"/>
      <name val="Arial"/>
      <family val="2"/>
    </font>
    <font>
      <vertAlign val="subscript"/>
      <sz val="10"/>
      <name val="Arial"/>
      <family val="2"/>
    </font>
    <font>
      <sz val="11"/>
      <color indexed="8"/>
      <name val="Arial"/>
      <family val="2"/>
    </font>
    <font>
      <sz val="10"/>
      <name val="Arial"/>
      <family val="2"/>
    </font>
    <font>
      <vertAlign val="subscript"/>
      <sz val="11"/>
      <color indexed="8"/>
      <name val="Arial"/>
      <family val="2"/>
    </font>
    <font>
      <sz val="10"/>
      <name val="Symbol"/>
      <family val="1"/>
      <charset val="2"/>
    </font>
    <font>
      <b/>
      <vertAlign val="subscript"/>
      <sz val="10"/>
      <name val="Arial"/>
      <family val="2"/>
    </font>
    <font>
      <i/>
      <sz val="11"/>
      <color indexed="8"/>
      <name val="Calibri"/>
      <family val="2"/>
    </font>
    <font>
      <b/>
      <sz val="11"/>
      <name val="Arial"/>
      <family val="2"/>
    </font>
    <font>
      <b/>
      <vertAlign val="subscript"/>
      <sz val="11"/>
      <name val="Arial"/>
      <family val="2"/>
    </font>
    <font>
      <b/>
      <vertAlign val="superscript"/>
      <sz val="11"/>
      <name val="Arial"/>
      <family val="2"/>
    </font>
    <font>
      <vertAlign val="subscript"/>
      <sz val="11"/>
      <color indexed="8"/>
      <name val="Calibri"/>
      <family val="2"/>
    </font>
    <font>
      <sz val="11"/>
      <color theme="1"/>
      <name val="Calibri"/>
      <family val="2"/>
      <scheme val="minor"/>
    </font>
    <font>
      <b/>
      <sz val="11"/>
      <color theme="1"/>
      <name val="Calibri"/>
      <family val="2"/>
      <scheme val="minor"/>
    </font>
    <font>
      <sz val="10"/>
      <color theme="1"/>
      <name val="Calibri"/>
      <family val="2"/>
      <scheme val="minor"/>
    </font>
    <font>
      <sz val="7"/>
      <color theme="1"/>
      <name val="Calibri"/>
      <family val="2"/>
      <scheme val="minor"/>
    </font>
    <font>
      <sz val="6"/>
      <color theme="1"/>
      <name val="Calibri"/>
      <family val="2"/>
      <scheme val="minor"/>
    </font>
    <font>
      <sz val="5.5"/>
      <color theme="1"/>
      <name val="Calibri"/>
      <family val="2"/>
      <scheme val="minor"/>
    </font>
    <font>
      <sz val="8"/>
      <color theme="1"/>
      <name val="Calibri"/>
      <family val="2"/>
      <scheme val="minor"/>
    </font>
    <font>
      <b/>
      <u/>
      <sz val="8"/>
      <color theme="1"/>
      <name val="Calibri"/>
      <family val="2"/>
      <scheme val="minor"/>
    </font>
    <font>
      <sz val="9"/>
      <color theme="1"/>
      <name val="Calibri"/>
      <family val="2"/>
      <scheme val="minor"/>
    </font>
    <font>
      <b/>
      <sz val="9"/>
      <color theme="1"/>
      <name val="Calibri"/>
      <family val="2"/>
      <scheme val="minor"/>
    </font>
    <font>
      <u/>
      <sz val="9"/>
      <color theme="1"/>
      <name val="Calibri"/>
      <family val="2"/>
      <scheme val="minor"/>
    </font>
    <font>
      <u/>
      <sz val="10"/>
      <color theme="1"/>
      <name val="Calibri"/>
      <family val="2"/>
      <scheme val="minor"/>
    </font>
    <font>
      <b/>
      <sz val="10"/>
      <color theme="1"/>
      <name val="Calibri"/>
      <family val="2"/>
      <scheme val="minor"/>
    </font>
    <font>
      <b/>
      <sz val="8"/>
      <color theme="1"/>
      <name val="Calibri"/>
      <family val="2"/>
      <scheme val="minor"/>
    </font>
    <font>
      <b/>
      <i/>
      <sz val="18"/>
      <color theme="1"/>
      <name val="Calibri"/>
      <family val="2"/>
      <scheme val="minor"/>
    </font>
    <font>
      <sz val="11"/>
      <color theme="0" tint="-0.499984740745262"/>
      <name val="Calibri"/>
      <family val="2"/>
      <scheme val="minor"/>
    </font>
    <font>
      <i/>
      <sz val="10"/>
      <color theme="1"/>
      <name val="Calibri"/>
      <family val="2"/>
      <scheme val="minor"/>
    </font>
    <font>
      <sz val="11"/>
      <name val="Calibri"/>
      <family val="2"/>
      <scheme val="minor"/>
    </font>
    <font>
      <u/>
      <sz val="10"/>
      <color theme="1"/>
      <name val="Arial"/>
      <family val="2"/>
    </font>
    <font>
      <sz val="11"/>
      <color theme="1"/>
      <name val="Arial"/>
      <family val="2"/>
    </font>
    <font>
      <b/>
      <sz val="11"/>
      <color theme="1"/>
      <name val="Arial"/>
      <family val="2"/>
    </font>
    <font>
      <sz val="16"/>
      <color theme="1"/>
      <name val="Arial"/>
      <family val="2"/>
    </font>
    <font>
      <i/>
      <sz val="11"/>
      <color theme="1"/>
      <name val="Calibri"/>
      <family val="2"/>
    </font>
    <font>
      <i/>
      <sz val="11"/>
      <color theme="1"/>
      <name val="Calibri"/>
      <family val="2"/>
      <scheme val="minor"/>
    </font>
    <font>
      <sz val="11"/>
      <color theme="1"/>
      <name val="Calibri"/>
      <family val="2"/>
    </font>
    <font>
      <b/>
      <i/>
      <sz val="10"/>
      <color rgb="FFC00000"/>
      <name val="Arial"/>
      <family val="2"/>
    </font>
    <font>
      <sz val="11"/>
      <color rgb="FFFF0000"/>
      <name val="Arial"/>
      <family val="2"/>
    </font>
    <font>
      <u/>
      <sz val="11"/>
      <color theme="1"/>
      <name val="Arial"/>
      <family val="2"/>
    </font>
    <font>
      <b/>
      <sz val="12"/>
      <color theme="0"/>
      <name val="Arial"/>
      <family val="2"/>
    </font>
    <font>
      <b/>
      <i/>
      <sz val="18"/>
      <color theme="4" tint="-0.499984740745262"/>
      <name val="Arial"/>
      <family val="2"/>
    </font>
    <font>
      <b/>
      <sz val="12"/>
      <color theme="1"/>
      <name val="Arial"/>
      <family val="2"/>
    </font>
    <font>
      <i/>
      <sz val="11"/>
      <color theme="1"/>
      <name val="Arial"/>
      <family val="2"/>
    </font>
    <font>
      <sz val="7"/>
      <color theme="1"/>
      <name val="Arial"/>
      <family val="2"/>
    </font>
    <font>
      <b/>
      <i/>
      <u/>
      <sz val="16"/>
      <color theme="1"/>
      <name val="Calibri"/>
      <family val="2"/>
      <scheme val="minor"/>
    </font>
    <font>
      <b/>
      <sz val="16"/>
      <color rgb="FFFF0000"/>
      <name val="Calibri"/>
      <family val="2"/>
      <scheme val="minor"/>
    </font>
    <font>
      <b/>
      <sz val="11"/>
      <color theme="0" tint="-0.499984740745262"/>
      <name val="Calibri"/>
      <family val="2"/>
      <scheme val="minor"/>
    </font>
    <font>
      <b/>
      <u/>
      <sz val="10"/>
      <color theme="1"/>
      <name val="Arial"/>
      <family val="2"/>
    </font>
    <font>
      <b/>
      <sz val="14"/>
      <color rgb="FFFF0000"/>
      <name val="Calibri"/>
      <family val="2"/>
      <scheme val="minor"/>
    </font>
    <font>
      <u/>
      <sz val="11"/>
      <color theme="10"/>
      <name val="Calibri"/>
      <family val="2"/>
      <scheme val="minor"/>
    </font>
    <font>
      <sz val="11"/>
      <color rgb="FF000000"/>
      <name val="Arial"/>
      <family val="2"/>
    </font>
    <font>
      <u/>
      <sz val="8"/>
      <color theme="10"/>
      <name val="Calibri"/>
      <family val="2"/>
      <scheme val="minor"/>
    </font>
  </fonts>
  <fills count="12">
    <fill>
      <patternFill patternType="none"/>
    </fill>
    <fill>
      <patternFill patternType="gray125"/>
    </fill>
    <fill>
      <patternFill patternType="solid">
        <fgColor indexed="43"/>
        <bgColor indexed="64"/>
      </patternFill>
    </fill>
    <fill>
      <patternFill patternType="solid">
        <fgColor rgb="FFCCFFFF"/>
        <bgColor indexed="64"/>
      </patternFill>
    </fill>
    <fill>
      <patternFill patternType="solid">
        <fgColor theme="0"/>
        <bgColor indexed="64"/>
      </patternFill>
    </fill>
    <fill>
      <patternFill patternType="solid">
        <fgColor theme="4"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4"/>
        <bgColor indexed="64"/>
      </patternFill>
    </fill>
    <fill>
      <patternFill patternType="solid">
        <fgColor theme="0" tint="-4.9989318521683403E-2"/>
        <bgColor indexed="64"/>
      </patternFill>
    </fill>
    <fill>
      <patternFill patternType="solid">
        <fgColor rgb="FFFFFF00"/>
        <bgColor indexed="64"/>
      </patternFill>
    </fill>
  </fills>
  <borders count="36">
    <border>
      <left/>
      <right/>
      <top/>
      <bottom/>
      <diagonal/>
    </border>
    <border>
      <left/>
      <right/>
      <top style="double">
        <color indexed="64"/>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right style="medium">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top style="medium">
        <color indexed="64"/>
      </top>
      <bottom style="double">
        <color indexed="64"/>
      </bottom>
      <diagonal/>
    </border>
  </borders>
  <cellStyleXfs count="19">
    <xf numFmtId="0" fontId="0" fillId="0" borderId="0"/>
    <xf numFmtId="3" fontId="5" fillId="0" borderId="0" applyFont="0" applyFill="0" applyBorder="0" applyAlignment="0" applyProtection="0"/>
    <xf numFmtId="167"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5" fillId="0" borderId="0"/>
    <xf numFmtId="0" fontId="29" fillId="0" borderId="0"/>
    <xf numFmtId="0" fontId="20"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1" applyNumberFormat="0" applyFont="0" applyFill="0" applyAlignment="0" applyProtection="0"/>
    <xf numFmtId="9" fontId="29" fillId="0" borderId="0" applyFont="0" applyFill="0" applyBorder="0" applyAlignment="0" applyProtection="0"/>
    <xf numFmtId="0" fontId="67" fillId="0" borderId="0" applyNumberFormat="0" applyFill="0" applyBorder="0" applyAlignment="0" applyProtection="0"/>
  </cellStyleXfs>
  <cellXfs count="551">
    <xf numFmtId="0" fontId="0" fillId="0" borderId="0" xfId="0"/>
    <xf numFmtId="0" fontId="0" fillId="0" borderId="0" xfId="0" applyBorder="1"/>
    <xf numFmtId="0" fontId="0" fillId="0" borderId="2" xfId="0" applyBorder="1"/>
    <xf numFmtId="0" fontId="0" fillId="0" borderId="0" xfId="0" applyAlignment="1">
      <alignment horizontal="right"/>
    </xf>
    <xf numFmtId="0" fontId="0" fillId="0" borderId="0" xfId="0"/>
    <xf numFmtId="0" fontId="0" fillId="0" borderId="3" xfId="0" applyBorder="1"/>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pplyProtection="1">
      <alignment horizontal="center"/>
      <protection locked="0"/>
    </xf>
    <xf numFmtId="0" fontId="0" fillId="0" borderId="0" xfId="0" applyAlignment="1">
      <alignment vertical="center"/>
    </xf>
    <xf numFmtId="0" fontId="0" fillId="0" borderId="4" xfId="0" applyBorder="1"/>
    <xf numFmtId="0" fontId="0" fillId="0" borderId="5" xfId="0" applyBorder="1"/>
    <xf numFmtId="0" fontId="30" fillId="0" borderId="0" xfId="0" applyFont="1"/>
    <xf numFmtId="0" fontId="0" fillId="0" borderId="0" xfId="0" applyFill="1" applyBorder="1" applyAlignment="1">
      <alignment horizontal="center" vertical="center"/>
    </xf>
    <xf numFmtId="0" fontId="0" fillId="0" borderId="6" xfId="0" applyBorder="1"/>
    <xf numFmtId="0" fontId="0" fillId="0" borderId="0" xfId="0" applyProtection="1">
      <protection locked="0"/>
    </xf>
    <xf numFmtId="0" fontId="5" fillId="0" borderId="0" xfId="9"/>
    <xf numFmtId="0" fontId="5" fillId="0" borderId="0" xfId="9" applyAlignment="1" applyProtection="1">
      <protection locked="0"/>
    </xf>
    <xf numFmtId="0" fontId="5" fillId="0" borderId="0" xfId="9" applyFill="1" applyAlignment="1" applyProtection="1">
      <protection locked="0"/>
    </xf>
    <xf numFmtId="0" fontId="5" fillId="0" borderId="0" xfId="9" applyFont="1" applyFill="1" applyAlignment="1" applyProtection="1"/>
    <xf numFmtId="0" fontId="5" fillId="0" borderId="0" xfId="9" applyAlignment="1">
      <alignment horizontal="right"/>
    </xf>
    <xf numFmtId="0" fontId="5" fillId="0" borderId="0" xfId="9" applyFill="1" applyBorder="1" applyAlignment="1" applyProtection="1">
      <protection locked="0"/>
    </xf>
    <xf numFmtId="0" fontId="5" fillId="0" borderId="7" xfId="9" applyFill="1" applyBorder="1" applyAlignment="1" applyProtection="1">
      <protection locked="0"/>
    </xf>
    <xf numFmtId="0" fontId="5" fillId="0" borderId="0" xfId="9" applyFill="1" applyProtection="1"/>
    <xf numFmtId="0" fontId="5" fillId="3" borderId="0" xfId="9" applyFill="1" applyBorder="1" applyAlignment="1" applyProtection="1">
      <alignment horizontal="center"/>
      <protection locked="0"/>
    </xf>
    <xf numFmtId="0" fontId="5" fillId="0" borderId="0" xfId="9" applyAlignment="1" applyProtection="1"/>
    <xf numFmtId="0" fontId="5" fillId="0" borderId="0" xfId="9" applyFill="1" applyAlignment="1" applyProtection="1"/>
    <xf numFmtId="0" fontId="31" fillId="0" borderId="0" xfId="0" applyFont="1"/>
    <xf numFmtId="0" fontId="32" fillId="0" borderId="0" xfId="0" applyFont="1" applyBorder="1" applyAlignment="1">
      <alignment horizontal="center" vertical="top" wrapText="1"/>
    </xf>
    <xf numFmtId="0" fontId="32" fillId="0" borderId="0" xfId="0" applyFont="1" applyBorder="1" applyAlignment="1">
      <alignment horizontal="center"/>
    </xf>
    <xf numFmtId="0" fontId="33" fillId="0" borderId="0" xfId="0" applyFont="1" applyBorder="1" applyAlignment="1">
      <alignment horizontal="center" wrapText="1"/>
    </xf>
    <xf numFmtId="0" fontId="34" fillId="0" borderId="0" xfId="0" applyFont="1" applyBorder="1" applyAlignment="1">
      <alignment horizontal="left" wrapText="1"/>
    </xf>
    <xf numFmtId="0" fontId="35" fillId="0" borderId="0" xfId="0" applyFont="1" applyBorder="1" applyAlignment="1">
      <alignment horizontal="center"/>
    </xf>
    <xf numFmtId="14" fontId="35" fillId="0" borderId="0" xfId="0" applyNumberFormat="1" applyFont="1" applyBorder="1" applyAlignment="1">
      <alignment horizontal="center"/>
    </xf>
    <xf numFmtId="0" fontId="31" fillId="0" borderId="0" xfId="0" applyFont="1" applyBorder="1" applyAlignment="1">
      <alignment horizontal="center" vertical="center" wrapText="1"/>
    </xf>
    <xf numFmtId="0" fontId="34" fillId="0" borderId="0" xfId="0" applyFont="1" applyBorder="1" applyAlignment="1">
      <alignment wrapText="1"/>
    </xf>
    <xf numFmtId="0" fontId="36" fillId="0" borderId="0" xfId="0" applyFont="1" applyBorder="1" applyAlignment="1">
      <alignment horizontal="left" vertical="center" wrapText="1"/>
    </xf>
    <xf numFmtId="0" fontId="31" fillId="0" borderId="0" xfId="0" applyFont="1" applyBorder="1"/>
    <xf numFmtId="171" fontId="0" fillId="0" borderId="0" xfId="0" applyNumberFormat="1" applyBorder="1" applyAlignment="1" applyProtection="1">
      <alignment horizontal="center"/>
      <protection locked="0"/>
    </xf>
    <xf numFmtId="0" fontId="0" fillId="0" borderId="0" xfId="0" applyBorder="1" applyAlignment="1" applyProtection="1">
      <alignment horizontal="center"/>
      <protection locked="0"/>
    </xf>
    <xf numFmtId="0" fontId="31" fillId="0" borderId="0" xfId="0" applyFont="1" applyBorder="1" applyAlignment="1" applyProtection="1">
      <alignment horizontal="center"/>
      <protection locked="0"/>
    </xf>
    <xf numFmtId="0" fontId="31" fillId="0" borderId="0" xfId="0" applyFont="1" applyBorder="1" applyAlignment="1">
      <alignment horizontal="center" vertical="center"/>
    </xf>
    <xf numFmtId="169" fontId="31" fillId="0" borderId="0" xfId="0" applyNumberFormat="1" applyFont="1" applyBorder="1" applyAlignment="1" applyProtection="1">
      <alignment horizontal="center"/>
      <protection locked="0"/>
    </xf>
    <xf numFmtId="168" fontId="31" fillId="0" borderId="0" xfId="0" applyNumberFormat="1" applyFont="1" applyBorder="1" applyAlignment="1" applyProtection="1">
      <alignment horizontal="center"/>
      <protection locked="0"/>
    </xf>
    <xf numFmtId="0" fontId="37" fillId="4" borderId="0" xfId="0" applyFont="1" applyFill="1" applyBorder="1" applyAlignment="1">
      <alignment horizontal="center"/>
    </xf>
    <xf numFmtId="0" fontId="37" fillId="4" borderId="0" xfId="0" applyFont="1" applyFill="1" applyBorder="1" applyAlignment="1">
      <alignment horizontal="center" vertical="center"/>
    </xf>
    <xf numFmtId="0" fontId="31" fillId="0" borderId="0" xfId="0" applyFont="1" applyBorder="1" applyAlignment="1">
      <alignment shrinkToFit="1"/>
    </xf>
    <xf numFmtId="0" fontId="35" fillId="0" borderId="0" xfId="0" applyFont="1" applyBorder="1"/>
    <xf numFmtId="168" fontId="35" fillId="0" borderId="0" xfId="0" applyNumberFormat="1" applyFont="1" applyBorder="1" applyAlignment="1" applyProtection="1">
      <alignment horizontal="center" vertical="center" shrinkToFit="1"/>
      <protection locked="0"/>
    </xf>
    <xf numFmtId="0" fontId="37" fillId="0" borderId="0" xfId="0" applyFont="1" applyBorder="1" applyAlignment="1">
      <alignment horizontal="right" shrinkToFit="1"/>
    </xf>
    <xf numFmtId="171" fontId="35" fillId="0" borderId="0" xfId="0" applyNumberFormat="1" applyFont="1" applyBorder="1" applyAlignment="1" applyProtection="1">
      <alignment horizontal="center"/>
      <protection locked="0"/>
    </xf>
    <xf numFmtId="0" fontId="38" fillId="0" borderId="0" xfId="0" applyFont="1" applyBorder="1" applyAlignment="1">
      <alignment horizontal="right" shrinkToFit="1"/>
    </xf>
    <xf numFmtId="0" fontId="39" fillId="0" borderId="0" xfId="0" applyFont="1" applyBorder="1" applyAlignment="1">
      <alignment horizontal="left" vertical="center" shrinkToFit="1"/>
    </xf>
    <xf numFmtId="0" fontId="37" fillId="0" borderId="0" xfId="0" applyFont="1" applyBorder="1" applyAlignment="1">
      <alignment horizontal="right" vertical="center" shrinkToFit="1"/>
    </xf>
    <xf numFmtId="0" fontId="35" fillId="0" borderId="0" xfId="0" applyFont="1" applyBorder="1" applyAlignment="1" applyProtection="1">
      <alignment horizontal="center" vertical="center" shrinkToFit="1"/>
      <protection locked="0"/>
    </xf>
    <xf numFmtId="0" fontId="35" fillId="0" borderId="0" xfId="0" applyFont="1" applyBorder="1" applyAlignment="1">
      <alignment horizontal="center" vertical="center" shrinkToFit="1"/>
    </xf>
    <xf numFmtId="0" fontId="40" fillId="0" borderId="0" xfId="0" applyFont="1" applyBorder="1" applyAlignment="1">
      <alignment horizontal="left" vertical="center" shrinkToFit="1"/>
    </xf>
    <xf numFmtId="0" fontId="35" fillId="0" borderId="0" xfId="0" applyFont="1" applyBorder="1" applyAlignment="1" applyProtection="1">
      <alignment horizontal="center"/>
      <protection locked="0"/>
    </xf>
    <xf numFmtId="169" fontId="35" fillId="0" borderId="0" xfId="0" applyNumberFormat="1" applyFont="1" applyBorder="1" applyAlignment="1" applyProtection="1">
      <alignment horizontal="center"/>
      <protection locked="0"/>
    </xf>
    <xf numFmtId="0" fontId="41" fillId="0" borderId="0" xfId="0" applyFont="1" applyBorder="1" applyAlignment="1">
      <alignment horizontal="center" vertical="center" shrinkToFit="1"/>
    </xf>
    <xf numFmtId="0" fontId="31" fillId="0" borderId="0" xfId="0" applyFont="1" applyBorder="1" applyAlignment="1" applyProtection="1">
      <alignment shrinkToFit="1"/>
      <protection locked="0"/>
    </xf>
    <xf numFmtId="0" fontId="33" fillId="0" borderId="0" xfId="0" applyFont="1" applyBorder="1" applyAlignment="1">
      <alignment horizontal="left" vertical="top" wrapText="1"/>
    </xf>
    <xf numFmtId="0" fontId="35" fillId="0" borderId="0" xfId="0" applyFont="1" applyBorder="1" applyAlignment="1">
      <alignment horizontal="center" vertical="top" wrapText="1"/>
    </xf>
    <xf numFmtId="0" fontId="37" fillId="0" borderId="0" xfId="0" applyFont="1" applyBorder="1" applyAlignment="1">
      <alignment horizontal="center"/>
    </xf>
    <xf numFmtId="0" fontId="0" fillId="0" borderId="8" xfId="0" applyBorder="1"/>
    <xf numFmtId="0" fontId="33" fillId="0" borderId="6" xfId="0" applyFont="1" applyBorder="1" applyAlignment="1">
      <alignment horizontal="center" wrapText="1"/>
    </xf>
    <xf numFmtId="0" fontId="33" fillId="0" borderId="2" xfId="0" applyFont="1" applyBorder="1" applyAlignment="1">
      <alignment horizontal="center" wrapText="1"/>
    </xf>
    <xf numFmtId="0" fontId="35" fillId="0" borderId="4" xfId="0" applyFont="1" applyBorder="1" applyAlignment="1">
      <alignment horizontal="center"/>
    </xf>
    <xf numFmtId="0" fontId="33" fillId="0" borderId="9" xfId="0" applyFont="1" applyBorder="1" applyAlignment="1">
      <alignment horizontal="center" wrapText="1"/>
    </xf>
    <xf numFmtId="14" fontId="35" fillId="0" borderId="4" xfId="0" applyNumberFormat="1" applyFont="1" applyBorder="1" applyAlignment="1">
      <alignment horizontal="center"/>
    </xf>
    <xf numFmtId="0" fontId="35" fillId="0" borderId="5" xfId="0" applyFont="1" applyBorder="1" applyAlignment="1">
      <alignment horizontal="center"/>
    </xf>
    <xf numFmtId="0" fontId="0" fillId="0" borderId="10" xfId="0" applyBorder="1"/>
    <xf numFmtId="0" fontId="0" fillId="0" borderId="11" xfId="0" applyBorder="1"/>
    <xf numFmtId="0" fontId="31" fillId="0" borderId="11" xfId="0" applyFont="1" applyBorder="1"/>
    <xf numFmtId="0" fontId="31" fillId="0" borderId="12" xfId="0" applyFont="1" applyBorder="1"/>
    <xf numFmtId="0" fontId="0" fillId="0" borderId="13" xfId="0" applyFill="1" applyBorder="1"/>
    <xf numFmtId="171" fontId="0" fillId="0" borderId="0" xfId="0" applyNumberFormat="1" applyFill="1" applyBorder="1" applyAlignment="1" applyProtection="1">
      <alignment horizontal="center"/>
      <protection locked="0"/>
    </xf>
    <xf numFmtId="0" fontId="31" fillId="0" borderId="0" xfId="0" applyFont="1" applyFill="1" applyBorder="1" applyAlignment="1" applyProtection="1">
      <alignment horizontal="center"/>
      <protection locked="0"/>
    </xf>
    <xf numFmtId="0" fontId="31" fillId="0" borderId="0" xfId="0" applyFont="1" applyFill="1" applyBorder="1" applyAlignment="1">
      <alignment horizontal="center" vertical="center"/>
    </xf>
    <xf numFmtId="169" fontId="31" fillId="0" borderId="0" xfId="0" applyNumberFormat="1" applyFont="1" applyFill="1" applyBorder="1" applyAlignment="1" applyProtection="1">
      <alignment horizontal="center"/>
      <protection locked="0"/>
    </xf>
    <xf numFmtId="168" fontId="31" fillId="0" borderId="0" xfId="0" applyNumberFormat="1" applyFont="1" applyFill="1" applyBorder="1" applyAlignment="1" applyProtection="1">
      <alignment horizontal="center"/>
      <protection locked="0"/>
    </xf>
    <xf numFmtId="0" fontId="31" fillId="0" borderId="14" xfId="0" applyFont="1" applyFill="1" applyBorder="1"/>
    <xf numFmtId="0" fontId="37" fillId="0" borderId="0" xfId="0" applyFont="1" applyFill="1" applyBorder="1" applyAlignment="1">
      <alignment horizontal="center"/>
    </xf>
    <xf numFmtId="0" fontId="37" fillId="0" borderId="0" xfId="0" applyFont="1" applyFill="1" applyBorder="1" applyAlignment="1">
      <alignment horizontal="center" vertical="center"/>
    </xf>
    <xf numFmtId="0" fontId="31" fillId="0" borderId="14" xfId="0" applyFont="1" applyFill="1" applyBorder="1" applyAlignment="1">
      <alignment shrinkToFit="1"/>
    </xf>
    <xf numFmtId="0" fontId="0" fillId="0" borderId="0" xfId="0" applyFill="1" applyBorder="1"/>
    <xf numFmtId="0" fontId="31" fillId="0" borderId="0" xfId="0" applyFont="1" applyFill="1" applyBorder="1" applyAlignment="1">
      <alignment shrinkToFit="1"/>
    </xf>
    <xf numFmtId="0" fontId="35" fillId="0" borderId="0" xfId="0" applyFont="1"/>
    <xf numFmtId="0" fontId="35" fillId="0" borderId="4" xfId="0" applyFont="1" applyBorder="1"/>
    <xf numFmtId="0" fontId="35" fillId="0" borderId="13" xfId="0" applyFont="1" applyFill="1" applyBorder="1"/>
    <xf numFmtId="0" fontId="35" fillId="0" borderId="0" xfId="0" applyFont="1" applyFill="1" applyBorder="1"/>
    <xf numFmtId="168" fontId="35" fillId="0" borderId="0" xfId="0" applyNumberFormat="1" applyFont="1" applyFill="1" applyBorder="1" applyAlignment="1" applyProtection="1">
      <alignment horizontal="center" vertical="center" shrinkToFit="1"/>
      <protection locked="0"/>
    </xf>
    <xf numFmtId="0" fontId="37" fillId="0" borderId="0" xfId="0" applyFont="1" applyFill="1" applyBorder="1" applyAlignment="1">
      <alignment horizontal="right" shrinkToFit="1"/>
    </xf>
    <xf numFmtId="171" fontId="35" fillId="0" borderId="0" xfId="0" applyNumberFormat="1" applyFont="1" applyFill="1" applyBorder="1" applyAlignment="1" applyProtection="1">
      <alignment horizontal="center"/>
      <protection locked="0"/>
    </xf>
    <xf numFmtId="0" fontId="38" fillId="0" borderId="0" xfId="0" applyFont="1" applyFill="1" applyBorder="1" applyAlignment="1">
      <alignment horizontal="right" shrinkToFit="1"/>
    </xf>
    <xf numFmtId="0" fontId="39" fillId="0" borderId="0" xfId="0" applyFont="1" applyFill="1" applyBorder="1" applyAlignment="1">
      <alignment horizontal="left" vertical="center" shrinkToFit="1"/>
    </xf>
    <xf numFmtId="0" fontId="37" fillId="0" borderId="0" xfId="0" applyFont="1" applyFill="1" applyBorder="1" applyAlignment="1">
      <alignment horizontal="right" vertical="center" shrinkToFit="1"/>
    </xf>
    <xf numFmtId="0" fontId="35" fillId="0" borderId="0" xfId="0" applyFont="1" applyFill="1" applyBorder="1" applyAlignment="1" applyProtection="1">
      <alignment horizontal="center" vertical="center" shrinkToFit="1"/>
      <protection locked="0"/>
    </xf>
    <xf numFmtId="0" fontId="35" fillId="0" borderId="0" xfId="0" applyFont="1" applyFill="1" applyBorder="1" applyAlignment="1">
      <alignment horizontal="center" vertical="center" shrinkToFit="1"/>
    </xf>
    <xf numFmtId="0" fontId="40" fillId="0" borderId="0" xfId="0" applyFont="1" applyFill="1" applyBorder="1" applyAlignment="1">
      <alignment horizontal="left" vertical="center" shrinkToFit="1"/>
    </xf>
    <xf numFmtId="0" fontId="35" fillId="0" borderId="0" xfId="0" applyFont="1" applyFill="1" applyBorder="1" applyAlignment="1" applyProtection="1">
      <alignment horizontal="center"/>
      <protection locked="0"/>
    </xf>
    <xf numFmtId="169" fontId="35" fillId="0" borderId="0" xfId="0" applyNumberFormat="1" applyFont="1" applyFill="1" applyBorder="1" applyAlignment="1" applyProtection="1">
      <alignment horizontal="center"/>
      <protection locked="0"/>
    </xf>
    <xf numFmtId="0" fontId="42" fillId="0" borderId="0" xfId="0" applyFont="1"/>
    <xf numFmtId="0" fontId="41" fillId="0" borderId="0" xfId="0" applyFont="1" applyFill="1" applyBorder="1" applyAlignment="1">
      <alignment horizontal="center" vertical="center" shrinkToFit="1"/>
    </xf>
    <xf numFmtId="0" fontId="35" fillId="0" borderId="5" xfId="0" applyFont="1" applyBorder="1"/>
    <xf numFmtId="0" fontId="35" fillId="0" borderId="15" xfId="0" applyFont="1" applyBorder="1"/>
    <xf numFmtId="0" fontId="35" fillId="0" borderId="16" xfId="0" applyFont="1" applyBorder="1"/>
    <xf numFmtId="0" fontId="31" fillId="0" borderId="16" xfId="0" applyFont="1" applyBorder="1" applyAlignment="1">
      <alignment shrinkToFit="1"/>
    </xf>
    <xf numFmtId="0" fontId="31" fillId="0" borderId="17" xfId="0" applyFont="1" applyBorder="1" applyAlignment="1">
      <alignment shrinkToFit="1"/>
    </xf>
    <xf numFmtId="168"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0" xfId="0" applyFont="1" applyFill="1" applyBorder="1" applyAlignment="1">
      <alignment horizontal="right" vertical="center" wrapText="1"/>
    </xf>
    <xf numFmtId="0" fontId="43" fillId="0" borderId="0" xfId="0" applyFont="1" applyFill="1" applyBorder="1" applyAlignment="1">
      <alignment horizontal="center" vertical="center" wrapText="1"/>
    </xf>
    <xf numFmtId="0" fontId="10" fillId="0" borderId="0" xfId="8" applyAlignment="1" applyProtection="1">
      <alignment horizontal="center"/>
    </xf>
    <xf numFmtId="0" fontId="44" fillId="0" borderId="0" xfId="0" applyFont="1" applyBorder="1" applyAlignment="1">
      <alignment horizontal="center"/>
    </xf>
    <xf numFmtId="0" fontId="45" fillId="0" borderId="0" xfId="0" applyFont="1" applyAlignment="1">
      <alignment horizontal="center"/>
    </xf>
    <xf numFmtId="0" fontId="0" fillId="5" borderId="0" xfId="0" applyFill="1" applyBorder="1"/>
    <xf numFmtId="0" fontId="0" fillId="4" borderId="0" xfId="0" applyFill="1" applyBorder="1" applyAlignment="1"/>
    <xf numFmtId="0" fontId="17" fillId="0" borderId="0" xfId="9" applyFont="1" applyFill="1" applyBorder="1" applyAlignment="1" applyProtection="1">
      <alignment horizontal="center" vertical="center"/>
    </xf>
    <xf numFmtId="0" fontId="17" fillId="0" borderId="9" xfId="9" applyFont="1" applyFill="1" applyBorder="1" applyAlignment="1" applyProtection="1">
      <alignment horizontal="center" vertical="center"/>
    </xf>
    <xf numFmtId="165" fontId="46" fillId="4" borderId="0" xfId="0" applyNumberFormat="1" applyFont="1" applyFill="1" applyBorder="1" applyAlignment="1" applyProtection="1">
      <protection locked="0"/>
    </xf>
    <xf numFmtId="0" fontId="0" fillId="4" borderId="0" xfId="0" applyFill="1" applyBorder="1"/>
    <xf numFmtId="0" fontId="0" fillId="4" borderId="0" xfId="0" applyFill="1" applyBorder="1" applyAlignment="1">
      <alignment horizontal="center"/>
    </xf>
    <xf numFmtId="0" fontId="47" fillId="0" borderId="9" xfId="0" applyFont="1" applyBorder="1" applyAlignment="1">
      <alignment horizontal="right" vertical="center"/>
    </xf>
    <xf numFmtId="0" fontId="30" fillId="4" borderId="3" xfId="0" applyFont="1" applyFill="1" applyBorder="1" applyAlignment="1">
      <alignment horizontal="center"/>
    </xf>
    <xf numFmtId="0" fontId="30" fillId="4" borderId="18" xfId="0" applyFont="1" applyFill="1" applyBorder="1" applyAlignment="1">
      <alignment horizontal="center"/>
    </xf>
    <xf numFmtId="0" fontId="20" fillId="0" borderId="0" xfId="11"/>
    <xf numFmtId="0" fontId="20" fillId="0" borderId="0" xfId="11" applyAlignment="1">
      <alignment horizontal="center"/>
    </xf>
    <xf numFmtId="2" fontId="20" fillId="0" borderId="7" xfId="11" applyNumberFormat="1" applyBorder="1" applyAlignment="1">
      <alignment horizontal="center"/>
    </xf>
    <xf numFmtId="2" fontId="20" fillId="3" borderId="7" xfId="11" applyNumberFormat="1" applyFill="1" applyBorder="1" applyAlignment="1">
      <alignment horizontal="center"/>
    </xf>
    <xf numFmtId="2" fontId="20" fillId="0" borderId="7" xfId="11" applyNumberFormat="1" applyFill="1" applyBorder="1" applyAlignment="1">
      <alignment horizontal="center"/>
    </xf>
    <xf numFmtId="0" fontId="20" fillId="3" borderId="7" xfId="11" applyFill="1" applyBorder="1" applyAlignment="1">
      <alignment horizontal="center"/>
    </xf>
    <xf numFmtId="0" fontId="20" fillId="0" borderId="7" xfId="11" applyFill="1" applyBorder="1" applyAlignment="1">
      <alignment horizontal="center"/>
    </xf>
    <xf numFmtId="0" fontId="20" fillId="0" borderId="7" xfId="11" applyFill="1" applyBorder="1" applyAlignment="1">
      <alignment horizontal="center" vertical="center" wrapText="1"/>
    </xf>
    <xf numFmtId="0" fontId="5" fillId="0" borderId="7" xfId="11" applyFont="1" applyFill="1" applyBorder="1" applyAlignment="1">
      <alignment horizontal="center" vertical="center" wrapText="1"/>
    </xf>
    <xf numFmtId="0" fontId="20" fillId="0" borderId="7" xfId="11" applyBorder="1" applyAlignment="1">
      <alignment horizontal="center" vertical="center" wrapText="1"/>
    </xf>
    <xf numFmtId="0" fontId="20" fillId="0" borderId="19" xfId="11" applyBorder="1" applyAlignment="1"/>
    <xf numFmtId="0" fontId="20" fillId="0" borderId="20" xfId="11" applyBorder="1" applyAlignment="1"/>
    <xf numFmtId="0" fontId="20" fillId="0" borderId="21" xfId="11" applyBorder="1" applyAlignment="1"/>
    <xf numFmtId="0" fontId="20" fillId="0" borderId="2" xfId="11" applyBorder="1"/>
    <xf numFmtId="0" fontId="20" fillId="0" borderId="6" xfId="11" applyBorder="1"/>
    <xf numFmtId="0" fontId="20" fillId="0" borderId="0" xfId="11" applyBorder="1"/>
    <xf numFmtId="0" fontId="5" fillId="0" borderId="0" xfId="11" applyFont="1"/>
    <xf numFmtId="0" fontId="5" fillId="0" borderId="0" xfId="11" applyFont="1" applyAlignment="1">
      <alignment horizontal="center"/>
    </xf>
    <xf numFmtId="0" fontId="5" fillId="0" borderId="0" xfId="11" applyFont="1" applyAlignment="1">
      <alignment horizontal="right"/>
    </xf>
    <xf numFmtId="0" fontId="20" fillId="0" borderId="7" xfId="11" applyBorder="1" applyAlignment="1">
      <alignment horizontal="center" vertical="center"/>
    </xf>
    <xf numFmtId="0" fontId="20" fillId="0" borderId="22" xfId="11" applyFill="1" applyBorder="1" applyAlignment="1">
      <alignment horizontal="center" vertical="center" wrapText="1"/>
    </xf>
    <xf numFmtId="0" fontId="20" fillId="0" borderId="0" xfId="11" applyFill="1" applyBorder="1" applyAlignment="1">
      <alignment horizontal="center" vertical="center" wrapText="1"/>
    </xf>
    <xf numFmtId="0" fontId="20" fillId="0" borderId="2" xfId="11" applyBorder="1" applyAlignment="1"/>
    <xf numFmtId="0" fontId="5" fillId="0" borderId="0" xfId="11" applyFont="1" applyFill="1"/>
    <xf numFmtId="0" fontId="20" fillId="0" borderId="0" xfId="11" applyFill="1"/>
    <xf numFmtId="2" fontId="5" fillId="0" borderId="0" xfId="9" applyNumberFormat="1" applyAlignment="1">
      <alignment horizontal="center"/>
    </xf>
    <xf numFmtId="178" fontId="5" fillId="0" borderId="0" xfId="9" applyNumberFormat="1"/>
    <xf numFmtId="1" fontId="5" fillId="0" borderId="7" xfId="9" applyNumberFormat="1" applyBorder="1" applyAlignment="1">
      <alignment horizontal="center"/>
    </xf>
    <xf numFmtId="0" fontId="5" fillId="0" borderId="7" xfId="9" applyFont="1" applyBorder="1" applyAlignment="1">
      <alignment horizontal="center"/>
    </xf>
    <xf numFmtId="2" fontId="5" fillId="0" borderId="7" xfId="9" applyNumberFormat="1" applyFont="1" applyBorder="1" applyAlignment="1">
      <alignment horizontal="center"/>
    </xf>
    <xf numFmtId="178" fontId="5" fillId="0" borderId="7" xfId="9" applyNumberFormat="1" applyBorder="1" applyAlignment="1">
      <alignment horizontal="center"/>
    </xf>
    <xf numFmtId="179" fontId="5" fillId="0" borderId="7" xfId="9" applyNumberFormat="1" applyBorder="1" applyAlignment="1">
      <alignment horizontal="center"/>
    </xf>
    <xf numFmtId="180" fontId="5" fillId="0" borderId="7" xfId="9" applyNumberFormat="1" applyBorder="1" applyAlignment="1">
      <alignment horizontal="center"/>
    </xf>
    <xf numFmtId="181" fontId="5" fillId="0" borderId="7" xfId="9" applyNumberFormat="1" applyBorder="1" applyAlignment="1">
      <alignment horizontal="center"/>
    </xf>
    <xf numFmtId="0" fontId="5" fillId="0" borderId="2" xfId="9" applyBorder="1"/>
    <xf numFmtId="2" fontId="5" fillId="0" borderId="0" xfId="9" applyNumberFormat="1" applyBorder="1" applyAlignment="1">
      <alignment horizontal="center"/>
    </xf>
    <xf numFmtId="0" fontId="5" fillId="0" borderId="0" xfId="9" applyBorder="1" applyAlignment="1">
      <alignment horizontal="center"/>
    </xf>
    <xf numFmtId="0" fontId="5" fillId="0" borderId="0" xfId="9" applyAlignment="1">
      <alignment horizontal="center"/>
    </xf>
    <xf numFmtId="0" fontId="5" fillId="0" borderId="0" xfId="9" applyFont="1" applyBorder="1" applyAlignment="1">
      <alignment horizontal="center"/>
    </xf>
    <xf numFmtId="0" fontId="13" fillId="0" borderId="0" xfId="9" applyFont="1" applyFill="1" applyBorder="1" applyAlignment="1" applyProtection="1">
      <alignment horizontal="center"/>
    </xf>
    <xf numFmtId="0" fontId="5" fillId="0" borderId="0" xfId="9" applyFont="1" applyFill="1" applyBorder="1" applyProtection="1"/>
    <xf numFmtId="0" fontId="2" fillId="0" borderId="0" xfId="9" applyFont="1" applyFill="1" applyBorder="1" applyProtection="1"/>
    <xf numFmtId="0" fontId="5" fillId="0" borderId="0" xfId="9" applyNumberFormat="1" applyAlignment="1">
      <alignment horizontal="center"/>
    </xf>
    <xf numFmtId="0" fontId="5" fillId="0" borderId="0" xfId="9" applyFont="1" applyAlignment="1">
      <alignment horizontal="right"/>
    </xf>
    <xf numFmtId="0" fontId="13" fillId="0" borderId="0" xfId="9" applyFont="1" applyFill="1" applyBorder="1" applyAlignment="1" applyProtection="1">
      <alignment vertical="center"/>
    </xf>
    <xf numFmtId="0" fontId="13" fillId="0" borderId="0" xfId="9" applyFont="1" applyFill="1" applyBorder="1" applyAlignment="1" applyProtection="1"/>
    <xf numFmtId="0" fontId="5" fillId="0" borderId="0" xfId="9" applyFont="1" applyAlignment="1">
      <alignment horizontal="center"/>
    </xf>
    <xf numFmtId="49" fontId="5" fillId="0" borderId="0" xfId="9" applyNumberFormat="1" applyFill="1" applyBorder="1" applyProtection="1"/>
    <xf numFmtId="0" fontId="5" fillId="0" borderId="0" xfId="9" applyAlignment="1" applyProtection="1">
      <alignment horizontal="right"/>
    </xf>
    <xf numFmtId="1" fontId="5" fillId="0" borderId="0" xfId="9" applyNumberFormat="1" applyFill="1" applyBorder="1" applyProtection="1"/>
    <xf numFmtId="0" fontId="5" fillId="0" borderId="0" xfId="9" applyFill="1" applyBorder="1" applyProtection="1"/>
    <xf numFmtId="0" fontId="5" fillId="0" borderId="21" xfId="9" applyFont="1" applyBorder="1" applyAlignment="1">
      <alignment horizontal="center"/>
    </xf>
    <xf numFmtId="0" fontId="48" fillId="0" borderId="0" xfId="0" applyFont="1"/>
    <xf numFmtId="0" fontId="5" fillId="0" borderId="0" xfId="9" applyAlignment="1" applyProtection="1">
      <alignment vertical="center"/>
    </xf>
    <xf numFmtId="0" fontId="5" fillId="0" borderId="8" xfId="9" applyBorder="1" applyAlignment="1" applyProtection="1">
      <alignment vertical="center"/>
    </xf>
    <xf numFmtId="0" fontId="5" fillId="0" borderId="2" xfId="9" applyBorder="1" applyAlignment="1" applyProtection="1">
      <alignment vertical="center"/>
    </xf>
    <xf numFmtId="0" fontId="5" fillId="0" borderId="6" xfId="9" applyBorder="1" applyAlignment="1" applyProtection="1">
      <alignment vertical="center"/>
    </xf>
    <xf numFmtId="0" fontId="5" fillId="0" borderId="4" xfId="9" applyBorder="1" applyAlignment="1" applyProtection="1">
      <alignment vertical="center"/>
    </xf>
    <xf numFmtId="0" fontId="5" fillId="0" borderId="0" xfId="9" applyBorder="1" applyAlignment="1" applyProtection="1">
      <alignment vertical="center"/>
    </xf>
    <xf numFmtId="0" fontId="2" fillId="0" borderId="0" xfId="9" applyFont="1" applyBorder="1" applyAlignment="1" applyProtection="1">
      <alignment vertical="center"/>
    </xf>
    <xf numFmtId="170" fontId="2" fillId="0" borderId="0" xfId="9" applyNumberFormat="1" applyFont="1" applyBorder="1" applyAlignment="1" applyProtection="1">
      <alignment vertical="center"/>
    </xf>
    <xf numFmtId="0" fontId="2" fillId="0" borderId="9" xfId="9" applyFont="1" applyBorder="1" applyAlignment="1" applyProtection="1">
      <alignment horizontal="right" vertical="center"/>
    </xf>
    <xf numFmtId="0" fontId="5" fillId="0" borderId="9" xfId="9" applyBorder="1" applyAlignment="1" applyProtection="1">
      <alignment vertical="center"/>
    </xf>
    <xf numFmtId="0" fontId="5" fillId="0" borderId="0" xfId="9" applyFont="1" applyBorder="1" applyAlignment="1" applyProtection="1">
      <alignment vertical="center"/>
    </xf>
    <xf numFmtId="170" fontId="5" fillId="0" borderId="0" xfId="9" applyNumberFormat="1" applyFill="1" applyBorder="1" applyAlignment="1" applyProtection="1">
      <alignment vertical="center"/>
    </xf>
    <xf numFmtId="0" fontId="5" fillId="0" borderId="9" xfId="9" applyFont="1" applyBorder="1" applyAlignment="1" applyProtection="1">
      <alignment horizontal="right" vertical="center"/>
    </xf>
    <xf numFmtId="182" fontId="5" fillId="0" borderId="0" xfId="9" applyNumberFormat="1" applyFont="1" applyFill="1" applyBorder="1" applyAlignment="1" applyProtection="1">
      <alignment vertical="center"/>
    </xf>
    <xf numFmtId="182" fontId="5" fillId="0" borderId="0" xfId="9" applyNumberFormat="1" applyFill="1" applyBorder="1" applyAlignment="1" applyProtection="1">
      <alignment vertical="center"/>
    </xf>
    <xf numFmtId="0" fontId="16" fillId="0" borderId="0" xfId="9" applyFont="1" applyBorder="1" applyAlignment="1" applyProtection="1">
      <alignment vertical="center"/>
    </xf>
    <xf numFmtId="0" fontId="15" fillId="0" borderId="9" xfId="9" applyFont="1" applyBorder="1" applyAlignment="1" applyProtection="1">
      <alignment vertical="center"/>
    </xf>
    <xf numFmtId="2" fontId="5" fillId="3" borderId="0" xfId="9" applyNumberFormat="1" applyFill="1" applyBorder="1" applyAlignment="1" applyProtection="1">
      <alignment vertical="center"/>
      <protection locked="0"/>
    </xf>
    <xf numFmtId="0" fontId="8" fillId="0" borderId="9" xfId="9" applyFont="1" applyBorder="1" applyAlignment="1" applyProtection="1">
      <alignment horizontal="left" vertical="center"/>
    </xf>
    <xf numFmtId="170" fontId="5" fillId="0" borderId="0" xfId="9" applyNumberFormat="1" applyFill="1" applyBorder="1" applyAlignment="1" applyProtection="1">
      <alignment horizontal="right" vertical="center"/>
    </xf>
    <xf numFmtId="2" fontId="5" fillId="4" borderId="0" xfId="9" applyNumberFormat="1" applyFont="1" applyFill="1" applyBorder="1" applyAlignment="1" applyProtection="1">
      <alignment vertical="center"/>
    </xf>
    <xf numFmtId="183" fontId="5" fillId="0" borderId="0" xfId="9" applyNumberFormat="1" applyFill="1" applyBorder="1" applyAlignment="1" applyProtection="1">
      <alignment vertical="center"/>
    </xf>
    <xf numFmtId="2" fontId="5" fillId="0" borderId="0" xfId="9" applyNumberFormat="1" applyFill="1" applyBorder="1" applyAlignment="1" applyProtection="1">
      <alignment vertical="center"/>
    </xf>
    <xf numFmtId="184" fontId="5" fillId="0" borderId="23" xfId="9" applyNumberFormat="1" applyBorder="1" applyAlignment="1" applyProtection="1">
      <alignment vertical="center"/>
    </xf>
    <xf numFmtId="0" fontId="5" fillId="0" borderId="23" xfId="9" applyFont="1" applyBorder="1" applyAlignment="1" applyProtection="1">
      <alignment vertical="center"/>
    </xf>
    <xf numFmtId="185" fontId="5" fillId="4" borderId="0" xfId="9" applyNumberFormat="1" applyFill="1" applyBorder="1" applyAlignment="1" applyProtection="1">
      <alignment vertical="center"/>
    </xf>
    <xf numFmtId="164" fontId="5" fillId="3" borderId="0" xfId="9" applyNumberFormat="1" applyFill="1" applyBorder="1" applyAlignment="1" applyProtection="1">
      <alignment vertical="center"/>
      <protection locked="0"/>
    </xf>
    <xf numFmtId="184" fontId="5" fillId="0" borderId="24" xfId="9" applyNumberFormat="1" applyBorder="1" applyAlignment="1" applyProtection="1">
      <alignment vertical="center"/>
    </xf>
    <xf numFmtId="0" fontId="5" fillId="0" borderId="24" xfId="9" applyFont="1" applyBorder="1" applyAlignment="1" applyProtection="1">
      <alignment vertical="center"/>
    </xf>
    <xf numFmtId="1" fontId="5" fillId="3" borderId="0" xfId="9" applyNumberFormat="1" applyFill="1" applyBorder="1" applyAlignment="1" applyProtection="1">
      <alignment vertical="center"/>
      <protection locked="0"/>
    </xf>
    <xf numFmtId="0" fontId="5" fillId="0" borderId="9" xfId="9" applyBorder="1" applyAlignment="1" applyProtection="1">
      <alignment horizontal="right" vertical="center"/>
    </xf>
    <xf numFmtId="0" fontId="5" fillId="3" borderId="0" xfId="9" applyFont="1" applyFill="1" applyAlignment="1" applyProtection="1">
      <alignment horizontal="left" vertical="center"/>
    </xf>
    <xf numFmtId="0" fontId="5" fillId="0" borderId="5" xfId="9" applyBorder="1"/>
    <xf numFmtId="0" fontId="5" fillId="0" borderId="18" xfId="9" applyBorder="1"/>
    <xf numFmtId="0" fontId="2" fillId="4" borderId="0" xfId="12" applyFont="1" applyFill="1" applyBorder="1" applyAlignment="1" applyProtection="1">
      <alignment horizontal="center" vertical="center"/>
    </xf>
    <xf numFmtId="0" fontId="5" fillId="4" borderId="0" xfId="12" applyFont="1" applyFill="1" applyBorder="1" applyAlignment="1" applyProtection="1">
      <alignment vertical="center"/>
    </xf>
    <xf numFmtId="0" fontId="48" fillId="0" borderId="0" xfId="0" applyFont="1" applyAlignment="1"/>
    <xf numFmtId="0" fontId="48" fillId="0" borderId="0" xfId="0" applyFont="1" applyFill="1"/>
    <xf numFmtId="0" fontId="0" fillId="0" borderId="0" xfId="0" applyFont="1"/>
    <xf numFmtId="0" fontId="0" fillId="0" borderId="0" xfId="0" applyFont="1" applyAlignment="1">
      <alignment horizontal="right"/>
    </xf>
    <xf numFmtId="2" fontId="0" fillId="0" borderId="0" xfId="0" applyNumberFormat="1" applyFont="1"/>
    <xf numFmtId="2" fontId="0" fillId="0" borderId="0" xfId="0" applyNumberFormat="1" applyFont="1" applyAlignment="1">
      <alignment horizontal="center"/>
    </xf>
    <xf numFmtId="0" fontId="0" fillId="0" borderId="0" xfId="0" applyFont="1" applyAlignment="1">
      <alignment horizontal="center"/>
    </xf>
    <xf numFmtId="0" fontId="0" fillId="0" borderId="0" xfId="0" applyFont="1" applyProtection="1">
      <protection locked="0"/>
    </xf>
    <xf numFmtId="0" fontId="30" fillId="0" borderId="0" xfId="0" applyFont="1" applyProtection="1">
      <protection locked="0"/>
    </xf>
    <xf numFmtId="0" fontId="0" fillId="0" borderId="0" xfId="0" applyFont="1" applyAlignment="1" applyProtection="1">
      <alignment horizontal="center"/>
      <protection locked="0"/>
    </xf>
    <xf numFmtId="0" fontId="0" fillId="0" borderId="0" xfId="0" applyFont="1" applyFill="1" applyAlignment="1">
      <alignment horizontal="center"/>
    </xf>
    <xf numFmtId="0" fontId="0" fillId="6" borderId="0" xfId="0" applyFont="1" applyFill="1"/>
    <xf numFmtId="2" fontId="20" fillId="0" borderId="0" xfId="11" applyNumberFormat="1" applyFill="1" applyBorder="1" applyAlignment="1">
      <alignment horizontal="center"/>
    </xf>
    <xf numFmtId="2" fontId="20" fillId="0" borderId="25" xfId="11" applyNumberFormat="1" applyFill="1" applyBorder="1" applyAlignment="1">
      <alignment horizontal="center"/>
    </xf>
    <xf numFmtId="0" fontId="20" fillId="0" borderId="0" xfId="11" applyFill="1" applyBorder="1" applyAlignment="1">
      <alignment horizontal="center"/>
    </xf>
    <xf numFmtId="2" fontId="20" fillId="0" borderId="26" xfId="11" applyNumberFormat="1" applyFill="1" applyBorder="1" applyAlignment="1">
      <alignment horizontal="center"/>
    </xf>
    <xf numFmtId="2" fontId="20" fillId="0" borderId="27" xfId="11" applyNumberFormat="1" applyFill="1" applyBorder="1" applyAlignment="1">
      <alignment horizontal="center"/>
    </xf>
    <xf numFmtId="0" fontId="5" fillId="0" borderId="20" xfId="11" applyFont="1" applyBorder="1" applyAlignment="1"/>
    <xf numFmtId="0" fontId="0" fillId="0" borderId="0" xfId="0" applyFont="1" applyFill="1" applyAlignment="1" applyProtection="1">
      <alignment horizontal="center"/>
      <protection locked="0"/>
    </xf>
    <xf numFmtId="181" fontId="5" fillId="0" borderId="27" xfId="9" applyNumberFormat="1" applyBorder="1" applyAlignment="1">
      <alignment horizontal="center"/>
    </xf>
    <xf numFmtId="180" fontId="5" fillId="0" borderId="25" xfId="9" applyNumberFormat="1" applyBorder="1" applyAlignment="1">
      <alignment horizontal="center"/>
    </xf>
    <xf numFmtId="178" fontId="5" fillId="0" borderId="25" xfId="9" applyNumberFormat="1" applyBorder="1" applyAlignment="1">
      <alignment horizontal="center"/>
    </xf>
    <xf numFmtId="2" fontId="5" fillId="0" borderId="25" xfId="9" applyNumberFormat="1" applyFont="1" applyBorder="1" applyAlignment="1">
      <alignment horizontal="center"/>
    </xf>
    <xf numFmtId="0" fontId="5" fillId="0" borderId="25" xfId="9" applyFont="1" applyBorder="1" applyAlignment="1">
      <alignment horizontal="center"/>
    </xf>
    <xf numFmtId="186" fontId="5" fillId="0" borderId="25" xfId="9" applyNumberFormat="1" applyBorder="1" applyAlignment="1">
      <alignment horizontal="center"/>
    </xf>
    <xf numFmtId="0" fontId="5" fillId="0" borderId="25" xfId="9" applyBorder="1"/>
    <xf numFmtId="0" fontId="5" fillId="0" borderId="26" xfId="9" applyBorder="1"/>
    <xf numFmtId="178" fontId="5" fillId="0" borderId="27" xfId="9" applyNumberFormat="1" applyBorder="1"/>
    <xf numFmtId="178" fontId="5" fillId="0" borderId="25" xfId="9" applyNumberFormat="1" applyBorder="1"/>
    <xf numFmtId="0" fontId="0" fillId="0" borderId="0" xfId="0" applyFont="1" applyFill="1"/>
    <xf numFmtId="0" fontId="20" fillId="3" borderId="0" xfId="11" applyFill="1"/>
    <xf numFmtId="0" fontId="5" fillId="0" borderId="0" xfId="11" applyFont="1" applyFill="1" applyAlignment="1">
      <alignment horizontal="center"/>
    </xf>
    <xf numFmtId="2" fontId="0" fillId="0" borderId="0" xfId="0" applyNumberFormat="1" applyFont="1" applyFill="1"/>
    <xf numFmtId="2" fontId="0" fillId="0" borderId="0" xfId="0" applyNumberFormat="1" applyFont="1" applyFill="1" applyAlignment="1">
      <alignment horizontal="center"/>
    </xf>
    <xf numFmtId="2" fontId="5" fillId="0" borderId="19" xfId="9" applyNumberFormat="1" applyBorder="1" applyAlignment="1">
      <alignment horizontal="center"/>
    </xf>
    <xf numFmtId="0" fontId="0" fillId="0" borderId="0" xfId="0" quotePrefix="1" applyFont="1"/>
    <xf numFmtId="0" fontId="49" fillId="0" borderId="0" xfId="0" applyFont="1" applyAlignment="1">
      <alignment horizontal="left"/>
    </xf>
    <xf numFmtId="0" fontId="50" fillId="0" borderId="0" xfId="0" applyFont="1" applyAlignment="1"/>
    <xf numFmtId="0" fontId="5" fillId="0" borderId="0" xfId="9" applyBorder="1" applyAlignment="1" applyProtection="1">
      <protection locked="0"/>
    </xf>
    <xf numFmtId="0" fontId="5" fillId="2" borderId="0" xfId="9" applyFill="1" applyBorder="1" applyAlignment="1" applyProtection="1">
      <alignment horizontal="center" vertical="center"/>
      <protection locked="0"/>
    </xf>
    <xf numFmtId="0" fontId="5" fillId="0" borderId="0" xfId="9" applyFill="1" applyBorder="1" applyAlignment="1" applyProtection="1">
      <alignment horizontal="center" vertical="center"/>
      <protection locked="0"/>
    </xf>
    <xf numFmtId="0" fontId="5" fillId="0" borderId="0" xfId="9" applyFill="1" applyBorder="1" applyAlignment="1" applyProtection="1">
      <alignment horizontal="center"/>
      <protection locked="0"/>
    </xf>
    <xf numFmtId="0" fontId="5" fillId="0" borderId="8" xfId="9" applyBorder="1" applyAlignment="1" applyProtection="1">
      <protection locked="0"/>
    </xf>
    <xf numFmtId="0" fontId="5" fillId="0" borderId="2" xfId="9" applyBorder="1" applyAlignment="1" applyProtection="1">
      <protection locked="0"/>
    </xf>
    <xf numFmtId="0" fontId="2" fillId="0" borderId="2" xfId="9" applyFont="1" applyBorder="1" applyAlignment="1" applyProtection="1">
      <protection locked="0"/>
    </xf>
    <xf numFmtId="173" fontId="2" fillId="0" borderId="2" xfId="9" applyNumberFormat="1" applyFont="1" applyBorder="1" applyAlignment="1" applyProtection="1">
      <alignment horizontal="center"/>
      <protection locked="0"/>
    </xf>
    <xf numFmtId="0" fontId="2" fillId="0" borderId="6" xfId="9" applyFont="1" applyBorder="1" applyAlignment="1" applyProtection="1">
      <alignment horizontal="right"/>
      <protection locked="0"/>
    </xf>
    <xf numFmtId="0" fontId="5" fillId="0" borderId="4" xfId="9" applyBorder="1" applyAlignment="1" applyProtection="1">
      <protection locked="0"/>
    </xf>
    <xf numFmtId="0" fontId="2" fillId="0" borderId="0" xfId="9" applyFont="1" applyBorder="1" applyAlignment="1" applyProtection="1">
      <protection locked="0"/>
    </xf>
    <xf numFmtId="173" fontId="2" fillId="0" borderId="0" xfId="9" applyNumberFormat="1" applyFont="1" applyBorder="1" applyAlignment="1" applyProtection="1">
      <alignment horizontal="center"/>
      <protection locked="0"/>
    </xf>
    <xf numFmtId="0" fontId="2" fillId="0" borderId="9" xfId="9" applyFont="1" applyBorder="1" applyAlignment="1" applyProtection="1">
      <alignment horizontal="right"/>
      <protection locked="0"/>
    </xf>
    <xf numFmtId="0" fontId="5" fillId="0" borderId="0" xfId="9" applyBorder="1" applyAlignment="1" applyProtection="1">
      <alignment horizontal="left" indent="1"/>
      <protection locked="0"/>
    </xf>
    <xf numFmtId="0" fontId="5" fillId="0" borderId="0" xfId="9" applyBorder="1" applyAlignment="1" applyProtection="1">
      <alignment horizontal="center"/>
      <protection locked="0"/>
    </xf>
    <xf numFmtId="0" fontId="5" fillId="0" borderId="9" xfId="9" applyBorder="1" applyAlignment="1" applyProtection="1">
      <alignment horizontal="right"/>
      <protection locked="0"/>
    </xf>
    <xf numFmtId="0" fontId="5" fillId="0" borderId="9" xfId="9" applyFont="1" applyBorder="1" applyAlignment="1" applyProtection="1">
      <alignment horizontal="right"/>
      <protection locked="0"/>
    </xf>
    <xf numFmtId="0" fontId="14" fillId="0" borderId="4" xfId="9" applyFont="1" applyBorder="1" applyAlignment="1" applyProtection="1">
      <alignment horizontal="center"/>
      <protection locked="0"/>
    </xf>
    <xf numFmtId="0" fontId="14" fillId="0" borderId="0" xfId="9" applyFont="1" applyBorder="1" applyAlignment="1" applyProtection="1">
      <alignment horizontal="center"/>
      <protection locked="0"/>
    </xf>
    <xf numFmtId="0" fontId="14" fillId="0" borderId="9" xfId="9" applyFont="1" applyBorder="1" applyAlignment="1" applyProtection="1">
      <alignment horizontal="center"/>
      <protection locked="0"/>
    </xf>
    <xf numFmtId="0" fontId="5" fillId="0" borderId="6" xfId="9" applyBorder="1" applyAlignment="1" applyProtection="1">
      <protection locked="0"/>
    </xf>
    <xf numFmtId="173" fontId="2" fillId="0" borderId="0" xfId="9" applyNumberFormat="1" applyFont="1" applyFill="1" applyBorder="1" applyAlignment="1" applyProtection="1">
      <alignment horizontal="center"/>
      <protection locked="0"/>
    </xf>
    <xf numFmtId="0" fontId="2" fillId="0" borderId="0" xfId="9" applyFont="1" applyBorder="1" applyAlignment="1" applyProtection="1">
      <alignment horizontal="left"/>
      <protection locked="0"/>
    </xf>
    <xf numFmtId="0" fontId="5" fillId="0" borderId="9" xfId="9" applyBorder="1" applyAlignment="1" applyProtection="1">
      <protection locked="0"/>
    </xf>
    <xf numFmtId="173" fontId="5" fillId="0" borderId="0" xfId="9" applyNumberFormat="1" applyBorder="1" applyAlignment="1" applyProtection="1">
      <alignment horizontal="center"/>
      <protection locked="0"/>
    </xf>
    <xf numFmtId="164" fontId="5" fillId="0" borderId="0" xfId="9" applyNumberFormat="1" applyBorder="1" applyAlignment="1" applyProtection="1">
      <alignment horizontal="center"/>
      <protection locked="0"/>
    </xf>
    <xf numFmtId="0" fontId="5" fillId="0" borderId="0" xfId="9" applyBorder="1" applyAlignment="1" applyProtection="1">
      <alignment horizontal="right"/>
      <protection locked="0"/>
    </xf>
    <xf numFmtId="0" fontId="17" fillId="0" borderId="9" xfId="9" applyFont="1" applyBorder="1" applyAlignment="1" applyProtection="1">
      <protection locked="0"/>
    </xf>
    <xf numFmtId="0" fontId="5" fillId="0" borderId="0" xfId="9" applyFill="1" applyBorder="1" applyAlignment="1" applyProtection="1">
      <alignment vertical="center"/>
      <protection locked="0"/>
    </xf>
    <xf numFmtId="0" fontId="8" fillId="0" borderId="0" xfId="9" applyFont="1" applyFill="1" applyBorder="1" applyAlignment="1" applyProtection="1">
      <protection locked="0"/>
    </xf>
    <xf numFmtId="0" fontId="17" fillId="0" borderId="0" xfId="9" applyFont="1" applyBorder="1" applyAlignment="1" applyProtection="1">
      <protection locked="0"/>
    </xf>
    <xf numFmtId="0" fontId="5" fillId="2" borderId="0" xfId="9" applyFill="1" applyBorder="1" applyAlignment="1" applyProtection="1">
      <alignment horizontal="center"/>
      <protection locked="0"/>
    </xf>
    <xf numFmtId="0" fontId="5" fillId="2" borderId="0" xfId="9" applyNumberFormat="1" applyFill="1" applyBorder="1" applyAlignment="1" applyProtection="1">
      <alignment horizontal="center"/>
      <protection locked="0"/>
    </xf>
    <xf numFmtId="0" fontId="29" fillId="0" borderId="0" xfId="10"/>
    <xf numFmtId="0" fontId="5" fillId="0" borderId="0" xfId="10" applyFont="1" applyFill="1" applyAlignment="1"/>
    <xf numFmtId="0" fontId="5" fillId="0" borderId="4" xfId="9" applyFont="1" applyBorder="1" applyAlignment="1" applyProtection="1">
      <protection locked="0"/>
    </xf>
    <xf numFmtId="0" fontId="5" fillId="0" borderId="0" xfId="9" applyFont="1" applyBorder="1" applyAlignment="1" applyProtection="1">
      <alignment horizontal="left" indent="1"/>
      <protection locked="0"/>
    </xf>
    <xf numFmtId="0" fontId="51" fillId="0" borderId="0" xfId="10" applyFont="1" applyAlignment="1">
      <alignment horizontal="right"/>
    </xf>
    <xf numFmtId="0" fontId="52" fillId="0" borderId="0" xfId="10" applyFont="1" applyAlignment="1">
      <alignment horizontal="right"/>
    </xf>
    <xf numFmtId="177" fontId="5" fillId="0" borderId="0" xfId="9" applyNumberFormat="1" applyBorder="1" applyAlignment="1" applyProtection="1">
      <alignment horizontal="center"/>
      <protection locked="0"/>
    </xf>
    <xf numFmtId="172" fontId="5" fillId="3" borderId="0" xfId="9" applyNumberFormat="1" applyFill="1" applyBorder="1" applyAlignment="1" applyProtection="1">
      <alignment horizontal="center"/>
      <protection locked="0"/>
    </xf>
    <xf numFmtId="0" fontId="53" fillId="0" borderId="0" xfId="10" applyFont="1" applyAlignment="1">
      <alignment horizontal="right"/>
    </xf>
    <xf numFmtId="0" fontId="29" fillId="0" borderId="0" xfId="10" applyFont="1" applyAlignment="1">
      <alignment horizontal="center"/>
    </xf>
    <xf numFmtId="0" fontId="29" fillId="0" borderId="0" xfId="10" applyFont="1" applyAlignment="1">
      <alignment horizontal="right"/>
    </xf>
    <xf numFmtId="2" fontId="29" fillId="0" borderId="10" xfId="10" applyNumberFormat="1" applyFill="1" applyBorder="1" applyAlignment="1">
      <alignment horizontal="center"/>
    </xf>
    <xf numFmtId="2" fontId="29" fillId="0" borderId="11" xfId="10" applyNumberFormat="1" applyFill="1" applyBorder="1" applyAlignment="1">
      <alignment horizontal="center"/>
    </xf>
    <xf numFmtId="0" fontId="2" fillId="7" borderId="28" xfId="10" applyFont="1" applyFill="1" applyBorder="1" applyAlignment="1">
      <alignment horizontal="center" vertical="center"/>
    </xf>
    <xf numFmtId="0" fontId="29" fillId="0" borderId="0" xfId="10" applyAlignment="1">
      <alignment horizontal="right"/>
    </xf>
    <xf numFmtId="2" fontId="29" fillId="0" borderId="13" xfId="10" applyNumberFormat="1" applyFill="1" applyBorder="1" applyAlignment="1">
      <alignment horizontal="center"/>
    </xf>
    <xf numFmtId="2" fontId="29" fillId="0" borderId="0" xfId="10" applyNumberFormat="1" applyFill="1" applyBorder="1" applyAlignment="1">
      <alignment horizontal="center"/>
    </xf>
    <xf numFmtId="0" fontId="2" fillId="7" borderId="29" xfId="10" applyFont="1" applyFill="1" applyBorder="1" applyAlignment="1">
      <alignment horizontal="center" vertical="center"/>
    </xf>
    <xf numFmtId="0" fontId="25" fillId="7" borderId="30" xfId="10" applyFont="1" applyFill="1" applyBorder="1" applyAlignment="1">
      <alignment horizontal="center" vertical="center"/>
    </xf>
    <xf numFmtId="0" fontId="25" fillId="7" borderId="31" xfId="10" applyFont="1" applyFill="1" applyBorder="1" applyAlignment="1">
      <alignment horizontal="center" vertical="center"/>
    </xf>
    <xf numFmtId="0" fontId="29" fillId="7" borderId="32" xfId="10" applyFill="1" applyBorder="1" applyAlignment="1"/>
    <xf numFmtId="0" fontId="5" fillId="8" borderId="33" xfId="10" applyFont="1" applyFill="1" applyBorder="1" applyAlignment="1">
      <alignment vertical="center"/>
    </xf>
    <xf numFmtId="0" fontId="5" fillId="8" borderId="34" xfId="10" applyFont="1" applyFill="1" applyBorder="1" applyAlignment="1"/>
    <xf numFmtId="0" fontId="25" fillId="8" borderId="35" xfId="10" applyFont="1" applyFill="1" applyBorder="1" applyAlignment="1">
      <alignment vertical="center"/>
    </xf>
    <xf numFmtId="0" fontId="5" fillId="0" borderId="0" xfId="9" applyFont="1" applyFill="1" applyAlignment="1" applyProtection="1">
      <alignment horizontal="right"/>
      <protection locked="0"/>
    </xf>
    <xf numFmtId="187" fontId="29" fillId="0" borderId="0" xfId="10" applyNumberFormat="1"/>
    <xf numFmtId="172" fontId="5" fillId="0" borderId="0" xfId="9" applyNumberFormat="1" applyFill="1" applyBorder="1" applyAlignment="1" applyProtection="1">
      <alignment horizontal="center"/>
      <protection locked="0"/>
    </xf>
    <xf numFmtId="2" fontId="29" fillId="0" borderId="0" xfId="10" applyNumberFormat="1" applyAlignment="1">
      <alignment horizontal="center"/>
    </xf>
    <xf numFmtId="0" fontId="29" fillId="0" borderId="0" xfId="10" applyFont="1" applyFill="1" applyBorder="1" applyAlignment="1">
      <alignment horizontal="right"/>
    </xf>
    <xf numFmtId="0" fontId="29" fillId="0" borderId="0" xfId="10" applyAlignment="1">
      <alignment horizontal="center"/>
    </xf>
    <xf numFmtId="176" fontId="5" fillId="3" borderId="0" xfId="9" applyNumberFormat="1" applyFill="1" applyBorder="1" applyAlignment="1" applyProtection="1">
      <alignment horizontal="center"/>
      <protection locked="0"/>
    </xf>
    <xf numFmtId="0" fontId="5" fillId="2" borderId="0" xfId="9" applyFill="1" applyAlignment="1" applyProtection="1">
      <protection locked="0"/>
    </xf>
    <xf numFmtId="2" fontId="5" fillId="0" borderId="0" xfId="9" applyNumberFormat="1" applyBorder="1" applyAlignment="1" applyProtection="1">
      <alignment horizontal="center"/>
      <protection locked="0"/>
    </xf>
    <xf numFmtId="0" fontId="5" fillId="2" borderId="0" xfId="9" applyFill="1" applyBorder="1" applyAlignment="1" applyProtection="1">
      <protection locked="0"/>
    </xf>
    <xf numFmtId="2" fontId="5" fillId="0" borderId="0" xfId="9" applyNumberFormat="1" applyFill="1" applyBorder="1" applyAlignment="1" applyProtection="1">
      <alignment horizontal="center"/>
      <protection locked="0"/>
    </xf>
    <xf numFmtId="175" fontId="5" fillId="3" borderId="0" xfId="9" applyNumberFormat="1" applyFill="1" applyBorder="1" applyAlignment="1" applyProtection="1">
      <alignment horizontal="center"/>
      <protection locked="0"/>
    </xf>
    <xf numFmtId="0" fontId="54" fillId="0" borderId="0" xfId="9" applyFont="1" applyBorder="1" applyAlignment="1" applyProtection="1">
      <protection locked="0"/>
    </xf>
    <xf numFmtId="174" fontId="5" fillId="3" borderId="0" xfId="9" applyNumberFormat="1" applyFill="1" applyBorder="1" applyAlignment="1" applyProtection="1">
      <alignment horizontal="center"/>
      <protection locked="0"/>
    </xf>
    <xf numFmtId="0" fontId="18" fillId="0" borderId="9" xfId="9" applyFont="1" applyBorder="1" applyAlignment="1" applyProtection="1">
      <alignment horizontal="right"/>
      <protection locked="0"/>
    </xf>
    <xf numFmtId="0" fontId="8" fillId="0" borderId="0" xfId="9" applyFont="1" applyFill="1" applyAlignment="1" applyProtection="1">
      <protection locked="0"/>
    </xf>
    <xf numFmtId="0" fontId="5" fillId="0" borderId="0" xfId="9" applyFont="1" applyFill="1" applyBorder="1" applyAlignment="1" applyProtection="1">
      <protection locked="0"/>
    </xf>
    <xf numFmtId="0" fontId="5" fillId="0" borderId="0" xfId="9" applyFont="1" applyBorder="1" applyAlignment="1" applyProtection="1">
      <alignment horizontal="right"/>
      <protection locked="0"/>
    </xf>
    <xf numFmtId="0" fontId="5" fillId="0" borderId="0" xfId="9" applyFill="1" applyProtection="1">
      <protection locked="0"/>
    </xf>
    <xf numFmtId="0" fontId="5" fillId="0" borderId="0" xfId="9" applyFont="1" applyFill="1" applyBorder="1" applyAlignment="1" applyProtection="1">
      <alignment horizontal="right"/>
      <protection locked="0"/>
    </xf>
    <xf numFmtId="0" fontId="5" fillId="0" borderId="0" xfId="9" applyAlignment="1" applyProtection="1">
      <alignment horizontal="left" indent="15"/>
      <protection locked="0"/>
    </xf>
    <xf numFmtId="0" fontId="5" fillId="0" borderId="0" xfId="9" applyProtection="1">
      <protection locked="0"/>
    </xf>
    <xf numFmtId="177" fontId="5" fillId="3" borderId="0" xfId="9" applyNumberFormat="1" applyFont="1" applyFill="1" applyBorder="1" applyAlignment="1" applyProtection="1">
      <alignment horizontal="center"/>
      <protection locked="0"/>
    </xf>
    <xf numFmtId="0" fontId="48" fillId="0" borderId="3" xfId="0" applyFont="1" applyBorder="1"/>
    <xf numFmtId="0" fontId="49" fillId="0" borderId="3" xfId="0" applyFont="1" applyBorder="1" applyAlignment="1">
      <alignment horizontal="left"/>
    </xf>
    <xf numFmtId="0" fontId="48" fillId="0" borderId="5" xfId="0" applyFont="1" applyBorder="1"/>
    <xf numFmtId="0" fontId="49" fillId="0" borderId="0" xfId="0" applyFont="1" applyBorder="1" applyAlignment="1">
      <alignment horizontal="left"/>
    </xf>
    <xf numFmtId="0" fontId="48" fillId="0" borderId="0" xfId="0" applyFont="1" applyBorder="1"/>
    <xf numFmtId="0" fontId="48" fillId="0" borderId="4" xfId="0" applyFont="1" applyBorder="1"/>
    <xf numFmtId="0" fontId="48" fillId="0" borderId="0" xfId="0" applyFont="1" applyBorder="1" applyAlignment="1">
      <alignment horizontal="center"/>
    </xf>
    <xf numFmtId="164" fontId="48" fillId="0" borderId="0" xfId="0" applyNumberFormat="1" applyFont="1" applyBorder="1" applyAlignment="1">
      <alignment horizontal="center"/>
    </xf>
    <xf numFmtId="0" fontId="48" fillId="0" borderId="0" xfId="0" applyFont="1" applyFill="1" applyBorder="1" applyAlignment="1">
      <alignment horizontal="center"/>
    </xf>
    <xf numFmtId="0" fontId="48" fillId="0" borderId="2" xfId="0" applyFont="1" applyBorder="1"/>
    <xf numFmtId="0" fontId="48" fillId="0" borderId="3" xfId="0" applyFont="1" applyFill="1" applyBorder="1"/>
    <xf numFmtId="0" fontId="48" fillId="0" borderId="0" xfId="0" applyFont="1" applyFill="1" applyBorder="1"/>
    <xf numFmtId="164" fontId="48" fillId="0" borderId="3" xfId="0" applyNumberFormat="1" applyFont="1" applyBorder="1" applyAlignment="1">
      <alignment horizontal="center"/>
    </xf>
    <xf numFmtId="0" fontId="48" fillId="0" borderId="3" xfId="0" applyFont="1" applyBorder="1" applyAlignment="1">
      <alignment horizontal="center"/>
    </xf>
    <xf numFmtId="1" fontId="48" fillId="0" borderId="3" xfId="0" applyNumberFormat="1" applyFont="1" applyBorder="1" applyAlignment="1">
      <alignment horizontal="center"/>
    </xf>
    <xf numFmtId="0" fontId="48" fillId="0" borderId="3" xfId="0" applyFont="1" applyFill="1" applyBorder="1" applyAlignment="1">
      <alignment horizontal="center"/>
    </xf>
    <xf numFmtId="1" fontId="48" fillId="0" borderId="0" xfId="0" applyNumberFormat="1" applyFont="1" applyBorder="1" applyAlignment="1">
      <alignment horizontal="center"/>
    </xf>
    <xf numFmtId="0" fontId="55" fillId="0" borderId="0" xfId="0" applyFont="1" applyAlignment="1">
      <alignment horizontal="left"/>
    </xf>
    <xf numFmtId="0" fontId="0" fillId="0" borderId="0" xfId="0" applyNumberFormat="1"/>
    <xf numFmtId="0" fontId="48" fillId="0" borderId="0" xfId="0" applyFont="1" applyBorder="1" applyAlignment="1"/>
    <xf numFmtId="1" fontId="48" fillId="0" borderId="0" xfId="0" applyNumberFormat="1" applyFont="1" applyBorder="1" applyAlignment="1"/>
    <xf numFmtId="188" fontId="0" fillId="0" borderId="0" xfId="0" applyNumberFormat="1" applyFont="1" applyAlignment="1">
      <alignment horizontal="center"/>
    </xf>
    <xf numFmtId="0" fontId="6" fillId="0" borderId="0" xfId="0" applyFont="1" applyBorder="1" applyAlignment="1"/>
    <xf numFmtId="0" fontId="5" fillId="0" borderId="0" xfId="9"/>
    <xf numFmtId="0" fontId="48" fillId="0" borderId="20" xfId="0" applyFont="1" applyBorder="1"/>
    <xf numFmtId="0" fontId="48" fillId="0" borderId="20" xfId="0" applyFont="1" applyFill="1" applyBorder="1"/>
    <xf numFmtId="0" fontId="0" fillId="0" borderId="20" xfId="0" applyBorder="1"/>
    <xf numFmtId="0" fontId="48" fillId="0" borderId="20" xfId="0" applyFont="1" applyBorder="1" applyAlignment="1">
      <alignment horizontal="center"/>
    </xf>
    <xf numFmtId="164" fontId="48" fillId="0" borderId="20" xfId="0" applyNumberFormat="1" applyFont="1" applyBorder="1" applyAlignment="1">
      <alignment horizontal="center"/>
    </xf>
    <xf numFmtId="0" fontId="48" fillId="0" borderId="20" xfId="0" applyFont="1" applyFill="1" applyBorder="1" applyAlignment="1">
      <alignment horizontal="center"/>
    </xf>
    <xf numFmtId="1" fontId="48" fillId="0" borderId="20" xfId="0" applyNumberFormat="1" applyFont="1" applyBorder="1" applyAlignment="1">
      <alignment horizontal="center"/>
    </xf>
    <xf numFmtId="188" fontId="0" fillId="11" borderId="0" xfId="0" applyNumberFormat="1" applyFont="1" applyFill="1" applyAlignment="1">
      <alignment horizontal="center"/>
    </xf>
    <xf numFmtId="0" fontId="5" fillId="0" borderId="7" xfId="11" applyFont="1" applyBorder="1" applyAlignment="1">
      <alignment horizontal="center" vertical="center" wrapText="1"/>
    </xf>
    <xf numFmtId="178" fontId="5" fillId="0" borderId="25" xfId="9" applyNumberFormat="1" applyFill="1" applyBorder="1" applyAlignment="1">
      <alignment horizontal="center"/>
    </xf>
    <xf numFmtId="1" fontId="5" fillId="0" borderId="25" xfId="9" applyNumberFormat="1" applyFill="1" applyBorder="1" applyAlignment="1">
      <alignment horizontal="center"/>
    </xf>
    <xf numFmtId="1" fontId="5" fillId="0" borderId="26" xfId="9" applyNumberFormat="1" applyFill="1" applyBorder="1" applyAlignment="1">
      <alignment horizontal="center"/>
    </xf>
    <xf numFmtId="0" fontId="48" fillId="0" borderId="0" xfId="0" applyFont="1" applyFill="1" applyBorder="1" applyAlignment="1"/>
    <xf numFmtId="2" fontId="0" fillId="0" borderId="0" xfId="0" applyNumberFormat="1" applyFont="1" applyBorder="1"/>
    <xf numFmtId="1" fontId="0" fillId="0" borderId="0" xfId="0" applyNumberFormat="1" applyFont="1" applyAlignment="1">
      <alignment horizontal="center"/>
    </xf>
    <xf numFmtId="1" fontId="0" fillId="0" borderId="2" xfId="0" applyNumberFormat="1" applyFont="1" applyBorder="1" applyAlignment="1">
      <alignment horizontal="center"/>
    </xf>
    <xf numFmtId="0" fontId="0" fillId="0" borderId="2" xfId="0" applyFont="1" applyBorder="1" applyAlignment="1">
      <alignment horizontal="center"/>
    </xf>
    <xf numFmtId="0" fontId="0" fillId="0" borderId="0" xfId="0" applyFont="1" applyFill="1" applyBorder="1" applyAlignment="1">
      <alignment horizontal="center"/>
    </xf>
    <xf numFmtId="164" fontId="0" fillId="0" borderId="0" xfId="0" applyNumberFormat="1" applyFont="1" applyAlignment="1">
      <alignment horizontal="center"/>
    </xf>
    <xf numFmtId="164" fontId="0" fillId="0" borderId="2" xfId="0" applyNumberFormat="1" applyFont="1" applyBorder="1" applyAlignment="1">
      <alignment horizontal="center"/>
    </xf>
    <xf numFmtId="164" fontId="0" fillId="0" borderId="0" xfId="0" applyNumberFormat="1" applyFont="1" applyBorder="1" applyAlignment="1">
      <alignment horizontal="center"/>
    </xf>
    <xf numFmtId="0" fontId="0" fillId="0" borderId="2" xfId="0" applyFont="1" applyBorder="1"/>
    <xf numFmtId="0" fontId="0" fillId="0" borderId="0" xfId="0" applyFont="1" applyFill="1" applyBorder="1"/>
    <xf numFmtId="0" fontId="0" fillId="0" borderId="0" xfId="0" applyFont="1" applyFill="1" applyProtection="1">
      <protection locked="0"/>
    </xf>
    <xf numFmtId="2" fontId="0" fillId="0" borderId="0" xfId="0" quotePrefix="1" applyNumberFormat="1" applyFont="1"/>
    <xf numFmtId="2" fontId="0" fillId="0" borderId="0" xfId="0" applyNumberFormat="1" applyFont="1" applyFill="1" applyAlignment="1" applyProtection="1">
      <alignment horizontal="center"/>
      <protection locked="0"/>
    </xf>
    <xf numFmtId="2" fontId="20" fillId="0" borderId="0" xfId="11" applyNumberFormat="1"/>
    <xf numFmtId="0" fontId="48" fillId="0" borderId="0" xfId="0" applyFont="1" applyBorder="1" applyAlignment="1">
      <alignment horizontal="center"/>
    </xf>
    <xf numFmtId="0" fontId="56" fillId="0" borderId="9" xfId="0" applyFont="1" applyBorder="1" applyAlignment="1">
      <alignment horizontal="left"/>
    </xf>
    <xf numFmtId="0" fontId="56" fillId="0" borderId="0" xfId="0" applyFont="1" applyBorder="1" applyAlignment="1">
      <alignment horizontal="left"/>
    </xf>
    <xf numFmtId="0" fontId="6" fillId="0" borderId="2" xfId="0" applyFont="1" applyBorder="1" applyAlignment="1"/>
    <xf numFmtId="0" fontId="48" fillId="0" borderId="8" xfId="0" applyFont="1" applyBorder="1"/>
    <xf numFmtId="0" fontId="48" fillId="0" borderId="2" xfId="0" applyFont="1" applyFill="1" applyBorder="1"/>
    <xf numFmtId="0" fontId="48" fillId="0" borderId="18" xfId="0" applyFont="1" applyBorder="1"/>
    <xf numFmtId="0" fontId="48" fillId="0" borderId="9" xfId="0" applyFont="1" applyBorder="1"/>
    <xf numFmtId="0" fontId="48" fillId="0" borderId="6" xfId="0" applyFont="1" applyBorder="1"/>
    <xf numFmtId="0" fontId="67" fillId="0" borderId="0" xfId="18"/>
    <xf numFmtId="0" fontId="49" fillId="0" borderId="3" xfId="0" applyFont="1" applyBorder="1" applyAlignment="1"/>
    <xf numFmtId="0" fontId="49" fillId="0" borderId="0" xfId="0" applyFont="1" applyBorder="1" applyAlignment="1"/>
    <xf numFmtId="0" fontId="48" fillId="0" borderId="0" xfId="0" applyFont="1" applyFill="1" applyAlignment="1">
      <alignment horizontal="right"/>
    </xf>
    <xf numFmtId="0" fontId="49" fillId="0" borderId="3" xfId="0" applyFont="1" applyBorder="1" applyAlignment="1">
      <alignment horizontal="left"/>
    </xf>
    <xf numFmtId="0" fontId="49" fillId="0" borderId="0" xfId="0" applyFont="1" applyBorder="1" applyAlignment="1">
      <alignment horizontal="left"/>
    </xf>
    <xf numFmtId="0" fontId="6" fillId="0" borderId="0" xfId="0" applyFont="1" applyFill="1" applyAlignment="1">
      <alignment horizontal="center"/>
    </xf>
    <xf numFmtId="0" fontId="48" fillId="0" borderId="3" xfId="0" applyFont="1" applyBorder="1" applyAlignment="1"/>
    <xf numFmtId="0" fontId="0" fillId="0" borderId="0" xfId="0" applyFont="1" applyAlignment="1">
      <alignment horizontal="left"/>
    </xf>
    <xf numFmtId="0" fontId="5" fillId="0" borderId="0" xfId="9"/>
    <xf numFmtId="0" fontId="0" fillId="0" borderId="0" xfId="0" applyAlignment="1"/>
    <xf numFmtId="0" fontId="48" fillId="0" borderId="0" xfId="0" applyFont="1" applyBorder="1" applyAlignment="1">
      <alignment horizontal="center"/>
    </xf>
    <xf numFmtId="0" fontId="56" fillId="0" borderId="9" xfId="0" applyFont="1" applyBorder="1" applyAlignment="1">
      <alignment horizontal="right"/>
    </xf>
    <xf numFmtId="0" fontId="56" fillId="0" borderId="0" xfId="0" applyFont="1" applyBorder="1" applyAlignment="1">
      <alignment horizontal="right"/>
    </xf>
    <xf numFmtId="2" fontId="48" fillId="0" borderId="0" xfId="0" applyNumberFormat="1" applyFont="1" applyFill="1" applyBorder="1" applyAlignment="1">
      <alignment horizontal="center"/>
    </xf>
    <xf numFmtId="0" fontId="67" fillId="0" borderId="0" xfId="18" applyBorder="1" applyAlignment="1">
      <alignment horizontal="right"/>
    </xf>
    <xf numFmtId="0" fontId="69" fillId="0" borderId="4" xfId="18" quotePrefix="1" applyFont="1" applyFill="1" applyBorder="1" applyAlignment="1">
      <alignment wrapText="1"/>
    </xf>
    <xf numFmtId="0" fontId="69" fillId="0" borderId="8" xfId="18" quotePrefix="1" applyFont="1" applyFill="1" applyBorder="1" applyAlignment="1">
      <alignment wrapText="1"/>
    </xf>
    <xf numFmtId="0" fontId="56" fillId="0" borderId="18" xfId="0" applyFont="1" applyBorder="1" applyAlignment="1">
      <alignment horizontal="left"/>
    </xf>
    <xf numFmtId="0" fontId="56" fillId="0" borderId="3" xfId="0" applyFont="1" applyBorder="1" applyAlignment="1">
      <alignment horizontal="left"/>
    </xf>
    <xf numFmtId="0" fontId="56" fillId="0" borderId="9" xfId="0" applyFont="1" applyBorder="1" applyAlignment="1">
      <alignment horizontal="left"/>
    </xf>
    <xf numFmtId="0" fontId="56" fillId="0" borderId="0" xfId="0" applyFont="1" applyBorder="1" applyAlignment="1">
      <alignment horizontal="left"/>
    </xf>
    <xf numFmtId="0" fontId="48" fillId="0" borderId="9" xfId="0" applyFont="1" applyBorder="1" applyAlignment="1">
      <alignment horizontal="left"/>
    </xf>
    <xf numFmtId="0" fontId="48" fillId="0" borderId="0" xfId="0" applyFont="1" applyBorder="1" applyAlignment="1">
      <alignment horizontal="left"/>
    </xf>
    <xf numFmtId="0" fontId="48" fillId="0" borderId="0" xfId="0" applyFont="1" applyFill="1" applyBorder="1" applyAlignment="1">
      <alignment horizontal="center"/>
    </xf>
    <xf numFmtId="0" fontId="48" fillId="0" borderId="9" xfId="0" applyFont="1" applyBorder="1" applyAlignment="1">
      <alignment horizontal="center"/>
    </xf>
    <xf numFmtId="0" fontId="48" fillId="0" borderId="0" xfId="0" applyFont="1" applyBorder="1" applyAlignment="1">
      <alignment horizontal="center"/>
    </xf>
    <xf numFmtId="164" fontId="48" fillId="0" borderId="0" xfId="0" applyNumberFormat="1" applyFont="1" applyBorder="1" applyAlignment="1">
      <alignment horizontal="center"/>
    </xf>
    <xf numFmtId="0" fontId="48" fillId="0" borderId="2" xfId="0" applyFont="1" applyBorder="1" applyAlignment="1">
      <alignment horizontal="center"/>
    </xf>
    <xf numFmtId="2" fontId="48" fillId="0" borderId="0" xfId="0" applyNumberFormat="1" applyFont="1" applyFill="1" applyBorder="1" applyAlignment="1">
      <alignment horizontal="center"/>
    </xf>
    <xf numFmtId="2" fontId="48" fillId="0" borderId="2" xfId="0" applyNumberFormat="1" applyFont="1" applyFill="1" applyBorder="1" applyAlignment="1">
      <alignment horizontal="center"/>
    </xf>
    <xf numFmtId="0" fontId="48" fillId="0" borderId="6" xfId="0" applyFont="1" applyBorder="1" applyAlignment="1">
      <alignment horizontal="center"/>
    </xf>
    <xf numFmtId="0" fontId="48" fillId="0" borderId="4" xfId="0" applyFont="1" applyFill="1" applyBorder="1" applyAlignment="1">
      <alignment horizontal="center"/>
    </xf>
    <xf numFmtId="0" fontId="48" fillId="0" borderId="2" xfId="0" applyFont="1" applyFill="1" applyBorder="1" applyAlignment="1">
      <alignment horizontal="center"/>
    </xf>
    <xf numFmtId="0" fontId="48" fillId="0" borderId="8" xfId="0" applyFont="1" applyFill="1" applyBorder="1" applyAlignment="1">
      <alignment horizontal="center"/>
    </xf>
    <xf numFmtId="0" fontId="48" fillId="3" borderId="0" xfId="0" applyFont="1" applyFill="1" applyAlignment="1">
      <alignment horizontal="center"/>
    </xf>
    <xf numFmtId="0" fontId="6" fillId="3" borderId="0" xfId="0" applyFont="1" applyFill="1" applyAlignment="1">
      <alignment horizontal="center"/>
    </xf>
    <xf numFmtId="0" fontId="48" fillId="0" borderId="4" xfId="0" applyFont="1" applyBorder="1" applyAlignment="1">
      <alignment horizontal="left"/>
    </xf>
    <xf numFmtId="1" fontId="48" fillId="0" borderId="0" xfId="0" applyNumberFormat="1" applyFont="1" applyFill="1" applyBorder="1" applyAlignment="1">
      <alignment horizontal="center"/>
    </xf>
    <xf numFmtId="0" fontId="48" fillId="0" borderId="9" xfId="0" applyFont="1" applyBorder="1" applyAlignment="1">
      <alignment horizontal="right"/>
    </xf>
    <xf numFmtId="0" fontId="48" fillId="0" borderId="0" xfId="0" applyFont="1" applyBorder="1" applyAlignment="1">
      <alignment horizontal="right"/>
    </xf>
    <xf numFmtId="0" fontId="56" fillId="0" borderId="9" xfId="0" applyFont="1" applyBorder="1" applyAlignment="1">
      <alignment horizontal="right"/>
    </xf>
    <xf numFmtId="0" fontId="56" fillId="0" borderId="0" xfId="0" applyFont="1" applyBorder="1" applyAlignment="1">
      <alignment horizontal="right"/>
    </xf>
    <xf numFmtId="164" fontId="48" fillId="0" borderId="0" xfId="0" applyNumberFormat="1" applyFont="1" applyFill="1" applyBorder="1" applyAlignment="1">
      <alignment horizontal="center"/>
    </xf>
    <xf numFmtId="0" fontId="49" fillId="0" borderId="0" xfId="0" applyFont="1" applyAlignment="1">
      <alignment horizontal="left"/>
    </xf>
    <xf numFmtId="2" fontId="48" fillId="0" borderId="0" xfId="0" applyNumberFormat="1" applyFont="1" applyBorder="1" applyAlignment="1">
      <alignment horizontal="center"/>
    </xf>
    <xf numFmtId="2" fontId="48" fillId="0" borderId="2" xfId="0" applyNumberFormat="1" applyFont="1" applyBorder="1" applyAlignment="1">
      <alignment horizontal="center"/>
    </xf>
    <xf numFmtId="0" fontId="67" fillId="0" borderId="0" xfId="18" quotePrefix="1" applyFill="1" applyBorder="1" applyAlignment="1">
      <alignment horizontal="center" wrapText="1"/>
    </xf>
    <xf numFmtId="0" fontId="67" fillId="0" borderId="2" xfId="18" quotePrefix="1" applyFill="1" applyBorder="1" applyAlignment="1">
      <alignment horizontal="center" wrapText="1"/>
    </xf>
    <xf numFmtId="0" fontId="0" fillId="0" borderId="0" xfId="0" applyBorder="1" applyAlignment="1">
      <alignment horizontal="center" vertical="center" wrapText="1"/>
    </xf>
    <xf numFmtId="0" fontId="48" fillId="0" borderId="2" xfId="0" applyFont="1" applyBorder="1" applyAlignment="1">
      <alignment horizontal="left"/>
    </xf>
    <xf numFmtId="0" fontId="30" fillId="0" borderId="0" xfId="0" applyFont="1" applyBorder="1" applyAlignment="1">
      <alignment horizontal="center"/>
    </xf>
    <xf numFmtId="9" fontId="48" fillId="0" borderId="0" xfId="17" applyNumberFormat="1" applyFont="1" applyBorder="1" applyAlignment="1">
      <alignment horizontal="center"/>
    </xf>
    <xf numFmtId="9" fontId="48" fillId="0" borderId="2" xfId="17" applyNumberFormat="1" applyFont="1" applyBorder="1" applyAlignment="1">
      <alignment horizontal="center"/>
    </xf>
    <xf numFmtId="0" fontId="6" fillId="0" borderId="0" xfId="0" applyFont="1" applyBorder="1" applyAlignment="1">
      <alignment horizontal="center"/>
    </xf>
    <xf numFmtId="0" fontId="6" fillId="0" borderId="2" xfId="0" applyFont="1" applyBorder="1" applyAlignment="1">
      <alignment horizontal="center"/>
    </xf>
    <xf numFmtId="0" fontId="58" fillId="0" borderId="0" xfId="0" applyFont="1" applyBorder="1" applyAlignment="1">
      <alignment horizontal="center"/>
    </xf>
    <xf numFmtId="0" fontId="59" fillId="0" borderId="0" xfId="0" applyFont="1" applyBorder="1" applyAlignment="1">
      <alignment horizontal="center"/>
    </xf>
    <xf numFmtId="0" fontId="68" fillId="0" borderId="0" xfId="0" applyFont="1" applyBorder="1" applyAlignment="1">
      <alignment horizontal="center"/>
    </xf>
    <xf numFmtId="0" fontId="60" fillId="0" borderId="0" xfId="0" applyFont="1" applyBorder="1" applyAlignment="1">
      <alignment horizontal="center"/>
    </xf>
    <xf numFmtId="0" fontId="57" fillId="9" borderId="3" xfId="0" applyFont="1" applyFill="1" applyBorder="1" applyAlignment="1">
      <alignment horizontal="center"/>
    </xf>
    <xf numFmtId="0" fontId="57" fillId="9" borderId="0" xfId="0" applyFont="1" applyFill="1" applyBorder="1" applyAlignment="1">
      <alignment horizontal="center"/>
    </xf>
    <xf numFmtId="0" fontId="48" fillId="0" borderId="0" xfId="0" applyFont="1" applyAlignment="1">
      <alignment horizontal="right" vertical="center"/>
    </xf>
    <xf numFmtId="0" fontId="48" fillId="0" borderId="0" xfId="0" applyFont="1" applyAlignment="1">
      <alignment horizontal="center"/>
    </xf>
    <xf numFmtId="0" fontId="48" fillId="0" borderId="0" xfId="0" applyFont="1" applyAlignment="1">
      <alignment horizontal="right"/>
    </xf>
    <xf numFmtId="0" fontId="57" fillId="9" borderId="0" xfId="0" applyFont="1" applyFill="1" applyBorder="1" applyAlignment="1">
      <alignment horizontal="center" vertical="top"/>
    </xf>
    <xf numFmtId="0" fontId="57" fillId="9" borderId="2" xfId="0" applyFont="1" applyFill="1" applyBorder="1" applyAlignment="1">
      <alignment horizontal="center" vertical="top"/>
    </xf>
    <xf numFmtId="0" fontId="61" fillId="0" borderId="0" xfId="0" applyFont="1" applyAlignment="1">
      <alignment horizontal="right"/>
    </xf>
    <xf numFmtId="1" fontId="48" fillId="0" borderId="0" xfId="0" applyNumberFormat="1" applyFont="1" applyFill="1" applyAlignment="1">
      <alignment horizontal="center"/>
    </xf>
    <xf numFmtId="2" fontId="48" fillId="3" borderId="0" xfId="0" applyNumberFormat="1" applyFont="1" applyFill="1" applyAlignment="1">
      <alignment horizontal="center"/>
    </xf>
    <xf numFmtId="0" fontId="49" fillId="0" borderId="0" xfId="0" applyFont="1" applyAlignment="1">
      <alignment horizontal="center"/>
    </xf>
    <xf numFmtId="0" fontId="48" fillId="0" borderId="0" xfId="0" applyFont="1" applyFill="1" applyAlignment="1">
      <alignment horizontal="right"/>
    </xf>
    <xf numFmtId="49" fontId="48" fillId="0" borderId="9" xfId="0" applyNumberFormat="1" applyFont="1" applyBorder="1" applyAlignment="1">
      <alignment horizontal="right"/>
    </xf>
    <xf numFmtId="0" fontId="48" fillId="0" borderId="0" xfId="0" applyNumberFormat="1" applyFont="1" applyBorder="1" applyAlignment="1">
      <alignment horizontal="left"/>
    </xf>
    <xf numFmtId="0" fontId="48" fillId="0" borderId="0" xfId="0" applyFont="1" applyFill="1" applyBorder="1" applyAlignment="1">
      <alignment horizontal="left"/>
    </xf>
    <xf numFmtId="0" fontId="48" fillId="0" borderId="9" xfId="0" quotePrefix="1" applyFont="1" applyBorder="1" applyAlignment="1">
      <alignment horizontal="center"/>
    </xf>
    <xf numFmtId="2" fontId="48" fillId="0" borderId="0" xfId="0" applyNumberFormat="1" applyFont="1" applyAlignment="1">
      <alignment horizontal="center"/>
    </xf>
    <xf numFmtId="0" fontId="55" fillId="0" borderId="0" xfId="0" applyFont="1" applyAlignment="1">
      <alignment horizontal="center"/>
    </xf>
    <xf numFmtId="0" fontId="49" fillId="0" borderId="0" xfId="0" applyFont="1" applyBorder="1" applyAlignment="1">
      <alignment horizontal="left"/>
    </xf>
    <xf numFmtId="0" fontId="48" fillId="0" borderId="9" xfId="0" applyFont="1" applyFill="1" applyBorder="1" applyAlignment="1">
      <alignment horizontal="center"/>
    </xf>
    <xf numFmtId="0" fontId="48" fillId="0" borderId="4" xfId="0" applyFont="1" applyBorder="1" applyAlignment="1">
      <alignment horizontal="center"/>
    </xf>
    <xf numFmtId="164" fontId="48" fillId="0" borderId="2" xfId="0" applyNumberFormat="1" applyFont="1" applyFill="1" applyBorder="1" applyAlignment="1">
      <alignment horizontal="center"/>
    </xf>
    <xf numFmtId="0" fontId="49" fillId="0" borderId="0" xfId="0" applyFont="1" applyBorder="1" applyAlignment="1">
      <alignment horizontal="center"/>
    </xf>
    <xf numFmtId="0" fontId="48" fillId="0" borderId="3" xfId="0" applyFont="1" applyBorder="1" applyAlignment="1">
      <alignment horizontal="center"/>
    </xf>
    <xf numFmtId="0" fontId="49" fillId="0" borderId="0" xfId="0" applyFont="1" applyFill="1" applyAlignment="1">
      <alignment horizontal="left"/>
    </xf>
    <xf numFmtId="0" fontId="48" fillId="0" borderId="6" xfId="0" applyFont="1" applyBorder="1" applyAlignment="1">
      <alignment horizontal="left"/>
    </xf>
    <xf numFmtId="164" fontId="48" fillId="0" borderId="2" xfId="0" applyNumberFormat="1" applyFont="1" applyBorder="1" applyAlignment="1">
      <alignment horizontal="center"/>
    </xf>
    <xf numFmtId="0" fontId="48" fillId="0" borderId="18" xfId="0" applyFont="1" applyBorder="1" applyAlignment="1">
      <alignment horizontal="left"/>
    </xf>
    <xf numFmtId="0" fontId="48" fillId="0" borderId="3" xfId="0" applyFont="1" applyBorder="1" applyAlignment="1">
      <alignment horizontal="left"/>
    </xf>
    <xf numFmtId="0" fontId="66" fillId="0" borderId="2" xfId="0" applyFont="1" applyBorder="1" applyAlignment="1">
      <alignment horizontal="center" vertical="center"/>
    </xf>
    <xf numFmtId="0" fontId="30" fillId="10" borderId="21" xfId="0" applyFont="1" applyFill="1" applyBorder="1" applyAlignment="1">
      <alignment horizontal="center"/>
    </xf>
    <xf numFmtId="0" fontId="30" fillId="10" borderId="20" xfId="0" applyFont="1" applyFill="1" applyBorder="1" applyAlignment="1">
      <alignment horizontal="center"/>
    </xf>
    <xf numFmtId="0" fontId="30" fillId="10" borderId="19" xfId="0" applyFont="1" applyFill="1" applyBorder="1" applyAlignment="1">
      <alignment horizontal="center"/>
    </xf>
    <xf numFmtId="0" fontId="65" fillId="0" borderId="9" xfId="0" applyFont="1" applyBorder="1" applyAlignment="1">
      <alignment horizontal="center" vertical="center"/>
    </xf>
    <xf numFmtId="0" fontId="65" fillId="0" borderId="0" xfId="0" applyFont="1" applyBorder="1" applyAlignment="1">
      <alignment horizontal="center" vertical="center"/>
    </xf>
    <xf numFmtId="0" fontId="0" fillId="5" borderId="0" xfId="0" applyFill="1" applyBorder="1" applyAlignment="1" applyProtection="1">
      <alignment horizontal="center"/>
      <protection locked="0"/>
    </xf>
    <xf numFmtId="0" fontId="0" fillId="5" borderId="4" xfId="0" applyFill="1" applyBorder="1" applyAlignment="1" applyProtection="1">
      <alignment horizontal="center"/>
      <protection locked="0"/>
    </xf>
    <xf numFmtId="0" fontId="8" fillId="0" borderId="9" xfId="9" applyFont="1" applyFill="1" applyBorder="1" applyAlignment="1" applyProtection="1">
      <alignment horizontal="center" vertical="center"/>
    </xf>
    <xf numFmtId="0" fontId="8" fillId="0" borderId="0" xfId="9" applyFont="1" applyFill="1" applyBorder="1" applyAlignment="1" applyProtection="1">
      <alignment horizontal="center" vertical="center"/>
    </xf>
    <xf numFmtId="165" fontId="46" fillId="5" borderId="0" xfId="0" applyNumberFormat="1" applyFont="1" applyFill="1" applyBorder="1" applyAlignment="1" applyProtection="1">
      <alignment horizontal="center"/>
      <protection locked="0"/>
    </xf>
    <xf numFmtId="165" fontId="46" fillId="5" borderId="4" xfId="0" applyNumberFormat="1" applyFont="1" applyFill="1" applyBorder="1" applyAlignment="1" applyProtection="1">
      <alignment horizontal="center"/>
      <protection locked="0"/>
    </xf>
    <xf numFmtId="0" fontId="44" fillId="0" borderId="0" xfId="0" applyFont="1" applyBorder="1" applyAlignment="1">
      <alignment horizontal="left"/>
    </xf>
    <xf numFmtId="0" fontId="0" fillId="0" borderId="0" xfId="0" applyBorder="1" applyAlignment="1">
      <alignment horizontal="center"/>
    </xf>
    <xf numFmtId="0" fontId="62" fillId="0" borderId="0" xfId="0" applyFont="1" applyAlignment="1">
      <alignment horizontal="center"/>
    </xf>
    <xf numFmtId="0" fontId="63" fillId="0" borderId="0" xfId="0" applyFont="1" applyAlignment="1">
      <alignment horizontal="center" vertical="center" wrapText="1"/>
    </xf>
    <xf numFmtId="0" fontId="64" fillId="0" borderId="0" xfId="0" applyFont="1" applyBorder="1" applyAlignment="1">
      <alignment horizontal="right"/>
    </xf>
    <xf numFmtId="0" fontId="0" fillId="5" borderId="0" xfId="0" applyFill="1" applyBorder="1"/>
    <xf numFmtId="0" fontId="31" fillId="0" borderId="0" xfId="0" applyFont="1" applyBorder="1" applyAlignment="1">
      <alignment horizontal="right" shrinkToFit="1"/>
    </xf>
    <xf numFmtId="0" fontId="31" fillId="0" borderId="0" xfId="0" applyFont="1" applyBorder="1" applyAlignment="1" applyProtection="1">
      <alignment shrinkToFit="1"/>
      <protection locked="0"/>
    </xf>
    <xf numFmtId="0" fontId="31" fillId="0" borderId="0" xfId="0" applyFont="1" applyBorder="1" applyAlignment="1">
      <alignment shrinkToFit="1"/>
    </xf>
    <xf numFmtId="0" fontId="31" fillId="0" borderId="0" xfId="0" applyFont="1" applyBorder="1" applyAlignment="1" applyProtection="1">
      <alignment horizontal="left" shrinkToFit="1"/>
      <protection locked="0"/>
    </xf>
    <xf numFmtId="0" fontId="31" fillId="0" borderId="0" xfId="0" applyFont="1" applyBorder="1" applyAlignment="1" applyProtection="1">
      <alignment horizontal="center" shrinkToFit="1"/>
      <protection locked="0"/>
    </xf>
    <xf numFmtId="0" fontId="0" fillId="0" borderId="0" xfId="0" applyBorder="1" applyAlignment="1" applyProtection="1">
      <alignment horizontal="center"/>
      <protection locked="0"/>
    </xf>
    <xf numFmtId="0" fontId="34" fillId="0" borderId="9" xfId="0" applyFont="1" applyBorder="1" applyAlignment="1">
      <alignment wrapText="1"/>
    </xf>
    <xf numFmtId="0" fontId="34" fillId="0" borderId="0" xfId="0" applyFont="1" applyBorder="1" applyAlignment="1">
      <alignment wrapText="1"/>
    </xf>
    <xf numFmtId="0" fontId="36" fillId="0" borderId="9" xfId="0" applyFont="1" applyBorder="1" applyAlignment="1">
      <alignment horizontal="left" vertical="center" wrapText="1"/>
    </xf>
    <xf numFmtId="0" fontId="36" fillId="0" borderId="0" xfId="0" applyFont="1" applyBorder="1" applyAlignment="1">
      <alignment horizontal="left" vertical="center" wrapText="1"/>
    </xf>
    <xf numFmtId="0" fontId="36" fillId="0" borderId="4" xfId="0" applyFont="1" applyBorder="1" applyAlignment="1">
      <alignment horizontal="left" vertical="center" wrapText="1"/>
    </xf>
    <xf numFmtId="0" fontId="35" fillId="0" borderId="9" xfId="0" applyFont="1" applyBorder="1" applyAlignment="1">
      <alignment horizontal="center"/>
    </xf>
    <xf numFmtId="0" fontId="35" fillId="0" borderId="0" xfId="0" applyFont="1" applyBorder="1" applyAlignment="1">
      <alignment horizontal="center"/>
    </xf>
    <xf numFmtId="0" fontId="35" fillId="0" borderId="4" xfId="0" applyFont="1" applyBorder="1" applyAlignment="1">
      <alignment horizontal="center"/>
    </xf>
    <xf numFmtId="0" fontId="31" fillId="0" borderId="9" xfId="0" applyFont="1" applyBorder="1" applyAlignment="1">
      <alignment horizontal="center" vertical="center" wrapText="1"/>
    </xf>
    <xf numFmtId="0" fontId="31" fillId="0" borderId="0" xfId="0" applyFont="1" applyBorder="1" applyAlignment="1">
      <alignment horizontal="center" vertical="center" wrapText="1"/>
    </xf>
    <xf numFmtId="0" fontId="31" fillId="0" borderId="4" xfId="0" applyFont="1" applyBorder="1" applyAlignment="1">
      <alignment horizontal="center" vertical="center" wrapText="1"/>
    </xf>
    <xf numFmtId="14" fontId="35" fillId="0" borderId="9" xfId="0" applyNumberFormat="1" applyFont="1" applyBorder="1" applyAlignment="1">
      <alignment horizontal="center"/>
    </xf>
    <xf numFmtId="14" fontId="35" fillId="0" borderId="0" xfId="0" applyNumberFormat="1" applyFont="1" applyBorder="1" applyAlignment="1">
      <alignment horizontal="center"/>
    </xf>
    <xf numFmtId="14" fontId="35" fillId="0" borderId="4" xfId="0" applyNumberFormat="1" applyFont="1" applyBorder="1" applyAlignment="1">
      <alignment horizontal="center"/>
    </xf>
    <xf numFmtId="0" fontId="32" fillId="0" borderId="3" xfId="0" applyFont="1" applyBorder="1" applyAlignment="1">
      <alignment horizontal="center" vertical="top" wrapText="1"/>
    </xf>
    <xf numFmtId="0" fontId="32" fillId="0" borderId="0" xfId="0" applyFont="1" applyBorder="1" applyAlignment="1">
      <alignment horizontal="center" vertical="top" wrapText="1"/>
    </xf>
    <xf numFmtId="0" fontId="32" fillId="0" borderId="0" xfId="0" applyFont="1" applyBorder="1" applyAlignment="1">
      <alignment horizontal="center"/>
    </xf>
    <xf numFmtId="0" fontId="34" fillId="0" borderId="9" xfId="0" applyFont="1" applyBorder="1" applyAlignment="1">
      <alignment horizontal="left" wrapText="1"/>
    </xf>
    <xf numFmtId="0" fontId="34" fillId="0" borderId="0" xfId="0" applyFont="1" applyBorder="1" applyAlignment="1">
      <alignment horizontal="left" wrapText="1"/>
    </xf>
    <xf numFmtId="0" fontId="34" fillId="0" borderId="6" xfId="0" applyFont="1" applyBorder="1" applyAlignment="1">
      <alignment horizontal="left" wrapText="1"/>
    </xf>
    <xf numFmtId="0" fontId="34" fillId="0" borderId="2" xfId="0" applyFont="1" applyBorder="1" applyAlignment="1">
      <alignment horizontal="left" wrapText="1"/>
    </xf>
    <xf numFmtId="0" fontId="29" fillId="0" borderId="0" xfId="10" applyAlignment="1">
      <alignment horizontal="center"/>
    </xf>
    <xf numFmtId="0" fontId="5" fillId="3" borderId="0" xfId="9" applyFont="1" applyFill="1" applyAlignment="1" applyProtection="1">
      <alignment horizontal="left" indent="1"/>
      <protection locked="0"/>
    </xf>
    <xf numFmtId="0" fontId="14" fillId="0" borderId="18" xfId="9" applyFont="1" applyBorder="1" applyAlignment="1" applyProtection="1">
      <alignment horizontal="center"/>
      <protection locked="0"/>
    </xf>
    <xf numFmtId="0" fontId="7" fillId="0" borderId="3" xfId="9" applyFont="1" applyBorder="1" applyAlignment="1" applyProtection="1">
      <alignment horizontal="center"/>
      <protection locked="0"/>
    </xf>
    <xf numFmtId="0" fontId="7" fillId="0" borderId="5" xfId="9" applyFont="1" applyBorder="1" applyAlignment="1" applyProtection="1">
      <alignment horizontal="center"/>
      <protection locked="0"/>
    </xf>
    <xf numFmtId="0" fontId="14" fillId="0" borderId="3" xfId="9" applyFont="1" applyBorder="1" applyAlignment="1" applyProtection="1">
      <alignment horizontal="center"/>
      <protection locked="0"/>
    </xf>
    <xf numFmtId="0" fontId="14" fillId="0" borderId="5" xfId="9" applyFont="1" applyBorder="1" applyAlignment="1" applyProtection="1">
      <alignment horizontal="center"/>
      <protection locked="0"/>
    </xf>
    <xf numFmtId="0" fontId="5" fillId="0" borderId="0" xfId="9" applyFill="1" applyBorder="1" applyAlignment="1" applyProtection="1">
      <alignment horizontal="center" vertical="center"/>
      <protection locked="0"/>
    </xf>
    <xf numFmtId="0" fontId="5" fillId="0" borderId="9" xfId="9" applyBorder="1" applyAlignment="1" applyProtection="1">
      <alignment horizontal="center"/>
      <protection locked="0"/>
    </xf>
    <xf numFmtId="0" fontId="5" fillId="0" borderId="0" xfId="9" applyBorder="1" applyAlignment="1" applyProtection="1">
      <alignment horizontal="center"/>
      <protection locked="0"/>
    </xf>
    <xf numFmtId="0" fontId="5" fillId="0" borderId="4" xfId="9" applyBorder="1" applyAlignment="1" applyProtection="1">
      <alignment horizontal="center"/>
      <protection locked="0"/>
    </xf>
    <xf numFmtId="0" fontId="5" fillId="0" borderId="0" xfId="9"/>
    <xf numFmtId="0" fontId="5" fillId="0" borderId="21" xfId="9" applyFont="1" applyBorder="1" applyAlignment="1" applyProtection="1">
      <alignment horizontal="center" vertical="center" wrapText="1"/>
    </xf>
    <xf numFmtId="0" fontId="5" fillId="0" borderId="19" xfId="9" applyBorder="1" applyAlignment="1" applyProtection="1">
      <alignment horizontal="center" vertical="center"/>
    </xf>
    <xf numFmtId="0" fontId="5" fillId="0" borderId="0" xfId="9" applyAlignment="1">
      <alignment horizontal="right"/>
    </xf>
    <xf numFmtId="0" fontId="5" fillId="0" borderId="0" xfId="9" applyAlignment="1">
      <alignment horizontal="left" indent="1"/>
    </xf>
    <xf numFmtId="0" fontId="5" fillId="0" borderId="20" xfId="11" applyFont="1" applyBorder="1" applyAlignment="1">
      <alignment horizontal="center"/>
    </xf>
    <xf numFmtId="0" fontId="20" fillId="0" borderId="19" xfId="11" applyBorder="1" applyAlignment="1">
      <alignment horizontal="center"/>
    </xf>
    <xf numFmtId="0" fontId="5" fillId="0" borderId="21" xfId="11" applyFont="1" applyBorder="1" applyAlignment="1">
      <alignment horizontal="center"/>
    </xf>
    <xf numFmtId="0" fontId="5" fillId="0" borderId="19" xfId="11" applyFont="1" applyBorder="1" applyAlignment="1">
      <alignment horizontal="center"/>
    </xf>
    <xf numFmtId="0" fontId="13" fillId="0" borderId="0" xfId="9" applyFont="1" applyFill="1" applyBorder="1" applyAlignment="1" applyProtection="1">
      <alignment horizontal="center"/>
    </xf>
    <xf numFmtId="0" fontId="13" fillId="0" borderId="0" xfId="9" applyFont="1" applyFill="1" applyBorder="1" applyAlignment="1" applyProtection="1">
      <alignment horizontal="center" vertical="center"/>
    </xf>
  </cellXfs>
  <cellStyles count="19">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2" xfId="5" xr:uid="{00000000-0005-0000-0000-000004000000}"/>
    <cellStyle name="Heading 2 2" xfId="6" xr:uid="{00000000-0005-0000-0000-000005000000}"/>
    <cellStyle name="Hyperlink" xfId="18" builtinId="8"/>
    <cellStyle name="Hyperlink 2" xfId="7" xr:uid="{00000000-0005-0000-0000-000006000000}"/>
    <cellStyle name="Hyperlink 3" xfId="8" xr:uid="{00000000-0005-0000-0000-000007000000}"/>
    <cellStyle name="Normal" xfId="0" builtinId="0"/>
    <cellStyle name="Normal 2" xfId="9" xr:uid="{00000000-0005-0000-0000-000009000000}"/>
    <cellStyle name="Normal 2 2" xfId="10" xr:uid="{00000000-0005-0000-0000-00000A000000}"/>
    <cellStyle name="Normal 3" xfId="11" xr:uid="{00000000-0005-0000-0000-00000B000000}"/>
    <cellStyle name="Normal 4" xfId="12" xr:uid="{00000000-0005-0000-0000-00000C000000}"/>
    <cellStyle name="Normal 5" xfId="13" xr:uid="{00000000-0005-0000-0000-00000D000000}"/>
    <cellStyle name="Normal 5 2" xfId="14" xr:uid="{00000000-0005-0000-0000-00000E000000}"/>
    <cellStyle name="Percent" xfId="17" builtinId="5"/>
    <cellStyle name="Percent 2" xfId="15" xr:uid="{00000000-0005-0000-0000-00000F000000}"/>
    <cellStyle name="Total 2" xfId="16" xr:uid="{00000000-0005-0000-0000-000010000000}"/>
  </cellStyles>
  <dxfs count="7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77"/>
      <tableStyleElement type="headerRow" dxfId="76"/>
    </tableStyle>
  </tableStyles>
  <colors>
    <mruColors>
      <color rgb="FFCCFFFF"/>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6">
    <xsd:schema xmlns:xsd="http://www.w3.org/2001/XMLSchema" xmlns="">
      <xsd:element nillable="true" name="data">
        <xsd:complexType>
          <xsd:sequence minOccurs="0">
            <xsd:element minOccurs="0" nillable="true" name="professionalengineers" form="unqualified">
              <xsd:complexType>
                <xsd:sequence minOccurs="0">
                  <xsd:element minOccurs="0" nillable="true" type="xsd:integer" name="count" form="unqualified"/>
                  <xsd:element minOccurs="0" maxOccurs="unbounded" nillable="true" name="uniquePE" form="unqualified">
                    <xsd:complexType>
                      <xsd:attribute name="Name" form="unqualified" type="xsd:string"/>
                    </xsd:complexType>
                  </xsd:element>
                  <xsd:element minOccurs="0" maxOccurs="unbounded" nillable="true" name="PE" form="unqualified">
                    <xsd:complexType>
                      <xsd:attribute name="Name" form="unqualified" type="xsd:string"/>
                      <xsd:attribute name="State" form="unqualified" type="xsd:string"/>
                      <xsd:attribute name="PE_Num" form="unqualified" type="xsd:string"/>
                      <xsd:attribute name="CA_Num" form="unqualified" type="xsd:string"/>
                    </xsd:complexType>
                  </xsd:element>
                </xsd:sequence>
              </xsd:complexType>
            </xsd:element>
          </xsd:sequence>
        </xsd:complexType>
      </xsd:element>
    </xsd:schema>
  </Schema>
  <Schema ID="Schema2">
    <xsd:schema xmlns:xsd="http://www.w3.org/2001/XMLSchema" xmlns="">
      <xsd:element nillable="true" name="data">
        <xsd:complexType>
          <xsd:sequence minOccurs="0">
            <xsd:element minOccurs="0" nillable="true" name="clientdata" form="unqualified">
              <xsd:complexType>
                <xsd:sequence minOccurs="0">
                  <xsd:element minOccurs="0" nillable="true" type="xsd:string" name="company" form="unqualified"/>
                  <xsd:element minOccurs="0" nillable="true" type="xsd:integer" name="module1" form="unqualified"/>
                  <xsd:element minOccurs="0" nillable="true" type="xsd:integer" name="module2" form="unqualified"/>
                  <xsd:element minOccurs="0" nillable="true" type="xsd:string" name="username" form="unqualified"/>
                </xsd:sequence>
              </xsd:complexType>
            </xsd:element>
          </xsd:sequence>
        </xsd:complexType>
      </xsd:element>
    </xsd:schema>
  </Schema>
  <Schema ID="Schema4">
    <xsd:schema xmlns:xsd="http://www.w3.org/2001/XMLSchema" xmlns="">
      <xsd:element nillable="true" name="data">
        <xsd:complexType>
          <xsd:sequence minOccurs="0">
            <xsd:element minOccurs="0" nillable="true" name="EX_Employees" form="unqualified">
              <xsd:complexType>
                <xsd:sequence minOccurs="0">
                  <xsd:element minOccurs="0" maxOccurs="unbounded" nillable="true" name="Employee" form="unqualified">
                    <xsd:complexType>
                      <xsd:attribute name="Username" form="unqualified" type="xsd:string"/>
                      <xsd:attribute name="Name" form="unqualified" type="xsd:string"/>
                      <xsd:attribute name="Initials" form="unqualified" type="xsd:string"/>
                      <xsd:attribute name="Supervisor_Initials" form="unqualified" type="xsd:string"/>
                    </xsd:complexType>
                  </xsd:element>
                </xsd:sequence>
              </xsd:complexType>
            </xsd:element>
          </xsd:sequence>
        </xsd:complexType>
      </xsd:element>
    </xsd:schema>
  </Schema>
  <Schema ID="Schema5">
    <xsd:schema xmlns:xsd="http://www.w3.org/2001/XMLSchema" xmlns="">
      <xsd:element nillable="true" name="data">
        <xsd:complexType>
          <xsd:sequence minOccurs="0">
            <xsd:element minOccurs="0" nillable="true" name="EX_Employees" form="unqualified">
              <xsd:complexType>
                <xsd:sequence minOccurs="0">
                  <xsd:element minOccurs="0" maxOccurs="unbounded" nillable="true" name="Employee" form="unqualified">
                    <xsd:complexType>
                      <xsd:attribute name="Username" form="unqualified" type="xsd:string"/>
                      <xsd:attribute name="Name" form="unqualified" type="xsd:string"/>
                      <xsd:attribute name="Initials" form="unqualified" type="xsd:string"/>
                      <xsd:attribute name="Supervisor_Initials" form="unqualified" type="xsd:string"/>
                      <xsd:attribute name="Sealing_Engineer" form="unqualified" type="xsd:string"/>
                    </xsd:complexType>
                  </xsd:element>
                </xsd:sequence>
              </xsd:complexType>
            </xsd:element>
          </xsd:sequence>
        </xsd:complexType>
      </xsd:element>
    </xsd:schema>
  </Schema>
  <Map ID="13" Name="data_Map" RootElement="data" SchemaID="Schema5" ShowImportExportValidationErrors="false" AutoFit="true" Append="false" PreserveSortAFLayout="true" PreserveFormat="true"/>
  <Map ID="7" Name="engexp, calculators, cc10.xml" RootElement="data" SchemaID="Schema2" ShowImportExportValidationErrors="false" AutoFit="false" Append="false" PreserveSortAFLayout="false" PreserveFormat="false">
    <DataBinding FileBinding="true" ConnectionID="1" DataBindingLoadMode="1"/>
  </Map>
  <Map ID="11" Name="engexp, xml, EX_Employees.xml" RootElement="data" SchemaID="Schema4" ShowImportExportValidationErrors="true" AutoFit="true" Append="false" PreserveSortAFLayout="true" PreserveFormat="true">
    <DataBinding FileBinding="true" ConnectionID="2" DataBindingLoadMode="1"/>
  </Map>
  <Map ID="6" Name="engexp, xml, pes2.xml" RootElement="data" SchemaID="Schema6" ShowImportExportValidationErrors="false" AutoFit="true" Append="false" PreserveSortAFLayout="true" PreserveFormat="true">
    <DataBinding FileBinding="true" ConnectionID="3"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xmlMaps" Target="xmlMap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jpe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18</xdr:col>
      <xdr:colOff>233732</xdr:colOff>
      <xdr:row>0</xdr:row>
      <xdr:rowOff>66673</xdr:rowOff>
    </xdr:from>
    <xdr:to>
      <xdr:col>24</xdr:col>
      <xdr:colOff>130905</xdr:colOff>
      <xdr:row>6</xdr:row>
      <xdr:rowOff>43962</xdr:rowOff>
    </xdr:to>
    <xdr:pic>
      <xdr:nvPicPr>
        <xdr:cNvPr id="1578" name="Picture 2">
          <a:extLst>
            <a:ext uri="{FF2B5EF4-FFF2-40B4-BE49-F238E27FC236}">
              <a16:creationId xmlns:a16="http://schemas.microsoft.com/office/drawing/2014/main" id="{095353C4-BD12-4894-9D91-F09375F8BB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4770" y="66673"/>
          <a:ext cx="1787520" cy="5487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109171</xdr:colOff>
      <xdr:row>220</xdr:row>
      <xdr:rowOff>75468</xdr:rowOff>
    </xdr:from>
    <xdr:to>
      <xdr:col>25</xdr:col>
      <xdr:colOff>200073</xdr:colOff>
      <xdr:row>238</xdr:row>
      <xdr:rowOff>1</xdr:rowOff>
    </xdr:to>
    <xdr:pic>
      <xdr:nvPicPr>
        <xdr:cNvPr id="1579" name="Picture 6">
          <a:extLst>
            <a:ext uri="{FF2B5EF4-FFF2-40B4-BE49-F238E27FC236}">
              <a16:creationId xmlns:a16="http://schemas.microsoft.com/office/drawing/2014/main" id="{164B84D0-1FBD-42D4-A1F5-5A8BBFDF15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89863" y="19887468"/>
          <a:ext cx="4186652" cy="1639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230800</xdr:colOff>
      <xdr:row>1</xdr:row>
      <xdr:rowOff>33705</xdr:rowOff>
    </xdr:from>
    <xdr:to>
      <xdr:col>7</xdr:col>
      <xdr:colOff>307733</xdr:colOff>
      <xdr:row>5</xdr:row>
      <xdr:rowOff>77869</xdr:rowOff>
    </xdr:to>
    <xdr:pic>
      <xdr:nvPicPr>
        <xdr:cNvPr id="1580" name="Picture 4">
          <a:extLst>
            <a:ext uri="{FF2B5EF4-FFF2-40B4-BE49-F238E27FC236}">
              <a16:creationId xmlns:a16="http://schemas.microsoft.com/office/drawing/2014/main" id="{07DBEFE3-4472-4214-9CBA-078AB65251E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800" y="128955"/>
          <a:ext cx="2282337" cy="4251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43961</xdr:colOff>
      <xdr:row>13</xdr:row>
      <xdr:rowOff>65943</xdr:rowOff>
    </xdr:from>
    <xdr:to>
      <xdr:col>25</xdr:col>
      <xdr:colOff>256442</xdr:colOff>
      <xdr:row>98</xdr:row>
      <xdr:rowOff>80597</xdr:rowOff>
    </xdr:to>
    <xdr:pic>
      <xdr:nvPicPr>
        <xdr:cNvPr id="3" name="_Ctrl_8" descr="_Ctrl_8" title="Link Image placeholder">
          <a:extLst>
            <a:ext uri="{FF2B5EF4-FFF2-40B4-BE49-F238E27FC236}">
              <a16:creationId xmlns:a16="http://schemas.microsoft.com/office/drawing/2014/main" id="{9B5F88EA-BF59-4E92-9EDA-6B21C2DBEC3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64423" y="1304193"/>
          <a:ext cx="5568461" cy="8110904"/>
        </a:xfrm>
        <a:prstGeom prst="rect">
          <a:avLst/>
        </a:prstGeom>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276225</xdr:colOff>
      <xdr:row>3</xdr:row>
      <xdr:rowOff>247650</xdr:rowOff>
    </xdr:to>
    <xdr:pic>
      <xdr:nvPicPr>
        <xdr:cNvPr id="2673" name="Picture 1">
          <a:extLst>
            <a:ext uri="{FF2B5EF4-FFF2-40B4-BE49-F238E27FC236}">
              <a16:creationId xmlns:a16="http://schemas.microsoft.com/office/drawing/2014/main" id="{EAC13E68-26EB-446E-87EB-F7D90EF417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09550"/>
          <a:ext cx="2000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24848</xdr:colOff>
      <xdr:row>22</xdr:row>
      <xdr:rowOff>57979</xdr:rowOff>
    </xdr:from>
    <xdr:ext cx="2070652" cy="1031629"/>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901648" y="4248979"/>
          <a:ext cx="2070652"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t>PLACE</a:t>
          </a:r>
          <a:r>
            <a:rPr lang="en-US" sz="2000" b="1" baseline="0"/>
            <a:t> ITEMS TO PRINT, WITHIN THIS BOX</a:t>
          </a:r>
          <a:endParaRPr lang="en-US" sz="2000" b="1"/>
        </a:p>
      </xdr:txBody>
    </xdr:sp>
    <xdr:clientData/>
  </xdr:oneCellAnchor>
  <xdr:twoCellAnchor>
    <xdr:from>
      <xdr:col>13</xdr:col>
      <xdr:colOff>289891</xdr:colOff>
      <xdr:row>33</xdr:row>
      <xdr:rowOff>41413</xdr:rowOff>
    </xdr:from>
    <xdr:to>
      <xdr:col>23</xdr:col>
      <xdr:colOff>57978</xdr:colOff>
      <xdr:row>60</xdr:row>
      <xdr:rowOff>41413</xdr:rowOff>
    </xdr:to>
    <xdr:cxnSp macro="">
      <xdr:nvCxnSpPr>
        <xdr:cNvPr id="4" name="Straight Arrow Connector 3">
          <a:extLst>
            <a:ext uri="{FF2B5EF4-FFF2-40B4-BE49-F238E27FC236}">
              <a16:creationId xmlns:a16="http://schemas.microsoft.com/office/drawing/2014/main" id="{00000000-0008-0000-0200-000004000000}"/>
            </a:ext>
          </a:extLst>
        </xdr:cNvPr>
        <xdr:cNvCxnSpPr/>
      </xdr:nvCxnSpPr>
      <xdr:spPr>
        <a:xfrm>
          <a:off x="8214691" y="6327913"/>
          <a:ext cx="5864087" cy="5143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132522</xdr:colOff>
      <xdr:row>9</xdr:row>
      <xdr:rowOff>91109</xdr:rowOff>
    </xdr:from>
    <xdr:to>
      <xdr:col>8</xdr:col>
      <xdr:colOff>16565</xdr:colOff>
      <xdr:row>24</xdr:row>
      <xdr:rowOff>16565</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H="1" flipV="1">
          <a:off x="742122" y="1805609"/>
          <a:ext cx="4151243" cy="27829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231913</xdr:colOff>
      <xdr:row>9</xdr:row>
      <xdr:rowOff>16567</xdr:rowOff>
    </xdr:from>
    <xdr:to>
      <xdr:col>22</xdr:col>
      <xdr:colOff>289891</xdr:colOff>
      <xdr:row>24</xdr:row>
      <xdr:rowOff>91109</xdr:rowOff>
    </xdr:to>
    <xdr:cxnSp macro="">
      <xdr:nvCxnSpPr>
        <xdr:cNvPr id="6" name="Straight Arrow Connector 5">
          <a:extLst>
            <a:ext uri="{FF2B5EF4-FFF2-40B4-BE49-F238E27FC236}">
              <a16:creationId xmlns:a16="http://schemas.microsoft.com/office/drawing/2014/main" id="{00000000-0008-0000-0200-000006000000}"/>
            </a:ext>
          </a:extLst>
        </xdr:cNvPr>
        <xdr:cNvCxnSpPr/>
      </xdr:nvCxnSpPr>
      <xdr:spPr>
        <a:xfrm flipV="1">
          <a:off x="8766313" y="1731067"/>
          <a:ext cx="4934778" cy="29320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223630</xdr:colOff>
      <xdr:row>32</xdr:row>
      <xdr:rowOff>66261</xdr:rowOff>
    </xdr:from>
    <xdr:to>
      <xdr:col>8</xdr:col>
      <xdr:colOff>66261</xdr:colOff>
      <xdr:row>57</xdr:row>
      <xdr:rowOff>24848</xdr:rowOff>
    </xdr:to>
    <xdr:cxnSp macro="">
      <xdr:nvCxnSpPr>
        <xdr:cNvPr id="7" name="Straight Arrow Connector 6">
          <a:extLst>
            <a:ext uri="{FF2B5EF4-FFF2-40B4-BE49-F238E27FC236}">
              <a16:creationId xmlns:a16="http://schemas.microsoft.com/office/drawing/2014/main" id="{00000000-0008-0000-0200-000007000000}"/>
            </a:ext>
          </a:extLst>
        </xdr:cNvPr>
        <xdr:cNvCxnSpPr/>
      </xdr:nvCxnSpPr>
      <xdr:spPr>
        <a:xfrm flipH="1">
          <a:off x="833230" y="6162261"/>
          <a:ext cx="4109831" cy="4721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57150</xdr:colOff>
      <xdr:row>3</xdr:row>
      <xdr:rowOff>9525</xdr:rowOff>
    </xdr:to>
    <xdr:pic>
      <xdr:nvPicPr>
        <xdr:cNvPr id="3385" name="Picture 13" descr="EX Logo Basic With (R)1">
          <a:extLst>
            <a:ext uri="{FF2B5EF4-FFF2-40B4-BE49-F238E27FC236}">
              <a16:creationId xmlns:a16="http://schemas.microsoft.com/office/drawing/2014/main" id="{E1AB5601-0788-498C-89F0-AC0B2F9583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9718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104775</xdr:colOff>
      <xdr:row>15</xdr:row>
      <xdr:rowOff>133350</xdr:rowOff>
    </xdr:from>
    <xdr:to>
      <xdr:col>12</xdr:col>
      <xdr:colOff>209550</xdr:colOff>
      <xdr:row>21</xdr:row>
      <xdr:rowOff>123825</xdr:rowOff>
    </xdr:to>
    <xdr:pic>
      <xdr:nvPicPr>
        <xdr:cNvPr id="3386" name="Picture 2">
          <a:extLst>
            <a:ext uri="{FF2B5EF4-FFF2-40B4-BE49-F238E27FC236}">
              <a16:creationId xmlns:a16="http://schemas.microsoft.com/office/drawing/2014/main" id="{B6C043D7-6DA1-4D22-8FA3-1B65ED857F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3175" y="2628900"/>
          <a:ext cx="21050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85725</xdr:colOff>
      <xdr:row>0</xdr:row>
      <xdr:rowOff>66675</xdr:rowOff>
    </xdr:from>
    <xdr:to>
      <xdr:col>14</xdr:col>
      <xdr:colOff>381000</xdr:colOff>
      <xdr:row>15</xdr:row>
      <xdr:rowOff>85725</xdr:rowOff>
    </xdr:to>
    <xdr:pic>
      <xdr:nvPicPr>
        <xdr:cNvPr id="3387" name="Picture 3">
          <a:extLst>
            <a:ext uri="{FF2B5EF4-FFF2-40B4-BE49-F238E27FC236}">
              <a16:creationId xmlns:a16="http://schemas.microsoft.com/office/drawing/2014/main" id="{4B8F5D89-B7DC-4F41-AA5A-368759817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34125" y="66675"/>
          <a:ext cx="3629025" cy="251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514350</xdr:colOff>
      <xdr:row>1</xdr:row>
      <xdr:rowOff>238125</xdr:rowOff>
    </xdr:to>
    <xdr:pic>
      <xdr:nvPicPr>
        <xdr:cNvPr id="48650" name="Picture 13" descr="EX Logo Basic With (R)1">
          <a:extLst>
            <a:ext uri="{FF2B5EF4-FFF2-40B4-BE49-F238E27FC236}">
              <a16:creationId xmlns:a16="http://schemas.microsoft.com/office/drawing/2014/main" id="{7B4673F5-FCAD-43B0-9635-7103454CD1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9813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1</xdr:row>
      <xdr:rowOff>180975</xdr:rowOff>
    </xdr:from>
    <xdr:to>
      <xdr:col>9</xdr:col>
      <xdr:colOff>638175</xdr:colOff>
      <xdr:row>1</xdr:row>
      <xdr:rowOff>180975</xdr:rowOff>
    </xdr:to>
    <xdr:sp macro="" textlink="">
      <xdr:nvSpPr>
        <xdr:cNvPr id="48651" name="Line 16">
          <a:extLst>
            <a:ext uri="{FF2B5EF4-FFF2-40B4-BE49-F238E27FC236}">
              <a16:creationId xmlns:a16="http://schemas.microsoft.com/office/drawing/2014/main" id="{8F949821-1BF2-43B2-83CB-120B87468289}"/>
            </a:ext>
          </a:extLst>
        </xdr:cNvPr>
        <xdr:cNvSpPr>
          <a:spLocks noChangeShapeType="1"/>
        </xdr:cNvSpPr>
      </xdr:nvSpPr>
      <xdr:spPr bwMode="auto">
        <a:xfrm>
          <a:off x="742950" y="447675"/>
          <a:ext cx="5410200" cy="0"/>
        </a:xfrm>
        <a:prstGeom prst="line">
          <a:avLst/>
        </a:prstGeom>
        <a:noFill/>
        <a:ln w="9525">
          <a:solidFill>
            <a:srgbClr val="00006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9525</xdr:colOff>
      <xdr:row>1</xdr:row>
      <xdr:rowOff>219075</xdr:rowOff>
    </xdr:from>
    <xdr:to>
      <xdr:col>9</xdr:col>
      <xdr:colOff>657225</xdr:colOff>
      <xdr:row>1</xdr:row>
      <xdr:rowOff>219075</xdr:rowOff>
    </xdr:to>
    <xdr:sp macro="" textlink="">
      <xdr:nvSpPr>
        <xdr:cNvPr id="48652" name="Line 15">
          <a:extLst>
            <a:ext uri="{FF2B5EF4-FFF2-40B4-BE49-F238E27FC236}">
              <a16:creationId xmlns:a16="http://schemas.microsoft.com/office/drawing/2014/main" id="{596192F1-6E86-4B18-855E-93A7AD947D36}"/>
            </a:ext>
          </a:extLst>
        </xdr:cNvPr>
        <xdr:cNvSpPr>
          <a:spLocks noChangeShapeType="1"/>
        </xdr:cNvSpPr>
      </xdr:nvSpPr>
      <xdr:spPr bwMode="auto">
        <a:xfrm flipV="1">
          <a:off x="619125" y="485775"/>
          <a:ext cx="5553075" cy="0"/>
        </a:xfrm>
        <a:prstGeom prst="line">
          <a:avLst/>
        </a:prstGeom>
        <a:noFill/>
        <a:ln w="25400">
          <a:solidFill>
            <a:srgbClr val="9933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6</xdr:col>
      <xdr:colOff>161925</xdr:colOff>
      <xdr:row>11</xdr:row>
      <xdr:rowOff>38100</xdr:rowOff>
    </xdr:from>
    <xdr:to>
      <xdr:col>9</xdr:col>
      <xdr:colOff>428625</xdr:colOff>
      <xdr:row>24</xdr:row>
      <xdr:rowOff>9525</xdr:rowOff>
    </xdr:to>
    <xdr:pic>
      <xdr:nvPicPr>
        <xdr:cNvPr id="48653" name="Picture 1">
          <a:extLst>
            <a:ext uri="{FF2B5EF4-FFF2-40B4-BE49-F238E27FC236}">
              <a16:creationId xmlns:a16="http://schemas.microsoft.com/office/drawing/2014/main" id="{EDB390FF-C6D2-4EF9-AA54-C9875AB6788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48100" y="1123950"/>
          <a:ext cx="2095500" cy="2533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165653</xdr:colOff>
      <xdr:row>1</xdr:row>
      <xdr:rowOff>49696</xdr:rowOff>
    </xdr:from>
    <xdr:ext cx="2298423" cy="118027"/>
    <xdr:sp macro="" textlink="">
      <xdr:nvSpPr>
        <xdr:cNvPr id="6" name="Text Box 14">
          <a:extLst>
            <a:ext uri="{FF2B5EF4-FFF2-40B4-BE49-F238E27FC236}">
              <a16:creationId xmlns:a16="http://schemas.microsoft.com/office/drawing/2014/main" id="{00000000-0008-0000-1100-000006000000}"/>
            </a:ext>
          </a:extLst>
        </xdr:cNvPr>
        <xdr:cNvSpPr txBox="1">
          <a:spLocks noChangeArrowheads="1"/>
        </xdr:cNvSpPr>
      </xdr:nvSpPr>
      <xdr:spPr bwMode="auto">
        <a:xfrm>
          <a:off x="3823253" y="211621"/>
          <a:ext cx="2298423" cy="118027"/>
        </a:xfrm>
        <a:prstGeom prst="rect">
          <a:avLst/>
        </a:prstGeom>
        <a:noFill/>
        <a:ln w="0" algn="in">
          <a:noFill/>
          <a:miter lim="800000"/>
          <a:headEnd/>
          <a:tailEnd/>
        </a:ln>
        <a:effectLst/>
      </xdr:spPr>
      <xdr:txBody>
        <a:bodyPr vertOverflow="clip" wrap="square" lIns="0" tIns="0" rIns="0" bIns="0" anchor="t" upright="1"/>
        <a:lstStyle/>
        <a:p>
          <a:pPr algn="r" rtl="0">
            <a:defRPr sz="1000"/>
          </a:pPr>
          <a:r>
            <a:rPr lang="en-US" sz="700" b="0" i="0" strike="noStrike">
              <a:solidFill>
                <a:srgbClr val="003366"/>
              </a:solidFill>
              <a:latin typeface="Verdana"/>
            </a:rPr>
            <a:t>FRANK L. BENNARDO, P.E.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323850</xdr:colOff>
      <xdr:row>3</xdr:row>
      <xdr:rowOff>19050</xdr:rowOff>
    </xdr:to>
    <xdr:pic>
      <xdr:nvPicPr>
        <xdr:cNvPr id="49257" name="Picture 1" descr="EX Logo Basic With (R)1">
          <a:extLst>
            <a:ext uri="{FF2B5EF4-FFF2-40B4-BE49-F238E27FC236}">
              <a16:creationId xmlns:a16="http://schemas.microsoft.com/office/drawing/2014/main" id="{3E5AF3B6-2B34-4F34-A37F-5E55A31D88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9718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anS/Calculator/Design%20Pressure/Design_Pressure_Calculator_v26.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s/18-6883%20Blanche%20Ely%20High%20School/WP/Suspended%20Canopy%20v5.3%20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alculators/SSC/_01%20SCC%20Excel%20Calculators/Suspended%20Canopy/Suspended%20Canopy%20v5.3%20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ZachR\Perfection%20Architectural%20Systems,%20Inc\Standard%20Canopy\Snow%20Load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ZachR\Perfection%20Architectural%20Systems,%20Inc\Suspended%20Canopy\Alum%20Member%20Design%20(ADM%202005)%20v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ER01\FileCabinet\01%20Project%20Files\Architectural%20Shade%20Products%20(ALP)\2011\11-ALP-0003%20Page%20Memorial%20Hospital%20-%20Suspended%20Canopy\AWC%20-%20Susp'd%20Canopy%20Calcs%20ver%20WHISKEY%20TANGO%20FOXTRO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alculators/SSC/_01%20SCC%20Excel%20Calculators/Suspended%20Canopy/SCC%20Template%20-%20Printable%20Pag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er01\FileCabinet\01%20Project%20Files\Ro-Pat%20(RHI)\2013\13-RHI-07%20Mariani%20Res\_01%20DP%20Layout\Calcs\13-RHI-07-01a%20-%20Sebastian%20Mariani.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YoanS/Calculator/Zone%20interpolation/ZoneInterpolationCalculatorv2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_sh_ram_183_1"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_sh_ram_186_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S04\FileCabinet\03%20Elements\06%20Aluminum\03%20Calculators\Calculators%20by%20EX\Alum%20Member%20Design%20(ADM%20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01\FileCabinet\01%20Project%20Files\Florida%20Glass%20(FLG)\2008\08-FLG-0006%20MD%20Anderson\08-FLG-0006_04%20Louvered%20Sunscreens\Calcs\TSB%20Calcs\17%20Top%20Floor%20Corner%20Structur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ASCE%207-10%20C&amp;C%20Calculator%20(Wind%20EXpress)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01\FileCabinet\03%20Elements\06%20Aluminum\Alum%20Member%20Design%20(ADM%2020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alculators/SSC/_01%20SCC%20Excel%20Calculators/Suspended%20Canopy/Hanger%20Arm%20Tables/Suspended%20Canopy%20v5.3%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Information"/>
      <sheetName val="Taskcloud table"/>
      <sheetName val="Reference"/>
      <sheetName val="GCp_Values"/>
      <sheetName val="_SSC"/>
      <sheetName val="_Options"/>
    </sheetNames>
    <sheetDataSet>
      <sheetData sheetId="0" refreshError="1">
        <row r="1">
          <cell r="A1" t="str">
            <v>43297-5764209490</v>
          </cell>
        </row>
        <row r="15">
          <cell r="G15" t="str">
            <v>C</v>
          </cell>
        </row>
        <row r="16">
          <cell r="G16" t="str">
            <v>Enclosed</v>
          </cell>
          <cell r="J16">
            <v>30</v>
          </cell>
        </row>
        <row r="17">
          <cell r="G17">
            <v>175</v>
          </cell>
        </row>
        <row r="18">
          <cell r="G18">
            <v>0.85</v>
          </cell>
        </row>
        <row r="23">
          <cell r="G23">
            <v>6</v>
          </cell>
          <cell r="J23">
            <v>26.56505117707799</v>
          </cell>
        </row>
        <row r="25">
          <cell r="G25">
            <v>15</v>
          </cell>
        </row>
        <row r="26">
          <cell r="G26">
            <v>100</v>
          </cell>
        </row>
        <row r="32">
          <cell r="G32" t="str">
            <v>NO</v>
          </cell>
        </row>
        <row r="35">
          <cell r="I35">
            <v>1</v>
          </cell>
        </row>
      </sheetData>
      <sheetData sheetId="1" refreshError="1"/>
      <sheetData sheetId="2" refreshError="1"/>
      <sheetData sheetId="3" refreshError="1">
        <row r="8">
          <cell r="O8" t="str">
            <v>B</v>
          </cell>
          <cell r="P8">
            <v>7</v>
          </cell>
          <cell r="Q8">
            <v>1200</v>
          </cell>
          <cell r="R8">
            <v>0.14285714285714285</v>
          </cell>
          <cell r="S8">
            <v>0.84</v>
          </cell>
          <cell r="T8">
            <v>0.25</v>
          </cell>
          <cell r="U8">
            <v>0.45</v>
          </cell>
          <cell r="V8">
            <v>0.3</v>
          </cell>
          <cell r="W8">
            <v>320</v>
          </cell>
          <cell r="X8">
            <v>0.33333333333333331</v>
          </cell>
          <cell r="Y8">
            <v>30</v>
          </cell>
          <cell r="AG8">
            <v>0.98225254263640283</v>
          </cell>
        </row>
        <row r="9">
          <cell r="K9">
            <v>1</v>
          </cell>
          <cell r="O9" t="str">
            <v>C</v>
          </cell>
          <cell r="P9">
            <v>9.5</v>
          </cell>
          <cell r="Q9">
            <v>900</v>
          </cell>
          <cell r="R9">
            <v>0.10526315789473684</v>
          </cell>
          <cell r="S9">
            <v>1</v>
          </cell>
          <cell r="T9">
            <v>0.15384615384615385</v>
          </cell>
          <cell r="U9">
            <v>0.65</v>
          </cell>
          <cell r="V9">
            <v>0.2</v>
          </cell>
          <cell r="W9">
            <v>500</v>
          </cell>
          <cell r="X9">
            <v>0.2</v>
          </cell>
          <cell r="Y9">
            <v>15</v>
          </cell>
          <cell r="AG9">
            <v>0.98225254263640283</v>
          </cell>
        </row>
        <row r="10">
          <cell r="O10" t="str">
            <v>D</v>
          </cell>
          <cell r="P10">
            <v>11.5</v>
          </cell>
          <cell r="Q10">
            <v>700</v>
          </cell>
          <cell r="R10">
            <v>8.6956521739130432E-2</v>
          </cell>
          <cell r="S10">
            <v>1.07</v>
          </cell>
          <cell r="T10">
            <v>0.1111111111111111</v>
          </cell>
          <cell r="U10">
            <v>0.8</v>
          </cell>
          <cell r="V10">
            <v>0.15</v>
          </cell>
          <cell r="W10">
            <v>650</v>
          </cell>
          <cell r="X10">
            <v>0.125</v>
          </cell>
          <cell r="Y10">
            <v>7</v>
          </cell>
        </row>
        <row r="15">
          <cell r="AK15">
            <v>65.45730944128988</v>
          </cell>
        </row>
        <row r="17">
          <cell r="AD17">
            <v>15</v>
          </cell>
        </row>
        <row r="18">
          <cell r="AD18">
            <v>900</v>
          </cell>
        </row>
        <row r="20">
          <cell r="G20">
            <v>0.18</v>
          </cell>
        </row>
        <row r="23">
          <cell r="AF23">
            <v>65.45730944128988</v>
          </cell>
        </row>
      </sheetData>
      <sheetData sheetId="4" refreshError="1">
        <row r="3">
          <cell r="AC3" t="str">
            <v>4p</v>
          </cell>
          <cell r="AD3" t="str">
            <v>4n</v>
          </cell>
          <cell r="AE3" t="str">
            <v>5p</v>
          </cell>
          <cell r="AF3" t="str">
            <v>5n</v>
          </cell>
        </row>
        <row r="4">
          <cell r="Y4" t="b">
            <v>1</v>
          </cell>
          <cell r="Z4" t="b">
            <v>0</v>
          </cell>
          <cell r="AC4" t="str">
            <v>GCp_Values!TableWalls</v>
          </cell>
          <cell r="AD4" t="str">
            <v>GCp_Values!TableWalls</v>
          </cell>
          <cell r="AE4" t="str">
            <v>GCp_Values!TableWalls</v>
          </cell>
          <cell r="AF4" t="str">
            <v>GCp_Values!TableWalls</v>
          </cell>
        </row>
        <row r="5">
          <cell r="Y5" t="str">
            <v>GCp_Values!MRH60_Walls</v>
          </cell>
          <cell r="Z5">
            <v>0</v>
          </cell>
          <cell r="AC5">
            <v>0</v>
          </cell>
          <cell r="AD5">
            <v>1</v>
          </cell>
          <cell r="AE5">
            <v>2</v>
          </cell>
          <cell r="AF5">
            <v>3</v>
          </cell>
        </row>
        <row r="6">
          <cell r="Y6">
            <v>16</v>
          </cell>
          <cell r="Z6">
            <v>21</v>
          </cell>
        </row>
        <row r="7">
          <cell r="Y7" t="str">
            <v>=COLUMN(GCp_Values!P9)</v>
          </cell>
          <cell r="Z7" t="str">
            <v>=COLUMN(GCp_Values!U9)</v>
          </cell>
        </row>
      </sheetData>
      <sheetData sheetId="5" refreshError="1"/>
      <sheetData sheetId="6" refreshError="1">
        <row r="1">
          <cell r="AM1" t="str">
            <v>N</v>
          </cell>
          <cell r="CI1">
            <v>1</v>
          </cell>
          <cell r="CO1" t="str">
            <v>AL</v>
          </cell>
          <cell r="CV1" t="str">
            <v>AL</v>
          </cell>
          <cell r="EB1" t="str">
            <v>N</v>
          </cell>
          <cell r="EK1">
            <v>5</v>
          </cell>
          <cell r="EP1" t="str">
            <v>NO</v>
          </cell>
        </row>
        <row r="2">
          <cell r="CI2">
            <v>2</v>
          </cell>
          <cell r="CO2" t="str">
            <v>AK</v>
          </cell>
          <cell r="CV2" t="str">
            <v>AK</v>
          </cell>
          <cell r="EB2" t="str">
            <v>Y</v>
          </cell>
          <cell r="EK2">
            <v>4</v>
          </cell>
          <cell r="EP2" t="str">
            <v>YES</v>
          </cell>
        </row>
        <row r="3">
          <cell r="CI3">
            <v>3</v>
          </cell>
          <cell r="CO3" t="str">
            <v>AZ</v>
          </cell>
          <cell r="CV3" t="str">
            <v>AZ</v>
          </cell>
        </row>
        <row r="4">
          <cell r="CI4">
            <v>4</v>
          </cell>
          <cell r="CO4" t="str">
            <v>AR</v>
          </cell>
          <cell r="CV4" t="str">
            <v>AR</v>
          </cell>
        </row>
        <row r="5">
          <cell r="CI5">
            <v>5</v>
          </cell>
          <cell r="CO5" t="str">
            <v>CA</v>
          </cell>
          <cell r="CV5" t="str">
            <v>CA</v>
          </cell>
        </row>
        <row r="6">
          <cell r="CI6">
            <v>6</v>
          </cell>
          <cell r="CO6" t="str">
            <v>CO</v>
          </cell>
          <cell r="CV6" t="str">
            <v>CO</v>
          </cell>
        </row>
        <row r="7">
          <cell r="CI7">
            <v>7</v>
          </cell>
          <cell r="CO7" t="str">
            <v>CT</v>
          </cell>
          <cell r="CV7" t="str">
            <v>CT</v>
          </cell>
        </row>
        <row r="8">
          <cell r="CI8">
            <v>8</v>
          </cell>
          <cell r="CO8" t="str">
            <v>DE</v>
          </cell>
          <cell r="CV8" t="str">
            <v>DE</v>
          </cell>
        </row>
        <row r="9">
          <cell r="CI9">
            <v>9</v>
          </cell>
          <cell r="CO9" t="str">
            <v>FL</v>
          </cell>
          <cell r="CV9" t="str">
            <v>FL</v>
          </cell>
        </row>
        <row r="10">
          <cell r="CI10">
            <v>10</v>
          </cell>
          <cell r="CO10" t="str">
            <v>FL</v>
          </cell>
          <cell r="CV10" t="str">
            <v>FL</v>
          </cell>
        </row>
        <row r="11">
          <cell r="CI11">
            <v>11</v>
          </cell>
          <cell r="CO11" t="str">
            <v>GA</v>
          </cell>
          <cell r="CV11" t="str">
            <v>GA</v>
          </cell>
        </row>
        <row r="12">
          <cell r="CI12">
            <v>12</v>
          </cell>
          <cell r="CO12" t="str">
            <v>HI</v>
          </cell>
          <cell r="CV12" t="str">
            <v>HI</v>
          </cell>
        </row>
        <row r="13">
          <cell r="CI13">
            <v>13</v>
          </cell>
          <cell r="CO13" t="str">
            <v>ID</v>
          </cell>
          <cell r="CV13" t="str">
            <v>ID</v>
          </cell>
        </row>
        <row r="14">
          <cell r="CI14">
            <v>14</v>
          </cell>
          <cell r="CO14" t="str">
            <v>IL</v>
          </cell>
          <cell r="CV14" t="str">
            <v>IL</v>
          </cell>
        </row>
        <row r="15">
          <cell r="CI15">
            <v>15</v>
          </cell>
          <cell r="CO15" t="str">
            <v>IN</v>
          </cell>
          <cell r="CV15" t="str">
            <v>IN</v>
          </cell>
        </row>
        <row r="16">
          <cell r="CI16">
            <v>16</v>
          </cell>
          <cell r="CO16" t="str">
            <v>IA</v>
          </cell>
          <cell r="CV16" t="str">
            <v>IA</v>
          </cell>
        </row>
        <row r="17">
          <cell r="CI17">
            <v>17</v>
          </cell>
          <cell r="CO17" t="str">
            <v>KS</v>
          </cell>
          <cell r="CV17" t="str">
            <v>KS</v>
          </cell>
        </row>
        <row r="18">
          <cell r="CI18">
            <v>18</v>
          </cell>
          <cell r="CO18" t="str">
            <v>KY</v>
          </cell>
          <cell r="CV18" t="str">
            <v>KY</v>
          </cell>
        </row>
        <row r="19">
          <cell r="CI19">
            <v>19</v>
          </cell>
          <cell r="CO19" t="str">
            <v>LA</v>
          </cell>
          <cell r="CV19" t="str">
            <v>LA</v>
          </cell>
        </row>
        <row r="20">
          <cell r="CI20">
            <v>20</v>
          </cell>
          <cell r="CO20" t="str">
            <v>ME</v>
          </cell>
          <cell r="CV20" t="str">
            <v>ME</v>
          </cell>
        </row>
        <row r="21">
          <cell r="CI21">
            <v>21</v>
          </cell>
          <cell r="CO21" t="str">
            <v>MD</v>
          </cell>
          <cell r="CV21" t="str">
            <v>MD</v>
          </cell>
        </row>
        <row r="22">
          <cell r="CI22">
            <v>22</v>
          </cell>
          <cell r="CO22" t="str">
            <v>MA</v>
          </cell>
          <cell r="CV22" t="str">
            <v>MA</v>
          </cell>
        </row>
        <row r="23">
          <cell r="CI23">
            <v>23</v>
          </cell>
          <cell r="CO23" t="str">
            <v>MI</v>
          </cell>
          <cell r="CV23" t="str">
            <v>MI</v>
          </cell>
        </row>
        <row r="24">
          <cell r="CI24">
            <v>24</v>
          </cell>
          <cell r="CO24" t="str">
            <v>MN</v>
          </cell>
          <cell r="CV24" t="str">
            <v>MN</v>
          </cell>
        </row>
        <row r="25">
          <cell r="CI25">
            <v>25</v>
          </cell>
          <cell r="CO25" t="str">
            <v>MS</v>
          </cell>
          <cell r="CV25" t="str">
            <v>MS</v>
          </cell>
        </row>
        <row r="26">
          <cell r="CI26">
            <v>26</v>
          </cell>
          <cell r="CO26" t="str">
            <v>MO</v>
          </cell>
          <cell r="CV26" t="str">
            <v>MO</v>
          </cell>
        </row>
        <row r="27">
          <cell r="CI27">
            <v>27</v>
          </cell>
          <cell r="CO27" t="str">
            <v>MT</v>
          </cell>
          <cell r="CV27" t="str">
            <v>MT</v>
          </cell>
        </row>
        <row r="28">
          <cell r="CI28">
            <v>28</v>
          </cell>
          <cell r="CO28" t="str">
            <v>NE</v>
          </cell>
          <cell r="CV28" t="str">
            <v>NE</v>
          </cell>
        </row>
        <row r="29">
          <cell r="CI29">
            <v>29</v>
          </cell>
          <cell r="CO29" t="str">
            <v>NV</v>
          </cell>
          <cell r="CV29" t="str">
            <v>NV</v>
          </cell>
        </row>
        <row r="30">
          <cell r="CI30">
            <v>30</v>
          </cell>
          <cell r="CO30" t="str">
            <v>NH</v>
          </cell>
          <cell r="CV30" t="str">
            <v>NH</v>
          </cell>
        </row>
        <row r="31">
          <cell r="CI31">
            <v>31</v>
          </cell>
          <cell r="CO31" t="str">
            <v>NJ</v>
          </cell>
          <cell r="CV31" t="str">
            <v>NJ</v>
          </cell>
        </row>
        <row r="32">
          <cell r="CI32">
            <v>32</v>
          </cell>
          <cell r="CO32" t="str">
            <v>NM</v>
          </cell>
          <cell r="CV32" t="str">
            <v>NM</v>
          </cell>
        </row>
        <row r="33">
          <cell r="CI33">
            <v>33</v>
          </cell>
          <cell r="CO33" t="str">
            <v>NY</v>
          </cell>
          <cell r="CV33" t="str">
            <v>NY</v>
          </cell>
        </row>
        <row r="34">
          <cell r="CI34">
            <v>34</v>
          </cell>
          <cell r="CO34" t="str">
            <v>NC</v>
          </cell>
          <cell r="CV34" t="str">
            <v>NC</v>
          </cell>
        </row>
        <row r="35">
          <cell r="CI35">
            <v>35</v>
          </cell>
          <cell r="CO35" t="str">
            <v>ND</v>
          </cell>
          <cell r="CV35" t="str">
            <v>ND</v>
          </cell>
        </row>
        <row r="36">
          <cell r="CI36">
            <v>36</v>
          </cell>
          <cell r="CO36" t="str">
            <v>OH</v>
          </cell>
          <cell r="CV36" t="str">
            <v>OH</v>
          </cell>
        </row>
        <row r="37">
          <cell r="CI37">
            <v>37</v>
          </cell>
          <cell r="CO37" t="str">
            <v>OK</v>
          </cell>
          <cell r="CV37" t="str">
            <v>OK</v>
          </cell>
        </row>
        <row r="38">
          <cell r="CI38">
            <v>38</v>
          </cell>
          <cell r="CO38" t="str">
            <v>PA</v>
          </cell>
          <cell r="CV38" t="str">
            <v>PA</v>
          </cell>
        </row>
        <row r="39">
          <cell r="CI39">
            <v>39</v>
          </cell>
          <cell r="CO39" t="str">
            <v>RI</v>
          </cell>
          <cell r="CV39" t="str">
            <v>RI</v>
          </cell>
        </row>
        <row r="40">
          <cell r="CI40">
            <v>40</v>
          </cell>
          <cell r="CO40" t="str">
            <v>SC</v>
          </cell>
          <cell r="CV40" t="str">
            <v>SC</v>
          </cell>
        </row>
        <row r="41">
          <cell r="CO41" t="str">
            <v>SD</v>
          </cell>
          <cell r="CV41" t="str">
            <v>SD</v>
          </cell>
        </row>
        <row r="42">
          <cell r="CO42" t="str">
            <v>TN</v>
          </cell>
          <cell r="CV42" t="str">
            <v>TN</v>
          </cell>
        </row>
        <row r="43">
          <cell r="CO43" t="str">
            <v>TX</v>
          </cell>
          <cell r="CV43" t="str">
            <v>TX</v>
          </cell>
        </row>
        <row r="44">
          <cell r="CO44" t="str">
            <v>UT</v>
          </cell>
          <cell r="CV44" t="str">
            <v>UT</v>
          </cell>
        </row>
        <row r="45">
          <cell r="CO45" t="str">
            <v>VT</v>
          </cell>
          <cell r="CV45" t="str">
            <v>VT</v>
          </cell>
        </row>
        <row r="46">
          <cell r="CO46" t="str">
            <v>VA</v>
          </cell>
          <cell r="CV46" t="str">
            <v>VA</v>
          </cell>
        </row>
        <row r="47">
          <cell r="CO47" t="str">
            <v>WA</v>
          </cell>
          <cell r="CV47" t="str">
            <v>WA</v>
          </cell>
        </row>
        <row r="48">
          <cell r="CO48" t="str">
            <v>WV</v>
          </cell>
          <cell r="CV48" t="str">
            <v>WV</v>
          </cell>
        </row>
        <row r="49">
          <cell r="CO49" t="str">
            <v>WI</v>
          </cell>
          <cell r="CV49" t="str">
            <v>WI</v>
          </cell>
        </row>
        <row r="50">
          <cell r="CO50" t="str">
            <v>WY</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Start"/>
      <sheetName val="Reference"/>
      <sheetName val="Addendum_In_State"/>
      <sheetName val="Addendum_Out_of_State"/>
      <sheetName val="In_State_Notes"/>
      <sheetName val="In_State_Summary"/>
      <sheetName val="Out_of_State_Notes"/>
      <sheetName val="Out_of_State_Summary"/>
      <sheetName val="Snow_Load"/>
      <sheetName val="Loading"/>
      <sheetName val="Decking_7-10"/>
      <sheetName val="Decking_2x6x0.080_7-10"/>
      <sheetName val="Decking_7-05"/>
      <sheetName val="Decking_2x6x0.080_7-05"/>
      <sheetName val="Wet_Beams_7-10"/>
      <sheetName val="Wet_Beams_7-05"/>
      <sheetName val="Wet_Beams_Custom"/>
      <sheetName val="Composite Beam"/>
      <sheetName val="Open Beam Fb"/>
      <sheetName val="Closed Beam Fb"/>
      <sheetName val="Beam_to_Beam"/>
      <sheetName val="Arms_and_Anchors"/>
      <sheetName val="Hanger_Arm_Pipe"/>
      <sheetName val="Sch_40_Dims"/>
      <sheetName val="Hanger_Arm_Tube"/>
      <sheetName val="HILTI HIT-HY 70 0.5"/>
      <sheetName val="HILTI HIT-HY 70 0.625"/>
      <sheetName val="Mounting_Plate_Weld"/>
      <sheetName val="Base_Plate_7-10"/>
      <sheetName val="Flat_Plate_Calcs_7-10"/>
      <sheetName val="Base_Plate_7-05"/>
      <sheetName val="Flat_Plate_Calcs_7-05"/>
      <sheetName val="Bolt_to_Plate"/>
      <sheetName val="SMS Calc"/>
      <sheetName val="Steel Substrate SMS"/>
      <sheetName val="Aluminum Substrate SMS"/>
      <sheetName val="Bearing_Capacity"/>
      <sheetName val="Wood_Bearing"/>
      <sheetName val="HILTI HIT-HY 200"/>
      <sheetName val="HILTI HIT-HY 500"/>
      <sheetName val="0.25 ITW TAPCON"/>
      <sheetName val="Coredrill_ACI"/>
      <sheetName val="Footers"/>
      <sheetName val="Footers_Rebar"/>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ow r="11">
          <cell r="C11">
            <v>45</v>
          </cell>
          <cell r="G11">
            <v>0.40600000000000003</v>
          </cell>
        </row>
        <row r="13">
          <cell r="G13">
            <v>3650</v>
          </cell>
        </row>
        <row r="14">
          <cell r="B14">
            <v>1.5</v>
          </cell>
          <cell r="G14">
            <v>4.5600000000000005</v>
          </cell>
        </row>
        <row r="15">
          <cell r="B15">
            <v>1.5</v>
          </cell>
        </row>
        <row r="19">
          <cell r="G19">
            <v>31</v>
          </cell>
        </row>
        <row r="20">
          <cell r="B20">
            <v>0.25</v>
          </cell>
        </row>
        <row r="23">
          <cell r="C23">
            <v>6</v>
          </cell>
          <cell r="G23">
            <v>0.11774193548387096</v>
          </cell>
        </row>
        <row r="25">
          <cell r="B25">
            <v>0.30931677042652989</v>
          </cell>
        </row>
        <row r="26">
          <cell r="B26">
            <v>0.7260993363185384</v>
          </cell>
        </row>
        <row r="27">
          <cell r="B27">
            <v>7.0556021967385512</v>
          </cell>
        </row>
        <row r="37">
          <cell r="I37">
            <v>1.6</v>
          </cell>
        </row>
        <row r="44">
          <cell r="I44">
            <v>1</v>
          </cell>
        </row>
        <row r="45">
          <cell r="I45">
            <v>1</v>
          </cell>
        </row>
        <row r="46">
          <cell r="I46">
            <v>1</v>
          </cell>
        </row>
        <row r="53">
          <cell r="E53">
            <v>216.28115958823921</v>
          </cell>
        </row>
      </sheetData>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Start"/>
      <sheetName val="Reference"/>
      <sheetName val="Addendum_In_State"/>
      <sheetName val="Addendum_Out_of_State"/>
      <sheetName val="In_State_Notes"/>
      <sheetName val="In_State_Summary"/>
      <sheetName val="Out_of_State_Notes"/>
      <sheetName val="Out_of_State_Summary"/>
      <sheetName val="Snow_Load"/>
      <sheetName val="Loading"/>
      <sheetName val="Decking_7-10"/>
      <sheetName val="Decking_2x6x0.080_7-10"/>
      <sheetName val="Decking_7-05"/>
      <sheetName val="Decking_2x6x0.080_7-05"/>
      <sheetName val="Wet_Beams_7-10"/>
      <sheetName val="Wet_Beams_7-05"/>
      <sheetName val="Wet_Beams_Custom"/>
      <sheetName val="Composite Beam"/>
      <sheetName val="Open Beam Fb"/>
      <sheetName val="Closed Beam Fb"/>
      <sheetName val="Beam_to_Beam"/>
      <sheetName val="Arms_and_Anchors"/>
      <sheetName val="Hanger_Arm_Pipe"/>
      <sheetName val="Sch_40_Dims"/>
      <sheetName val="Hanger_Arm_Tube"/>
      <sheetName val="HILTI HIT-HY 70 0.5"/>
      <sheetName val="HILTI HIT-HY 70 0.625"/>
      <sheetName val="Mounting_Plate_Weld"/>
      <sheetName val="Base_Plate_7-10"/>
      <sheetName val="Flat_Plate_Calcs_7-10"/>
      <sheetName val="Base_Plate_7-05"/>
      <sheetName val="Flat_Plate_Calcs_7-05"/>
      <sheetName val="Bolt_to_Plate"/>
      <sheetName val="SMS Calc"/>
      <sheetName val="Steel Substrate SMS"/>
      <sheetName val="Aluminum Substrate SMS"/>
      <sheetName val="Bearing_Capacity"/>
      <sheetName val="Wood_Bearing"/>
      <sheetName val="HILTI HIT-HY 200"/>
      <sheetName val="HILTI HIT-HY 500"/>
      <sheetName val="0.25 ITW TAPCON"/>
      <sheetName val="Coredrill_ACI"/>
      <sheetName val="Footers"/>
      <sheetName val="Footers_Rebar"/>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ow r="11">
          <cell r="C11">
            <v>45</v>
          </cell>
          <cell r="G11">
            <v>0.40600000000000003</v>
          </cell>
        </row>
        <row r="13">
          <cell r="G13">
            <v>3650</v>
          </cell>
        </row>
        <row r="14">
          <cell r="B14">
            <v>1.5</v>
          </cell>
          <cell r="G14">
            <v>4.5600000000000005</v>
          </cell>
        </row>
        <row r="15">
          <cell r="B15">
            <v>1.5</v>
          </cell>
        </row>
        <row r="19">
          <cell r="G19">
            <v>31</v>
          </cell>
        </row>
        <row r="20">
          <cell r="B20">
            <v>0.25</v>
          </cell>
        </row>
        <row r="23">
          <cell r="C23">
            <v>6</v>
          </cell>
          <cell r="G23">
            <v>0.11774193548387096</v>
          </cell>
        </row>
        <row r="25">
          <cell r="B25">
            <v>0.30931677042652989</v>
          </cell>
        </row>
        <row r="26">
          <cell r="B26">
            <v>0.7260993363185384</v>
          </cell>
        </row>
        <row r="27">
          <cell r="B27">
            <v>7.0556021967385512</v>
          </cell>
        </row>
        <row r="37">
          <cell r="I37">
            <v>1.6</v>
          </cell>
        </row>
        <row r="44">
          <cell r="I44">
            <v>1</v>
          </cell>
        </row>
        <row r="45">
          <cell r="I45">
            <v>1</v>
          </cell>
        </row>
        <row r="46">
          <cell r="I46">
            <v>1</v>
          </cell>
        </row>
        <row r="49">
          <cell r="E49" t="str">
            <v>N/A</v>
          </cell>
        </row>
        <row r="53">
          <cell r="E53">
            <v>216.28115958823921</v>
          </cell>
        </row>
      </sheetData>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sure"/>
      <sheetName val="Load Combination"/>
      <sheetName val="Roof Dead Load"/>
      <sheetName val="Snow Loads (in process)"/>
      <sheetName val="Snow (Lower Roof or Canopy)"/>
      <sheetName val="Tables"/>
    </sheetNames>
    <sheetDataSet>
      <sheetData sheetId="0"/>
      <sheetData sheetId="1" refreshError="1">
        <row r="3">
          <cell r="B3">
            <v>25</v>
          </cell>
        </row>
      </sheetData>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Rect Tube"/>
      <sheetName val="Hanger_Arm"/>
      <sheetName val="Sch. 40 Dims"/>
      <sheetName val="Flat Plate"/>
      <sheetName val="Scenario Summary"/>
      <sheetName val="Scenario Summary 2"/>
      <sheetName val="Angle"/>
      <sheetName val="C-Channel (Strong)"/>
      <sheetName val="C-Channel (Weak)"/>
      <sheetName val="I-Beam (In Progress)"/>
      <sheetName val="Blank"/>
    </sheetNames>
    <sheetDataSet>
      <sheetData sheetId="0" refreshError="1"/>
      <sheetData sheetId="1" refreshError="1"/>
      <sheetData sheetId="2"/>
      <sheetData sheetId="3"/>
      <sheetData sheetId="4" refreshError="1"/>
      <sheetData sheetId="5" refreshError="1"/>
      <sheetData sheetId="6" refreshError="1"/>
      <sheetData sheetId="7"/>
      <sheetData sheetId="8" refreshError="1"/>
      <sheetData sheetId="9">
        <row r="132">
          <cell r="I132">
            <v>19.031260095719972</v>
          </cell>
        </row>
      </sheetData>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ind"/>
      <sheetName val="Arms and Anchors"/>
      <sheetName val="Pics"/>
      <sheetName val="Data"/>
      <sheetName val="Revs"/>
      <sheetName val="Units"/>
    </sheetNames>
    <sheetDataSet>
      <sheetData sheetId="0"/>
      <sheetData sheetId="1"/>
      <sheetData sheetId="2" refreshError="1"/>
      <sheetData sheetId="3" refreshError="1"/>
      <sheetData sheetId="4"/>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table Page"/>
      <sheetName val="Reference"/>
      <sheetName val="GCp_Values"/>
      <sheetName val="_SSC"/>
      <sheetName val="_Options"/>
    </sheetNames>
    <sheetDataSet>
      <sheetData sheetId="0"/>
      <sheetData sheetId="1">
        <row r="8">
          <cell r="O8" t="str">
            <v>B</v>
          </cell>
          <cell r="P8">
            <v>7</v>
          </cell>
          <cell r="Q8">
            <v>1200</v>
          </cell>
          <cell r="R8">
            <v>0.14285714285714285</v>
          </cell>
          <cell r="S8">
            <v>0.84</v>
          </cell>
          <cell r="T8">
            <v>0.25</v>
          </cell>
          <cell r="U8">
            <v>0.45</v>
          </cell>
          <cell r="V8">
            <v>0.3</v>
          </cell>
          <cell r="W8">
            <v>320</v>
          </cell>
          <cell r="X8">
            <v>0.33333333333333331</v>
          </cell>
          <cell r="Y8">
            <v>30</v>
          </cell>
          <cell r="AG8" t="e">
            <v>#N/A</v>
          </cell>
        </row>
        <row r="9">
          <cell r="K9">
            <v>1</v>
          </cell>
          <cell r="O9" t="str">
            <v>C</v>
          </cell>
          <cell r="P9">
            <v>9.5</v>
          </cell>
          <cell r="Q9">
            <v>900</v>
          </cell>
          <cell r="R9">
            <v>0.10526315789473684</v>
          </cell>
          <cell r="S9">
            <v>1</v>
          </cell>
          <cell r="T9">
            <v>0.15384615384615385</v>
          </cell>
          <cell r="U9">
            <v>0.65</v>
          </cell>
          <cell r="V9">
            <v>0.2</v>
          </cell>
          <cell r="W9">
            <v>500</v>
          </cell>
          <cell r="X9">
            <v>0.2</v>
          </cell>
          <cell r="Y9">
            <v>15</v>
          </cell>
          <cell r="AG9" t="e">
            <v>#N/A</v>
          </cell>
        </row>
        <row r="10">
          <cell r="O10" t="str">
            <v>D</v>
          </cell>
          <cell r="P10">
            <v>11.5</v>
          </cell>
          <cell r="Q10">
            <v>700</v>
          </cell>
          <cell r="R10">
            <v>8.6956521739130432E-2</v>
          </cell>
          <cell r="S10">
            <v>1.07</v>
          </cell>
          <cell r="T10">
            <v>0.1111111111111111</v>
          </cell>
          <cell r="U10">
            <v>0.8</v>
          </cell>
          <cell r="V10">
            <v>0.15</v>
          </cell>
          <cell r="W10">
            <v>650</v>
          </cell>
          <cell r="X10">
            <v>0.125</v>
          </cell>
          <cell r="Y10">
            <v>7</v>
          </cell>
        </row>
        <row r="15">
          <cell r="AK15" t="e">
            <v>#N/A</v>
          </cell>
        </row>
      </sheetData>
      <sheetData sheetId="2">
        <row r="3">
          <cell r="AC3" t="str">
            <v>4p</v>
          </cell>
          <cell r="AD3" t="str">
            <v>4n</v>
          </cell>
          <cell r="AE3" t="str">
            <v>5p</v>
          </cell>
          <cell r="AF3" t="str">
            <v>5n</v>
          </cell>
        </row>
        <row r="4">
          <cell r="Y4" t="b">
            <v>1</v>
          </cell>
          <cell r="Z4" t="b">
            <v>0</v>
          </cell>
          <cell r="AC4" t="str">
            <v>GCp_Values!TableWalls</v>
          </cell>
          <cell r="AD4" t="str">
            <v>GCp_Values!TableWalls</v>
          </cell>
          <cell r="AE4" t="str">
            <v>GCp_Values!TableWalls</v>
          </cell>
          <cell r="AF4" t="str">
            <v>GCp_Values!TableWalls</v>
          </cell>
        </row>
        <row r="5">
          <cell r="Y5" t="str">
            <v>GCp_Values!MRH60_Walls</v>
          </cell>
          <cell r="Z5">
            <v>0</v>
          </cell>
          <cell r="AC5">
            <v>0</v>
          </cell>
          <cell r="AD5">
            <v>1</v>
          </cell>
          <cell r="AE5">
            <v>2</v>
          </cell>
          <cell r="AF5">
            <v>3</v>
          </cell>
        </row>
        <row r="6">
          <cell r="Y6">
            <v>16</v>
          </cell>
          <cell r="Z6">
            <v>21</v>
          </cell>
        </row>
        <row r="7">
          <cell r="Y7" t="str">
            <v>=COLUMN(GCp_Values!P9)</v>
          </cell>
          <cell r="Z7" t="str">
            <v>=COLUMN(GCp_Values!U9)</v>
          </cell>
        </row>
      </sheetData>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Reference"/>
      <sheetName val="GCp_Values"/>
      <sheetName val="Outputs"/>
      <sheetName val="XL2CAD"/>
      <sheetName val="Fort_Lauderdale"/>
      <sheetName val="PrintPage"/>
      <sheetName val="ProdMullDBRef"/>
      <sheetName val="ProjectClientBillquickDB"/>
      <sheetName val="PrintDPOnly"/>
      <sheetName val="DP_Interpolation"/>
      <sheetName val="Location_Lookup"/>
      <sheetName val="Dashboard"/>
    </sheetNames>
    <sheetDataSet>
      <sheetData sheetId="0">
        <row r="27">
          <cell r="C27" t="str">
            <v>Sebastian Mariani</v>
          </cell>
        </row>
        <row r="28">
          <cell r="C28" t="str">
            <v>1601 S. Ocean Drive, #906</v>
          </cell>
        </row>
        <row r="29">
          <cell r="C29" t="str">
            <v xml:space="preserve">Hollywwod </v>
          </cell>
        </row>
        <row r="30">
          <cell r="C30" t="str">
            <v>FL</v>
          </cell>
        </row>
        <row r="31">
          <cell r="C31" t="str">
            <v>Ro-Pat Home Improvement, Inc.</v>
          </cell>
        </row>
        <row r="32">
          <cell r="C32" t="str">
            <v xml:space="preserve">4050 NE 5th Ter. </v>
          </cell>
        </row>
        <row r="33">
          <cell r="C33" t="str">
            <v>Oakland Park</v>
          </cell>
        </row>
        <row r="34">
          <cell r="C34" t="str">
            <v>FL</v>
          </cell>
        </row>
        <row r="35">
          <cell r="C35" t="str">
            <v>(954) 565-6360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Information"/>
      <sheetName val="Reference"/>
      <sheetName val="GCp_Values"/>
      <sheetName val="_SSC"/>
      <sheetName val="_Options"/>
    </sheetNames>
    <sheetDataSet>
      <sheetData sheetId="0"/>
      <sheetData sheetId="1"/>
      <sheetData sheetId="2"/>
      <sheetData sheetId="3"/>
      <sheetData sheetId="4"/>
      <sheetData sheetId="5">
        <row r="1">
          <cell r="DV1" t="str">
            <v>B</v>
          </cell>
          <cell r="DW1" t="str">
            <v>Enclosed</v>
          </cell>
          <cell r="DX1">
            <v>0.85</v>
          </cell>
          <cell r="DY1" t="str">
            <v>Monoslope</v>
          </cell>
          <cell r="EA1" t="str">
            <v>Y</v>
          </cell>
          <cell r="ED1" t="str">
            <v>AL</v>
          </cell>
          <cell r="EG1" t="str">
            <v>AL</v>
          </cell>
          <cell r="EQ1" t="str">
            <v>NO</v>
          </cell>
          <cell r="ES1" t="str">
            <v>NO</v>
          </cell>
        </row>
        <row r="2">
          <cell r="DV2" t="str">
            <v>C</v>
          </cell>
          <cell r="DW2" t="str">
            <v>Partially enclosed</v>
          </cell>
          <cell r="DX2">
            <v>1</v>
          </cell>
          <cell r="DY2" t="str">
            <v>Gable</v>
          </cell>
          <cell r="EA2" t="str">
            <v>N</v>
          </cell>
          <cell r="ED2" t="str">
            <v>AK</v>
          </cell>
          <cell r="EG2" t="str">
            <v>AK</v>
          </cell>
          <cell r="EQ2" t="str">
            <v>YES</v>
          </cell>
          <cell r="ES2" t="str">
            <v>YES</v>
          </cell>
        </row>
        <row r="3">
          <cell r="DV3" t="str">
            <v>D</v>
          </cell>
          <cell r="DY3" t="str">
            <v>Multispan Gbale</v>
          </cell>
          <cell r="ED3" t="str">
            <v>AZ</v>
          </cell>
          <cell r="EG3" t="str">
            <v>AZ</v>
          </cell>
        </row>
        <row r="4">
          <cell r="DY4" t="str">
            <v>Hip</v>
          </cell>
          <cell r="ED4" t="str">
            <v>AR</v>
          </cell>
          <cell r="EG4" t="str">
            <v>AR</v>
          </cell>
        </row>
        <row r="5">
          <cell r="DY5" t="str">
            <v>Sawtooth</v>
          </cell>
          <cell r="ED5" t="str">
            <v>CA</v>
          </cell>
          <cell r="EG5" t="str">
            <v>CA</v>
          </cell>
        </row>
        <row r="6">
          <cell r="ED6" t="str">
            <v>CO</v>
          </cell>
          <cell r="EG6" t="str">
            <v>CO</v>
          </cell>
        </row>
        <row r="7">
          <cell r="ED7" t="str">
            <v>CT</v>
          </cell>
          <cell r="EG7" t="str">
            <v>CT</v>
          </cell>
        </row>
        <row r="8">
          <cell r="ED8" t="str">
            <v>DE</v>
          </cell>
          <cell r="EG8" t="str">
            <v>DE</v>
          </cell>
        </row>
        <row r="9">
          <cell r="ED9" t="str">
            <v>FL</v>
          </cell>
          <cell r="EG9" t="str">
            <v>FL</v>
          </cell>
        </row>
        <row r="10">
          <cell r="ED10" t="str">
            <v>GA</v>
          </cell>
          <cell r="EG10" t="str">
            <v>GA</v>
          </cell>
        </row>
        <row r="11">
          <cell r="ED11" t="str">
            <v>HI</v>
          </cell>
          <cell r="EG11" t="str">
            <v>HI</v>
          </cell>
        </row>
        <row r="12">
          <cell r="ED12" t="str">
            <v>ID</v>
          </cell>
          <cell r="EG12" t="str">
            <v>ID</v>
          </cell>
        </row>
        <row r="13">
          <cell r="ED13" t="str">
            <v>IL</v>
          </cell>
          <cell r="EG13" t="str">
            <v>IL</v>
          </cell>
        </row>
        <row r="14">
          <cell r="ED14" t="str">
            <v>IN</v>
          </cell>
          <cell r="EG14" t="str">
            <v>IN</v>
          </cell>
        </row>
        <row r="15">
          <cell r="ED15" t="str">
            <v xml:space="preserve">IA </v>
          </cell>
          <cell r="EG15" t="str">
            <v xml:space="preserve">IA </v>
          </cell>
        </row>
        <row r="16">
          <cell r="ED16" t="str">
            <v>KS</v>
          </cell>
          <cell r="EG16" t="str">
            <v>KS</v>
          </cell>
        </row>
        <row r="17">
          <cell r="ED17" t="str">
            <v>KY</v>
          </cell>
          <cell r="EG17" t="str">
            <v>KY</v>
          </cell>
        </row>
        <row r="18">
          <cell r="ED18" t="str">
            <v>LA</v>
          </cell>
          <cell r="EG18" t="str">
            <v>LA</v>
          </cell>
        </row>
        <row r="19">
          <cell r="ED19" t="str">
            <v>ME</v>
          </cell>
          <cell r="EG19" t="str">
            <v>ME</v>
          </cell>
        </row>
        <row r="20">
          <cell r="ED20" t="str">
            <v>MD</v>
          </cell>
          <cell r="EG20" t="str">
            <v>MD</v>
          </cell>
        </row>
        <row r="21">
          <cell r="ED21" t="str">
            <v>MA</v>
          </cell>
          <cell r="EG21" t="str">
            <v>MA</v>
          </cell>
        </row>
        <row r="22">
          <cell r="ED22" t="str">
            <v>MI</v>
          </cell>
          <cell r="EG22" t="str">
            <v>MI</v>
          </cell>
        </row>
        <row r="23">
          <cell r="ED23" t="str">
            <v>MN</v>
          </cell>
          <cell r="EG23" t="str">
            <v>MN</v>
          </cell>
        </row>
        <row r="24">
          <cell r="ED24" t="str">
            <v>MS</v>
          </cell>
          <cell r="EG24" t="str">
            <v>MS</v>
          </cell>
        </row>
        <row r="25">
          <cell r="ED25" t="str">
            <v>MO</v>
          </cell>
          <cell r="EG25" t="str">
            <v>MO</v>
          </cell>
        </row>
        <row r="26">
          <cell r="ED26" t="str">
            <v>MT</v>
          </cell>
          <cell r="EG26" t="str">
            <v>MT</v>
          </cell>
        </row>
        <row r="27">
          <cell r="ED27" t="str">
            <v>NE</v>
          </cell>
          <cell r="EG27" t="str">
            <v>NE</v>
          </cell>
        </row>
        <row r="28">
          <cell r="ED28" t="str">
            <v>NV</v>
          </cell>
          <cell r="EG28" t="str">
            <v>NV</v>
          </cell>
        </row>
        <row r="29">
          <cell r="ED29" t="str">
            <v>NH</v>
          </cell>
          <cell r="EG29" t="str">
            <v>NH</v>
          </cell>
        </row>
        <row r="30">
          <cell r="ED30" t="str">
            <v>NJ</v>
          </cell>
          <cell r="EG30" t="str">
            <v>NJ</v>
          </cell>
        </row>
        <row r="31">
          <cell r="ED31" t="str">
            <v>NM</v>
          </cell>
          <cell r="EG31" t="str">
            <v>NM</v>
          </cell>
        </row>
        <row r="32">
          <cell r="ED32" t="str">
            <v>NY</v>
          </cell>
          <cell r="EG32" t="str">
            <v>NY</v>
          </cell>
        </row>
        <row r="33">
          <cell r="ED33" t="str">
            <v>NC</v>
          </cell>
          <cell r="EG33" t="str">
            <v>NC</v>
          </cell>
        </row>
        <row r="34">
          <cell r="ED34" t="str">
            <v>ND</v>
          </cell>
          <cell r="EG34" t="str">
            <v>ND</v>
          </cell>
        </row>
        <row r="35">
          <cell r="ED35" t="str">
            <v>OH</v>
          </cell>
          <cell r="EG35" t="str">
            <v>OH</v>
          </cell>
        </row>
        <row r="36">
          <cell r="ED36" t="str">
            <v>OK</v>
          </cell>
          <cell r="EG36" t="str">
            <v>OK</v>
          </cell>
        </row>
        <row r="37">
          <cell r="ED37" t="str">
            <v>PA</v>
          </cell>
          <cell r="EG37" t="str">
            <v>PA</v>
          </cell>
        </row>
        <row r="38">
          <cell r="ED38" t="str">
            <v>RI</v>
          </cell>
          <cell r="EG38" t="str">
            <v>RI</v>
          </cell>
        </row>
        <row r="39">
          <cell r="ED39" t="str">
            <v>SC</v>
          </cell>
          <cell r="EG39" t="str">
            <v>SC</v>
          </cell>
        </row>
        <row r="40">
          <cell r="ED40" t="str">
            <v>SD</v>
          </cell>
          <cell r="EG40" t="str">
            <v>SD</v>
          </cell>
        </row>
        <row r="41">
          <cell r="ED41" t="str">
            <v>TN</v>
          </cell>
          <cell r="EG41" t="str">
            <v>TN</v>
          </cell>
        </row>
        <row r="42">
          <cell r="ED42" t="str">
            <v>TX</v>
          </cell>
          <cell r="EG42" t="str">
            <v>TX</v>
          </cell>
        </row>
        <row r="43">
          <cell r="ED43" t="str">
            <v>UT</v>
          </cell>
          <cell r="EG43" t="str">
            <v>UT</v>
          </cell>
        </row>
        <row r="44">
          <cell r="ED44" t="str">
            <v>VT</v>
          </cell>
          <cell r="EG44" t="str">
            <v>VT</v>
          </cell>
        </row>
        <row r="45">
          <cell r="ED45" t="str">
            <v>VA</v>
          </cell>
          <cell r="EG45" t="str">
            <v>VA</v>
          </cell>
        </row>
        <row r="46">
          <cell r="ED46" t="str">
            <v>WA</v>
          </cell>
          <cell r="EG46" t="str">
            <v>WA</v>
          </cell>
        </row>
        <row r="47">
          <cell r="ED47" t="str">
            <v>WV</v>
          </cell>
          <cell r="EG47" t="str">
            <v>WV</v>
          </cell>
        </row>
        <row r="48">
          <cell r="ED48" t="str">
            <v>WI</v>
          </cell>
          <cell r="EG48" t="str">
            <v>WI</v>
          </cell>
        </row>
        <row r="49">
          <cell r="ED49" t="str">
            <v>WY</v>
          </cell>
          <cell r="EG49" t="str">
            <v>WY</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sh_ram_183_1"/>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sh_ram_186_1"/>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Rect Tube"/>
      <sheetName val="Round Tube"/>
      <sheetName val="Sch. 40 Dims"/>
      <sheetName val="Flat Plate"/>
      <sheetName val="Angle"/>
      <sheetName val="C-Channel"/>
      <sheetName val="I-Beam (In Progress)"/>
      <sheetName val="Blank"/>
    </sheetNames>
    <sheetDataSet>
      <sheetData sheetId="0" refreshError="1"/>
      <sheetData sheetId="1">
        <row r="124">
          <cell r="L124">
            <v>1.65</v>
          </cell>
        </row>
      </sheetData>
      <sheetData sheetId="2"/>
      <sheetData sheetId="3" refreshError="1"/>
      <sheetData sheetId="4" refreshError="1"/>
      <sheetData sheetId="5"/>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th Floor Load"/>
      <sheetName val="11th floor Alum"/>
      <sheetName val="12th Floor Loading"/>
      <sheetName val="Lwer Steel Long"/>
      <sheetName val="Lwer Weld Long "/>
      <sheetName val="Lwer Plate Long"/>
      <sheetName val="Anchors-Lwr Plate Long"/>
      <sheetName val="Lwer Steel Short"/>
      <sheetName val="Lwer Weld Short"/>
      <sheetName val="Lwer Plate Short"/>
      <sheetName val="Anchors-Upr Plate Long"/>
      <sheetName val="Pullover"/>
      <sheetName val="Upr Steel Long"/>
      <sheetName val="Upr Weld Long"/>
      <sheetName val="Upr Plate Long"/>
      <sheetName val="Upr Steel Short"/>
      <sheetName val="Upr Weld Short"/>
      <sheetName val="Upr Pullover"/>
      <sheetName val="Upr Plate Short"/>
    </sheetNames>
    <sheetDataSet>
      <sheetData sheetId="0" refreshError="1"/>
      <sheetData sheetId="1" refreshError="1"/>
      <sheetData sheetId="2" refreshError="1"/>
      <sheetData sheetId="3">
        <row r="13">
          <cell r="B13">
            <v>36</v>
          </cell>
        </row>
        <row r="14">
          <cell r="B14">
            <v>60</v>
          </cell>
        </row>
        <row r="16">
          <cell r="B16">
            <v>11200</v>
          </cell>
        </row>
        <row r="18">
          <cell r="B18">
            <v>4</v>
          </cell>
        </row>
        <row r="20">
          <cell r="F20">
            <v>0</v>
          </cell>
        </row>
        <row r="24">
          <cell r="B24">
            <v>4.4140625</v>
          </cell>
        </row>
        <row r="25">
          <cell r="B25">
            <v>4.4140625</v>
          </cell>
        </row>
        <row r="26">
          <cell r="B26">
            <v>5.28125</v>
          </cell>
        </row>
        <row r="27">
          <cell r="B27">
            <v>5.28125</v>
          </cell>
        </row>
        <row r="28">
          <cell r="B28">
            <v>3.75</v>
          </cell>
        </row>
        <row r="29">
          <cell r="B29">
            <v>3.75</v>
          </cell>
        </row>
      </sheetData>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Reference"/>
      <sheetName val="GCp_Values"/>
      <sheetName val="Outputs"/>
      <sheetName val="DP_Only"/>
      <sheetName val="XL2CAD"/>
      <sheetName val="DP_Schedule"/>
      <sheetName val="PrintPage"/>
      <sheetName val="DP_Interpolation"/>
      <sheetName val="Custom_Mull"/>
      <sheetName val="ProdMullDBRef"/>
      <sheetName val="Dashboar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
          <cell r="A3" t="str">
            <v>07-1126.01#1</v>
          </cell>
          <cell r="B3" t="str">
            <v>07-1126.01</v>
          </cell>
          <cell r="C3" t="str">
            <v>W/REINFORCEMENTS</v>
          </cell>
          <cell r="D3">
            <v>100</v>
          </cell>
          <cell r="E3">
            <v>120</v>
          </cell>
          <cell r="F3" t="str">
            <v>TYPE B</v>
          </cell>
          <cell r="G3" t="str">
            <v>1/4" ELCO ULTRACON</v>
          </cell>
          <cell r="H3"/>
          <cell r="I3">
            <v>41458</v>
          </cell>
          <cell r="K3" t="str">
            <v>06-0214.02#1</v>
          </cell>
          <cell r="L3" t="str">
            <v>06-0214.02</v>
          </cell>
          <cell r="M3" t="str">
            <v>PROVIDE (4) 1/4" TAPCONS INTO HOST STRUCTURE AND (4) #14 SMS INTO MULL/CLIP PER ANGLE (TYPE B)</v>
          </cell>
          <cell r="N3" t="str">
            <v>1 x 4 x 0.50</v>
          </cell>
          <cell r="O3" t="str">
            <v>(4) 1/4" TAPCONS (TYPE B)</v>
          </cell>
          <cell r="P3" t="str">
            <v>(4) #14 SMS</v>
          </cell>
          <cell r="Q3"/>
          <cell r="R3"/>
        </row>
        <row r="4">
          <cell r="A4" t="str">
            <v>08-0417.06#1</v>
          </cell>
          <cell r="B4" t="str">
            <v>08-0417.06</v>
          </cell>
          <cell r="C4"/>
          <cell r="D4">
            <v>70</v>
          </cell>
          <cell r="E4">
            <v>80</v>
          </cell>
          <cell r="F4" t="str">
            <v>TYPE C1</v>
          </cell>
          <cell r="G4" t="str">
            <v>1/4" TAPCON</v>
          </cell>
          <cell r="H4">
            <v>2007</v>
          </cell>
          <cell r="I4"/>
          <cell r="K4" t="str">
            <v>08-0331.07#1</v>
          </cell>
          <cell r="L4" t="str">
            <v>08-0331.07</v>
          </cell>
          <cell r="M4" t="str">
            <v>PROVIDE (2) 1/4" DIA. TAPCONS INTO HOST STRUCTURE AND (4) #14 SMS INTO MULL/CLIP PER CONNECTION (TYPE A)</v>
          </cell>
          <cell r="N4" t="str">
            <v>1 x 2 x 0.125</v>
          </cell>
          <cell r="O4" t="str">
            <v>(2) 1/4" DIA. TAPCONS</v>
          </cell>
          <cell r="P4" t="str">
            <v>(4) #14 SMS</v>
          </cell>
          <cell r="Q4">
            <v>2004</v>
          </cell>
          <cell r="R4">
            <v>41361</v>
          </cell>
        </row>
        <row r="5">
          <cell r="A5" t="str">
            <v>08-0604.03#1</v>
          </cell>
          <cell r="B5" t="str">
            <v>08-0604.03</v>
          </cell>
          <cell r="C5" t="str">
            <v>SINGLE MODULE, ALUMINUM</v>
          </cell>
          <cell r="D5">
            <v>100</v>
          </cell>
          <cell r="E5">
            <v>100</v>
          </cell>
          <cell r="F5" t="str">
            <v>TYPE B</v>
          </cell>
          <cell r="G5" t="str">
            <v>1/4" ELCO ULTRACON</v>
          </cell>
          <cell r="H5">
            <v>2007</v>
          </cell>
          <cell r="I5">
            <v>41598</v>
          </cell>
          <cell r="K5" t="str">
            <v>08-0331.07#2</v>
          </cell>
          <cell r="L5" t="str">
            <v>08-0331.07</v>
          </cell>
          <cell r="M5" t="str">
            <v>PROVIDE (2) 1/4" DIA. TAPCONS INTO HOST STRUCTURE AND (4) #14 SMS INTO MULL/CLIP PER CONNECTION (TYPE A)</v>
          </cell>
          <cell r="N5" t="str">
            <v>1 x 4 x 1/8"</v>
          </cell>
          <cell r="O5" t="str">
            <v>(2) 1/4" DIA. TAPCONS</v>
          </cell>
          <cell r="P5" t="str">
            <v>(4) #14 SMS</v>
          </cell>
          <cell r="Q5">
            <v>2004</v>
          </cell>
          <cell r="R5">
            <v>41361</v>
          </cell>
        </row>
        <row r="6">
          <cell r="A6" t="str">
            <v>08-0709.18#1</v>
          </cell>
          <cell r="B6" t="str">
            <v>08-0709.18</v>
          </cell>
          <cell r="C6"/>
          <cell r="D6">
            <v>60.7</v>
          </cell>
          <cell r="E6">
            <v>76.8</v>
          </cell>
          <cell r="F6" t="str">
            <v>7/16" LAMI</v>
          </cell>
          <cell r="G6" t="str">
            <v>1/4" TAPCON</v>
          </cell>
          <cell r="H6">
            <v>2007</v>
          </cell>
          <cell r="I6">
            <v>41577</v>
          </cell>
          <cell r="K6" t="str">
            <v>09-0128.14#1</v>
          </cell>
          <cell r="L6" t="str">
            <v>09-0128.14</v>
          </cell>
          <cell r="M6" t="str">
            <v>PROVIDE (2) 1/4" HILTI KWIK CON II INTO HOST STRUCTURE AND (4) #14 SMS INTO MULL/CLIP PER CONNECTION (TYPE A2)</v>
          </cell>
          <cell r="N6" t="str">
            <v>1 x 4 STD</v>
          </cell>
          <cell r="O6" t="str">
            <v>(2) 1/4" HILTI KWIK CON II (TYPE A2)</v>
          </cell>
          <cell r="P6" t="str">
            <v>(4) #14 SMS</v>
          </cell>
          <cell r="Q6">
            <v>2004</v>
          </cell>
          <cell r="R6">
            <v>41870</v>
          </cell>
        </row>
        <row r="7">
          <cell r="A7" t="str">
            <v>08-0709.19#1</v>
          </cell>
          <cell r="B7" t="str">
            <v>08-0709.19</v>
          </cell>
          <cell r="C7"/>
          <cell r="D7">
            <v>60.7</v>
          </cell>
          <cell r="E7">
            <v>76.8</v>
          </cell>
          <cell r="F7" t="str">
            <v>7/16" LAMI</v>
          </cell>
          <cell r="G7" t="str">
            <v>1/4" TAPCON</v>
          </cell>
          <cell r="H7">
            <v>2007</v>
          </cell>
          <cell r="I7">
            <v>39751</v>
          </cell>
          <cell r="K7" t="str">
            <v>09-0128.14#2</v>
          </cell>
          <cell r="L7" t="str">
            <v>09-0128.14</v>
          </cell>
          <cell r="M7" t="str">
            <v>PROVIDE (2) 1/4" HILTI KWIK CON II INTO HOST STRUCTURE AND (4) #14 SMS INTO MULL/CLIP PER CONNECTION (TYPE A2)</v>
          </cell>
          <cell r="N7" t="str">
            <v>2 x 4 STD</v>
          </cell>
          <cell r="O7" t="str">
            <v>(2) 1/4" HILTI KWIK CON II (TYPE A2)</v>
          </cell>
          <cell r="P7" t="str">
            <v>(4) #14 SMS</v>
          </cell>
          <cell r="Q7">
            <v>2004</v>
          </cell>
          <cell r="R7">
            <v>41870</v>
          </cell>
        </row>
        <row r="8">
          <cell r="A8" t="str">
            <v>08-0709.21#1</v>
          </cell>
          <cell r="B8" t="str">
            <v>08-0709.21</v>
          </cell>
          <cell r="C8"/>
          <cell r="D8">
            <v>60.7</v>
          </cell>
          <cell r="E8">
            <v>76.8</v>
          </cell>
          <cell r="F8" t="str">
            <v>7/16" LAMI</v>
          </cell>
          <cell r="G8" t="str">
            <v>1/4" TAPCON</v>
          </cell>
          <cell r="H8">
            <v>2004</v>
          </cell>
          <cell r="I8">
            <v>41542</v>
          </cell>
          <cell r="K8" t="str">
            <v>09-0128.14#3</v>
          </cell>
          <cell r="L8" t="str">
            <v>09-0128.14</v>
          </cell>
          <cell r="M8" t="str">
            <v>PROVIDE (4) 1/4" HILTI KWIK CON II INTO HOST STRUCTURE AND (4) #14 SMS INTO MULL/CLIP PER CONNECTION (TYPE A4)</v>
          </cell>
          <cell r="N8" t="str">
            <v>2 x 6 STD</v>
          </cell>
          <cell r="O8" t="str">
            <v>(4) 1/4" HILTI KWIK CON II (TYPE A4)</v>
          </cell>
          <cell r="P8" t="str">
            <v>(4) #14 SMS</v>
          </cell>
          <cell r="Q8">
            <v>2004</v>
          </cell>
          <cell r="R8">
            <v>41870</v>
          </cell>
        </row>
        <row r="9">
          <cell r="A9" t="str">
            <v>08-0709.22#1</v>
          </cell>
          <cell r="B9" t="str">
            <v>08-0709.22</v>
          </cell>
          <cell r="C9"/>
          <cell r="D9">
            <v>60.7</v>
          </cell>
          <cell r="E9">
            <v>76.8</v>
          </cell>
          <cell r="F9" t="str">
            <v>7/16" LAMI</v>
          </cell>
          <cell r="G9" t="str">
            <v>1/4" TAPCON</v>
          </cell>
          <cell r="H9">
            <v>2007</v>
          </cell>
          <cell r="I9">
            <v>41577</v>
          </cell>
          <cell r="K9" t="str">
            <v>09-0128.14#4</v>
          </cell>
          <cell r="L9" t="str">
            <v>09-0128.14</v>
          </cell>
          <cell r="M9" t="str">
            <v>PROVIDE (4) 1/4" HILTI KWIK CON II INTO HOST STRUCTURE AND (4) #14 SMS INTO MULL/CLIP PER CONNECTION (TYPE A4)</v>
          </cell>
          <cell r="N9" t="str">
            <v>1 x 4 STD</v>
          </cell>
          <cell r="O9" t="str">
            <v>(4) 1/4" HILTI KWIK CON II (TYPE A4)</v>
          </cell>
          <cell r="P9" t="str">
            <v>(4) #14 SMS</v>
          </cell>
          <cell r="Q9">
            <v>2004</v>
          </cell>
          <cell r="R9">
            <v>41870</v>
          </cell>
        </row>
        <row r="10">
          <cell r="A10" t="str">
            <v>08-0709.23#1</v>
          </cell>
          <cell r="B10" t="str">
            <v>08-0709.23</v>
          </cell>
          <cell r="C10"/>
          <cell r="D10">
            <v>60.7</v>
          </cell>
          <cell r="E10">
            <v>76.8</v>
          </cell>
          <cell r="F10" t="str">
            <v>7/16" LAMI</v>
          </cell>
          <cell r="G10" t="str">
            <v>1/4" TAPCON</v>
          </cell>
          <cell r="H10">
            <v>2007</v>
          </cell>
          <cell r="I10">
            <v>41577</v>
          </cell>
          <cell r="K10" t="str">
            <v>09-0624.08#1</v>
          </cell>
          <cell r="L10" t="str">
            <v>09-0624.08</v>
          </cell>
          <cell r="M10" t="str">
            <v>PROVIDE (2) 1/4" DIA. ULTRACONS INTO HOST STRUCTURE AND (2) #14 SMS INTO MULL/CLIP PER ANGLE (TYPE C)</v>
          </cell>
          <cell r="N10" t="str">
            <v>2 x 4 x 0.125</v>
          </cell>
          <cell r="O10" t="str">
            <v>(2) 1/4" DIA. ULTRACONS (TYPE C)</v>
          </cell>
          <cell r="P10" t="str">
            <v>(2) #14 SMS</v>
          </cell>
          <cell r="Q10">
            <v>2007</v>
          </cell>
          <cell r="R10">
            <v>40910</v>
          </cell>
        </row>
        <row r="11">
          <cell r="A11" t="str">
            <v>08-0820.12#1</v>
          </cell>
          <cell r="B11" t="str">
            <v>08-0820.12</v>
          </cell>
          <cell r="C11"/>
          <cell r="D11">
            <v>60</v>
          </cell>
          <cell r="E11">
            <v>60</v>
          </cell>
          <cell r="F11" t="str">
            <v>0.34" LAMI</v>
          </cell>
          <cell r="G11" t="str">
            <v>1/4" TAPCON</v>
          </cell>
          <cell r="H11"/>
          <cell r="I11"/>
          <cell r="K11" t="str">
            <v>09-0825.03#1</v>
          </cell>
          <cell r="L11" t="str">
            <v>09-0825.03</v>
          </cell>
          <cell r="M11" t="str">
            <v>PROVIDE (2) 1/4" DIA. ULTRACONS INTO HOST STRUCTURE AND (4) #14 SMS INTO MULL/CLIP PER ANGLE (TYPE C)</v>
          </cell>
          <cell r="N11" t="str">
            <v>1 x 4 STD</v>
          </cell>
          <cell r="O11" t="str">
            <v>(2) 1/4" DIA. ULTRACONS (TYPE C)</v>
          </cell>
          <cell r="P11" t="str">
            <v>(4) #14 SMS</v>
          </cell>
          <cell r="Q11">
            <v>2007</v>
          </cell>
          <cell r="R11">
            <v>41898</v>
          </cell>
        </row>
        <row r="12">
          <cell r="A12" t="str">
            <v>08-1010.02#1</v>
          </cell>
          <cell r="B12" t="str">
            <v>08-1010.02</v>
          </cell>
          <cell r="C12"/>
          <cell r="D12">
            <v>88.2</v>
          </cell>
          <cell r="E12">
            <v>92.5</v>
          </cell>
          <cell r="F12" t="str">
            <v>TYPE 2</v>
          </cell>
          <cell r="G12" t="str">
            <v>1/4" ELCO ULTRACON</v>
          </cell>
          <cell r="H12">
            <v>2007</v>
          </cell>
          <cell r="I12">
            <v>41573</v>
          </cell>
          <cell r="K12" t="str">
            <v>09-0825.03#2</v>
          </cell>
          <cell r="L12" t="str">
            <v>09-0825.03</v>
          </cell>
          <cell r="M12" t="str">
            <v>PROVIDE (2) 1/4" DIA. ULTRACONS INTO HOST STRUCTURE AND (4) #14 SMS INTO MULL/CLIP PER ANGLE (TYPE A)</v>
          </cell>
          <cell r="N12"/>
          <cell r="O12" t="str">
            <v>(2) 1/4" DIA. ULTRACONS (TYPE A)</v>
          </cell>
          <cell r="P12" t="str">
            <v>(4) #14 SMS</v>
          </cell>
          <cell r="Q12">
            <v>2007</v>
          </cell>
          <cell r="R12">
            <v>41898</v>
          </cell>
        </row>
        <row r="13">
          <cell r="A13" t="str">
            <v>08-1010.02#2</v>
          </cell>
          <cell r="B13" t="str">
            <v>08-1010.02</v>
          </cell>
          <cell r="C13"/>
          <cell r="D13">
            <v>110</v>
          </cell>
          <cell r="E13">
            <v>120</v>
          </cell>
          <cell r="F13" t="str">
            <v>TYPE 3</v>
          </cell>
          <cell r="G13" t="str">
            <v>1/4" ELCO ULTRACON</v>
          </cell>
          <cell r="H13">
            <v>2007</v>
          </cell>
          <cell r="I13">
            <v>41573</v>
          </cell>
          <cell r="K13" t="str">
            <v>09-0825.03#3</v>
          </cell>
          <cell r="L13" t="str">
            <v>09-0825.03</v>
          </cell>
          <cell r="M13" t="str">
            <v>PROVIDE (4) 1/4" DIA. ULTRACONS INTO HOST STRUCTURE AND (8) #14 SMS INTO MULL/CLIP PER ANGLE (TYPE D)</v>
          </cell>
          <cell r="N13"/>
          <cell r="O13" t="str">
            <v>(4) 1/4" DIA. ULTRACONS (TYPE D)</v>
          </cell>
          <cell r="P13" t="str">
            <v>(8) #14 SMS</v>
          </cell>
          <cell r="Q13">
            <v>2007</v>
          </cell>
          <cell r="R13">
            <v>41898</v>
          </cell>
        </row>
        <row r="14">
          <cell r="A14" t="str">
            <v>08-1015.05#1</v>
          </cell>
          <cell r="B14" t="str">
            <v>08-1015.05</v>
          </cell>
          <cell r="C14" t="str">
            <v>NOT 2010 FBC APPROVED</v>
          </cell>
          <cell r="D14">
            <v>66.67</v>
          </cell>
          <cell r="E14">
            <v>70</v>
          </cell>
          <cell r="F14" t="str">
            <v>TYPE 1</v>
          </cell>
          <cell r="G14" t="str">
            <v>3/16" ITW TAPCON</v>
          </cell>
          <cell r="H14"/>
          <cell r="I14"/>
          <cell r="K14" t="str">
            <v>09-0825.03#4</v>
          </cell>
          <cell r="L14" t="str">
            <v>09-0825.03</v>
          </cell>
          <cell r="M14" t="str">
            <v>PROVIDE (4) 5/16" DIA. ULTRACONS INTO HOST STRUCTURE AND (8) #14 SMS INTO MULL/CLIP PER ANGLE (TYPE E)</v>
          </cell>
          <cell r="N14" t="str">
            <v>1 x 4 STD</v>
          </cell>
          <cell r="O14" t="str">
            <v>(4) 5/16" DIA. ULTRACONS (TYPE E)</v>
          </cell>
          <cell r="P14" t="str">
            <v>(8) #14 SMS</v>
          </cell>
          <cell r="Q14">
            <v>2007</v>
          </cell>
          <cell r="R14">
            <v>41898</v>
          </cell>
        </row>
        <row r="15">
          <cell r="A15" t="str">
            <v>08-1021.03#1</v>
          </cell>
          <cell r="B15" t="str">
            <v>08-1021.03</v>
          </cell>
          <cell r="C15"/>
          <cell r="D15">
            <v>50</v>
          </cell>
          <cell r="E15">
            <v>50</v>
          </cell>
          <cell r="F15"/>
          <cell r="G15"/>
          <cell r="H15"/>
          <cell r="I15"/>
          <cell r="K15" t="str">
            <v>09-0825.03#5</v>
          </cell>
          <cell r="L15" t="str">
            <v>09-0825.03</v>
          </cell>
          <cell r="M15" t="str">
            <v>PROVIDE (4) 5/16" DIA. ULTRACONS INTO HOST STRUCTURE AND (4) #14 SMS INTO MULL/CLIP PER ANGLE (TYPE E)</v>
          </cell>
          <cell r="N15" t="str">
            <v>1 x 4 CUST</v>
          </cell>
          <cell r="O15" t="str">
            <v>(4) 5/16" DIA. ULTRACONS (TYPE E)</v>
          </cell>
          <cell r="P15" t="str">
            <v>(4) #14 SMS</v>
          </cell>
          <cell r="Q15">
            <v>2007</v>
          </cell>
          <cell r="R15">
            <v>41898</v>
          </cell>
        </row>
        <row r="16">
          <cell r="A16" t="str">
            <v>08-1114.16#1</v>
          </cell>
          <cell r="B16" t="str">
            <v>08-1114.16</v>
          </cell>
          <cell r="C16"/>
          <cell r="D16">
            <v>80</v>
          </cell>
          <cell r="E16">
            <v>80</v>
          </cell>
          <cell r="F16" t="str">
            <v>TYPE A</v>
          </cell>
          <cell r="G16" t="str">
            <v>1/4" ELCO ULTRACON</v>
          </cell>
          <cell r="H16">
            <v>2007</v>
          </cell>
          <cell r="I16">
            <v>41367</v>
          </cell>
          <cell r="K16" t="str">
            <v>09-0825.03#6</v>
          </cell>
          <cell r="L16" t="str">
            <v>09-0825.03</v>
          </cell>
          <cell r="M16" t="str">
            <v>PROVIDE (4) 5/16" DIA. ULTRACONS INTO HOST STRUCTURE AND (4) #14 SMS INTO MULL/CLIP PER ANGLE (TYPE E)</v>
          </cell>
          <cell r="N16" t="str">
            <v>1 x 4 CUST</v>
          </cell>
          <cell r="O16" t="str">
            <v>(4) 5/16" DIA. ULTRACONS (TYPE E)</v>
          </cell>
          <cell r="P16" t="str">
            <v>(4) #14 SMS</v>
          </cell>
          <cell r="Q16">
            <v>2007</v>
          </cell>
          <cell r="R16">
            <v>41898</v>
          </cell>
        </row>
        <row r="17">
          <cell r="A17" t="str">
            <v>08-1114.16#2</v>
          </cell>
          <cell r="B17" t="str">
            <v>08-1114.16</v>
          </cell>
          <cell r="C17"/>
          <cell r="D17">
            <v>119.9</v>
          </cell>
          <cell r="E17">
            <v>119.9</v>
          </cell>
          <cell r="F17" t="str">
            <v>TYPE B</v>
          </cell>
          <cell r="G17" t="str">
            <v>1/4" ELCO ULTRACON</v>
          </cell>
          <cell r="H17">
            <v>2007</v>
          </cell>
          <cell r="I17">
            <v>41367</v>
          </cell>
          <cell r="K17" t="str">
            <v>09-0825.03#7</v>
          </cell>
          <cell r="L17" t="str">
            <v>09-0825.03</v>
          </cell>
          <cell r="M17" t="str">
            <v>PROVIDE (2) 1/4" DIA. ULTRACONS INTO HOST STRUCTURE AND (4) #14 SMS INTO MULL/CLIP PER ANGLE (TYPE C)</v>
          </cell>
          <cell r="N17" t="str">
            <v>1 x 4 CUST</v>
          </cell>
          <cell r="O17" t="str">
            <v>(2) 1/4" DIA. ULTRACONS (TYPE C)</v>
          </cell>
          <cell r="P17" t="str">
            <v>(4) #14 SMS</v>
          </cell>
          <cell r="Q17">
            <v>2007</v>
          </cell>
          <cell r="R17">
            <v>41898</v>
          </cell>
        </row>
        <row r="18">
          <cell r="A18" t="str">
            <v>08-1114.16#3</v>
          </cell>
          <cell r="B18" t="str">
            <v>08-1114.16</v>
          </cell>
          <cell r="C18"/>
          <cell r="D18">
            <v>122</v>
          </cell>
          <cell r="E18">
            <v>122</v>
          </cell>
          <cell r="F18" t="str">
            <v>TYPE B</v>
          </cell>
          <cell r="G18" t="str">
            <v>1/4" ELCO ULTRACON</v>
          </cell>
          <cell r="H18">
            <v>2007</v>
          </cell>
          <cell r="I18">
            <v>41367</v>
          </cell>
          <cell r="K18" t="str">
            <v>09-0825.03#8</v>
          </cell>
          <cell r="L18" t="str">
            <v>09-0825.03</v>
          </cell>
          <cell r="M18" t="str">
            <v>PROVIDE (2) 1/4" DIA. ULTRACONS INTO HOST STRUCTURE AND (4) #14 SMS INTO MULL/CLIP PER ANGLE (TYPE C)</v>
          </cell>
          <cell r="N18" t="str">
            <v>2 x 4 STD</v>
          </cell>
          <cell r="O18" t="str">
            <v>(2) 1/4" DIA. ULTRACONS (TYPE C)</v>
          </cell>
          <cell r="P18" t="str">
            <v>(4) #14 SMS</v>
          </cell>
          <cell r="Q18">
            <v>2007</v>
          </cell>
          <cell r="R18">
            <v>41898</v>
          </cell>
        </row>
        <row r="19">
          <cell r="A19" t="str">
            <v>08-1114.16#4</v>
          </cell>
          <cell r="B19" t="str">
            <v>08-1114.16</v>
          </cell>
          <cell r="C19"/>
          <cell r="D19">
            <v>107.5</v>
          </cell>
          <cell r="E19">
            <v>107.5</v>
          </cell>
          <cell r="F19" t="str">
            <v>TYPE B</v>
          </cell>
          <cell r="G19" t="str">
            <v>1/4" ELCO ULTRACON</v>
          </cell>
          <cell r="H19">
            <v>2007</v>
          </cell>
          <cell r="I19">
            <v>41367</v>
          </cell>
          <cell r="K19" t="str">
            <v>09-0825.03#9</v>
          </cell>
          <cell r="L19" t="str">
            <v>09-0825.03</v>
          </cell>
          <cell r="M19" t="str">
            <v>PROVIDE (4) 5/16" DIA. ULTRACONS INTO HOST STRUCTURE AND (4) #14 SMS INTO MULL/CLIP PER ANGLE (TYPE E)</v>
          </cell>
          <cell r="N19" t="str">
            <v>2 x 5 STD</v>
          </cell>
          <cell r="O19" t="str">
            <v>(4) 5/16" DIA. ULTRACONS (TYPE E)</v>
          </cell>
          <cell r="P19" t="str">
            <v>(4) #14 SMS</v>
          </cell>
          <cell r="Q19">
            <v>2007</v>
          </cell>
          <cell r="R19">
            <v>41898</v>
          </cell>
        </row>
        <row r="20">
          <cell r="A20" t="str">
            <v>09-0210.07#1</v>
          </cell>
          <cell r="B20" t="str">
            <v>09-0210.07</v>
          </cell>
          <cell r="C20" t="str">
            <v>HEAVY REINF'G</v>
          </cell>
          <cell r="D20">
            <v>70</v>
          </cell>
          <cell r="E20">
            <v>80</v>
          </cell>
          <cell r="F20" t="str">
            <v>TYPE B</v>
          </cell>
          <cell r="G20" t="str">
            <v>1/4" ELCO ULTRACON</v>
          </cell>
          <cell r="H20">
            <v>2007</v>
          </cell>
          <cell r="I20">
            <v>41716</v>
          </cell>
          <cell r="K20" t="str">
            <v>09-0825.03#10</v>
          </cell>
          <cell r="L20" t="str">
            <v>09-0825.03</v>
          </cell>
          <cell r="M20" t="str">
            <v>PROVIDE (2) 1/4" DIA. ULTRACONS INTO HOST STRUCTURE AND (4) #14 SMS INTO MULL/CLIP PER ANGLE (TYPE C)</v>
          </cell>
          <cell r="N20" t="str">
            <v>2 x 5 STD</v>
          </cell>
          <cell r="O20" t="str">
            <v>(2) 1/4" DIA. ULTRACONS (TYPE C)</v>
          </cell>
          <cell r="P20" t="str">
            <v>(4) #14 SMS</v>
          </cell>
          <cell r="Q20">
            <v>2007</v>
          </cell>
          <cell r="R20">
            <v>41898</v>
          </cell>
        </row>
        <row r="21">
          <cell r="A21" t="str">
            <v>09-0210.07#2</v>
          </cell>
          <cell r="B21" t="str">
            <v>09-0210.07</v>
          </cell>
          <cell r="C21" t="str">
            <v>HEAVY REINF'G</v>
          </cell>
          <cell r="D21">
            <v>80</v>
          </cell>
          <cell r="E21">
            <v>99.9</v>
          </cell>
          <cell r="F21" t="str">
            <v>TYPE B</v>
          </cell>
          <cell r="G21" t="str">
            <v>1/4" ELCO ULTRACON</v>
          </cell>
          <cell r="H21">
            <v>2007</v>
          </cell>
          <cell r="I21">
            <v>41716</v>
          </cell>
          <cell r="K21" t="str">
            <v>09-0825.03#11</v>
          </cell>
          <cell r="L21" t="str">
            <v>09-0825.03</v>
          </cell>
          <cell r="M21" t="str">
            <v>PROVIDE (4) 5/16" DIA. ULTRACONS INTO HOST STRUCTURE AND (8) #14 SMS INTO MULL/CLIP PER ANGLE (TYPE E)</v>
          </cell>
          <cell r="N21" t="str">
            <v>2 x 6 HEAVY</v>
          </cell>
          <cell r="O21" t="str">
            <v>(4) 5/16" DIA. ULTRACONS (TYPE E)</v>
          </cell>
          <cell r="P21" t="str">
            <v>(8) #14 SMS</v>
          </cell>
          <cell r="Q21">
            <v>2007</v>
          </cell>
          <cell r="R21">
            <v>41898</v>
          </cell>
        </row>
        <row r="22">
          <cell r="A22" t="str">
            <v>09-0310.05#1</v>
          </cell>
          <cell r="B22" t="str">
            <v>09-0310.05</v>
          </cell>
          <cell r="C22"/>
          <cell r="D22">
            <v>100</v>
          </cell>
          <cell r="E22">
            <v>140</v>
          </cell>
          <cell r="F22" t="str">
            <v>TYPE B</v>
          </cell>
          <cell r="G22" t="str">
            <v>1/4" ELCO ULTRACON</v>
          </cell>
          <cell r="H22">
            <v>2007</v>
          </cell>
          <cell r="I22">
            <v>41800</v>
          </cell>
          <cell r="K22" t="str">
            <v>10-0406.03#1</v>
          </cell>
          <cell r="L22" t="str">
            <v>10-0406.03</v>
          </cell>
          <cell r="M22" t="str">
            <v>PROVIDE (2) 3/16" ITW TAPCONS INTO HOST STRUCTURE / (4) #10 FLATHEAD SDS (PER VALID PRODUCT APPROVAL)</v>
          </cell>
          <cell r="N22" t="str">
            <v>1 x 3 T/C-CLIP</v>
          </cell>
          <cell r="O22" t="str">
            <v>(2) 3/16" ITW TAPCONS</v>
          </cell>
          <cell r="P22" t="str">
            <v>(4) #10 FLATHEAD SDS</v>
          </cell>
          <cell r="Q22">
            <v>2010</v>
          </cell>
          <cell r="R22">
            <v>42269</v>
          </cell>
        </row>
        <row r="23">
          <cell r="A23" t="str">
            <v>09-0310.05#2</v>
          </cell>
          <cell r="B23" t="str">
            <v>09-0310.05</v>
          </cell>
          <cell r="C23"/>
          <cell r="D23">
            <v>75</v>
          </cell>
          <cell r="E23">
            <v>85</v>
          </cell>
          <cell r="F23" t="str">
            <v>TYPE A</v>
          </cell>
          <cell r="G23" t="str">
            <v>1/4" ELCO ULTRACON</v>
          </cell>
          <cell r="H23">
            <v>2007</v>
          </cell>
          <cell r="I23">
            <v>41800</v>
          </cell>
          <cell r="K23" t="str">
            <v>10-0819.05#1</v>
          </cell>
          <cell r="L23" t="str">
            <v>10-0819.05</v>
          </cell>
          <cell r="M23" t="str">
            <v>PROVIDE (4) 1/4" DIA. ELCO ULTRACONS INTO HOST STRUCTURE (TYPE C)</v>
          </cell>
          <cell r="N23" t="str">
            <v>1 x 2 x 0.125</v>
          </cell>
          <cell r="O23" t="str">
            <v>(4) 1/4" DIA. ELCO ULTRACONS (TYPE C)</v>
          </cell>
          <cell r="P23"/>
          <cell r="Q23"/>
          <cell r="R23"/>
        </row>
        <row r="24">
          <cell r="A24" t="str">
            <v>09-0319.06#1</v>
          </cell>
          <cell r="B24" t="str">
            <v>09-0319.06</v>
          </cell>
          <cell r="C24" t="str">
            <v>W/REINFORCEMENTS, IMPACT</v>
          </cell>
          <cell r="D24">
            <v>72</v>
          </cell>
          <cell r="E24">
            <v>72</v>
          </cell>
          <cell r="F24" t="str">
            <v>TYPE A</v>
          </cell>
          <cell r="G24" t="str">
            <v>1/4" ELCO ULTRACON</v>
          </cell>
          <cell r="H24">
            <v>2007</v>
          </cell>
          <cell r="I24">
            <v>41716</v>
          </cell>
          <cell r="K24" t="str">
            <v>10-0930.06#1</v>
          </cell>
          <cell r="L24" t="str">
            <v>10-0930.06</v>
          </cell>
          <cell r="M24" t="str">
            <v>PROVIDE (2) 1/4" ITW TAPCONS INTO HOST STRUCTURE AND (2) #14 SMS INTO MULL/CLIP PER ANGLE (TYPE A2)</v>
          </cell>
          <cell r="N24" t="str">
            <v>1 x 3 STD</v>
          </cell>
          <cell r="O24" t="str">
            <v>(2) 1/4" ITW TAPCONS (TYPE A2)</v>
          </cell>
          <cell r="P24" t="str">
            <v>(4) #14 SMS</v>
          </cell>
          <cell r="Q24"/>
          <cell r="R24"/>
        </row>
        <row r="25">
          <cell r="A25" t="str">
            <v>09-0422.02#1</v>
          </cell>
          <cell r="B25" t="str">
            <v>09-0422.02</v>
          </cell>
          <cell r="C25" t="str">
            <v>OUTSWING</v>
          </cell>
          <cell r="D25">
            <v>90</v>
          </cell>
          <cell r="E25">
            <v>90</v>
          </cell>
          <cell r="F25" t="str">
            <v>STEEL</v>
          </cell>
          <cell r="G25" t="str">
            <v>3/8" DYNABOLT SLEEVE ANCHOR</v>
          </cell>
          <cell r="H25">
            <v>2007</v>
          </cell>
          <cell r="I25">
            <v>41793</v>
          </cell>
          <cell r="K25" t="str">
            <v>11-0922.01#1</v>
          </cell>
          <cell r="L25" t="str">
            <v>11-0922.01</v>
          </cell>
          <cell r="M25" t="str">
            <v>PROVIDE (4) 1/4" DIA. ELCO ULTRACONS INTO HOST STRUCTURE SPACED 3" O.C./ (2) 2" x 5" ANGLE CLIPS (FIG. 3) (PER VALID PRODUCT APPROVAL)</v>
          </cell>
          <cell r="N25" t="str">
            <v>1 x 3.125 x 0.50</v>
          </cell>
          <cell r="O25" t="str">
            <v>(4) 1/4" DIA. ELCO ULTRACONS</v>
          </cell>
          <cell r="P25" t="str">
            <v>(2) 2" x 5" ANGLE CLIPS</v>
          </cell>
          <cell r="Q25">
            <v>2010</v>
          </cell>
          <cell r="R25">
            <v>42516</v>
          </cell>
        </row>
        <row r="26">
          <cell r="A26" t="str">
            <v>09-0505.01#1</v>
          </cell>
          <cell r="B26" t="str">
            <v>09-0505.01</v>
          </cell>
          <cell r="C26"/>
          <cell r="D26">
            <v>62</v>
          </cell>
          <cell r="E26">
            <v>62</v>
          </cell>
          <cell r="F26" t="str">
            <v>5/16 LAMINATED</v>
          </cell>
          <cell r="G26" t="str">
            <v>1/4" TAPCON</v>
          </cell>
          <cell r="H26">
            <v>2007</v>
          </cell>
          <cell r="I26">
            <v>41350</v>
          </cell>
          <cell r="K26" t="str">
            <v>11-0922.01#2</v>
          </cell>
          <cell r="L26" t="str">
            <v>11-0922.01</v>
          </cell>
          <cell r="M26" t="str">
            <v>PROVIDE (4) 1/4" DIA. ELCO ULTRACONS INTO HOST STRUCTURE SPACED 3" O.C./ (2) 2" x 5" ANGLE CLIPS (FIG. 3) (PER VALID PRODUCT APPROVAL)</v>
          </cell>
          <cell r="N26" t="str">
            <v>1 x 2.75 x 0.375</v>
          </cell>
          <cell r="O26" t="str">
            <v>(4) 1/4" DIA. ELCO ULTRACONS</v>
          </cell>
          <cell r="P26" t="str">
            <v>(2) 2" x 5" ANGLE CLIPS</v>
          </cell>
          <cell r="Q26">
            <v>2010</v>
          </cell>
          <cell r="R26">
            <v>42516</v>
          </cell>
        </row>
        <row r="27">
          <cell r="A27" t="str">
            <v>09-0812.09#1</v>
          </cell>
          <cell r="B27" t="str">
            <v>09-0812.09</v>
          </cell>
          <cell r="C27" t="str">
            <v>ALUMINUM</v>
          </cell>
          <cell r="D27">
            <v>106.7</v>
          </cell>
          <cell r="E27">
            <v>140</v>
          </cell>
          <cell r="F27" t="str">
            <v>TYPE B</v>
          </cell>
          <cell r="G27" t="str">
            <v>1/4" HILTI KWIK-CON II</v>
          </cell>
          <cell r="H27">
            <v>2007</v>
          </cell>
          <cell r="I27">
            <v>42178</v>
          </cell>
          <cell r="K27" t="str">
            <v>11-0922.01#3</v>
          </cell>
          <cell r="L27" t="str">
            <v>11-0922.01</v>
          </cell>
          <cell r="M27" t="str">
            <v>PROVIDE (4) 1/4" DIA. ELCO ULTRACONS INTO HOST STRUCTURE SPACED 3" O.C./ (2) 2" x 5" ANGLE CLIPS (FIG. 5) (PER VALID PRODUCT APPROVAL)</v>
          </cell>
          <cell r="N27" t="str">
            <v>1 x 4 x 0.125</v>
          </cell>
          <cell r="O27" t="str">
            <v>(4) 1/4" ELCO ULTRACONS</v>
          </cell>
          <cell r="P27" t="str">
            <v>(2) 2" x 5" ANGLE CLIPS</v>
          </cell>
          <cell r="Q27">
            <v>2010</v>
          </cell>
          <cell r="R27">
            <v>42516</v>
          </cell>
        </row>
        <row r="28">
          <cell r="A28" t="str">
            <v>09-0812.09#2</v>
          </cell>
          <cell r="B28" t="str">
            <v>09-0812.09</v>
          </cell>
          <cell r="C28" t="str">
            <v>ALUMINUM</v>
          </cell>
          <cell r="D28">
            <v>100</v>
          </cell>
          <cell r="E28">
            <v>135</v>
          </cell>
          <cell r="F28" t="str">
            <v>TYPE B</v>
          </cell>
          <cell r="G28" t="str">
            <v>1/4" HILTI KWIK-CON II</v>
          </cell>
          <cell r="H28">
            <v>2007</v>
          </cell>
          <cell r="I28">
            <v>42178</v>
          </cell>
          <cell r="K28" t="str">
            <v>11-0922.01#4</v>
          </cell>
          <cell r="L28" t="str">
            <v>11-0922.01</v>
          </cell>
          <cell r="M28" t="str">
            <v>PROVIDE (4) 1/4" DIA. ELCO ULTRACONS INTO HOST STRUCTURE SPACED 3" O.C./ (2) 2" x 5" ANGLE CLIPS (FIG. 5) (PER VALID PRODUCT APPROVAL)</v>
          </cell>
          <cell r="N28" t="str">
            <v>2 x 4 x 0.25</v>
          </cell>
          <cell r="O28" t="str">
            <v>(4) 1/4" ELCO ULTRACONS</v>
          </cell>
          <cell r="P28" t="str">
            <v>(2) 2" x 5" ANGLE CLIPS</v>
          </cell>
          <cell r="Q28">
            <v>2010</v>
          </cell>
          <cell r="R28">
            <v>42516</v>
          </cell>
        </row>
        <row r="29">
          <cell r="A29" t="str">
            <v>09-0826.10#1</v>
          </cell>
          <cell r="B29" t="str">
            <v>09-0826.10</v>
          </cell>
          <cell r="C29" t="str">
            <v>W/WO REINFORCEMENTS</v>
          </cell>
          <cell r="D29">
            <v>60</v>
          </cell>
          <cell r="E29">
            <v>60</v>
          </cell>
          <cell r="F29" t="str">
            <v>TYPE G3</v>
          </cell>
          <cell r="G29" t="str">
            <v>1/4" ELCO ULTRACON</v>
          </cell>
          <cell r="H29"/>
          <cell r="I29"/>
          <cell r="K29" t="str">
            <v>11-0922.01#5</v>
          </cell>
          <cell r="L29" t="str">
            <v>11-0922.01</v>
          </cell>
          <cell r="M29" t="str">
            <v>PROVIDE (4) 1/4" DIA. ELCO ULTRACONS INTO HOST STRUCTURE SPACED 3" O.C./ (2) 2" x 5" ANGLE CLIPS (FIG. 5) (PER VALID PRODUCT APPROVAL)</v>
          </cell>
          <cell r="N29" t="str">
            <v>1 x 4 x 0.375</v>
          </cell>
          <cell r="O29" t="str">
            <v>(4) 1/4" ELCO ULTRACONS</v>
          </cell>
          <cell r="P29" t="str">
            <v>(2) 2" x 5" ANGLE CLIPS</v>
          </cell>
          <cell r="Q29">
            <v>2010</v>
          </cell>
          <cell r="R29">
            <v>42516</v>
          </cell>
        </row>
        <row r="30">
          <cell r="A30" t="str">
            <v>09-1008.02#1</v>
          </cell>
          <cell r="B30" t="str">
            <v>09-1008.02</v>
          </cell>
          <cell r="C30" t="str">
            <v>LATCHES AT BOTTOM RAIL, EQUAL LITES</v>
          </cell>
          <cell r="D30">
            <v>80</v>
          </cell>
          <cell r="E30">
            <v>120</v>
          </cell>
          <cell r="F30" t="str">
            <v>TYPE A</v>
          </cell>
          <cell r="G30" t="str">
            <v>1/4" ELCO ULTRACON</v>
          </cell>
          <cell r="H30">
            <v>2007</v>
          </cell>
          <cell r="I30">
            <v>42227</v>
          </cell>
          <cell r="K30" t="str">
            <v>11-0922.01#6</v>
          </cell>
          <cell r="L30" t="str">
            <v>11-0922.01</v>
          </cell>
          <cell r="M30" t="str">
            <v>PROVIDE (4) 1/4" DIA. ELCO ULTRACONS INTO HOST STRUCTURE SPACED 2.25" O.C./ STANDARD CLIP (FIG. 3) (PER VALID PRODUCT APPROVAL)</v>
          </cell>
          <cell r="N30" t="str">
            <v>1 x 4 x 0.125</v>
          </cell>
          <cell r="O30" t="str">
            <v>(4) 1/4" ELCO ULTRACONS</v>
          </cell>
          <cell r="P30" t="str">
            <v>STANDARD CLIP</v>
          </cell>
          <cell r="Q30">
            <v>2010</v>
          </cell>
          <cell r="R30">
            <v>42516</v>
          </cell>
        </row>
        <row r="31">
          <cell r="A31" t="str">
            <v>09-1008.02#2</v>
          </cell>
          <cell r="B31" t="str">
            <v>09-1008.02</v>
          </cell>
          <cell r="C31" t="str">
            <v>LATCHES AT BOTTOM RAIL, EQUAL LITES</v>
          </cell>
          <cell r="D31">
            <v>80</v>
          </cell>
          <cell r="E31">
            <v>140</v>
          </cell>
          <cell r="F31" t="str">
            <v>TYPE B</v>
          </cell>
          <cell r="G31" t="str">
            <v>1/4" ELCO ULTRACON</v>
          </cell>
          <cell r="H31">
            <v>2007</v>
          </cell>
          <cell r="I31">
            <v>42227</v>
          </cell>
          <cell r="K31" t="str">
            <v>11-0922.01#7</v>
          </cell>
          <cell r="L31" t="str">
            <v>11-0922.01</v>
          </cell>
          <cell r="M31" t="str">
            <v>PROVIDE (4) 1/4" DIA. ELCO ULTRACONS INTO HOST STRUCTURE SPACED 2.25" O.C./ STANDARD CLIP (FIG. 3) (PER VALID PRODUCT APPROVAL)</v>
          </cell>
          <cell r="N31" t="str">
            <v>1 x 4 x 0.375</v>
          </cell>
          <cell r="O31" t="str">
            <v>(4) 1/4" ELCO ULTRACONS</v>
          </cell>
          <cell r="P31" t="str">
            <v>STANDARD CLIP</v>
          </cell>
          <cell r="Q31">
            <v>2010</v>
          </cell>
          <cell r="R31">
            <v>42516</v>
          </cell>
        </row>
        <row r="32">
          <cell r="A32" t="str">
            <v>09-1008.02#3</v>
          </cell>
          <cell r="B32" t="str">
            <v>09-1008.02</v>
          </cell>
          <cell r="C32" t="str">
            <v>LATCHES AT BOTTOM RAIL, EQUAL LITES</v>
          </cell>
          <cell r="D32">
            <v>80</v>
          </cell>
          <cell r="E32">
            <v>117.5</v>
          </cell>
          <cell r="F32" t="str">
            <v>TYPE A</v>
          </cell>
          <cell r="G32" t="str">
            <v>1/4" ELCO ULTRACON</v>
          </cell>
          <cell r="H32">
            <v>2007</v>
          </cell>
          <cell r="I32">
            <v>42227</v>
          </cell>
          <cell r="K32" t="str">
            <v>11-0922.01#8</v>
          </cell>
          <cell r="L32" t="str">
            <v>11-0922.01</v>
          </cell>
          <cell r="M32" t="str">
            <v>PROVIDE (6) 3/16" DIA. ELCO ULTRACONS INTO HOST STRUCTURE SPACED 1.71" O.C./ STANDARD CLIP (FIG. 4) (PER VALID PRODUCT APPROVAL)</v>
          </cell>
          <cell r="N32" t="str">
            <v>2 x 4 x 0.25</v>
          </cell>
          <cell r="O32" t="str">
            <v>(6) 3/16" ELCO ULTRACONS</v>
          </cell>
          <cell r="P32" t="str">
            <v>STANDARD CLIP</v>
          </cell>
          <cell r="Q32">
            <v>2010</v>
          </cell>
          <cell r="R32">
            <v>42516</v>
          </cell>
        </row>
        <row r="33">
          <cell r="A33" t="str">
            <v>09-1008.03#1</v>
          </cell>
          <cell r="B33" t="str">
            <v>09-1008.03</v>
          </cell>
          <cell r="C33"/>
          <cell r="D33">
            <v>100</v>
          </cell>
          <cell r="E33">
            <v>140</v>
          </cell>
          <cell r="F33" t="str">
            <v>TYPE B</v>
          </cell>
          <cell r="G33" t="str">
            <v>1/4" ELCO ULTRACON</v>
          </cell>
          <cell r="H33"/>
          <cell r="I33"/>
          <cell r="K33" t="str">
            <v>11-0922.01#9</v>
          </cell>
          <cell r="L33" t="str">
            <v>11-0922.01</v>
          </cell>
          <cell r="M33" t="str">
            <v>PROVIDE (4) 1/4" DIA. ELCO ULTRACONS INTO HOST STRUCTURE SPACED 3" O.C./ (2) 2" x 5" ANGLE CLIPS (FIG. 3) (PER VALID PRODUCT APPROVAL)</v>
          </cell>
          <cell r="N33" t="str">
            <v>1 x 2 x .125</v>
          </cell>
          <cell r="O33" t="str">
            <v>(4) 1/4" DIA. ELCO ULTRACONS</v>
          </cell>
          <cell r="P33" t="str">
            <v>(2) 2" x 5" ANGLE CLIPS</v>
          </cell>
          <cell r="Q33">
            <v>2010</v>
          </cell>
          <cell r="R33">
            <v>42516</v>
          </cell>
        </row>
        <row r="34">
          <cell r="A34" t="str">
            <v>09-1008.04#1</v>
          </cell>
          <cell r="B34" t="str">
            <v>09-1008.04</v>
          </cell>
          <cell r="C34" t="str">
            <v>ALUMINUM</v>
          </cell>
          <cell r="D34">
            <v>82</v>
          </cell>
          <cell r="E34">
            <v>82</v>
          </cell>
          <cell r="F34" t="str">
            <v>TYPE A</v>
          </cell>
          <cell r="G34" t="str">
            <v>1/4" ELCO ULTRACON</v>
          </cell>
          <cell r="H34">
            <v>2007</v>
          </cell>
          <cell r="I34">
            <v>42045</v>
          </cell>
          <cell r="K34" t="str">
            <v>11-0922.01#10</v>
          </cell>
          <cell r="L34" t="str">
            <v>11-0922.01</v>
          </cell>
          <cell r="M34" t="str">
            <v>PROVIDE (4) 1/4" DIA. ELCO ULTRACONS INTO HOST STRUCTURE SPACED 3.5" MIN. O.C./ (2) 2" x 5" ANGLE CLIPS (FIG. 2) (PER VALID PRODUCT APPROVAL)</v>
          </cell>
          <cell r="N34" t="str">
            <v>3.25" X 45 DEG</v>
          </cell>
          <cell r="O34" t="str">
            <v>(4) 1/4" DIA. ELCO ULTRACONS</v>
          </cell>
          <cell r="P34" t="str">
            <v>(2) 2" x 5" ANGLE CLIPS</v>
          </cell>
          <cell r="Q34">
            <v>2010</v>
          </cell>
          <cell r="R34">
            <v>42516</v>
          </cell>
        </row>
        <row r="35">
          <cell r="A35" t="str">
            <v>09-1008.05#1</v>
          </cell>
          <cell r="B35" t="str">
            <v>09-1008.05</v>
          </cell>
          <cell r="C35" t="str">
            <v>STD. SILL</v>
          </cell>
          <cell r="D35">
            <v>70</v>
          </cell>
          <cell r="E35">
            <v>90</v>
          </cell>
          <cell r="F35" t="str">
            <v>TYPE C</v>
          </cell>
          <cell r="G35" t="str">
            <v>1/4" ELCO ULTRACON</v>
          </cell>
          <cell r="H35">
            <v>2007</v>
          </cell>
          <cell r="I35">
            <v>41584</v>
          </cell>
          <cell r="K35" t="str">
            <v>11-0922.01#11</v>
          </cell>
          <cell r="L35" t="str">
            <v>11-0922.01</v>
          </cell>
          <cell r="M35" t="str">
            <v>PROVIDE (4) 1/4" DIA. ELCO ULTRACONS INTO HOST STRUCTURE SPACED 4.68" O.C./ STANDARD CLIP (FIG. 3) (PER VALID PRODUCT APPROVAL)</v>
          </cell>
          <cell r="N35" t="str">
            <v>2 x 6 x .25</v>
          </cell>
          <cell r="O35" t="str">
            <v>(4) 1/4" DIA. ELCO ULTRACONS</v>
          </cell>
          <cell r="P35" t="str">
            <v>STANDARD CLIP</v>
          </cell>
          <cell r="Q35">
            <v>2010</v>
          </cell>
          <cell r="R35">
            <v>42516</v>
          </cell>
        </row>
        <row r="36">
          <cell r="A36" t="str">
            <v>09-1008.06#1</v>
          </cell>
          <cell r="B36" t="str">
            <v>09-1008.06</v>
          </cell>
          <cell r="C36"/>
          <cell r="D36">
            <v>70</v>
          </cell>
          <cell r="E36">
            <v>90</v>
          </cell>
          <cell r="F36" t="str">
            <v>TYPE B1</v>
          </cell>
          <cell r="G36" t="str">
            <v>1/4" ELCO ULTRACON</v>
          </cell>
          <cell r="H36"/>
          <cell r="I36"/>
          <cell r="K36" t="str">
            <v>11-0922.01#12</v>
          </cell>
          <cell r="L36" t="str">
            <v>11-0922.01</v>
          </cell>
          <cell r="M36" t="str">
            <v>PROVIDE (4) 1/4" DIA. ELCO ULTRACONS INTO HOST STRUCTURE SPACED 3.5" MIN. O.C./ (2) 2" x 5" ANGLE CLIPS (FIG. 2) (PER VALID PRODUCT APPROVAL)</v>
          </cell>
          <cell r="N36" t="str">
            <v>3.25" X 30 DEG</v>
          </cell>
          <cell r="O36" t="str">
            <v>(4) 1/4" DIA. ELCO ULTRACONS</v>
          </cell>
          <cell r="P36" t="str">
            <v>(2) 2" x 5" ANGLE CLIPS</v>
          </cell>
          <cell r="Q36">
            <v>2010</v>
          </cell>
          <cell r="R36">
            <v>42516</v>
          </cell>
        </row>
        <row r="37">
          <cell r="A37" t="str">
            <v>09-1209.05#1</v>
          </cell>
          <cell r="B37" t="str">
            <v>09-1209.05</v>
          </cell>
          <cell r="C37" t="str">
            <v>W/O REINFORCEMENTS</v>
          </cell>
          <cell r="D37">
            <v>120</v>
          </cell>
          <cell r="E37">
            <v>123.5</v>
          </cell>
          <cell r="F37" t="str">
            <v>TYPE 3</v>
          </cell>
          <cell r="G37" t="str">
            <v>1/4" ELCO ULTRACON</v>
          </cell>
          <cell r="H37">
            <v>2007</v>
          </cell>
          <cell r="I37">
            <v>41086</v>
          </cell>
          <cell r="K37" t="str">
            <v>11-0922.01#13</v>
          </cell>
          <cell r="L37" t="str">
            <v>11-0922.01</v>
          </cell>
          <cell r="M37" t="str">
            <v>PROVIDE (2) 1/4" DIA. ELCO ULTRACONS INTO HOST STRUCTURE SPACED 4.75" O.C./ STANDARD CLIP (FIG. 1 or 2) (PER VALID PRODUCT APPROVAL)</v>
          </cell>
          <cell r="N37" t="str">
            <v>1 x 4 x 0.125</v>
          </cell>
          <cell r="O37" t="str">
            <v>(2) 1/4" ELCO ULTRACONS</v>
          </cell>
          <cell r="P37" t="str">
            <v>STANDARD CLIP</v>
          </cell>
          <cell r="Q37">
            <v>2010</v>
          </cell>
          <cell r="R37">
            <v>42516</v>
          </cell>
        </row>
        <row r="38">
          <cell r="A38" t="str">
            <v>09-1217.02#1</v>
          </cell>
          <cell r="B38" t="str">
            <v>09-1217.02</v>
          </cell>
          <cell r="C38"/>
          <cell r="D38">
            <v>85</v>
          </cell>
          <cell r="E38">
            <v>131.1</v>
          </cell>
          <cell r="F38" t="str">
            <v>TYPE A</v>
          </cell>
          <cell r="G38" t="str">
            <v>1/4" ELCO ULTRACON</v>
          </cell>
          <cell r="H38">
            <v>2007</v>
          </cell>
          <cell r="I38">
            <v>41074</v>
          </cell>
          <cell r="K38" t="str">
            <v>11-0922.01#14</v>
          </cell>
          <cell r="L38" t="str">
            <v>11-0922.01</v>
          </cell>
          <cell r="M38" t="str">
            <v>PROVIDE (2) 1/4" DIA. ELCO ULTRACONS INTO HOST STRUCTURE SPACED 4.75" O.C./ STANDARD CLIP (FIG. 1) (PER VALID PRODUCT APPROVAL)</v>
          </cell>
          <cell r="N38" t="str">
            <v>1 x 2.75 x 0.650</v>
          </cell>
          <cell r="O38" t="str">
            <v>(2) 1/4" ELCO ULTRACONS</v>
          </cell>
          <cell r="P38" t="str">
            <v>STANDARD CLIP</v>
          </cell>
          <cell r="Q38">
            <v>2010</v>
          </cell>
          <cell r="R38">
            <v>42516</v>
          </cell>
        </row>
        <row r="39">
          <cell r="A39" t="str">
            <v>09-1217.02#2</v>
          </cell>
          <cell r="B39" t="str">
            <v>09-1217.02</v>
          </cell>
          <cell r="C39"/>
          <cell r="D39">
            <v>85</v>
          </cell>
          <cell r="E39">
            <v>100</v>
          </cell>
          <cell r="F39" t="str">
            <v>TYPE A</v>
          </cell>
          <cell r="G39" t="str">
            <v>1/4" ELCO ULTRACON</v>
          </cell>
          <cell r="H39">
            <v>2007</v>
          </cell>
          <cell r="I39">
            <v>41074</v>
          </cell>
          <cell r="K39" t="str">
            <v>11-0922.01#15</v>
          </cell>
          <cell r="L39" t="str">
            <v>11-0922.01</v>
          </cell>
          <cell r="M39" t="str">
            <v>PROVIDE (2) 1/4" DIA. ELCO ULTRACONS INTO HOST STRUCTURE SPACED 4.75" O.C./ STANDARD CLIP (FIG. 1) (PER VALID PRODUCT APPROVAL)</v>
          </cell>
          <cell r="N39" t="str">
            <v>1 x 2.75 x 0.375</v>
          </cell>
          <cell r="O39" t="str">
            <v>(2) 1/4" ELCO ULTRACONS</v>
          </cell>
          <cell r="P39" t="str">
            <v>STANDARD CLIP</v>
          </cell>
          <cell r="Q39">
            <v>2010</v>
          </cell>
          <cell r="R39">
            <v>42516</v>
          </cell>
        </row>
        <row r="40">
          <cell r="A40" t="str">
            <v>09-1217.02#3</v>
          </cell>
          <cell r="B40" t="str">
            <v>09-1217.02</v>
          </cell>
          <cell r="C40"/>
          <cell r="D40">
            <v>85</v>
          </cell>
          <cell r="E40">
            <v>140</v>
          </cell>
          <cell r="F40" t="str">
            <v>TYPE A</v>
          </cell>
          <cell r="G40" t="str">
            <v>1/4" ELCO ULTRACON</v>
          </cell>
          <cell r="H40">
            <v>2007</v>
          </cell>
          <cell r="I40">
            <v>41074</v>
          </cell>
          <cell r="K40" t="str">
            <v>11-0922.01#16</v>
          </cell>
          <cell r="L40" t="str">
            <v>11-0922.01</v>
          </cell>
          <cell r="M40" t="str">
            <v>PROVIDE (4) 1/4" DIA. ELCO ULTRACONS INTO HOST STRUCTURE SPACED 2.68" O.C./ STANDARD CLIP (FIG. 3) (PER VALID PRODUCT APPROVAL)</v>
          </cell>
          <cell r="N40" t="str">
            <v>2 x 4 x .25</v>
          </cell>
          <cell r="O40" t="str">
            <v>(4) 1/4" DIA. ELCO ULTRACONS</v>
          </cell>
          <cell r="P40" t="str">
            <v>STANDARD CLIP</v>
          </cell>
          <cell r="Q40">
            <v>2010</v>
          </cell>
          <cell r="R40">
            <v>42516</v>
          </cell>
        </row>
        <row r="41">
          <cell r="A41" t="str">
            <v>09-1217.02#4</v>
          </cell>
          <cell r="B41" t="str">
            <v>09-1217.02</v>
          </cell>
          <cell r="C41"/>
          <cell r="D41">
            <v>85</v>
          </cell>
          <cell r="E41">
            <v>119.5</v>
          </cell>
          <cell r="F41" t="str">
            <v>TYPE A</v>
          </cell>
          <cell r="G41" t="str">
            <v>1/4" ELCO ULTRACON</v>
          </cell>
          <cell r="H41">
            <v>2007</v>
          </cell>
          <cell r="I41">
            <v>41074</v>
          </cell>
          <cell r="K41" t="str">
            <v>11-0922.01#17</v>
          </cell>
          <cell r="L41" t="str">
            <v>11-0922.01</v>
          </cell>
          <cell r="M41" t="str">
            <v>PROVIDE (4) 1/4" DIA. ELCO ULTRACONS INTO HOST STRUCTURE SPACED 3" O.C./ (2) 2" x 5" ANGLE CLIPS (FIG. 5) (PER VALID PRODUCT APPROVAL)</v>
          </cell>
          <cell r="N41" t="str">
            <v>1 x 4 x 0.25</v>
          </cell>
          <cell r="O41" t="str">
            <v>(4) 1/4" ITW TAPCONS</v>
          </cell>
          <cell r="P41" t="str">
            <v>(2) 2" x 5" ANGLE CLIPS</v>
          </cell>
          <cell r="Q41">
            <v>2010</v>
          </cell>
          <cell r="R41">
            <v>42516</v>
          </cell>
        </row>
        <row r="42">
          <cell r="A42" t="str">
            <v>09-1217.03#1</v>
          </cell>
          <cell r="B42" t="str">
            <v>09-1217.03</v>
          </cell>
          <cell r="C42" t="str">
            <v>W/WO SIDELITES</v>
          </cell>
          <cell r="D42">
            <v>70</v>
          </cell>
          <cell r="E42">
            <v>80</v>
          </cell>
          <cell r="F42" t="str">
            <v>TYPE C</v>
          </cell>
          <cell r="G42" t="str">
            <v>1/4" ELCO ULTRACON</v>
          </cell>
          <cell r="H42"/>
          <cell r="I42">
            <v>41898</v>
          </cell>
          <cell r="K42" t="str">
            <v>11-0922.01#18</v>
          </cell>
          <cell r="L42" t="str">
            <v>11-0922.01</v>
          </cell>
          <cell r="M42" t="str">
            <v>PROVIDE (4) 1/4" DIA. ELCO ULTRACONS INTO HOST STRUCTURE SPACED 3" O.C./ (2) 2" x 5" ANGLE CLIPS (FIG. 3) (PER VALID PRODUCT APPROVAL)</v>
          </cell>
          <cell r="N42" t="str">
            <v>1 x 2 x 0.125</v>
          </cell>
          <cell r="O42" t="str">
            <v>(4) 1/4" ELCO ULTRACONS</v>
          </cell>
          <cell r="P42" t="str">
            <v>(2) 2" x 5" ANGLE CLIPS</v>
          </cell>
          <cell r="Q42">
            <v>2010</v>
          </cell>
          <cell r="R42">
            <v>42516</v>
          </cell>
        </row>
        <row r="43">
          <cell r="A43" t="str">
            <v>09-1217.03#2</v>
          </cell>
          <cell r="B43" t="str">
            <v>09-1217.03</v>
          </cell>
          <cell r="C43" t="str">
            <v>W/WO SIDELITES</v>
          </cell>
          <cell r="D43">
            <v>100</v>
          </cell>
          <cell r="E43">
            <v>120</v>
          </cell>
          <cell r="F43" t="str">
            <v>TYPE E</v>
          </cell>
          <cell r="G43" t="str">
            <v>1/4" ELCO ULTRACON</v>
          </cell>
          <cell r="H43"/>
          <cell r="I43">
            <v>41898</v>
          </cell>
          <cell r="K43" t="str">
            <v>11-1031.07#1</v>
          </cell>
          <cell r="L43" t="str">
            <v>11-1031.07</v>
          </cell>
          <cell r="M43" t="str">
            <v>PROVIDE (4) 1/4" DIA. ELCO ULTRACONS INTO HOST STRUCTURE SPACED 3" O.C.</v>
          </cell>
          <cell r="N43" t="str">
            <v>1 x 4 STD</v>
          </cell>
          <cell r="O43" t="str">
            <v>(4) 1/4" ELCO ULTRACONS</v>
          </cell>
          <cell r="P43" t="str">
            <v>-</v>
          </cell>
          <cell r="Q43">
            <v>2010</v>
          </cell>
          <cell r="R43">
            <v>42269</v>
          </cell>
        </row>
        <row r="44">
          <cell r="A44" t="str">
            <v>09-1217.03#3</v>
          </cell>
          <cell r="B44" t="str">
            <v>09-1217.03</v>
          </cell>
          <cell r="C44" t="str">
            <v>W/WO SIDELITES</v>
          </cell>
          <cell r="D44">
            <v>90</v>
          </cell>
          <cell r="E44">
            <v>90</v>
          </cell>
          <cell r="F44" t="str">
            <v>TYPE C</v>
          </cell>
          <cell r="G44" t="str">
            <v>1/4" ELCO ULTRACON</v>
          </cell>
          <cell r="H44"/>
          <cell r="I44">
            <v>41898</v>
          </cell>
          <cell r="K44" t="str">
            <v>11-1031.07#2</v>
          </cell>
          <cell r="L44" t="str">
            <v>11-1031.07</v>
          </cell>
          <cell r="M44" t="str">
            <v>PROVIDE (4) 1/4" DIA. ELCO ULTRACONS INTO HOST STRUCTURE SPACED 3" O.C.</v>
          </cell>
          <cell r="N44" t="str">
            <v>1 x 3 STD</v>
          </cell>
          <cell r="O44" t="str">
            <v>(4) 1/4" ELCO ULTRACONS</v>
          </cell>
          <cell r="P44" t="str">
            <v>-</v>
          </cell>
          <cell r="Q44">
            <v>2010</v>
          </cell>
          <cell r="R44">
            <v>42269</v>
          </cell>
        </row>
        <row r="45">
          <cell r="A45" t="str">
            <v>09-1217.04#1</v>
          </cell>
          <cell r="B45" t="str">
            <v>09-1217.04</v>
          </cell>
          <cell r="C45"/>
          <cell r="D45">
            <v>53.33</v>
          </cell>
          <cell r="E45">
            <v>62</v>
          </cell>
          <cell r="F45" t="str">
            <v>0.340" LAMI</v>
          </cell>
          <cell r="G45" t="str">
            <v>1/4" TAPCON</v>
          </cell>
          <cell r="H45"/>
          <cell r="I45"/>
          <cell r="K45" t="str">
            <v>11-1031.07#3</v>
          </cell>
          <cell r="L45" t="str">
            <v>11-1031.07</v>
          </cell>
          <cell r="M45" t="str">
            <v>PROVIDE (4) 1/4" DIA. ELCO ULTRACONS INTO HOST STRUCTURE SPACED 3" O.C.</v>
          </cell>
          <cell r="N45" t="str">
            <v>1 x 2-1/2 STD</v>
          </cell>
          <cell r="O45" t="str">
            <v>(4) 1/4" ELCO ULTRACONS</v>
          </cell>
          <cell r="P45" t="str">
            <v>-</v>
          </cell>
          <cell r="Q45">
            <v>2010</v>
          </cell>
          <cell r="R45">
            <v>42269</v>
          </cell>
        </row>
        <row r="46">
          <cell r="A46" t="str">
            <v>09-1217.05#1</v>
          </cell>
          <cell r="B46" t="str">
            <v>09-1217.05</v>
          </cell>
          <cell r="C46"/>
          <cell r="D46">
            <v>90</v>
          </cell>
          <cell r="E46">
            <v>90</v>
          </cell>
          <cell r="F46" t="str">
            <v>5/8"</v>
          </cell>
          <cell r="G46" t="str">
            <v>1/4" TAPCON</v>
          </cell>
          <cell r="H46"/>
          <cell r="I46"/>
          <cell r="K46" t="str">
            <v>11-1213.07#1</v>
          </cell>
          <cell r="L46" t="str">
            <v>11-1213.07</v>
          </cell>
          <cell r="M46" t="str">
            <v>PROVIDE (4) 1/4" ITW TAPCONS INTO HOST STRUCTURE AND (4) #14 SMS INTO MULL/CLIP PER CONNECTION (TYPE A4)</v>
          </cell>
          <cell r="N46" t="str">
            <v>1 x 4 STD</v>
          </cell>
          <cell r="O46" t="str">
            <v>(4) 1/4" ITW TAPCONS (TYPE A4)</v>
          </cell>
          <cell r="P46" t="str">
            <v>(4) #14 SMS</v>
          </cell>
          <cell r="Q46">
            <v>2010</v>
          </cell>
          <cell r="R46">
            <v>42728</v>
          </cell>
        </row>
        <row r="47">
          <cell r="A47" t="str">
            <v>10-0112.04#1</v>
          </cell>
          <cell r="B47" t="str">
            <v>10-0112.04</v>
          </cell>
          <cell r="C47" t="str">
            <v>NON-REINFORCED WITH 2-1/4" SILL RISER</v>
          </cell>
          <cell r="D47">
            <v>60</v>
          </cell>
          <cell r="E47">
            <v>90</v>
          </cell>
          <cell r="F47" t="str">
            <v>TYPE A</v>
          </cell>
          <cell r="G47" t="str">
            <v>1/4" ELCO SS4 CRETE-FLEX</v>
          </cell>
          <cell r="H47"/>
          <cell r="I47"/>
          <cell r="K47" t="str">
            <v>11-1213.07#2</v>
          </cell>
          <cell r="L47" t="str">
            <v>11-1213.07</v>
          </cell>
          <cell r="M47" t="str">
            <v>PROVIDE (4) 1/4" TAPCONS INTO HOST STRUCTURE AND (2) #14 SMS INTO MULL/CLIP PER ANGLE (TYPE A)</v>
          </cell>
          <cell r="N47" t="str">
            <v>1 x 4 STD</v>
          </cell>
          <cell r="O47" t="str">
            <v>(4) 1/4" TAPCONS (TYPE A)</v>
          </cell>
          <cell r="P47" t="str">
            <v>(2) #14 SMS</v>
          </cell>
          <cell r="Q47">
            <v>2010</v>
          </cell>
          <cell r="R47">
            <v>42728</v>
          </cell>
        </row>
        <row r="48">
          <cell r="A48" t="str">
            <v>10-0121.10#1</v>
          </cell>
          <cell r="B48" t="str">
            <v>10-0121.10</v>
          </cell>
          <cell r="C48" t="str">
            <v>WO TRANSOM</v>
          </cell>
          <cell r="D48">
            <v>100</v>
          </cell>
          <cell r="E48">
            <v>100</v>
          </cell>
          <cell r="F48" t="str">
            <v>LOCK OPTION 2</v>
          </cell>
          <cell r="G48" t="str">
            <v>1/4" ELCO ULTRACON</v>
          </cell>
          <cell r="H48"/>
          <cell r="I48"/>
          <cell r="K48" t="str">
            <v>11-1213.07#3</v>
          </cell>
          <cell r="L48" t="str">
            <v>11-1213.07</v>
          </cell>
          <cell r="M48" t="str">
            <v>PROVIDE (2) 1/4" TAPCONS INTO HOST STRUCTURE AND (2) #14 SMS INTO MULL/CLIP PER ANGLE (TYPE AA2)</v>
          </cell>
          <cell r="N48" t="str">
            <v>1 x 4 STD</v>
          </cell>
          <cell r="O48" t="str">
            <v>(2) 1/4" TAPCONS (TYPE AA2)</v>
          </cell>
          <cell r="P48" t="str">
            <v>(2) #14 SMS</v>
          </cell>
          <cell r="Q48">
            <v>2010</v>
          </cell>
          <cell r="R48">
            <v>42728</v>
          </cell>
        </row>
        <row r="49">
          <cell r="A49" t="str">
            <v>10-0202.03#1</v>
          </cell>
          <cell r="B49" t="str">
            <v>10-0202.03</v>
          </cell>
          <cell r="C49"/>
          <cell r="D49">
            <v>90</v>
          </cell>
          <cell r="E49">
            <v>160</v>
          </cell>
          <cell r="F49" t="str">
            <v>TYPE A</v>
          </cell>
          <cell r="G49" t="str">
            <v>1/4" ELCO ULTRACON</v>
          </cell>
          <cell r="H49">
            <v>2007</v>
          </cell>
          <cell r="I49">
            <v>41360</v>
          </cell>
          <cell r="K49" t="str">
            <v>11-1213.07#4</v>
          </cell>
          <cell r="L49" t="str">
            <v>11-1213.07</v>
          </cell>
          <cell r="M49" t="str">
            <v>PROVIDE (2) 1/4" TAPCONS INTO HOST STRUCTURE AND (2) #14 SMS INTO MULL/CLIP PER ANGLE (TYPE AAA2)</v>
          </cell>
          <cell r="N49" t="str">
            <v>1 x 4 STD</v>
          </cell>
          <cell r="O49" t="str">
            <v>(2) 1/4" TAPCONS (TYPE AAA2)</v>
          </cell>
          <cell r="P49" t="str">
            <v>(2) #14 SMS</v>
          </cell>
          <cell r="Q49">
            <v>2010</v>
          </cell>
          <cell r="R49">
            <v>42728</v>
          </cell>
        </row>
        <row r="50">
          <cell r="A50" t="str">
            <v>10-0209.13#1</v>
          </cell>
          <cell r="B50" t="str">
            <v>10-0209.13</v>
          </cell>
          <cell r="C50" t="str">
            <v>REINFORCED WITH 3" SILL RISER</v>
          </cell>
          <cell r="D50">
            <v>80</v>
          </cell>
          <cell r="E50">
            <v>125.7</v>
          </cell>
          <cell r="F50" t="str">
            <v>TYPE A-F</v>
          </cell>
          <cell r="G50" t="str">
            <v>1/4" ITW TAPCON</v>
          </cell>
          <cell r="H50">
            <v>2007</v>
          </cell>
          <cell r="I50">
            <v>42460</v>
          </cell>
          <cell r="K50" t="str">
            <v>12-0127.07#1</v>
          </cell>
          <cell r="L50" t="str">
            <v>12-0127.07</v>
          </cell>
          <cell r="M50" t="str">
            <v>PROVIDE (2) 5/16" TAPCONS INTO HOST STRUCTURE THRU 1X BUCK (TYPE F)</v>
          </cell>
          <cell r="N50" t="str">
            <v>1 x 4 STD TUBE</v>
          </cell>
          <cell r="O50" t="str">
            <v>(2) 5/16" TAPCONS (TYPE F)</v>
          </cell>
          <cell r="P50" t="str">
            <v>-</v>
          </cell>
          <cell r="Q50">
            <v>2010</v>
          </cell>
          <cell r="R50">
            <v>42885</v>
          </cell>
        </row>
        <row r="51">
          <cell r="A51" t="str">
            <v>10-0301.03#1</v>
          </cell>
          <cell r="B51" t="str">
            <v>10-0301.03</v>
          </cell>
          <cell r="C51" t="str">
            <v>ALUMINUM</v>
          </cell>
          <cell r="D51">
            <v>80</v>
          </cell>
          <cell r="E51">
            <v>80</v>
          </cell>
          <cell r="F51" t="str">
            <v>TYPE B</v>
          </cell>
          <cell r="G51" t="str">
            <v>1/4" ELCO ULTRACON</v>
          </cell>
          <cell r="H51">
            <v>2007</v>
          </cell>
          <cell r="I51">
            <v>41560</v>
          </cell>
          <cell r="K51" t="str">
            <v>12-0127.07#2</v>
          </cell>
          <cell r="L51" t="str">
            <v>12-0127.07</v>
          </cell>
          <cell r="M51" t="str">
            <v>PROVIDE (2) 5/16" TAPCONS DIRECT TO HOST STRUCTURE SPACED MIN 3.25" (TYPE F)</v>
          </cell>
          <cell r="N51" t="str">
            <v>1 x 3 STD TUBE</v>
          </cell>
          <cell r="O51" t="str">
            <v>(2) 5/16" TAPCONS (TYPE F)</v>
          </cell>
          <cell r="P51" t="str">
            <v>-</v>
          </cell>
          <cell r="Q51">
            <v>2010</v>
          </cell>
          <cell r="R51">
            <v>42885</v>
          </cell>
        </row>
        <row r="52">
          <cell r="A52" t="str">
            <v>10-0322.11#1</v>
          </cell>
          <cell r="B52" t="str">
            <v>10-0322.11</v>
          </cell>
          <cell r="C52"/>
          <cell r="D52">
            <v>70</v>
          </cell>
          <cell r="E52">
            <v>70</v>
          </cell>
          <cell r="F52" t="str">
            <v>5/16" LAMI</v>
          </cell>
          <cell r="G52" t="str">
            <v>1/4" ELCO ULTRACON</v>
          </cell>
          <cell r="H52"/>
          <cell r="I52"/>
          <cell r="K52" t="str">
            <v>12-0127.07#3</v>
          </cell>
          <cell r="L52" t="str">
            <v>12-0127.07</v>
          </cell>
          <cell r="M52" t="str">
            <v>PROVIDE (2) 5/16" TAPCONS DIRECT TO HOST STRUCTURE (TYPE 'F' FOR BLOCK APPLICATIONS &amp; TYPE 'A' FOR WOOD APPLICATIONS)</v>
          </cell>
          <cell r="N52" t="str">
            <v>2 x 6 STD TUBE</v>
          </cell>
          <cell r="O52" t="str">
            <v xml:space="preserve">(2) 5/16" TAPCONS </v>
          </cell>
          <cell r="P52" t="str">
            <v>-</v>
          </cell>
          <cell r="Q52">
            <v>2010</v>
          </cell>
          <cell r="R52">
            <v>42885</v>
          </cell>
        </row>
        <row r="53">
          <cell r="A53" t="str">
            <v>10-0428.02#1</v>
          </cell>
          <cell r="B53" t="str">
            <v>10-0428.02</v>
          </cell>
          <cell r="C53" t="str">
            <v>W/O SILL ANCHORS</v>
          </cell>
          <cell r="D53">
            <v>49.2</v>
          </cell>
          <cell r="E53">
            <v>49.2</v>
          </cell>
          <cell r="F53" t="str">
            <v>TYPE C</v>
          </cell>
          <cell r="G53" t="str">
            <v>1/4" TAPCON</v>
          </cell>
          <cell r="H53"/>
          <cell r="I53"/>
          <cell r="K53" t="str">
            <v>12-0127.07#4</v>
          </cell>
          <cell r="L53" t="str">
            <v>12-0127.07</v>
          </cell>
          <cell r="M53" t="str">
            <v>PROVIDE (2) 5/16" TAPCONS DIRECT TO HOST STRUCTURE (TYPE F)</v>
          </cell>
          <cell r="N53" t="str">
            <v>2 x 6 STD TUBE</v>
          </cell>
          <cell r="O53" t="str">
            <v>(2) 5/16" TAPCONS (TYPE F)</v>
          </cell>
          <cell r="P53" t="str">
            <v>-</v>
          </cell>
          <cell r="Q53">
            <v>2010</v>
          </cell>
          <cell r="R53">
            <v>42885</v>
          </cell>
        </row>
        <row r="54">
          <cell r="A54" t="str">
            <v>10-0503.02#1</v>
          </cell>
          <cell r="B54" t="str">
            <v>10-0503.02</v>
          </cell>
          <cell r="C54" t="str">
            <v>8'0" OUTSWING GLAZED WOOD WO SIDELITES</v>
          </cell>
          <cell r="D54">
            <v>60</v>
          </cell>
          <cell r="E54">
            <v>60</v>
          </cell>
          <cell r="F54" t="str">
            <v>TYPE A</v>
          </cell>
          <cell r="G54" t="str">
            <v>1/4" ELCO ULTRACON</v>
          </cell>
          <cell r="H54"/>
          <cell r="I54"/>
          <cell r="K54" t="str">
            <v>12-0201.01#1</v>
          </cell>
          <cell r="L54" t="str">
            <v>12-0201.01</v>
          </cell>
          <cell r="M54" t="str">
            <v>PROVIDE (4) 1/4" TAPCONS INTO HOST STRUCTURE AND (2) #14 SMS INTO MULL/CLIP PER ANGLE (TYPE B)</v>
          </cell>
          <cell r="N54" t="str">
            <v>1 x 4</v>
          </cell>
          <cell r="O54" t="str">
            <v>(4) 1/4" TAPCONS (TYPE B)</v>
          </cell>
          <cell r="P54" t="str">
            <v>(4) #14 SMS</v>
          </cell>
          <cell r="Q54">
            <v>2010</v>
          </cell>
          <cell r="R54">
            <v>41299</v>
          </cell>
        </row>
        <row r="55">
          <cell r="A55" t="str">
            <v>10-1025.01#1</v>
          </cell>
          <cell r="B55" t="str">
            <v>10-1025.01</v>
          </cell>
          <cell r="C55"/>
          <cell r="D55">
            <v>65</v>
          </cell>
          <cell r="E55">
            <v>70</v>
          </cell>
          <cell r="F55" t="str">
            <v>TYPE A/B</v>
          </cell>
          <cell r="G55" t="str">
            <v>1/4" ITW TAPCON</v>
          </cell>
          <cell r="H55">
            <v>2010</v>
          </cell>
          <cell r="I55"/>
          <cell r="K55" t="str">
            <v>12-0221.09#1</v>
          </cell>
          <cell r="L55" t="str">
            <v>12-0221.09</v>
          </cell>
          <cell r="M55" t="str">
            <v>PROVIDE (2) 1/4" DIA. ULTRACONS INTO HOST STRUCTURE AND (2) #14 SMS INTO MULL/CLIP PER ANGLE (TYPE A)</v>
          </cell>
          <cell r="N55" t="str">
            <v>1 x 4 STD</v>
          </cell>
          <cell r="O55" t="str">
            <v>(2) 1/4" DIA. ULTRACONS (TYPE A)</v>
          </cell>
          <cell r="P55" t="str">
            <v>(4) #14 SMS</v>
          </cell>
          <cell r="Q55">
            <v>2010</v>
          </cell>
          <cell r="R55">
            <v>43060</v>
          </cell>
        </row>
        <row r="56">
          <cell r="A56" t="str">
            <v>10-1118.02#1</v>
          </cell>
          <cell r="B56" t="str">
            <v>10-1118.02</v>
          </cell>
          <cell r="C56"/>
          <cell r="D56">
            <v>131</v>
          </cell>
          <cell r="E56">
            <v>131</v>
          </cell>
          <cell r="F56" t="str">
            <v>TYPE A</v>
          </cell>
          <cell r="G56" t="str">
            <v>1/4" HILTI KWIK-CON II</v>
          </cell>
          <cell r="H56">
            <v>2007</v>
          </cell>
          <cell r="I56">
            <v>42773</v>
          </cell>
          <cell r="K56" t="str">
            <v>12-0221.09#2</v>
          </cell>
          <cell r="L56" t="str">
            <v>12-0221.09</v>
          </cell>
          <cell r="M56" t="str">
            <v>PROVIDE (2) 1/4" DIA. ULTRACONS INTO HOST STRUCTURE AND (4) #14 SMS INTO MULL/CLIP PER ANGLE (TYPE C)</v>
          </cell>
          <cell r="N56" t="str">
            <v>1 x 4 STD</v>
          </cell>
          <cell r="O56" t="str">
            <v>(2) 1/4" DIA. ULTRACONS (TYPE C)</v>
          </cell>
          <cell r="P56" t="str">
            <v>(4) #14 SMS</v>
          </cell>
          <cell r="Q56">
            <v>2010</v>
          </cell>
          <cell r="R56">
            <v>43060</v>
          </cell>
        </row>
        <row r="57">
          <cell r="A57" t="str">
            <v>10-1203.02#1</v>
          </cell>
          <cell r="B57" t="str">
            <v>10-1203.02</v>
          </cell>
          <cell r="C57" t="str">
            <v>OUTSWING/STEEL</v>
          </cell>
          <cell r="D57">
            <v>65</v>
          </cell>
          <cell r="E57">
            <v>65</v>
          </cell>
          <cell r="F57" t="str">
            <v>N/A</v>
          </cell>
          <cell r="G57" t="str">
            <v>5/16" ELCO ULTRACON</v>
          </cell>
          <cell r="H57">
            <v>2007</v>
          </cell>
          <cell r="I57">
            <v>42199</v>
          </cell>
          <cell r="K57" t="str">
            <v>12-0221.09#3</v>
          </cell>
          <cell r="L57" t="str">
            <v>12-0221.09</v>
          </cell>
          <cell r="M57" t="str">
            <v>PROVIDE (4) 1/4" DIA. ULTRACONS INTO HOST STRUCTURE AND (3) #14 SMS INTO MULL/CLIP PER ANGLE (TYPE D)</v>
          </cell>
          <cell r="N57" t="str">
            <v>1 x 4 CUST</v>
          </cell>
          <cell r="O57" t="str">
            <v>(4) 1/4" DIA. ULTRACONS (TYPE D)</v>
          </cell>
          <cell r="P57" t="str">
            <v>(6) #14 SMS</v>
          </cell>
          <cell r="Q57">
            <v>2010</v>
          </cell>
          <cell r="R57">
            <v>43060</v>
          </cell>
        </row>
        <row r="58">
          <cell r="A58" t="str">
            <v>10-1214.13#1</v>
          </cell>
          <cell r="B58" t="str">
            <v>10-1214.13</v>
          </cell>
          <cell r="C58" t="str">
            <v>ALUMINUM</v>
          </cell>
          <cell r="D58">
            <v>80</v>
          </cell>
          <cell r="E58">
            <v>80</v>
          </cell>
          <cell r="F58" t="str">
            <v>TYPE A</v>
          </cell>
          <cell r="G58" t="str">
            <v>1/4" ELCO ULTRACON</v>
          </cell>
          <cell r="H58">
            <v>2007</v>
          </cell>
          <cell r="I58">
            <v>41647</v>
          </cell>
          <cell r="K58" t="str">
            <v>12-0221.09#4</v>
          </cell>
          <cell r="L58" t="str">
            <v>12-0221.09</v>
          </cell>
          <cell r="M58" t="str">
            <v>PROVIDE (4) 1/4" DIA. ULTRACONS INTO HOST STRUCTURE AND (3) #14 SMS INTO MULL/CLIP PER ANGLE (TYPE D)</v>
          </cell>
          <cell r="N58" t="str">
            <v>2 x 6 STD</v>
          </cell>
          <cell r="O58" t="str">
            <v>(4) 1/4" DIA. ULTRACONS (TYPE D)</v>
          </cell>
          <cell r="P58" t="str">
            <v>(6) #14 SMS</v>
          </cell>
          <cell r="Q58">
            <v>2010</v>
          </cell>
          <cell r="R58">
            <v>43060</v>
          </cell>
        </row>
        <row r="59">
          <cell r="A59" t="str">
            <v>11-0128.03#1</v>
          </cell>
          <cell r="B59" t="str">
            <v>11-0128.03</v>
          </cell>
          <cell r="C59"/>
          <cell r="D59">
            <v>79</v>
          </cell>
          <cell r="E59">
            <v>79</v>
          </cell>
          <cell r="F59" t="str">
            <v>TYPE A</v>
          </cell>
          <cell r="G59" t="str">
            <v>1/4" ELCO TAPCON</v>
          </cell>
          <cell r="H59"/>
          <cell r="I59"/>
          <cell r="K59" t="str">
            <v>12-0221.09#5</v>
          </cell>
          <cell r="L59" t="str">
            <v>12-0221.09</v>
          </cell>
          <cell r="M59" t="str">
            <v>PROVIDE (4) 1/4" DIA. ULTRACONS INTO HOST STRUCTURE AND (3) #14 SMS INTO MULL/CLIP PER ANGLE (TYPE D)</v>
          </cell>
          <cell r="N59" t="str">
            <v>1 x 4 STD</v>
          </cell>
          <cell r="O59" t="str">
            <v>(4) 1/4" DIA. ULTRACONS (TYPE D)</v>
          </cell>
          <cell r="P59" t="str">
            <v>(6) #14 SMS</v>
          </cell>
          <cell r="Q59">
            <v>2010</v>
          </cell>
          <cell r="R59">
            <v>43060</v>
          </cell>
        </row>
        <row r="60">
          <cell r="A60" t="str">
            <v>11-0412.05#1</v>
          </cell>
          <cell r="B60" t="str">
            <v>11-0412.05</v>
          </cell>
          <cell r="C60"/>
          <cell r="D60">
            <v>90</v>
          </cell>
          <cell r="E60">
            <v>100</v>
          </cell>
          <cell r="F60" t="str">
            <v>TYPE C</v>
          </cell>
          <cell r="G60" t="str">
            <v>1/4" ELCO ULTRACON</v>
          </cell>
          <cell r="H60">
            <v>2010</v>
          </cell>
          <cell r="I60">
            <v>41234</v>
          </cell>
          <cell r="K60" t="str">
            <v>12-0221.09#6</v>
          </cell>
          <cell r="L60" t="str">
            <v>12-0221.09</v>
          </cell>
          <cell r="M60" t="str">
            <v>PROVIDE (4) 1/4" DIA. ULTRACONS INTO HOST STRUCTURE AND (3) #14 SMS INTO MULL/CLIP PER ANGLE (TYPE D)</v>
          </cell>
          <cell r="N60" t="str">
            <v>2 x 4 STD</v>
          </cell>
          <cell r="O60" t="str">
            <v>(4) 1/4" DIA. ULTRACONS (TYPE D)</v>
          </cell>
          <cell r="P60" t="str">
            <v>(6) #14 SMS</v>
          </cell>
          <cell r="Q60">
            <v>2010</v>
          </cell>
          <cell r="R60">
            <v>43060</v>
          </cell>
        </row>
        <row r="61">
          <cell r="A61" t="str">
            <v>11-0412.05#2</v>
          </cell>
          <cell r="B61" t="str">
            <v>11-0412.05</v>
          </cell>
          <cell r="C61"/>
          <cell r="D61">
            <v>120</v>
          </cell>
          <cell r="E61">
            <v>120</v>
          </cell>
          <cell r="F61" t="str">
            <v>TYPE C</v>
          </cell>
          <cell r="G61" t="str">
            <v>1/4" ELCO ULTRACON</v>
          </cell>
          <cell r="H61">
            <v>2010</v>
          </cell>
          <cell r="I61">
            <v>41234</v>
          </cell>
          <cell r="K61" t="str">
            <v>12-0221.09#7</v>
          </cell>
          <cell r="L61" t="str">
            <v>12-0221.09</v>
          </cell>
          <cell r="M61" t="str">
            <v>PROVIDE (4) 1/4" DIA. ULTRACONS INTO HOST STRUCTURE AND (2) #14 SMS INTO MULL/CLIP PER ANGLE (TYPE B)</v>
          </cell>
          <cell r="N61" t="str">
            <v>2 x 4 STD</v>
          </cell>
          <cell r="O61" t="str">
            <v>(4) 1/4" DIA. ULTRACONS (TYPE B)</v>
          </cell>
          <cell r="P61" t="str">
            <v>(4) #14 SMS</v>
          </cell>
          <cell r="Q61">
            <v>2010</v>
          </cell>
          <cell r="R61">
            <v>43060</v>
          </cell>
        </row>
        <row r="62">
          <cell r="A62" t="str">
            <v>11-0419.01#1</v>
          </cell>
          <cell r="B62" t="str">
            <v>11-0419.01</v>
          </cell>
          <cell r="C62" t="str">
            <v>SINGLE (X)</v>
          </cell>
          <cell r="D62">
            <v>85</v>
          </cell>
          <cell r="E62">
            <v>85</v>
          </cell>
          <cell r="F62" t="str">
            <v>TYPE A</v>
          </cell>
          <cell r="G62" t="str">
            <v>1/4" ELCO ULTRACON</v>
          </cell>
          <cell r="H62">
            <v>2007</v>
          </cell>
          <cell r="I62">
            <v>41367</v>
          </cell>
          <cell r="K62" t="str">
            <v>12-0221.09#8</v>
          </cell>
          <cell r="L62" t="str">
            <v>12-0221.09</v>
          </cell>
          <cell r="M62" t="str">
            <v>PROVIDE (4) 1/4" DIA. ULTRACONS INTO HOST STRUCTURE AND (2) #14 SMS INTO MULL/CLIP PER ANGLE (TYPE B)</v>
          </cell>
          <cell r="N62" t="str">
            <v>1 x 4 STD</v>
          </cell>
          <cell r="O62" t="str">
            <v>(4) 1/4" DIA. ULTRACONS (TYPE B)</v>
          </cell>
          <cell r="P62" t="str">
            <v>(4) #14 SMS</v>
          </cell>
          <cell r="Q62">
            <v>2010</v>
          </cell>
          <cell r="R62">
            <v>43060</v>
          </cell>
        </row>
        <row r="63">
          <cell r="A63" t="str">
            <v>11-0419.01#2</v>
          </cell>
          <cell r="B63" t="str">
            <v>11-0419.01</v>
          </cell>
          <cell r="C63" t="str">
            <v>DOUBLE (XX)</v>
          </cell>
          <cell r="D63">
            <v>85</v>
          </cell>
          <cell r="E63">
            <v>85</v>
          </cell>
          <cell r="F63" t="str">
            <v>TYPE A</v>
          </cell>
          <cell r="G63" t="str">
            <v>1/4" ELCO ULTRACON</v>
          </cell>
          <cell r="H63">
            <v>2007</v>
          </cell>
          <cell r="I63">
            <v>41367</v>
          </cell>
          <cell r="K63" t="str">
            <v>12-0221.09#9</v>
          </cell>
          <cell r="L63" t="str">
            <v>12-0221.09</v>
          </cell>
          <cell r="M63" t="str">
            <v>PROVIDE (4) 1/4" DIA. ULTRACONS INTO HOST STRUCTURE AND (3) #14 SMS INTO MULL/CLIP PER ANGLE (TYPE D)</v>
          </cell>
          <cell r="N63" t="str">
            <v>2 x 4 HEAVY</v>
          </cell>
          <cell r="O63" t="str">
            <v>(4) 1/4" DIA. ULTRACONS (TYPE D)</v>
          </cell>
          <cell r="P63" t="str">
            <v>(6) #14 SMS</v>
          </cell>
          <cell r="Q63">
            <v>2010</v>
          </cell>
          <cell r="R63">
            <v>43060</v>
          </cell>
        </row>
        <row r="64">
          <cell r="A64" t="str">
            <v>11-0614.04#1</v>
          </cell>
          <cell r="B64" t="str">
            <v>11-0614.04</v>
          </cell>
          <cell r="C64"/>
          <cell r="D64">
            <v>120</v>
          </cell>
          <cell r="E64">
            <v>120</v>
          </cell>
          <cell r="F64" t="str">
            <v>1/4" HS</v>
          </cell>
          <cell r="G64" t="str">
            <v>1/4" HILTI KWIK-CON II</v>
          </cell>
          <cell r="H64"/>
          <cell r="I64"/>
          <cell r="K64" t="str">
            <v>12-0221.09#10</v>
          </cell>
          <cell r="L64" t="str">
            <v>12-0221.09</v>
          </cell>
          <cell r="M64" t="str">
            <v>PROVIDE (4) 1/4" DIA. ULTRACONS INTO HOST STRUCTURE AND (3) #14 SMS INTO MULL/CLIP PER ANGLE (TYPE D)</v>
          </cell>
          <cell r="N64" t="str">
            <v>2" x 6" x 0.25"</v>
          </cell>
          <cell r="O64" t="str">
            <v>(4) 1/4" DIA. ULTRACONS (TYPE D)</v>
          </cell>
          <cell r="P64" t="str">
            <v>(6) #14 SMS</v>
          </cell>
          <cell r="Q64">
            <v>2010</v>
          </cell>
          <cell r="R64">
            <v>43060</v>
          </cell>
        </row>
        <row r="65">
          <cell r="A65" t="str">
            <v>11-0825.07#1</v>
          </cell>
          <cell r="B65" t="str">
            <v>11-0825.07</v>
          </cell>
          <cell r="C65" t="str">
            <v>REINFORCING AT INTERLOCK &amp; ASTRAGAL</v>
          </cell>
          <cell r="D65">
            <v>85</v>
          </cell>
          <cell r="E65">
            <v>121.4</v>
          </cell>
          <cell r="F65" t="str">
            <v>TYPE A</v>
          </cell>
          <cell r="G65" t="str">
            <v>1/4" ELCO ULTRACON</v>
          </cell>
          <cell r="H65">
            <v>2010</v>
          </cell>
          <cell r="I65">
            <v>42754</v>
          </cell>
          <cell r="K65" t="str">
            <v>12-0221.09#11</v>
          </cell>
          <cell r="L65" t="str">
            <v>12-0221.09</v>
          </cell>
          <cell r="M65" t="str">
            <v>PROVIDE (4) 1/4" DIA. ULTRACONS INTO HOST STRUCTURE AND (3) #14 SMS INTO MULL/CLIP PER ANGLE (TYPE D)</v>
          </cell>
          <cell r="N65" t="str">
            <v>2 x 6 HEAVY</v>
          </cell>
          <cell r="O65" t="str">
            <v>(4) 1/4" DIA. ULTRACONS (TYPE D)</v>
          </cell>
          <cell r="P65" t="str">
            <v>(6) #14 SMS</v>
          </cell>
          <cell r="Q65">
            <v>2010</v>
          </cell>
          <cell r="R65">
            <v>43060</v>
          </cell>
        </row>
        <row r="66">
          <cell r="A66" t="str">
            <v>11-0825.07#2</v>
          </cell>
          <cell r="B66" t="str">
            <v>11-0825.07</v>
          </cell>
          <cell r="C66" t="str">
            <v>REINFORCING AT INTERLOCK</v>
          </cell>
          <cell r="D66">
            <v>85</v>
          </cell>
          <cell r="E66">
            <v>145</v>
          </cell>
          <cell r="F66" t="str">
            <v>TYPE A</v>
          </cell>
          <cell r="G66" t="str">
            <v>1/4" ELCO ULTRACON</v>
          </cell>
          <cell r="H66">
            <v>2010</v>
          </cell>
          <cell r="I66">
            <v>42754</v>
          </cell>
          <cell r="K66" t="str">
            <v>12-0221.09#12</v>
          </cell>
          <cell r="L66" t="str">
            <v>12-0221.09</v>
          </cell>
          <cell r="M66" t="str">
            <v>PROVIDE (2) 1/4" DIA. ULTRACONS INTO HOST STRUCTURE AND (2) #14 SMS INTO MULL/CLIP PER ANGLE (TYPE A)</v>
          </cell>
          <cell r="N66" t="str">
            <v>1 x 3 STD</v>
          </cell>
          <cell r="O66" t="str">
            <v>(2) 1/4" DIA. ULTRACONS (TYPE A)</v>
          </cell>
          <cell r="P66" t="str">
            <v>(4) #14 SMS</v>
          </cell>
          <cell r="Q66">
            <v>2014</v>
          </cell>
          <cell r="R66">
            <v>43060</v>
          </cell>
        </row>
        <row r="67">
          <cell r="A67" t="str">
            <v>11-0825.07#3</v>
          </cell>
          <cell r="B67" t="str">
            <v>11-0825.07</v>
          </cell>
          <cell r="C67" t="str">
            <v>REINFORCING AT INTERLOCK &amp; ASTRAGAL</v>
          </cell>
          <cell r="D67">
            <v>85</v>
          </cell>
          <cell r="E67">
            <v>145</v>
          </cell>
          <cell r="F67" t="str">
            <v>TYPE A</v>
          </cell>
          <cell r="G67" t="str">
            <v>1/4" ELCO ULTRACON</v>
          </cell>
          <cell r="H67">
            <v>2010</v>
          </cell>
          <cell r="I67">
            <v>42754</v>
          </cell>
          <cell r="K67" t="str">
            <v>12-0221.10#1</v>
          </cell>
          <cell r="L67" t="str">
            <v>12-0221.10</v>
          </cell>
          <cell r="M67" t="str">
            <v>PROVIDE (2) 1/4" DIA. ULTRACONS INTO HOST STRUCTURE AND (2) #14 SMS INTO MULL/CLIP PER ANGLE (TYPE A)</v>
          </cell>
          <cell r="N67" t="str">
            <v>1 x 2 x 1/8"</v>
          </cell>
          <cell r="O67" t="str">
            <v>(2) 1/4" DIA. ULTRACONS (TYPE A)</v>
          </cell>
          <cell r="P67" t="str">
            <v>(2) #14 SMS</v>
          </cell>
          <cell r="Q67">
            <v>2010</v>
          </cell>
          <cell r="R67">
            <v>41361</v>
          </cell>
        </row>
        <row r="68">
          <cell r="A68" t="str">
            <v>11-0825.07#4</v>
          </cell>
          <cell r="B68" t="str">
            <v>11-0825.07</v>
          </cell>
          <cell r="C68" t="str">
            <v xml:space="preserve">WITHOUT REINFORCING </v>
          </cell>
          <cell r="D68">
            <v>75</v>
          </cell>
          <cell r="E68">
            <v>75</v>
          </cell>
          <cell r="F68" t="str">
            <v>TYPE A</v>
          </cell>
          <cell r="G68" t="str">
            <v>1/4" ELCO ULTRACON</v>
          </cell>
          <cell r="H68">
            <v>2010</v>
          </cell>
          <cell r="I68">
            <v>42754</v>
          </cell>
          <cell r="K68" t="str">
            <v>12-0221.10#2</v>
          </cell>
          <cell r="L68" t="str">
            <v>12-0221.10</v>
          </cell>
          <cell r="M68" t="str">
            <v>PROVIDE (4) 1/4" DIA. ULTRACONS INTO HOST STRUCTURE AND (2) #14 SMS INTO MULL/CLIP PER ANGLE (TYPE B)</v>
          </cell>
          <cell r="N68" t="str">
            <v>2 x 4 x 1/8"</v>
          </cell>
          <cell r="O68" t="str">
            <v>(4) 1/4" DIA. ULTRACONS (TYPE B)</v>
          </cell>
          <cell r="P68" t="str">
            <v>(2) #14 SMS</v>
          </cell>
          <cell r="Q68">
            <v>2010</v>
          </cell>
          <cell r="R68">
            <v>41361</v>
          </cell>
        </row>
        <row r="69">
          <cell r="A69" t="str">
            <v>11-0927.06#1</v>
          </cell>
          <cell r="B69" t="str">
            <v>11-0927.06</v>
          </cell>
          <cell r="C69"/>
          <cell r="D69">
            <v>100</v>
          </cell>
          <cell r="E69">
            <v>130</v>
          </cell>
          <cell r="F69" t="str">
            <v>TYPE A</v>
          </cell>
          <cell r="G69" t="str">
            <v>1/4" ELCO ULTRACON</v>
          </cell>
          <cell r="H69"/>
          <cell r="I69"/>
          <cell r="K69" t="str">
            <v>12-0221.10#3</v>
          </cell>
          <cell r="L69" t="str">
            <v>12-0221.10</v>
          </cell>
          <cell r="M69" t="str">
            <v>PROVIDE (2) 1/4" DIA. ULTRACONS INTO HOST STRUCTURE AND (2) #14 SMS INTO MULL/CLIP PER ANGLE (TYPE A)</v>
          </cell>
          <cell r="N69" t="str">
            <v>1 x 3 x 1/8"</v>
          </cell>
          <cell r="O69" t="str">
            <v>(2) 1/4" DIA. ULTRACONS (TYPE A)</v>
          </cell>
          <cell r="P69" t="str">
            <v>(2) #14 SMS</v>
          </cell>
          <cell r="Q69">
            <v>2010</v>
          </cell>
          <cell r="R69">
            <v>41361</v>
          </cell>
        </row>
        <row r="70">
          <cell r="A70" t="str">
            <v>11-1013.13#1</v>
          </cell>
          <cell r="B70" t="str">
            <v>11-1013.13</v>
          </cell>
          <cell r="C70" t="str">
            <v>ALUMINUM</v>
          </cell>
          <cell r="D70">
            <v>80</v>
          </cell>
          <cell r="E70">
            <v>93</v>
          </cell>
          <cell r="F70" t="str">
            <v>TYPE A</v>
          </cell>
          <cell r="G70" t="str">
            <v>1/4" ELCO TAPCON</v>
          </cell>
          <cell r="H70">
            <v>2010</v>
          </cell>
          <cell r="I70">
            <v>42395</v>
          </cell>
          <cell r="K70" t="str">
            <v>12-0221.10#4</v>
          </cell>
          <cell r="L70" t="str">
            <v>12-0221.10</v>
          </cell>
          <cell r="M70" t="str">
            <v>PROVIDE (4) 1/4" DIA. ULTRACONS INTO HOST STRUCTURE AND (2) #14 SMS INTO MULL/CLIP PER ANGLE (TYPE B)</v>
          </cell>
          <cell r="N70" t="str">
            <v>1 x 4 x 1/8"</v>
          </cell>
          <cell r="O70" t="str">
            <v>(4) 1/4" DIA. ULTRACONS (TYPE B)</v>
          </cell>
          <cell r="P70" t="str">
            <v>(2) #14 SMS</v>
          </cell>
          <cell r="Q70">
            <v>2010</v>
          </cell>
          <cell r="R70">
            <v>41361</v>
          </cell>
        </row>
        <row r="71">
          <cell r="A71" t="str">
            <v>11-1013.13#2</v>
          </cell>
          <cell r="B71" t="str">
            <v>11-1013.13</v>
          </cell>
          <cell r="C71" t="str">
            <v>ALUMINUM</v>
          </cell>
          <cell r="D71">
            <v>80</v>
          </cell>
          <cell r="E71">
            <v>94.6</v>
          </cell>
          <cell r="F71" t="str">
            <v>TYPE A</v>
          </cell>
          <cell r="G71" t="str">
            <v>1/4" ELCO TAPCON</v>
          </cell>
          <cell r="H71">
            <v>2010</v>
          </cell>
          <cell r="I71">
            <v>42395</v>
          </cell>
          <cell r="K71" t="str">
            <v>12-0221.13#1</v>
          </cell>
          <cell r="L71" t="str">
            <v>12-0221.13</v>
          </cell>
          <cell r="M71" t="str">
            <v>PROVIDE (2) 1/4" DIA. ELCO ULTRACONS ON EACH SIDE OF MULLION INTO HOST STRUCTURE SPACED 3" O.C.</v>
          </cell>
          <cell r="N71" t="str">
            <v>1 x 4 x 0.125</v>
          </cell>
          <cell r="O71" t="str">
            <v>(4) 1/4" ELCO ULTRACONS</v>
          </cell>
          <cell r="P71"/>
          <cell r="Q71">
            <v>2010</v>
          </cell>
          <cell r="R71">
            <v>42129</v>
          </cell>
        </row>
        <row r="72">
          <cell r="A72" t="str">
            <v>11-1013.13#3</v>
          </cell>
          <cell r="B72" t="str">
            <v>11-1013.13</v>
          </cell>
          <cell r="C72" t="str">
            <v>ALUMINUM</v>
          </cell>
          <cell r="D72">
            <v>80</v>
          </cell>
          <cell r="E72">
            <v>80</v>
          </cell>
          <cell r="F72" t="str">
            <v>TYPE A</v>
          </cell>
          <cell r="G72" t="str">
            <v>1/4" ELCO TAPCON</v>
          </cell>
          <cell r="H72">
            <v>2010</v>
          </cell>
          <cell r="I72">
            <v>42395</v>
          </cell>
          <cell r="K72" t="str">
            <v>12-0308.37#1</v>
          </cell>
          <cell r="L72" t="str">
            <v>12-0308.37</v>
          </cell>
          <cell r="M72" t="str">
            <v>PROVIDE (4) 5/16" DIA. ULTRACONS INTO HOST STRUCTURE AND (8) #14 SMS INTO MULL/CLIP PER ANGLE (TYPE E)</v>
          </cell>
          <cell r="N72" t="str">
            <v>1 x 4 CUST</v>
          </cell>
          <cell r="O72" t="str">
            <v>(4) 5/16" DIA. ULTRACONS (TYPE E)</v>
          </cell>
          <cell r="P72" t="str">
            <v>(8) #14 SMS</v>
          </cell>
          <cell r="Q72">
            <v>2010</v>
          </cell>
          <cell r="R72">
            <v>41898</v>
          </cell>
        </row>
        <row r="73">
          <cell r="A73" t="str">
            <v>11-1013.14#1</v>
          </cell>
          <cell r="B73" t="str">
            <v>11-1013.14</v>
          </cell>
          <cell r="C73" t="str">
            <v>1/1 FLANGE OR INTEGRAL FIN WINDOWS W/HIGH SILL OPTION</v>
          </cell>
          <cell r="D73">
            <v>79</v>
          </cell>
          <cell r="E73">
            <v>79</v>
          </cell>
          <cell r="F73" t="str">
            <v>TYPE A</v>
          </cell>
          <cell r="G73" t="str">
            <v>1/4" ELCO ULTRACON</v>
          </cell>
          <cell r="H73">
            <v>2010</v>
          </cell>
          <cell r="I73">
            <v>42455</v>
          </cell>
          <cell r="K73" t="str">
            <v>12-0308.37#2</v>
          </cell>
          <cell r="L73" t="str">
            <v>12-0308.37</v>
          </cell>
          <cell r="M73" t="str">
            <v>PROVIDE (4) 5/16" DIA. ULTRACONS INTO HOST STRUCTURE AND (8) #14 SMS INTO MULL/CLIP PER ANGLE (TYPE E)</v>
          </cell>
          <cell r="N73" t="str">
            <v>2 x 5 STD</v>
          </cell>
          <cell r="O73" t="str">
            <v>(4) 5/16" DIA. ULTRACONS (TYPE E)</v>
          </cell>
          <cell r="P73" t="str">
            <v>(8) #14 SMS</v>
          </cell>
          <cell r="Q73">
            <v>2010</v>
          </cell>
          <cell r="R73">
            <v>41898</v>
          </cell>
        </row>
        <row r="74">
          <cell r="A74" t="str">
            <v>11-1013.14#2</v>
          </cell>
          <cell r="B74" t="str">
            <v>11-1013.14</v>
          </cell>
          <cell r="C74" t="str">
            <v>1/1 FLANGE OR INTEGRAL FIN WINDOWS W/HIGH SILL OPTION</v>
          </cell>
          <cell r="D74">
            <v>80</v>
          </cell>
          <cell r="E74">
            <v>80</v>
          </cell>
          <cell r="F74" t="str">
            <v>TYPE A</v>
          </cell>
          <cell r="G74" t="str">
            <v>1/4" ELCO ULTRACON</v>
          </cell>
          <cell r="H74">
            <v>2010</v>
          </cell>
          <cell r="I74">
            <v>42455</v>
          </cell>
          <cell r="K74" t="str">
            <v>12-0308.37#3</v>
          </cell>
          <cell r="L74" t="str">
            <v>12-0308.37</v>
          </cell>
          <cell r="M74" t="str">
            <v>PROVIDE (2) 1/4" DIA. ULTRACONS INTO HOST STRUCTURE AND (4) #14 SMS INTO MULL/CLIP PER ANGLE (TYPE C)</v>
          </cell>
          <cell r="N74" t="str">
            <v>1 x 4 STD</v>
          </cell>
          <cell r="O74" t="str">
            <v>(2) 1/4" DIA. ULTRACONS (TYPE C)</v>
          </cell>
          <cell r="P74" t="str">
            <v>(4) #14 SMS</v>
          </cell>
          <cell r="Q74">
            <v>2010</v>
          </cell>
          <cell r="R74">
            <v>41898</v>
          </cell>
        </row>
        <row r="75">
          <cell r="A75" t="str">
            <v>11-1013.14#3</v>
          </cell>
          <cell r="B75" t="str">
            <v>11-1013.14</v>
          </cell>
          <cell r="C75" t="str">
            <v>STANDARD VIEW &amp; RADIUS TOP FLANGE OR INTEGRAL FIN WINDOWS W/HIGH SILL OPTION</v>
          </cell>
          <cell r="D75">
            <v>75</v>
          </cell>
          <cell r="E75">
            <v>75</v>
          </cell>
          <cell r="F75" t="str">
            <v>TYPE A</v>
          </cell>
          <cell r="G75" t="str">
            <v>1/4" ELCO ULTRACON</v>
          </cell>
          <cell r="H75">
            <v>2010</v>
          </cell>
          <cell r="I75">
            <v>42455</v>
          </cell>
          <cell r="K75" t="str">
            <v>12-0308.37#4</v>
          </cell>
          <cell r="L75" t="str">
            <v>12-0308.37</v>
          </cell>
          <cell r="M75" t="str">
            <v>PROVIDE (4) 5/16" DIA. ULTRACONS INTO HOST STRUCTURE AND (8) #14 SMS INTO MULL/CLIP PER ANGLE (TYPE E)</v>
          </cell>
          <cell r="N75" t="str">
            <v>2 x 6 HEAVY</v>
          </cell>
          <cell r="O75" t="str">
            <v>(4) 5/16" DIA. ULTRACONS (TYPE E)</v>
          </cell>
          <cell r="P75" t="str">
            <v>(8) #14 SMS</v>
          </cell>
          <cell r="Q75">
            <v>2010</v>
          </cell>
          <cell r="R75">
            <v>41898</v>
          </cell>
        </row>
        <row r="76">
          <cell r="A76" t="str">
            <v>11-1013.14#4</v>
          </cell>
          <cell r="B76" t="str">
            <v>11-1013.14</v>
          </cell>
          <cell r="C76" t="str">
            <v>STANDARD VIEW &amp; RADIUS TOP FLANGE OR INTEGRAL FIN WINDOWS W/HIGH SILL OPTION</v>
          </cell>
          <cell r="D76">
            <v>77</v>
          </cell>
          <cell r="E76">
            <v>77</v>
          </cell>
          <cell r="F76" t="str">
            <v>TYPE A</v>
          </cell>
          <cell r="G76" t="str">
            <v>1/4" ELCO ULTRACON</v>
          </cell>
          <cell r="H76">
            <v>2010</v>
          </cell>
          <cell r="I76">
            <v>42455</v>
          </cell>
          <cell r="K76" t="str">
            <v>12-0308.37#5</v>
          </cell>
          <cell r="L76" t="str">
            <v>12-0308.37</v>
          </cell>
          <cell r="M76" t="str">
            <v>PROVIDE (4) 5/16" DIA. ULTRACONS INTO HOST STRUCTURE AND (8) #14 SMS INTO MULL/CLIP PER ANGLE (TYPE E)</v>
          </cell>
          <cell r="N76" t="str">
            <v>2 x 6 STD</v>
          </cell>
          <cell r="O76" t="str">
            <v>(4) 5/16" DIA. ULTRACONS (TYPE E)</v>
          </cell>
          <cell r="P76" t="str">
            <v>(8) #14 SMS</v>
          </cell>
          <cell r="Q76">
            <v>2010</v>
          </cell>
          <cell r="R76">
            <v>41898</v>
          </cell>
        </row>
        <row r="77">
          <cell r="A77" t="str">
            <v>11-1013.14#5</v>
          </cell>
          <cell r="B77" t="str">
            <v>11-1013.14</v>
          </cell>
          <cell r="C77" t="str">
            <v>1/1 FLANGE OR INTEGRAL FIN WINDOWS W/HIGH SILL OPTION</v>
          </cell>
          <cell r="D77">
            <v>80</v>
          </cell>
          <cell r="E77">
            <v>80</v>
          </cell>
          <cell r="F77" t="str">
            <v>TYPE C-L</v>
          </cell>
          <cell r="G77" t="str">
            <v>1/4" ELCO ULTRACON</v>
          </cell>
          <cell r="H77">
            <v>2010</v>
          </cell>
          <cell r="I77">
            <v>42455</v>
          </cell>
          <cell r="K77" t="str">
            <v>12-0308.37#6</v>
          </cell>
          <cell r="L77" t="str">
            <v>12-0308.37</v>
          </cell>
          <cell r="M77" t="str">
            <v>PROVIDE (4) 5/16" DIA. ULTRACONS INTO HOST STRUCTURE AND (8) #14 SMS INTO MULL/CLIP PER ANGLE (TYPE E)</v>
          </cell>
          <cell r="N77" t="str">
            <v>1 x 4 STD</v>
          </cell>
          <cell r="O77" t="str">
            <v>(4) 5/16" DIA. ULTRACONS (TYPE E)</v>
          </cell>
          <cell r="P77" t="str">
            <v>(8) #14 SMS</v>
          </cell>
          <cell r="Q77">
            <v>2010</v>
          </cell>
          <cell r="R77">
            <v>41898</v>
          </cell>
        </row>
        <row r="78">
          <cell r="A78" t="str">
            <v>11-1013.14#6</v>
          </cell>
          <cell r="B78" t="str">
            <v>11-1013.14</v>
          </cell>
          <cell r="C78" t="str">
            <v>STANDARD VIEW &amp; RADIUS TOP FLANGE OR INTEGRAL FIN WINDOWS W/HIGH SILL OPTION</v>
          </cell>
          <cell r="D78">
            <v>80</v>
          </cell>
          <cell r="E78">
            <v>80</v>
          </cell>
          <cell r="F78" t="str">
            <v>TYPE A</v>
          </cell>
          <cell r="G78" t="str">
            <v>1/4" ELCO ULTRACON</v>
          </cell>
          <cell r="H78">
            <v>2010</v>
          </cell>
          <cell r="I78">
            <v>42455</v>
          </cell>
          <cell r="K78" t="str">
            <v>12-0308.37#7</v>
          </cell>
          <cell r="L78" t="str">
            <v>12-0308.37</v>
          </cell>
          <cell r="M78" t="str">
            <v>PROVIDE (2) 1/4" DIA. ULTRACONS INTO HOST STRUCTURE AND (4) #14 SMS INTO MULL/CLIP PER ANGLE (TYPE C)</v>
          </cell>
          <cell r="N78" t="str">
            <v>1 x 3 STD</v>
          </cell>
          <cell r="O78" t="str">
            <v>(2) 1/4" DIA. ULTRACONS (TYPE C)</v>
          </cell>
          <cell r="P78" t="str">
            <v>(4) #14 SMS</v>
          </cell>
          <cell r="Q78">
            <v>2010</v>
          </cell>
          <cell r="R78">
            <v>41898</v>
          </cell>
        </row>
        <row r="79">
          <cell r="A79" t="str">
            <v>11-1013.19#1</v>
          </cell>
          <cell r="B79" t="str">
            <v>11-1013.19</v>
          </cell>
          <cell r="C79"/>
          <cell r="D79">
            <v>60</v>
          </cell>
          <cell r="E79">
            <v>70</v>
          </cell>
          <cell r="F79" t="str">
            <v>TYPE A/B</v>
          </cell>
          <cell r="G79" t="str">
            <v>3/16" ULTRACON</v>
          </cell>
          <cell r="H79">
            <v>2010</v>
          </cell>
          <cell r="I79">
            <v>41647</v>
          </cell>
          <cell r="K79" t="str">
            <v>12-0308.37#8</v>
          </cell>
          <cell r="L79" t="str">
            <v>12-0308.37</v>
          </cell>
          <cell r="M79" t="str">
            <v>PROVIDE (2) 1/4" DIA. ULTRACONS INTO HOST STRUCTURE AND (4) #14 SMS INTO MULL/CLIP PER ANGLE (TYPE C)</v>
          </cell>
          <cell r="N79" t="str">
            <v>2 x 4 STD</v>
          </cell>
          <cell r="O79" t="str">
            <v>(2) 1/4" DIA. ULTRACONS (TYPE C)</v>
          </cell>
          <cell r="P79" t="str">
            <v>(4) #14 SMS</v>
          </cell>
          <cell r="Q79">
            <v>2010</v>
          </cell>
          <cell r="R79">
            <v>41898</v>
          </cell>
        </row>
        <row r="80">
          <cell r="A80" t="str">
            <v>11-1013.21#1</v>
          </cell>
          <cell r="B80" t="str">
            <v>11-1013.21</v>
          </cell>
          <cell r="C80" t="str">
            <v>OUTSWING ALUMINUM W/ SIDELITES</v>
          </cell>
          <cell r="D80">
            <v>75</v>
          </cell>
          <cell r="E80">
            <v>112.1</v>
          </cell>
          <cell r="F80" t="str">
            <v>3/16" TEMP</v>
          </cell>
          <cell r="G80" t="str">
            <v>1/4" ELCO TAPCON</v>
          </cell>
          <cell r="H80">
            <v>2010</v>
          </cell>
          <cell r="I80">
            <v>41123</v>
          </cell>
          <cell r="K80" t="str">
            <v>12-0308.37#9</v>
          </cell>
          <cell r="L80" t="str">
            <v>12-0308.37</v>
          </cell>
          <cell r="M80" t="str">
            <v>PROVIDE (2) 1/4" DIA. ULTRACONS INTO HOST STRUCTURE AND (4) #14 SMS INTO MULL/CLIP PER ANGLE (TYPE C)</v>
          </cell>
          <cell r="N80" t="str">
            <v>1 x 4 CUST</v>
          </cell>
          <cell r="O80" t="str">
            <v>(2) 1/4" DIA. ULTRACONS (TYPE C)</v>
          </cell>
          <cell r="P80" t="str">
            <v>(4) #14 SMS</v>
          </cell>
          <cell r="Q80">
            <v>2010</v>
          </cell>
          <cell r="R80">
            <v>41898</v>
          </cell>
        </row>
        <row r="81">
          <cell r="A81" t="str">
            <v>11-1013.22#1</v>
          </cell>
          <cell r="B81" t="str">
            <v>11-1013.22</v>
          </cell>
          <cell r="C81" t="str">
            <v>OUTSWING ALUMINUM W/WO SIDELITES</v>
          </cell>
          <cell r="D81">
            <v>75</v>
          </cell>
          <cell r="E81">
            <v>75</v>
          </cell>
          <cell r="F81" t="str">
            <v>TYPE D</v>
          </cell>
          <cell r="G81" t="str">
            <v>1/4" ELCO TAPCON</v>
          </cell>
          <cell r="H81">
            <v>2010</v>
          </cell>
          <cell r="I81">
            <v>41200</v>
          </cell>
          <cell r="K81" t="str">
            <v>12-0308.37#10</v>
          </cell>
          <cell r="L81" t="str">
            <v>12-0308.37</v>
          </cell>
          <cell r="M81" t="str">
            <v>PROVIDE (2) 1/4" DIA. ULTRACONS INTO HOST STRUCTURE AND (4) #14 SMS INTO MULL/CLIP PER ANGLE (TYPE C)</v>
          </cell>
          <cell r="N81" t="str">
            <v>2 x 5 STD</v>
          </cell>
          <cell r="O81" t="str">
            <v>(2) 1/4" DIA. ULTRACONS (TYPE C)</v>
          </cell>
          <cell r="P81" t="str">
            <v>(4) #14 SMS</v>
          </cell>
          <cell r="Q81">
            <v>2010</v>
          </cell>
          <cell r="R81">
            <v>41898</v>
          </cell>
        </row>
        <row r="82">
          <cell r="A82" t="str">
            <v>11-1013.22#2</v>
          </cell>
          <cell r="B82" t="str">
            <v>11-1013.22</v>
          </cell>
          <cell r="C82" t="str">
            <v>OUTSWING ALUMINUM W/WO SIDELITES</v>
          </cell>
          <cell r="D82">
            <v>75</v>
          </cell>
          <cell r="E82">
            <v>75</v>
          </cell>
          <cell r="F82" t="str">
            <v>TYPE A</v>
          </cell>
          <cell r="G82" t="str">
            <v>1/4" ELCO TAPCON</v>
          </cell>
          <cell r="H82">
            <v>2010</v>
          </cell>
          <cell r="I82">
            <v>41200</v>
          </cell>
          <cell r="K82" t="str">
            <v>12-0308.37#11</v>
          </cell>
          <cell r="L82" t="str">
            <v>12-0308.37</v>
          </cell>
          <cell r="M82" t="str">
            <v>PROVIDE (2) 1/4" DIA. ULTRACONS INTO HOST STRUCTURE AND (4) #14 SMS INTO MULL/CLIP PER ANGLE (TYPE A)</v>
          </cell>
          <cell r="N82" t="str">
            <v>1 x 4 STD</v>
          </cell>
          <cell r="O82" t="str">
            <v>(2) 1/4" DIA. ULTRACONS (TYPE A)</v>
          </cell>
          <cell r="P82" t="str">
            <v>(4) #14 SMS</v>
          </cell>
          <cell r="Q82">
            <v>2010</v>
          </cell>
          <cell r="R82">
            <v>41898</v>
          </cell>
        </row>
        <row r="83">
          <cell r="A83" t="str">
            <v>11-1013.23#1</v>
          </cell>
          <cell r="B83" t="str">
            <v>11-1013.23</v>
          </cell>
          <cell r="C83"/>
          <cell r="D83">
            <v>100</v>
          </cell>
          <cell r="E83">
            <v>100</v>
          </cell>
          <cell r="F83" t="str">
            <v xml:space="preserve">MONOLITHIC </v>
          </cell>
          <cell r="G83" t="str">
            <v>1/4" ELCO ULTRACON</v>
          </cell>
          <cell r="H83"/>
          <cell r="I83"/>
          <cell r="K83" t="str">
            <v>12-0308.37#12</v>
          </cell>
          <cell r="L83" t="str">
            <v>12-0308.37</v>
          </cell>
          <cell r="M83" t="str">
            <v>PROVIDE (4) 1/4" DIA. ULTRACONS INTO HOST STRUCTURE AND (4) #14 SMS INTO MULL/CLIP PER ANGLE (TYPE B)</v>
          </cell>
          <cell r="N83" t="str">
            <v>1 x 4 STD</v>
          </cell>
          <cell r="O83" t="str">
            <v>(4) 1/4" DIA. ULTRACONS (TYPE B)</v>
          </cell>
          <cell r="P83" t="str">
            <v>(4) #14 SMS</v>
          </cell>
          <cell r="Q83">
            <v>2010</v>
          </cell>
          <cell r="R83">
            <v>41898</v>
          </cell>
        </row>
        <row r="84">
          <cell r="A84" t="str">
            <v>11-1013.24#1</v>
          </cell>
          <cell r="B84" t="str">
            <v>11-1013.24</v>
          </cell>
          <cell r="C84"/>
          <cell r="D84">
            <v>70</v>
          </cell>
          <cell r="E84">
            <v>80</v>
          </cell>
          <cell r="F84" t="str">
            <v>TYPE A</v>
          </cell>
          <cell r="G84" t="str">
            <v>1/4" ELCO ULTRACON</v>
          </cell>
          <cell r="H84">
            <v>2010</v>
          </cell>
          <cell r="I84">
            <v>42059</v>
          </cell>
          <cell r="K84" t="str">
            <v>12-0308.37#13</v>
          </cell>
          <cell r="L84" t="str">
            <v>12-0308.37</v>
          </cell>
          <cell r="M84" t="str">
            <v>PROVIDE (4) 1/4" DIA. ULTRACONS INTO HOST STRUCTURE AND (4) #14 SMS INTO MULL/CLIP PER ANGLE (TYPE B)</v>
          </cell>
          <cell r="N84" t="str">
            <v>1 x 4 CUST</v>
          </cell>
          <cell r="O84" t="str">
            <v>(4) 1/4" DIA. ULTRACONS (TYPE B)</v>
          </cell>
          <cell r="P84" t="str">
            <v>(4) #14 SMS</v>
          </cell>
          <cell r="Q84">
            <v>2010</v>
          </cell>
          <cell r="R84">
            <v>41898</v>
          </cell>
        </row>
        <row r="85">
          <cell r="A85" t="str">
            <v>11-1013.24#2</v>
          </cell>
          <cell r="B85" t="str">
            <v>11-1013.24</v>
          </cell>
          <cell r="C85" t="str">
            <v>ALUMINUM</v>
          </cell>
          <cell r="D85">
            <v>70</v>
          </cell>
          <cell r="E85">
            <v>80</v>
          </cell>
          <cell r="F85" t="str">
            <v>TYPE A/E/C/G</v>
          </cell>
          <cell r="G85" t="str">
            <v>1/4" ELCO ULTRACON</v>
          </cell>
          <cell r="H85">
            <v>2010</v>
          </cell>
          <cell r="I85">
            <v>42059</v>
          </cell>
          <cell r="K85" t="str">
            <v>12-0308.37#14</v>
          </cell>
          <cell r="L85" t="str">
            <v>12-0308.37</v>
          </cell>
          <cell r="M85" t="str">
            <v>PROVIDE (4) 1/4" DIA. ULTRACONS INTO HOST STRUCTURE AND (8) #14 SMS INTO MULL/CLIP PER ANGLE (TYPE D)</v>
          </cell>
          <cell r="N85" t="str">
            <v>2 x 5 STD</v>
          </cell>
          <cell r="O85" t="str">
            <v>(4) 1/4" DIA. ULTRACONS (TYPE D)</v>
          </cell>
          <cell r="P85" t="str">
            <v>(8) #14 SMS</v>
          </cell>
          <cell r="Q85">
            <v>2010</v>
          </cell>
          <cell r="R85">
            <v>41898</v>
          </cell>
        </row>
        <row r="86">
          <cell r="A86" t="str">
            <v>11-1018.11#1</v>
          </cell>
          <cell r="B86" t="str">
            <v>11-1018.11</v>
          </cell>
          <cell r="C86" t="str">
            <v>ALUMINUM, W/WO REINFORCEMENTS, NON-IMPACT</v>
          </cell>
          <cell r="D86">
            <v>60</v>
          </cell>
          <cell r="E86">
            <v>60</v>
          </cell>
          <cell r="F86" t="str">
            <v>TYPE B</v>
          </cell>
          <cell r="G86" t="str">
            <v>1/4" ELCO ULTRACON</v>
          </cell>
          <cell r="H86">
            <v>2010</v>
          </cell>
          <cell r="I86">
            <v>41416</v>
          </cell>
          <cell r="K86" t="str">
            <v>12-0308.37#15</v>
          </cell>
          <cell r="L86" t="str">
            <v>12-0308.37</v>
          </cell>
          <cell r="M86" t="str">
            <v>PROVIDE (4) 1/4" DIA. ULTRACONS INTO HOST STRUCTURE AND (2) #14 SMS INTO MULL/CLIP PER ANGLE (TYPE B)</v>
          </cell>
          <cell r="N86" t="str">
            <v>2 x 6 STD</v>
          </cell>
          <cell r="O86" t="str">
            <v>(4) 1/4" DIA. ULTRACONS (TYPE B)</v>
          </cell>
          <cell r="P86" t="str">
            <v>(2) #14 SMS</v>
          </cell>
          <cell r="Q86">
            <v>2010</v>
          </cell>
          <cell r="R86">
            <v>41898</v>
          </cell>
        </row>
        <row r="87">
          <cell r="A87" t="str">
            <v>11-1018.11#2</v>
          </cell>
          <cell r="B87" t="str">
            <v>11-1018.11</v>
          </cell>
          <cell r="C87" t="str">
            <v>ALUMINUM, W/WO REINFORCEMENTS, NON-IMPACT</v>
          </cell>
          <cell r="D87">
            <v>65</v>
          </cell>
          <cell r="E87">
            <v>72.3</v>
          </cell>
          <cell r="F87" t="str">
            <v>TYPE B</v>
          </cell>
          <cell r="G87" t="str">
            <v>1/4" ELCO ULTRACON</v>
          </cell>
          <cell r="H87">
            <v>2010</v>
          </cell>
          <cell r="I87">
            <v>41416</v>
          </cell>
          <cell r="K87" t="str">
            <v>12-0410.19#1</v>
          </cell>
          <cell r="L87" t="str">
            <v>12-0410.19</v>
          </cell>
          <cell r="M87" t="str">
            <v>PROVIDE (4) 1/4" HILTI KWIK CON II INTO HOST STRUCTURE AND (4) #14 SMS INTO MULL/CLIP PER CONNECTION (TYPE A4)</v>
          </cell>
          <cell r="N87" t="str">
            <v>2 x 6 STD</v>
          </cell>
          <cell r="O87" t="str">
            <v>(4) 1/4" HILTI KWIK CON II (TYPE A4)</v>
          </cell>
          <cell r="P87" t="str">
            <v>(4) #14 SMS</v>
          </cell>
          <cell r="Q87">
            <v>2010</v>
          </cell>
          <cell r="R87">
            <v>41870</v>
          </cell>
        </row>
        <row r="88">
          <cell r="A88" t="str">
            <v>11-1018.14#1</v>
          </cell>
          <cell r="B88" t="str">
            <v>11-1018.14</v>
          </cell>
          <cell r="C88" t="str">
            <v>UNREINFORCED, HEAVY DUTY STILE, HEAVY DUTY ASTRAGAL</v>
          </cell>
          <cell r="D88">
            <v>90</v>
          </cell>
          <cell r="E88">
            <v>90</v>
          </cell>
          <cell r="F88" t="str">
            <v>TYPE G4/G4A/G6/G6A</v>
          </cell>
          <cell r="G88" t="str">
            <v>1/4" ELCO ULTRACON</v>
          </cell>
          <cell r="H88">
            <v>2010</v>
          </cell>
          <cell r="I88">
            <v>42052</v>
          </cell>
          <cell r="K88" t="str">
            <v>12-0410.19#2</v>
          </cell>
          <cell r="L88" t="str">
            <v>12-0410.19</v>
          </cell>
          <cell r="M88" t="str">
            <v>PROVIDE (4) 1/4" HILTI KWIK CON II INTO HOST STRUCTURE AND (4) #14 SMS INTO MULL/CLIP PER CONNECTION (TYPE AA4)</v>
          </cell>
          <cell r="N88" t="str">
            <v>2 x 6 STD</v>
          </cell>
          <cell r="O88" t="str">
            <v>(4) 1/4" HILTI KWIK CON II (TYPE AA4)</v>
          </cell>
          <cell r="P88" t="str">
            <v>(4) #14 SMS</v>
          </cell>
          <cell r="Q88">
            <v>2010</v>
          </cell>
          <cell r="R88">
            <v>41870</v>
          </cell>
        </row>
        <row r="89">
          <cell r="A89" t="str">
            <v>11-1018.14#2</v>
          </cell>
          <cell r="B89" t="str">
            <v>11-1018.14</v>
          </cell>
          <cell r="C89" t="str">
            <v>UNREINFORCED, HEAVY DUTY STILE, STANDARD ASTRAGAL</v>
          </cell>
          <cell r="D89">
            <v>60</v>
          </cell>
          <cell r="E89">
            <v>60</v>
          </cell>
          <cell r="F89" t="str">
            <v>TYPE G4/G4A/G6/G6A</v>
          </cell>
          <cell r="G89" t="str">
            <v>1/4" ELCO ULTRACON</v>
          </cell>
          <cell r="H89">
            <v>2010</v>
          </cell>
          <cell r="I89">
            <v>42052</v>
          </cell>
          <cell r="K89" t="str">
            <v>12-0410.19#3</v>
          </cell>
          <cell r="L89" t="str">
            <v>12-0410.19</v>
          </cell>
          <cell r="M89" t="str">
            <v>PROVIDE (4) 1/4" HILTI KWIK CON II INTO HOST STRUCTURE AND (4) #14 SMS INTO MULL/CLIP PER CONNECTION (TYPE AA4)</v>
          </cell>
          <cell r="N89" t="str">
            <v>1 x 4 STD</v>
          </cell>
          <cell r="O89" t="str">
            <v>(4) 1/4" HILTI KWIK CON II (TYPE AA4)</v>
          </cell>
          <cell r="P89" t="str">
            <v>(4) #14 SMS</v>
          </cell>
          <cell r="Q89">
            <v>2010</v>
          </cell>
          <cell r="R89">
            <v>41870</v>
          </cell>
        </row>
        <row r="90">
          <cell r="A90" t="str">
            <v>11-1018.14#3</v>
          </cell>
          <cell r="B90" t="str">
            <v>11-1018.14</v>
          </cell>
          <cell r="C90" t="str">
            <v>UNREINFORCED, STANDARD STILE, STANDARD ASTRAGAL</v>
          </cell>
          <cell r="D90">
            <v>60</v>
          </cell>
          <cell r="E90">
            <v>60</v>
          </cell>
          <cell r="F90" t="str">
            <v>TYPE G3/G3A/G5/G5A</v>
          </cell>
          <cell r="G90" t="str">
            <v>1/4" ELCO ULTRACON</v>
          </cell>
          <cell r="H90">
            <v>2010</v>
          </cell>
          <cell r="I90">
            <v>42052</v>
          </cell>
          <cell r="K90" t="str">
            <v>12-0410.19#4</v>
          </cell>
          <cell r="L90" t="str">
            <v>12-0410.19</v>
          </cell>
          <cell r="M90" t="str">
            <v>PROVIDE (2) 1/4" HILTI KWIK CON II INTO HOST STRUCTURE AND (4) #14 SMS INTO MULL/CLIP PER CONNECTION (TYPE A2)</v>
          </cell>
          <cell r="N90" t="str">
            <v>1 x 3 STD</v>
          </cell>
          <cell r="O90" t="str">
            <v>(2) 1/4" HILTI KWIK CON II (TYPE A2)</v>
          </cell>
          <cell r="P90" t="str">
            <v>(4) #14 SMS</v>
          </cell>
          <cell r="Q90">
            <v>2010</v>
          </cell>
          <cell r="R90">
            <v>41870</v>
          </cell>
        </row>
        <row r="91">
          <cell r="A91" t="str">
            <v>11-1018.14#4</v>
          </cell>
          <cell r="B91" t="str">
            <v>11-1018.14</v>
          </cell>
          <cell r="C91" t="str">
            <v>UNREINFORCED, HEAVY DUTY STILE, HEAVY DUTY ASTRAGAL</v>
          </cell>
          <cell r="D91">
            <v>90</v>
          </cell>
          <cell r="E91">
            <v>90</v>
          </cell>
          <cell r="F91" t="str">
            <v>TYPE G4/G4A/G6/G6A</v>
          </cell>
          <cell r="G91" t="str">
            <v>1/4" ELCO ULTRACON</v>
          </cell>
          <cell r="H91">
            <v>2010</v>
          </cell>
          <cell r="I91">
            <v>42052</v>
          </cell>
          <cell r="K91" t="str">
            <v>12-0410.19#4</v>
          </cell>
          <cell r="L91" t="str">
            <v>12-0410.19</v>
          </cell>
          <cell r="M91" t="str">
            <v>PROVIDE (4) 1/4" HILTI KWIK CON II INTO HOST STRUCTURE AND (4) #14 SMS INTO MULL/CLIP PER CONNECTION (TYPE A4)</v>
          </cell>
          <cell r="N91" t="str">
            <v>1 x 3 STD</v>
          </cell>
          <cell r="O91" t="str">
            <v>(4) 1/4" HILTI KWIK CON II (TYPE A4)</v>
          </cell>
          <cell r="P91" t="str">
            <v>(4) #14 SMS</v>
          </cell>
          <cell r="Q91">
            <v>2010</v>
          </cell>
          <cell r="R91">
            <v>41870</v>
          </cell>
        </row>
        <row r="92">
          <cell r="A92" t="str">
            <v>11-1018.14#5</v>
          </cell>
          <cell r="B92" t="str">
            <v>11-1018.14</v>
          </cell>
          <cell r="C92" t="str">
            <v>UNREINFORCED, HEAVY DUTY STILE, STANDARD ASTRAGAL</v>
          </cell>
          <cell r="D92">
            <v>60</v>
          </cell>
          <cell r="E92">
            <v>60</v>
          </cell>
          <cell r="F92" t="str">
            <v>TYPE G3/G3A/G5/G5A</v>
          </cell>
          <cell r="G92" t="str">
            <v>1/4" ELCO ULTRACON</v>
          </cell>
          <cell r="H92">
            <v>2010</v>
          </cell>
          <cell r="I92">
            <v>42052</v>
          </cell>
          <cell r="K92" t="str">
            <v>12-0410.19#5</v>
          </cell>
          <cell r="L92" t="str">
            <v>12-0410.19</v>
          </cell>
          <cell r="M92" t="str">
            <v>PROVIDE (2) 1/4" HILTI KWIK CON II INTO HOST STRUCTURE AND (4) #14 SMS INTO MULL/CLIP PER CONNECTION (TYPE A2)</v>
          </cell>
          <cell r="N92" t="str">
            <v>1 x 4 STD</v>
          </cell>
          <cell r="O92" t="str">
            <v>(2) 1/4" HILTI KWIK CON II (TYPE A2)</v>
          </cell>
          <cell r="P92" t="str">
            <v>(4) #14 SMS</v>
          </cell>
          <cell r="Q92">
            <v>2010</v>
          </cell>
          <cell r="R92">
            <v>41870</v>
          </cell>
        </row>
        <row r="93">
          <cell r="A93" t="str">
            <v>11-1018.14#6</v>
          </cell>
          <cell r="B93" t="str">
            <v>11-1018.14</v>
          </cell>
          <cell r="C93" t="str">
            <v>HEAVY DUTY, REINFORCED</v>
          </cell>
          <cell r="D93">
            <v>90</v>
          </cell>
          <cell r="E93">
            <v>110</v>
          </cell>
          <cell r="F93" t="str">
            <v>TYPE G3/G3A/G5/G5A</v>
          </cell>
          <cell r="G93" t="str">
            <v>1/4" ELCO ULTRACON</v>
          </cell>
          <cell r="H93">
            <v>2010</v>
          </cell>
          <cell r="I93">
            <v>42087</v>
          </cell>
          <cell r="K93" t="str">
            <v>12-0410.19#6</v>
          </cell>
          <cell r="L93" t="str">
            <v>12-0410.19</v>
          </cell>
          <cell r="M93" t="str">
            <v>PROVIDE (4) 1/4" HILTI KWIK CON II INTO HOST STRUCTURE AND (4) #14 SMS INTO MULL/CLIP PER CONNECTION (TYPE A4)</v>
          </cell>
          <cell r="N93" t="str">
            <v>2 x 4 STD</v>
          </cell>
          <cell r="O93" t="str">
            <v>(4) 1/4" HILTI KWIK CON II (TYPE A4)</v>
          </cell>
          <cell r="P93" t="str">
            <v>(4) #14 SMS</v>
          </cell>
          <cell r="Q93">
            <v>2010</v>
          </cell>
          <cell r="R93">
            <v>41870</v>
          </cell>
        </row>
        <row r="94">
          <cell r="A94" t="str">
            <v>11-1018.15#1</v>
          </cell>
          <cell r="B94" t="str">
            <v>11-1018.15</v>
          </cell>
          <cell r="C94"/>
          <cell r="D94">
            <v>90</v>
          </cell>
          <cell r="E94">
            <v>110</v>
          </cell>
          <cell r="F94" t="str">
            <v>TYPE G7</v>
          </cell>
          <cell r="G94" t="str">
            <v>1/4" ELCO ULTRACON</v>
          </cell>
          <cell r="H94">
            <v>2010</v>
          </cell>
          <cell r="I94">
            <v>42087</v>
          </cell>
          <cell r="K94" t="str">
            <v>12-1220.15#1</v>
          </cell>
          <cell r="L94" t="str">
            <v>12-1220.15</v>
          </cell>
          <cell r="M94" t="str">
            <v>PROVIDE (4) 1/4" DIA. ULTRACONS INTO HOST STRUCTURE AND (4) #14 SMS INTO MULL/CLIP PER ANGLE (TYPE B)</v>
          </cell>
          <cell r="N94" t="str">
            <v>2 x 4 x 1/8"</v>
          </cell>
          <cell r="O94" t="str">
            <v>(4) 1/4" DIA. ULTRACONS (TYPE B)</v>
          </cell>
          <cell r="P94" t="str">
            <v>(4) #14 SMS</v>
          </cell>
          <cell r="Q94">
            <v>2010</v>
          </cell>
          <cell r="R94">
            <v>43187</v>
          </cell>
        </row>
        <row r="95">
          <cell r="A95" t="str">
            <v>11-1018.15#2</v>
          </cell>
          <cell r="B95" t="str">
            <v>11-1018.15</v>
          </cell>
          <cell r="C95" t="str">
            <v xml:space="preserve">OXX,XXO,OXO (MAX  UNIT WIDTH 145 5/16") </v>
          </cell>
          <cell r="D95">
            <v>90</v>
          </cell>
          <cell r="E95">
            <v>110</v>
          </cell>
          <cell r="F95" t="str">
            <v>TYPE G7A</v>
          </cell>
          <cell r="G95" t="str">
            <v>1/4" ELCO ULTRACON</v>
          </cell>
          <cell r="H95">
            <v>2010</v>
          </cell>
          <cell r="I95">
            <v>42087</v>
          </cell>
          <cell r="K95" t="str">
            <v>12-1220.15#2</v>
          </cell>
          <cell r="L95" t="str">
            <v>12-1220.15</v>
          </cell>
          <cell r="M95" t="str">
            <v>PROVIDE (4) 1/4" DIA. ULTRACONS INTO HOST STRUCTURE AND (6) #14 SMS INTO MULL/CLIP PER ANGLE (TYPE C)</v>
          </cell>
          <cell r="N95" t="str">
            <v>2 x 6 x 1/8"</v>
          </cell>
          <cell r="O95" t="str">
            <v>(4) 1/4" DIA. ULTRACONS (TYPE C)</v>
          </cell>
          <cell r="P95" t="str">
            <v>(6) #14 SMS</v>
          </cell>
          <cell r="Q95">
            <v>2010</v>
          </cell>
          <cell r="R95">
            <v>43187</v>
          </cell>
        </row>
        <row r="96">
          <cell r="A96" t="str">
            <v>11-1018.16#1</v>
          </cell>
          <cell r="B96" t="str">
            <v>11-1018.16</v>
          </cell>
          <cell r="C96"/>
          <cell r="D96">
            <v>90</v>
          </cell>
          <cell r="E96">
            <v>110</v>
          </cell>
          <cell r="F96" t="str">
            <v>TYPE G4</v>
          </cell>
          <cell r="G96" t="str">
            <v>1/4" ELCO ULTRACON</v>
          </cell>
          <cell r="H96">
            <v>2010</v>
          </cell>
          <cell r="I96">
            <v>42087</v>
          </cell>
          <cell r="K96" t="str">
            <v>12-1220.15#3</v>
          </cell>
          <cell r="L96" t="str">
            <v>12-1220.15</v>
          </cell>
          <cell r="M96" t="str">
            <v>PROVIDE (4) 1/4" DIA. ULTRACONS INTO HOST STRUCTURE AND (4) #14 SMS INTO MULL/CLIP PER ANGLE (TYPE B)</v>
          </cell>
          <cell r="N96" t="str">
            <v>1 X 4 STD</v>
          </cell>
          <cell r="O96" t="str">
            <v xml:space="preserve">(4) 1/4" DIA. ULTRACONS </v>
          </cell>
          <cell r="P96" t="str">
            <v>(6) #14 SMS</v>
          </cell>
          <cell r="Q96">
            <v>2010</v>
          </cell>
          <cell r="R96">
            <v>43187</v>
          </cell>
        </row>
        <row r="97">
          <cell r="A97" t="str">
            <v>11-1018.17#1</v>
          </cell>
          <cell r="B97" t="str">
            <v>11-1018.17</v>
          </cell>
          <cell r="C97" t="str">
            <v>NO REINFORCEMENT, STD STILE, STD ASTRAGAL</v>
          </cell>
          <cell r="D97">
            <v>69.099999999999994</v>
          </cell>
          <cell r="E97">
            <v>69.099999999999994</v>
          </cell>
          <cell r="F97" t="str">
            <v>TYPE G1/G1A/G2/G2A</v>
          </cell>
          <cell r="G97" t="str">
            <v>1/4" ELCO ULTRACON</v>
          </cell>
          <cell r="H97">
            <v>2010</v>
          </cell>
          <cell r="I97">
            <v>42101</v>
          </cell>
          <cell r="K97" t="str">
            <v>12-1220.15#4</v>
          </cell>
          <cell r="L97" t="str">
            <v>12-1220.15</v>
          </cell>
          <cell r="M97" t="str">
            <v>PROVIDE (4) 1/4" DIA. ULTRACONS INTO HOST STRUCTURE AND (4) #14 SMS INTO MULL/CLIP PER ANGLE (TYPE B)</v>
          </cell>
          <cell r="N97" t="str">
            <v>2 x 6 x 1/8"</v>
          </cell>
          <cell r="O97" t="str">
            <v>(4) 1/4" DIA. ULTRACONS (TYPE B)</v>
          </cell>
          <cell r="P97" t="str">
            <v>(4) #14 SMS</v>
          </cell>
          <cell r="Q97">
            <v>2010</v>
          </cell>
          <cell r="R97">
            <v>43187</v>
          </cell>
        </row>
        <row r="98">
          <cell r="A98" t="str">
            <v>11-1018.18#1</v>
          </cell>
          <cell r="B98" t="str">
            <v>11-1018.18</v>
          </cell>
          <cell r="C98" t="str">
            <v>W/ REINFORCEMENTS, HIGH SILL RISER (4.00")</v>
          </cell>
          <cell r="D98">
            <v>90</v>
          </cell>
          <cell r="E98">
            <v>113</v>
          </cell>
          <cell r="F98" t="str">
            <v>TYPE G1</v>
          </cell>
          <cell r="G98" t="str">
            <v>1/4" ELCO ULTRACON</v>
          </cell>
          <cell r="H98">
            <v>2010</v>
          </cell>
          <cell r="I98">
            <v>42087</v>
          </cell>
          <cell r="K98" t="str">
            <v>13-0815.05#1</v>
          </cell>
          <cell r="L98" t="str">
            <v>13-0815.05</v>
          </cell>
          <cell r="M98" t="str">
            <v>PROVIDE (4) 1/4" DIA. ELCO ULTRACONS INTO HOST STRUCTURE SPACED 2.25" O.C./ STANDARD CLIP (FIG. 3) (PER VALID PRODUCT APPROVAL)</v>
          </cell>
          <cell r="N98" t="str">
            <v>1 X 4 X .375"</v>
          </cell>
          <cell r="O98" t="str">
            <v>(4) 1/4" ELCO ULTRACONS</v>
          </cell>
          <cell r="P98" t="str">
            <v>STANDARD CLIP</v>
          </cell>
          <cell r="Q98">
            <v>2010</v>
          </cell>
          <cell r="R98">
            <v>42516</v>
          </cell>
        </row>
        <row r="99">
          <cell r="A99" t="str">
            <v>11-1018.19#1</v>
          </cell>
          <cell r="B99" t="str">
            <v>11-1018.19</v>
          </cell>
          <cell r="C99" t="str">
            <v>3-TRACK, REINFORCED</v>
          </cell>
          <cell r="D99">
            <v>80</v>
          </cell>
          <cell r="E99">
            <v>80</v>
          </cell>
          <cell r="F99" t="str">
            <v>TYPE A</v>
          </cell>
          <cell r="G99" t="str">
            <v>1/4" ELCO ULTRACON</v>
          </cell>
          <cell r="H99">
            <v>2010</v>
          </cell>
          <cell r="I99">
            <v>42474</v>
          </cell>
          <cell r="K99" t="str">
            <v>13-0815.05#2</v>
          </cell>
          <cell r="L99" t="str">
            <v>13-0815.05</v>
          </cell>
          <cell r="M99" t="str">
            <v>PROVIDE (2) 1/4" DIA. ELCO ULTRACONS INTO HOST STRUCTURE SPACED 4.75" O.C./ STANDARD CLIP (FIG. 1) (PER VALID PRODUCT APPROVAL)</v>
          </cell>
          <cell r="N99" t="str">
            <v>1 x 2.75 x .375"</v>
          </cell>
          <cell r="O99" t="str">
            <v>(2) 1/4" ELCO ULTRACONS</v>
          </cell>
          <cell r="P99" t="str">
            <v>STANDARD CLIP</v>
          </cell>
          <cell r="Q99">
            <v>2010</v>
          </cell>
          <cell r="R99">
            <v>42516</v>
          </cell>
        </row>
        <row r="100">
          <cell r="A100" t="str">
            <v>11-1025.02#1</v>
          </cell>
          <cell r="B100" t="str">
            <v>11-1025.02</v>
          </cell>
          <cell r="C100" t="str">
            <v>W/WO SIDELITES, ALUMINUM, IMPACT</v>
          </cell>
          <cell r="D100">
            <v>100</v>
          </cell>
          <cell r="E100">
            <v>110</v>
          </cell>
          <cell r="F100" t="str">
            <v>TYPE A</v>
          </cell>
          <cell r="G100" t="str">
            <v>1/4" ELCO ULTRACON</v>
          </cell>
          <cell r="H100">
            <v>2010</v>
          </cell>
          <cell r="I100">
            <v>42317</v>
          </cell>
          <cell r="K100" t="str">
            <v>13-0815.05#3</v>
          </cell>
          <cell r="L100" t="str">
            <v>13-0815.05</v>
          </cell>
          <cell r="M100" t="str">
            <v>PROVIDE (4) 1/4" DIA. ELCO ULTRACONS INTO HOST STRUCTURE SPACED 2.25" O.C./ STANDARD CLIP (FIG. 3) (PER VALID PRODUCT APPROVAL)</v>
          </cell>
          <cell r="N100" t="str">
            <v>1 X 4 X .125"</v>
          </cell>
          <cell r="O100" t="str">
            <v>(4) 1/4" ELCO ULTRACONS</v>
          </cell>
          <cell r="P100" t="str">
            <v>STANDARD CLIP</v>
          </cell>
          <cell r="Q100">
            <v>2010</v>
          </cell>
          <cell r="R100">
            <v>42516</v>
          </cell>
        </row>
        <row r="101">
          <cell r="A101" t="str">
            <v>11-1025.02#2</v>
          </cell>
          <cell r="B101" t="str">
            <v>11-1025.02</v>
          </cell>
          <cell r="C101" t="str">
            <v>W/WO SIDELITES, ALUMINUM, IMPACT</v>
          </cell>
          <cell r="D101">
            <v>90</v>
          </cell>
          <cell r="E101">
            <v>90</v>
          </cell>
          <cell r="F101" t="str">
            <v>TYPE A</v>
          </cell>
          <cell r="G101" t="str">
            <v>1/4" ELCO ULTRACON</v>
          </cell>
          <cell r="H101">
            <v>2010</v>
          </cell>
          <cell r="I101">
            <v>42317</v>
          </cell>
          <cell r="K101" t="str">
            <v>13-0815.05#4</v>
          </cell>
          <cell r="L101" t="str">
            <v>13-0815.05</v>
          </cell>
          <cell r="M101" t="str">
            <v>PROVIDE (4) 1/4" DIA. ELCO ULTRACONS INTO HOST STRUCTURE SPACED 3.0" O.C./ STANDARD CLIP (TABLE10B) (PER VALID PRODUCT APPROVAL)</v>
          </cell>
          <cell r="N101" t="str">
            <v>2 X 6 X 0.25</v>
          </cell>
          <cell r="O101" t="str">
            <v>(4) 1/4" ELCO ULTRACONS</v>
          </cell>
          <cell r="P101" t="str">
            <v>STANDARD CLIP</v>
          </cell>
          <cell r="Q101">
            <v>2010</v>
          </cell>
          <cell r="R101">
            <v>42516</v>
          </cell>
        </row>
        <row r="102">
          <cell r="A102" t="str">
            <v>11-1025.02#3</v>
          </cell>
          <cell r="B102" t="str">
            <v>11-1025.02</v>
          </cell>
          <cell r="C102" t="str">
            <v>W/WO SIDELITES, ALUMINUM, IMPACT</v>
          </cell>
          <cell r="D102">
            <v>100</v>
          </cell>
          <cell r="E102">
            <v>110</v>
          </cell>
          <cell r="F102" t="str">
            <v>TYPE A</v>
          </cell>
          <cell r="G102" t="str">
            <v>1/4" ELCO ULTRACON</v>
          </cell>
          <cell r="H102">
            <v>2010</v>
          </cell>
          <cell r="I102">
            <v>42317</v>
          </cell>
          <cell r="K102" t="str">
            <v>13-0815.05#5</v>
          </cell>
          <cell r="L102" t="str">
            <v>13-0815.05</v>
          </cell>
          <cell r="M102" t="str">
            <v>PROVIDE (4) 1/4" DIA. ELCO ULTRACONS INTO HOST STRUCTURE SPACED 3.0" O.C./ (2) ANGLE CLIPS (FIG. 3) (PER VALID PRODUCT APPROVAL)</v>
          </cell>
          <cell r="N102" t="str">
            <v>1 x 2.75 x .375"</v>
          </cell>
          <cell r="O102" t="str">
            <v>(4) 1/4" ELCO ULTRACONS</v>
          </cell>
          <cell r="P102" t="str">
            <v>ANGLE CLIP</v>
          </cell>
          <cell r="Q102">
            <v>2010</v>
          </cell>
          <cell r="R102">
            <v>42516</v>
          </cell>
        </row>
        <row r="103">
          <cell r="A103" t="str">
            <v>11-1025.03#1</v>
          </cell>
          <cell r="B103" t="str">
            <v>11-1025.03</v>
          </cell>
          <cell r="C103" t="str">
            <v>W/WO SIDELITES, ALUMINUM, IMPACT</v>
          </cell>
          <cell r="D103">
            <v>90</v>
          </cell>
          <cell r="E103">
            <v>90</v>
          </cell>
          <cell r="F103" t="str">
            <v>TYPE A</v>
          </cell>
          <cell r="G103" t="str">
            <v>1/4" ELCO ULTRACON</v>
          </cell>
          <cell r="H103">
            <v>2010</v>
          </cell>
          <cell r="I103">
            <v>42683</v>
          </cell>
          <cell r="K103" t="str">
            <v>13-0815.05#6</v>
          </cell>
          <cell r="L103" t="str">
            <v>13-0815.05</v>
          </cell>
          <cell r="M103" t="str">
            <v>PROVIDE (4) 1/4" DIA. ELCO ULTRACONS INTO HOST STRUCTURE SPACED 2.25" O.C./ STANDARD CLIP (FIG. 3) (PER VALID PRODUCT APPROVAL)</v>
          </cell>
          <cell r="N103" t="str">
            <v>1 X 2 X .125"</v>
          </cell>
          <cell r="O103" t="str">
            <v>(4) 1/4" ELCO ULTRACONS</v>
          </cell>
          <cell r="P103" t="str">
            <v>STANDARD CLIP</v>
          </cell>
          <cell r="Q103">
            <v>2010</v>
          </cell>
          <cell r="R103">
            <v>42516</v>
          </cell>
        </row>
        <row r="104">
          <cell r="A104" t="str">
            <v>11-1025.03#2</v>
          </cell>
          <cell r="B104" t="str">
            <v>11-1025.03</v>
          </cell>
          <cell r="C104" t="str">
            <v>W/WO SIDELITES, ALUMINUM, IMPACT</v>
          </cell>
          <cell r="D104">
            <v>100</v>
          </cell>
          <cell r="E104">
            <v>110</v>
          </cell>
          <cell r="F104" t="str">
            <v>TYPE A</v>
          </cell>
          <cell r="G104" t="str">
            <v>1/4" ELCO ULTRACON</v>
          </cell>
          <cell r="H104">
            <v>2010</v>
          </cell>
          <cell r="I104">
            <v>42683</v>
          </cell>
          <cell r="K104" t="str">
            <v>13-1112.16#1</v>
          </cell>
          <cell r="L104" t="str">
            <v>13-1112.16</v>
          </cell>
          <cell r="M104" t="str">
            <v>PROVIDE (4) 1/4" HILTI KWIK CON II INTO HOST STRUCTURE PER CLIP</v>
          </cell>
          <cell r="N104" t="str">
            <v>1 x 4 x 0.125</v>
          </cell>
          <cell r="O104" t="str">
            <v>(4) 1/4" HILTI KWIK CON II (TYPE A4)</v>
          </cell>
          <cell r="P104" t="str">
            <v>-</v>
          </cell>
          <cell r="Q104">
            <v>2010</v>
          </cell>
          <cell r="R104">
            <v>43696</v>
          </cell>
        </row>
        <row r="105">
          <cell r="A105" t="str">
            <v>11-1028.07#1</v>
          </cell>
          <cell r="B105" t="str">
            <v>11-1028.07</v>
          </cell>
          <cell r="C105" t="str">
            <v>SINGLE DOOR</v>
          </cell>
          <cell r="D105">
            <v>65</v>
          </cell>
          <cell r="E105">
            <v>80</v>
          </cell>
          <cell r="F105" t="str">
            <v>TYPE G1</v>
          </cell>
          <cell r="G105" t="str">
            <v>1/4" ELCO ULTRACON</v>
          </cell>
          <cell r="H105">
            <v>2010</v>
          </cell>
          <cell r="I105">
            <v>42052</v>
          </cell>
          <cell r="K105" t="str">
            <v>14-0529.16#1</v>
          </cell>
          <cell r="L105" t="str">
            <v>14-0529.16</v>
          </cell>
          <cell r="M105" t="str">
            <v>PROVIDE (2) 1/4" DIA. ELCO ULTRACONS INTO HOST STRUCTURE SPACED 3" MIN AND (4) #14 SMS INTO MULL/CLIP PER ANGLE (TYPE A2)</v>
          </cell>
          <cell r="N105" t="str">
            <v>1 X 3 STD</v>
          </cell>
          <cell r="O105" t="str">
            <v>(2) 1/4" ELCO ULTRACONS</v>
          </cell>
          <cell r="P105" t="str">
            <v>(4) #14 SMS</v>
          </cell>
          <cell r="Q105"/>
          <cell r="R105">
            <v>43761</v>
          </cell>
        </row>
        <row r="106">
          <cell r="A106" t="str">
            <v>11-1031.04#1</v>
          </cell>
          <cell r="B106" t="str">
            <v>11-1031.04</v>
          </cell>
          <cell r="C106"/>
          <cell r="D106">
            <v>65</v>
          </cell>
          <cell r="E106">
            <v>65</v>
          </cell>
          <cell r="F106" t="str">
            <v>TYPE A/A1</v>
          </cell>
          <cell r="G106" t="str">
            <v>1/4" ELCO ULTRACON</v>
          </cell>
          <cell r="H106">
            <v>2010</v>
          </cell>
          <cell r="I106">
            <v>42269</v>
          </cell>
          <cell r="K106" t="str">
            <v>14-0529.16#2</v>
          </cell>
          <cell r="L106" t="str">
            <v>14-0529.16</v>
          </cell>
          <cell r="M106" t="str">
            <v>PROVIDE (2) 1/4" DIA. ELCO ULTRACONS INTO HOST STRUCTURE SPACED 3" MIN AND (4) #14 SMS INTO MULL/CLIP PER ANGLE (TYPE A2)</v>
          </cell>
          <cell r="N106" t="str">
            <v>2 X 6 STD</v>
          </cell>
          <cell r="O106" t="str">
            <v>(2) 1/4" ELCO ULTRACONS</v>
          </cell>
          <cell r="P106" t="str">
            <v>(4) #14 SMS</v>
          </cell>
          <cell r="Q106"/>
          <cell r="R106">
            <v>43761</v>
          </cell>
        </row>
        <row r="107">
          <cell r="A107" t="str">
            <v>11-1031.04#2</v>
          </cell>
          <cell r="B107" t="str">
            <v>11-1031.04</v>
          </cell>
          <cell r="C107"/>
          <cell r="D107">
            <v>80</v>
          </cell>
          <cell r="E107">
            <v>80</v>
          </cell>
          <cell r="F107" t="str">
            <v>TYPE B/B1</v>
          </cell>
          <cell r="G107" t="str">
            <v>1/4" ELCO ULTRACON</v>
          </cell>
          <cell r="H107">
            <v>2010</v>
          </cell>
          <cell r="I107">
            <v>42269</v>
          </cell>
          <cell r="K107" t="str">
            <v>14-0529.16#3</v>
          </cell>
          <cell r="L107" t="str">
            <v>14-0529.16</v>
          </cell>
          <cell r="M107" t="str">
            <v>PROVIDE (2) 1/4" DIA. ELCO ULTRACONS INTO HOST STRUCTURE SPACED 3" MIN AND (4) #14 SMS INTO MULL/CLIP PER ANGLE (TYPE A2)</v>
          </cell>
          <cell r="N107" t="str">
            <v>1 X 4 STD</v>
          </cell>
          <cell r="O107" t="str">
            <v>(2) 1/4" ELCO ULTRACONS</v>
          </cell>
          <cell r="P107" t="str">
            <v>(4) #14 SMS</v>
          </cell>
          <cell r="Q107"/>
          <cell r="R107">
            <v>43761</v>
          </cell>
        </row>
        <row r="108">
          <cell r="A108" t="str">
            <v>11-1031.06#1</v>
          </cell>
          <cell r="B108" t="str">
            <v>11-1031.06</v>
          </cell>
          <cell r="C108"/>
          <cell r="D108">
            <v>80</v>
          </cell>
          <cell r="E108">
            <v>80</v>
          </cell>
          <cell r="F108" t="str">
            <v>TYPE D</v>
          </cell>
          <cell r="G108" t="str">
            <v>1/4" ELCO ULTRACON</v>
          </cell>
          <cell r="H108">
            <v>2010</v>
          </cell>
          <cell r="I108">
            <v>42269</v>
          </cell>
          <cell r="K108" t="str">
            <v>14-0731.06#1</v>
          </cell>
          <cell r="L108" t="str">
            <v>14-0731.06</v>
          </cell>
          <cell r="M108" t="str">
            <v>PROVIDE (2) 1/4" DIA. ULTRACONS INTO HOST STRUCTURE PER CONNECTION ANGLE/ (2) #14 SMS INTO MULL PER ANGLE</v>
          </cell>
          <cell r="N108" t="str">
            <v>1 x 3 x 1/8</v>
          </cell>
          <cell r="O108" t="str">
            <v>(4) 1/4" ULTRACONS</v>
          </cell>
          <cell r="P108" t="str">
            <v>(4) #14 SMS</v>
          </cell>
          <cell r="Q108">
            <v>2014</v>
          </cell>
          <cell r="R108">
            <v>43724</v>
          </cell>
        </row>
        <row r="109">
          <cell r="A109" t="str">
            <v>11-1031.06#2</v>
          </cell>
          <cell r="B109" t="str">
            <v>11-1031.06</v>
          </cell>
          <cell r="C109"/>
          <cell r="D109">
            <v>80</v>
          </cell>
          <cell r="E109">
            <v>80</v>
          </cell>
          <cell r="F109" t="str">
            <v>TYPE D/D1</v>
          </cell>
          <cell r="G109" t="str">
            <v>1/4" ELCO ULTRACON</v>
          </cell>
          <cell r="H109">
            <v>2010</v>
          </cell>
          <cell r="I109">
            <v>42269</v>
          </cell>
          <cell r="K109" t="str">
            <v>14-0731.06#2</v>
          </cell>
          <cell r="L109" t="str">
            <v>14-0731.06</v>
          </cell>
          <cell r="M109" t="str">
            <v>PROVIDE (2) 1/4" DIA. ULTRACONS INTO HOST STRUCTURE SPACED 2.25" O.C. PER CONNECTION ANGLE/ (2) #14 SMS INTO MULL PER ANGLE</v>
          </cell>
          <cell r="N109" t="str">
            <v>2 x 6 x 0.25</v>
          </cell>
          <cell r="O109" t="str">
            <v>(4) 1/4" ULTRACONS</v>
          </cell>
          <cell r="P109" t="str">
            <v>(4) #14 SMS</v>
          </cell>
          <cell r="Q109">
            <v>2014</v>
          </cell>
          <cell r="R109">
            <v>43724</v>
          </cell>
        </row>
        <row r="110">
          <cell r="A110" t="str">
            <v>11-1031.06#3</v>
          </cell>
          <cell r="B110" t="str">
            <v>11-1031.06</v>
          </cell>
          <cell r="C110"/>
          <cell r="D110">
            <v>80</v>
          </cell>
          <cell r="E110">
            <v>80</v>
          </cell>
          <cell r="F110" t="str">
            <v>TYPE D/D1</v>
          </cell>
          <cell r="G110" t="str">
            <v>1/4" ELCO ULTRACON</v>
          </cell>
          <cell r="H110">
            <v>2010</v>
          </cell>
          <cell r="I110">
            <v>42269</v>
          </cell>
          <cell r="K110" t="str">
            <v>14-0731.06#3</v>
          </cell>
          <cell r="L110" t="str">
            <v>14-0731.06</v>
          </cell>
          <cell r="M110" t="str">
            <v>PROVIDE (2) 1/4" DIA. ULTRACONS INTO HOST STRUCTURE SPACED 2.25" O.C. PER CONNECTION ANGLE/ (2) #14 SMS INTO MULL PER ANGLE</v>
          </cell>
          <cell r="N110" t="str">
            <v>2 x 6 x 0.125</v>
          </cell>
          <cell r="O110" t="str">
            <v>(4) 1/4" ULTRACONS</v>
          </cell>
          <cell r="P110" t="str">
            <v>(4) #14 SMS</v>
          </cell>
          <cell r="Q110">
            <v>2014</v>
          </cell>
          <cell r="R110">
            <v>43724</v>
          </cell>
        </row>
        <row r="111">
          <cell r="A111" t="str">
            <v>11-1108.12#1</v>
          </cell>
          <cell r="B111" t="str">
            <v>11-1108.12</v>
          </cell>
          <cell r="C111" t="str">
            <v>OUTSWING</v>
          </cell>
          <cell r="D111">
            <v>65</v>
          </cell>
          <cell r="E111">
            <v>75</v>
          </cell>
          <cell r="F111" t="str">
            <v>N/A</v>
          </cell>
          <cell r="G111" t="str">
            <v>#10 WOOD SCREW</v>
          </cell>
          <cell r="H111">
            <v>2010</v>
          </cell>
          <cell r="I111">
            <v>42073</v>
          </cell>
          <cell r="K111" t="str">
            <v>14-0731.06#4</v>
          </cell>
          <cell r="L111" t="str">
            <v>14-0731.06</v>
          </cell>
          <cell r="M111" t="str">
            <v>PROVIDE (2) 1/4" DIA. ULTRACONS INTO HOST STRUCTURE SPACED 2.25" O.C. PER CONNECTION ANGLE/ (2) #14 SMS INTO MULL PER ANGLE</v>
          </cell>
          <cell r="N111" t="str">
            <v>2 x 4 x 0.125</v>
          </cell>
          <cell r="O111" t="str">
            <v>(4) 1/4" ULTRACONS</v>
          </cell>
          <cell r="P111" t="str">
            <v>(4) #14 SMS</v>
          </cell>
          <cell r="Q111">
            <v>2014</v>
          </cell>
          <cell r="R111">
            <v>43724</v>
          </cell>
        </row>
        <row r="112">
          <cell r="A112" t="str">
            <v>11-1110.15#1</v>
          </cell>
          <cell r="B112" t="str">
            <v>11-1110.15</v>
          </cell>
          <cell r="C112"/>
          <cell r="D112">
            <v>64</v>
          </cell>
          <cell r="E112">
            <v>64</v>
          </cell>
          <cell r="F112" t="str">
            <v>7/16" LAMI</v>
          </cell>
          <cell r="G112" t="str">
            <v>1/4" STEEL ULTRACON</v>
          </cell>
          <cell r="H112">
            <v>2010</v>
          </cell>
          <cell r="I112">
            <v>41689</v>
          </cell>
          <cell r="K112" t="str">
            <v>14-0731.06#5</v>
          </cell>
          <cell r="L112" t="str">
            <v>14-0731.06</v>
          </cell>
          <cell r="M112" t="str">
            <v>PROVIDE (2) 1/4" DIA. ULTRACONS INTO HOST STRUCTURE PER CONNECTION ANGLE/ (2) #14 SMS INTO MULL PER ANGLE</v>
          </cell>
          <cell r="N112" t="str">
            <v>1 x 4 x 1/8</v>
          </cell>
          <cell r="O112" t="str">
            <v>(4) 1/4" ULTRACONS</v>
          </cell>
          <cell r="P112" t="str">
            <v>(4) #14 SMS</v>
          </cell>
          <cell r="Q112">
            <v>2014</v>
          </cell>
          <cell r="R112">
            <v>43724</v>
          </cell>
        </row>
        <row r="113">
          <cell r="A113" t="str">
            <v>11-1110.15#2</v>
          </cell>
          <cell r="B113" t="str">
            <v>11-1110.15</v>
          </cell>
          <cell r="C113"/>
          <cell r="D113">
            <v>80</v>
          </cell>
          <cell r="E113">
            <v>80</v>
          </cell>
          <cell r="F113" t="str">
            <v>7/16" LAMI</v>
          </cell>
          <cell r="G113" t="str">
            <v>1/4" STEEL ULTRACON</v>
          </cell>
          <cell r="H113">
            <v>2010</v>
          </cell>
          <cell r="I113">
            <v>41689</v>
          </cell>
          <cell r="K113" t="str">
            <v>14-0908.08#1</v>
          </cell>
          <cell r="L113" t="str">
            <v>14-0908.08</v>
          </cell>
          <cell r="M113" t="str">
            <v xml:space="preserve">PROVIDE (4) 5/16" DIA. TAPCONS INTO HOST STRUCTURE SPACED 2-7/16" O.C. </v>
          </cell>
          <cell r="N113" t="str">
            <v>1 x 4 x 0.125</v>
          </cell>
          <cell r="O113" t="str">
            <v>(4) 5/16" TAPCONS</v>
          </cell>
          <cell r="P113" t="str">
            <v>(2) 2" x 3.688" ANGLE CLIPS</v>
          </cell>
          <cell r="Q113">
            <v>2014</v>
          </cell>
          <cell r="R113">
            <v>42885</v>
          </cell>
        </row>
        <row r="114">
          <cell r="A114" t="str">
            <v>11-1110.15#3</v>
          </cell>
          <cell r="B114" t="str">
            <v>11-1110.15</v>
          </cell>
          <cell r="C114"/>
          <cell r="D114">
            <v>79.3</v>
          </cell>
          <cell r="E114">
            <v>79.3</v>
          </cell>
          <cell r="F114" t="str">
            <v>7/16" LAMI</v>
          </cell>
          <cell r="G114" t="str">
            <v>1/4" STEEL ULTRACON</v>
          </cell>
          <cell r="H114">
            <v>2010</v>
          </cell>
          <cell r="I114">
            <v>41689</v>
          </cell>
          <cell r="K114" t="str">
            <v>14-1014.05#1</v>
          </cell>
          <cell r="L114" t="str">
            <v>14-1014.05</v>
          </cell>
          <cell r="M114"/>
          <cell r="N114" t="str">
            <v>1 x 4 x 0.125</v>
          </cell>
          <cell r="O114"/>
          <cell r="P114"/>
          <cell r="Q114">
            <v>2010</v>
          </cell>
          <cell r="R114"/>
        </row>
        <row r="115">
          <cell r="A115" t="str">
            <v>11-1110.15#4</v>
          </cell>
          <cell r="B115" t="str">
            <v>11-1110.15</v>
          </cell>
          <cell r="C115"/>
          <cell r="D115">
            <v>79.3</v>
          </cell>
          <cell r="E115">
            <v>79.3</v>
          </cell>
          <cell r="F115" t="str">
            <v>7/16" LAMI</v>
          </cell>
          <cell r="G115" t="str">
            <v>#12 STEEL SCREW, 5/16" STEEL ULTRACON</v>
          </cell>
          <cell r="H115">
            <v>2010</v>
          </cell>
          <cell r="I115">
            <v>41689</v>
          </cell>
          <cell r="K115" t="str">
            <v>14-1103.09#1</v>
          </cell>
          <cell r="L115" t="str">
            <v>14-1103.09</v>
          </cell>
          <cell r="M115" t="str">
            <v>36.1" WIDTH 72" SPAN</v>
          </cell>
          <cell r="N115" t="str">
            <v>1" X 3" X 0.125"</v>
          </cell>
          <cell r="O115" t="str">
            <v>(4) 1/4" ITW TAPCONS</v>
          </cell>
          <cell r="P115" t="str">
            <v>2 ANCHORS AT EACH END</v>
          </cell>
          <cell r="Q115">
            <v>2014</v>
          </cell>
          <cell r="R115">
            <v>44096</v>
          </cell>
        </row>
        <row r="116">
          <cell r="A116" t="str">
            <v>11-1110.15#5</v>
          </cell>
          <cell r="B116" t="str">
            <v>11-1110.15</v>
          </cell>
          <cell r="C116"/>
          <cell r="D116">
            <v>77.2</v>
          </cell>
          <cell r="E116">
            <v>77.2</v>
          </cell>
          <cell r="F116" t="str">
            <v>7/16" LAMI</v>
          </cell>
          <cell r="G116" t="str">
            <v>1/4" STEEL ULTRACON</v>
          </cell>
          <cell r="H116">
            <v>2010</v>
          </cell>
          <cell r="I116">
            <v>41689</v>
          </cell>
          <cell r="K116" t="str">
            <v>14-1103.09#2</v>
          </cell>
          <cell r="L116" t="str">
            <v>14-1103.09</v>
          </cell>
          <cell r="M116" t="str">
            <v>54" WIDTH, 60" SPAN, 1X3</v>
          </cell>
          <cell r="N116" t="str">
            <v>1" X 3" X 0.125"</v>
          </cell>
          <cell r="O116" t="str">
            <v>(2) 1/4" ELCO ULTRACONS</v>
          </cell>
          <cell r="P116" t="str">
            <v>1 ANCHOR AT EACH END</v>
          </cell>
          <cell r="Q116">
            <v>2014</v>
          </cell>
          <cell r="R116">
            <v>44096</v>
          </cell>
        </row>
        <row r="117">
          <cell r="A117" t="str">
            <v>11-1110.15#6</v>
          </cell>
          <cell r="B117" t="str">
            <v>11-1110.15</v>
          </cell>
          <cell r="C117"/>
          <cell r="D117">
            <v>58.2</v>
          </cell>
          <cell r="E117">
            <v>58.2</v>
          </cell>
          <cell r="F117" t="str">
            <v>7/16" LAMI</v>
          </cell>
          <cell r="G117" t="str">
            <v>1/4" STEEL ULTRACON</v>
          </cell>
          <cell r="H117">
            <v>2010</v>
          </cell>
          <cell r="I117">
            <v>41689</v>
          </cell>
          <cell r="K117" t="str">
            <v>14-1103.09#3</v>
          </cell>
          <cell r="L117" t="str">
            <v>14-1103.09</v>
          </cell>
          <cell r="M117" t="str">
            <v>36" WIDTH, 72" SPAN</v>
          </cell>
          <cell r="N117" t="str">
            <v>1" X 2.5" X 0.125"</v>
          </cell>
          <cell r="O117" t="str">
            <v>(2) 1/4" ELCO ULTRACONS</v>
          </cell>
          <cell r="P117" t="str">
            <v>1 ANCHOR AT EACH END</v>
          </cell>
          <cell r="Q117">
            <v>2014</v>
          </cell>
          <cell r="R117">
            <v>44096</v>
          </cell>
        </row>
        <row r="118">
          <cell r="A118" t="str">
            <v>11-1110.18#1</v>
          </cell>
          <cell r="B118" t="str">
            <v>11-1110.18</v>
          </cell>
          <cell r="C118" t="str">
            <v>ALUMINUM CW</v>
          </cell>
          <cell r="D118">
            <v>75</v>
          </cell>
          <cell r="E118">
            <v>70</v>
          </cell>
          <cell r="F118" t="str">
            <v>5/16" LAMI</v>
          </cell>
          <cell r="G118" t="str">
            <v>1/4" ELCO TAPCON</v>
          </cell>
          <cell r="H118">
            <v>2010</v>
          </cell>
          <cell r="I118">
            <v>41416</v>
          </cell>
          <cell r="K118" t="str">
            <v>14-1105.01#1</v>
          </cell>
          <cell r="L118" t="str">
            <v>14-1105.01</v>
          </cell>
          <cell r="M118" t="str">
            <v>PROVIDE (4) 1/4" DIA. ELCO ULTRACONS INTO HOST STRUCTURE SPACED 2.25" O.C./ (2) STANDARD CLIPS (PER VALID PRODUCT APPROVAL)</v>
          </cell>
          <cell r="N118" t="str">
            <v>1 x 4 x 0.125</v>
          </cell>
          <cell r="O118" t="str">
            <v>(4) 1/4" ELCO ULTRACONS</v>
          </cell>
          <cell r="P118" t="str">
            <v>(2) 1/4 ELCO TAPCONS</v>
          </cell>
          <cell r="Q118">
            <v>2014</v>
          </cell>
          <cell r="R118">
            <v>42516</v>
          </cell>
        </row>
        <row r="119">
          <cell r="A119" t="str">
            <v>11-1114.02#1</v>
          </cell>
          <cell r="B119" t="str">
            <v>11-1114.02</v>
          </cell>
          <cell r="C119" t="str">
            <v>XO OR OX</v>
          </cell>
          <cell r="D119">
            <v>90</v>
          </cell>
          <cell r="E119">
            <v>147</v>
          </cell>
          <cell r="F119" t="str">
            <v>TYPE A</v>
          </cell>
          <cell r="G119" t="str">
            <v>5/16" ELCO TAPCONS</v>
          </cell>
          <cell r="H119">
            <v>2010</v>
          </cell>
          <cell r="I119">
            <v>41276</v>
          </cell>
          <cell r="K119" t="str">
            <v>14-1105.01#2</v>
          </cell>
          <cell r="L119" t="str">
            <v>14-1105.01</v>
          </cell>
          <cell r="M119" t="str">
            <v>PROVIDE (4) 1/4" DIA. ELCO ULTRACONS INTO HOST STRUCTURE SPACED 2.25" O.C./ STANDARD CLIP (FIG. 3) (PER VALID PRODUCT APPROVAL)</v>
          </cell>
          <cell r="N119" t="str">
            <v>1 X 4 X .375"</v>
          </cell>
          <cell r="O119" t="str">
            <v>(4) 1/4" ELCO ULTRACONS</v>
          </cell>
          <cell r="P119" t="str">
            <v>STANDARD CLIP</v>
          </cell>
          <cell r="Q119">
            <v>2014</v>
          </cell>
          <cell r="R119">
            <v>42516</v>
          </cell>
        </row>
        <row r="120">
          <cell r="A120" t="str">
            <v>11-1114.04#1</v>
          </cell>
          <cell r="B120" t="str">
            <v>11-1114.04</v>
          </cell>
          <cell r="C120" t="str">
            <v>XOX (1/4, 1/2, 1/4) FLANGE OR INTEGRAL FIN WINDOWS</v>
          </cell>
          <cell r="D120">
            <v>60</v>
          </cell>
          <cell r="E120">
            <v>60</v>
          </cell>
          <cell r="F120" t="str">
            <v>TYPE A</v>
          </cell>
          <cell r="G120" t="str">
            <v>1/4" ELCO TAPCON</v>
          </cell>
          <cell r="H120">
            <v>2010</v>
          </cell>
          <cell r="I120">
            <v>42725</v>
          </cell>
          <cell r="K120" t="str">
            <v>14-1105.01#3</v>
          </cell>
          <cell r="L120" t="str">
            <v>14-1105.01</v>
          </cell>
          <cell r="M120" t="str">
            <v>PROVIDE (4) 5/16" DIA. ITW TAPCONS INTO HOST STRUCTURE SPACED 1.1" O.C./ MODIFIED STANDARD CLIP (FIG. 3) (PER VALID PRODUCT APPROVAL)</v>
          </cell>
          <cell r="N120" t="str">
            <v>2" X 4" X .25"</v>
          </cell>
          <cell r="O120" t="str">
            <v>(4) 5/16" ITW TAPCONS</v>
          </cell>
          <cell r="P120" t="str">
            <v>MODIFIED STANDARD CLIP</v>
          </cell>
          <cell r="Q120">
            <v>2014</v>
          </cell>
          <cell r="R120">
            <v>42516</v>
          </cell>
        </row>
        <row r="121">
          <cell r="A121" t="str">
            <v>11-1114.04#2</v>
          </cell>
          <cell r="B121" t="str">
            <v>11-1114.04</v>
          </cell>
          <cell r="C121" t="str">
            <v>XO WINDOWS</v>
          </cell>
          <cell r="D121">
            <v>75</v>
          </cell>
          <cell r="E121">
            <v>75</v>
          </cell>
          <cell r="F121" t="str">
            <v>TYPE A</v>
          </cell>
          <cell r="G121" t="str">
            <v>1/4" ELCO TAPCON</v>
          </cell>
          <cell r="H121">
            <v>2010</v>
          </cell>
          <cell r="I121">
            <v>42725</v>
          </cell>
          <cell r="K121" t="str">
            <v>14-1105.01#4</v>
          </cell>
          <cell r="L121" t="str">
            <v>14-1105.01</v>
          </cell>
          <cell r="M121" t="str">
            <v>PROVIDE (4) 1/4" DIA. ELCO ULTRACONS INTO HOST STRUCTURE SPACED 4.68" O.C./ STANDARD CLIP (FIG. 3) (PER VALID PRODUCT APPROVAL)</v>
          </cell>
          <cell r="N121" t="str">
            <v>2 X 6 X .25"</v>
          </cell>
          <cell r="O121" t="str">
            <v>(4) 1/4" ELCO ULTRACONS</v>
          </cell>
          <cell r="P121" t="str">
            <v>STANDARD CLIP</v>
          </cell>
          <cell r="Q121">
            <v>2014</v>
          </cell>
          <cell r="R121">
            <v>42516</v>
          </cell>
        </row>
        <row r="122">
          <cell r="A122" t="str">
            <v>11-1114.04#3</v>
          </cell>
          <cell r="B122" t="str">
            <v>11-1114.04</v>
          </cell>
          <cell r="C122" t="str">
            <v>XO WINDOWS</v>
          </cell>
          <cell r="D122">
            <v>65.2</v>
          </cell>
          <cell r="E122">
            <v>65.2</v>
          </cell>
          <cell r="F122" t="str">
            <v>TYPE A</v>
          </cell>
          <cell r="G122" t="str">
            <v>1/4" ELCO TAPCON</v>
          </cell>
          <cell r="H122">
            <v>2010</v>
          </cell>
          <cell r="I122">
            <v>42725</v>
          </cell>
          <cell r="K122" t="str">
            <v>14-1105.01#5</v>
          </cell>
          <cell r="L122" t="str">
            <v>14-1105.01</v>
          </cell>
          <cell r="M122" t="str">
            <v>PROVIDE (4) 1/4" DIA. ELCO ULTRACONS INTO HOST STRUCTURE SPACED 3.00" O.C./ ANGLE CLIP (FIG. 3) (PER VALID PRODUCT APPROVAL)</v>
          </cell>
          <cell r="N122" t="str">
            <v>1 x 2.75 x 0.375</v>
          </cell>
          <cell r="O122" t="str">
            <v>(4) 1/4" ELCO ULTRACONS</v>
          </cell>
          <cell r="P122" t="str">
            <v>ANGLE CLIP</v>
          </cell>
          <cell r="Q122">
            <v>2014</v>
          </cell>
          <cell r="R122">
            <v>42516</v>
          </cell>
        </row>
        <row r="123">
          <cell r="A123" t="str">
            <v>11-1114.04#4</v>
          </cell>
          <cell r="B123" t="str">
            <v>11-1114.04</v>
          </cell>
          <cell r="C123" t="str">
            <v>XOX (1/4, 1/2, 1/4) FLANGE OR INTEGRAL FIN WINDOWS</v>
          </cell>
          <cell r="D123">
            <v>50.9</v>
          </cell>
          <cell r="E123">
            <v>50.9</v>
          </cell>
          <cell r="F123" t="str">
            <v>TYPE A</v>
          </cell>
          <cell r="G123" t="str">
            <v>1/4" ELCO TAPCON</v>
          </cell>
          <cell r="H123">
            <v>2010</v>
          </cell>
          <cell r="I123">
            <v>42725</v>
          </cell>
          <cell r="K123" t="str">
            <v>14-1105.01#6</v>
          </cell>
          <cell r="L123" t="str">
            <v>14-1105.01</v>
          </cell>
          <cell r="M123" t="str">
            <v>PROVIDE (4) 5/16" DIA. ELCO ULTRACONS INTO HOST STRUCTURE SPACED 1.1" O.C./ STANDARD CLIP (FIG. 2) (PER VALID PRODUCT APPROVAL)</v>
          </cell>
          <cell r="N123" t="str">
            <v>1" X 3.125" X .5"</v>
          </cell>
          <cell r="O123" t="str">
            <v>(4) 5/16" ITW TAPCONS</v>
          </cell>
          <cell r="P123" t="str">
            <v>STANDARD CLIP</v>
          </cell>
          <cell r="Q123">
            <v>2014</v>
          </cell>
          <cell r="R123">
            <v>42516</v>
          </cell>
        </row>
        <row r="124">
          <cell r="A124" t="str">
            <v>11-1114.04#5</v>
          </cell>
          <cell r="B124" t="str">
            <v>11-1114.04</v>
          </cell>
          <cell r="C124" t="str">
            <v>XOX (1/4, 1/2, 1/4) FLANGE OR INTEGRAL FIN WINDOWS</v>
          </cell>
          <cell r="D124">
            <v>56.2</v>
          </cell>
          <cell r="E124">
            <v>56.2</v>
          </cell>
          <cell r="F124" t="str">
            <v>TYPE A</v>
          </cell>
          <cell r="G124" t="str">
            <v>1/4" ELCO TAPCON</v>
          </cell>
          <cell r="H124">
            <v>2010</v>
          </cell>
          <cell r="I124">
            <v>42725</v>
          </cell>
          <cell r="K124" t="str">
            <v>15-0512.23#1</v>
          </cell>
          <cell r="L124" t="str">
            <v>15-0512.23</v>
          </cell>
          <cell r="M124"/>
          <cell r="N124" t="str">
            <v>2 x 6 x 0.125</v>
          </cell>
          <cell r="O124" t="str">
            <v>1/4" HILTI KWIK CON II</v>
          </cell>
          <cell r="P124" t="str">
            <v>STANDARD CLIP</v>
          </cell>
          <cell r="Q124">
            <v>2014</v>
          </cell>
          <cell r="R124">
            <v>43696</v>
          </cell>
        </row>
        <row r="125">
          <cell r="A125" t="str">
            <v>11-1114.05#1</v>
          </cell>
          <cell r="B125" t="str">
            <v>11-1114.05</v>
          </cell>
          <cell r="C125" t="str">
            <v>OX and XO FLANGE OR INTEGRAL FIN WINDOWS</v>
          </cell>
          <cell r="D125">
            <v>75</v>
          </cell>
          <cell r="E125">
            <v>128.6</v>
          </cell>
          <cell r="F125" t="str">
            <v>TYPE A</v>
          </cell>
          <cell r="G125" t="str">
            <v>1/4" ELCO TAPCON</v>
          </cell>
          <cell r="H125">
            <v>2010</v>
          </cell>
          <cell r="I125">
            <v>42578</v>
          </cell>
          <cell r="K125" t="str">
            <v>15-0715.04#1</v>
          </cell>
          <cell r="L125" t="str">
            <v>15-0715.04</v>
          </cell>
          <cell r="M125"/>
          <cell r="N125" t="str">
            <v>2" x 4" x 0.25"</v>
          </cell>
          <cell r="O125" t="str">
            <v>1/4" ELCO ULTRACONS</v>
          </cell>
          <cell r="P125" t="str">
            <v>STANDARD CLIP</v>
          </cell>
          <cell r="Q125">
            <v>2014</v>
          </cell>
          <cell r="R125">
            <v>43060</v>
          </cell>
        </row>
        <row r="126">
          <cell r="A126" t="str">
            <v>11-1114.12#1</v>
          </cell>
          <cell r="B126" t="str">
            <v>11-1114.12</v>
          </cell>
          <cell r="C126" t="str">
            <v>ALUMINUM</v>
          </cell>
          <cell r="D126">
            <v>110</v>
          </cell>
          <cell r="E126">
            <v>140</v>
          </cell>
          <cell r="F126" t="str">
            <v>7/16" LAMI</v>
          </cell>
          <cell r="G126" t="str">
            <v>1/4" ELCO TAPCON</v>
          </cell>
          <cell r="H126">
            <v>2010</v>
          </cell>
          <cell r="I126">
            <v>41479</v>
          </cell>
          <cell r="K126" t="str">
            <v>15-0715.04#2</v>
          </cell>
          <cell r="L126" t="str">
            <v>15-0715.04</v>
          </cell>
          <cell r="M126"/>
          <cell r="N126" t="str">
            <v>2" x 6" x 0.125"</v>
          </cell>
          <cell r="O126" t="str">
            <v>1/4" ELCO ULTRACONS</v>
          </cell>
          <cell r="P126" t="str">
            <v>STANDARD CLIP</v>
          </cell>
          <cell r="Q126">
            <v>2014</v>
          </cell>
          <cell r="R126">
            <v>43060</v>
          </cell>
        </row>
        <row r="127">
          <cell r="A127" t="str">
            <v>11-1114.14#1</v>
          </cell>
          <cell r="B127" t="str">
            <v>11-1114.14</v>
          </cell>
          <cell r="C127" t="str">
            <v>ALUMINUM</v>
          </cell>
          <cell r="D127">
            <v>67.400000000000006</v>
          </cell>
          <cell r="E127">
            <v>67.400000000000006</v>
          </cell>
          <cell r="F127" t="str">
            <v>3/16 ANN</v>
          </cell>
          <cell r="G127" t="str">
            <v>1/4" STEEL ULTRACON</v>
          </cell>
          <cell r="H127">
            <v>2010</v>
          </cell>
          <cell r="I127">
            <v>42600</v>
          </cell>
          <cell r="K127" t="str">
            <v>15-0818.06#1</v>
          </cell>
          <cell r="L127" t="str">
            <v>15-0818.06</v>
          </cell>
          <cell r="M127" t="str">
            <v>PROVIDE (2) 1/4" TAPCONS INTO HOST STRUCTURE AND (2) #14 SMS INTO MULL/CLIP PER ANGLE (TYPE AA2)</v>
          </cell>
          <cell r="N127" t="str">
            <v>1 x 3 STD</v>
          </cell>
          <cell r="O127" t="str">
            <v>(2) 1/4" TAPCONS (TYPE AA2)</v>
          </cell>
          <cell r="P127" t="str">
            <v>(2) #14 SMS</v>
          </cell>
          <cell r="Q127">
            <v>2014</v>
          </cell>
          <cell r="R127">
            <v>44554</v>
          </cell>
        </row>
        <row r="128">
          <cell r="A128" t="str">
            <v>11-1114.14#2</v>
          </cell>
          <cell r="B128" t="str">
            <v>11-1114.14</v>
          </cell>
          <cell r="C128" t="str">
            <v>ALUMINUM</v>
          </cell>
          <cell r="D128">
            <v>74.2</v>
          </cell>
          <cell r="E128">
            <v>74.2</v>
          </cell>
          <cell r="F128" t="str">
            <v>3/16 ANN</v>
          </cell>
          <cell r="G128" t="str">
            <v>1/4" STEEL ULTRACON</v>
          </cell>
          <cell r="H128">
            <v>2010</v>
          </cell>
          <cell r="I128">
            <v>42600</v>
          </cell>
          <cell r="K128" t="str">
            <v>16-0218.03#1</v>
          </cell>
          <cell r="L128" t="str">
            <v>16-0218.03</v>
          </cell>
          <cell r="M128" t="str">
            <v>PROVIDE (4) 5/16" DIA. ITW TAPCONS INTO HOST STRUCTURE SPACED 1.1" O.C./ MODIFIED STANDARD CLIP (FIG. 3) (PER VALID PRODUCT APPROVAL)</v>
          </cell>
          <cell r="N128" t="str">
            <v>2" X 4" X .25"</v>
          </cell>
          <cell r="O128" t="str">
            <v>(4) 5/16" ITW TAPCONS</v>
          </cell>
          <cell r="P128" t="str">
            <v>MODIFIED STANDARD CLIP</v>
          </cell>
          <cell r="Q128">
            <v>2014</v>
          </cell>
          <cell r="R128">
            <v>44342</v>
          </cell>
        </row>
        <row r="129">
          <cell r="A129" t="str">
            <v>11-1114.18#1</v>
          </cell>
          <cell r="B129" t="str">
            <v>11-1114.18</v>
          </cell>
          <cell r="C129" t="str">
            <v>BOX FRAME</v>
          </cell>
          <cell r="D129">
            <v>80</v>
          </cell>
          <cell r="E129">
            <v>80</v>
          </cell>
          <cell r="F129" t="str">
            <v>TYPE A/B</v>
          </cell>
          <cell r="G129" t="str">
            <v>3/16" ULTRACON</v>
          </cell>
          <cell r="H129">
            <v>2010</v>
          </cell>
          <cell r="I129">
            <v>41647</v>
          </cell>
          <cell r="K129" t="str">
            <v>16-0218.03#2</v>
          </cell>
          <cell r="L129" t="str">
            <v>16-0218.03</v>
          </cell>
          <cell r="M129" t="str">
            <v>PROVIDE (4) 1/4" DIA. ELCO ULTRACONS INTO HOST SPACED 2.25" O.C. W/ 2.5" EDGE DISTANCE/ STANDARD CLIP (FIG. 3) (PER VALID PRODUCT APPROVAL)</v>
          </cell>
          <cell r="N129" t="str">
            <v>1 x 4 x 0.125</v>
          </cell>
          <cell r="O129" t="str">
            <v>(4) 1/4" ELCO ULTRACONS</v>
          </cell>
          <cell r="P129" t="str">
            <v>(2) 1/4 ELCO TAPCONS</v>
          </cell>
          <cell r="Q129">
            <v>2014</v>
          </cell>
          <cell r="R129">
            <v>44342</v>
          </cell>
        </row>
        <row r="130">
          <cell r="A130" t="str">
            <v>11-1114.19#1</v>
          </cell>
          <cell r="B130" t="str">
            <v>11-1114.19</v>
          </cell>
          <cell r="C130"/>
          <cell r="D130">
            <v>65</v>
          </cell>
          <cell r="E130">
            <v>80</v>
          </cell>
          <cell r="F130" t="str">
            <v xml:space="preserve">TYPE C/D </v>
          </cell>
          <cell r="G130" t="str">
            <v>3/16" ITW TAPCON</v>
          </cell>
          <cell r="H130">
            <v>2007</v>
          </cell>
          <cell r="I130">
            <v>42227</v>
          </cell>
          <cell r="K130" t="str">
            <v>16-0218.03#3</v>
          </cell>
          <cell r="L130" t="str">
            <v>16-0218.03</v>
          </cell>
          <cell r="M130" t="str">
            <v>PROVIDE (4) 3/16" DIA. ITW TAPCONS INTO HOST STRUCTURE SPACED 2.25" O.C./ STANDARD CLIP (FIG. 3) (PER VALID PRODUCT APPROVAL)</v>
          </cell>
          <cell r="N130" t="str">
            <v>1 X 4 X 0.125</v>
          </cell>
          <cell r="O130" t="str">
            <v>(4) 3/16" ELCO ULTRACONS</v>
          </cell>
          <cell r="P130" t="str">
            <v>STANDARD CLIP</v>
          </cell>
          <cell r="Q130">
            <v>2014</v>
          </cell>
          <cell r="R130">
            <v>44342</v>
          </cell>
        </row>
        <row r="131">
          <cell r="A131" t="str">
            <v>11-1115.04#1</v>
          </cell>
          <cell r="B131" t="str">
            <v>11-1115.04</v>
          </cell>
          <cell r="C131" t="str">
            <v>ALUMINIUM</v>
          </cell>
          <cell r="D131">
            <v>100</v>
          </cell>
          <cell r="E131">
            <v>120</v>
          </cell>
          <cell r="F131" t="str">
            <v>TYPE B</v>
          </cell>
          <cell r="G131" t="str">
            <v>1/4" ELCO CONCRETE SCREW</v>
          </cell>
          <cell r="H131">
            <v>2010</v>
          </cell>
          <cell r="I131">
            <v>41877</v>
          </cell>
          <cell r="K131" t="str">
            <v>16-0218.03#4</v>
          </cell>
          <cell r="L131" t="str">
            <v>16-0218.03</v>
          </cell>
          <cell r="M131" t="str">
            <v>PROVIDE (4) 1/4" DIA. ELCO ULTRACONS INTO HOST SPACED 2.25" O.C. W/ 2.5" EDGE DISTANCE/ STANDARD CLIP (FIG. 3) (PER VALID PRODUCT APPROVAL)</v>
          </cell>
          <cell r="N131" t="str">
            <v>1.25 x 3.188 x 0.265</v>
          </cell>
          <cell r="O131" t="str">
            <v>(4) 1/4" ELCO ULTRACONS</v>
          </cell>
          <cell r="P131"/>
          <cell r="Q131">
            <v>2014</v>
          </cell>
          <cell r="R131">
            <v>44342</v>
          </cell>
        </row>
        <row r="132">
          <cell r="A132" t="str">
            <v>11-1115.08#1</v>
          </cell>
          <cell r="B132" t="str">
            <v>11-1115.08</v>
          </cell>
          <cell r="C132" t="str">
            <v>EQUAL LEG OR FIN FRAME</v>
          </cell>
          <cell r="D132">
            <v>75</v>
          </cell>
          <cell r="E132">
            <v>75</v>
          </cell>
          <cell r="F132" t="str">
            <v>TYPE A/A1</v>
          </cell>
          <cell r="G132" t="str">
            <v>1/4" ELCO ULTRACON</v>
          </cell>
          <cell r="H132">
            <v>2010</v>
          </cell>
          <cell r="I132">
            <v>42269</v>
          </cell>
          <cell r="K132" t="str">
            <v>16-0218.03#5</v>
          </cell>
          <cell r="L132" t="str">
            <v>16-0218.03</v>
          </cell>
          <cell r="M132" t="str">
            <v>PROVIDE (4) 1/4" DIA. ELCO ULTRACONS INTO HOST SPACED 3" O.C. W/ 2.5" EDGE DISTANCE/ STANDARD CLIP (FIG. 3) (PER VALID PRODUCT APPROVAL)</v>
          </cell>
          <cell r="N132" t="str">
            <v>1 x 2.75 x 0.375</v>
          </cell>
          <cell r="O132" t="str">
            <v>(4) 1/4" ELCO ULTRACONS</v>
          </cell>
          <cell r="P132"/>
          <cell r="Q132">
            <v>2014</v>
          </cell>
          <cell r="R132">
            <v>44342</v>
          </cell>
        </row>
        <row r="133">
          <cell r="A133" t="str">
            <v>11-1115.08#2</v>
          </cell>
          <cell r="B133" t="str">
            <v>11-1115.08</v>
          </cell>
          <cell r="C133" t="str">
            <v>FLANGE &amp; FLANGE ADAPTOR FRAME</v>
          </cell>
          <cell r="D133">
            <v>75</v>
          </cell>
          <cell r="E133">
            <v>75</v>
          </cell>
          <cell r="F133" t="str">
            <v>TYPE A/A1</v>
          </cell>
          <cell r="G133" t="str">
            <v>1/4" ELCO ULTRACON</v>
          </cell>
          <cell r="H133">
            <v>2010</v>
          </cell>
          <cell r="I133">
            <v>42269</v>
          </cell>
          <cell r="K133" t="str">
            <v>16-0218.03#6</v>
          </cell>
          <cell r="L133" t="str">
            <v>16-0218.03</v>
          </cell>
          <cell r="M133" t="str">
            <v>PROVIDE (4) 1/4" DIA. ITW TAPCONS INTO HOST STRUCTURE SPACED 3.5" O.C./ ANGLE CLIPS (FIG. 2) (PER VALID PRODUCT APPROVAL)</v>
          </cell>
          <cell r="N133" t="str">
            <v>3.25 X 0.125 BAY MULL</v>
          </cell>
          <cell r="O133" t="str">
            <v>(4) 1/4" ELCO ULTRACONS</v>
          </cell>
          <cell r="P133" t="str">
            <v>ANGLE CLIPS</v>
          </cell>
          <cell r="Q133">
            <v>2014</v>
          </cell>
          <cell r="R133">
            <v>44342</v>
          </cell>
        </row>
        <row r="134">
          <cell r="A134" t="str">
            <v>11-1117.02#1</v>
          </cell>
          <cell r="B134" t="str">
            <v>11-1117.02</v>
          </cell>
          <cell r="C134" t="str">
            <v>ALUMINUM/STEEL REINFORCED MULLIONS, 4 ANCHORS AT EACH SIDE OF MULLION/JAMB</v>
          </cell>
          <cell r="D134">
            <v>100</v>
          </cell>
          <cell r="E134">
            <v>100</v>
          </cell>
          <cell r="F134" t="str">
            <v>TYPE B</v>
          </cell>
          <cell r="G134" t="str">
            <v>1/4" ELCO ULTRACON</v>
          </cell>
          <cell r="H134">
            <v>2010</v>
          </cell>
          <cell r="I134">
            <v>42094</v>
          </cell>
          <cell r="K134" t="str">
            <v>16-0218.03#7</v>
          </cell>
          <cell r="L134" t="str">
            <v>16-0218.03</v>
          </cell>
          <cell r="M134" t="str">
            <v>PROVIDE (4) 3/16" DIA. ITW TAPCONS INTO HOST STRUCTURE SPACED 3" O.C./ STANDARD CLIP (FIG. 3) (PER VALID PRODUCT APPROVAL)</v>
          </cell>
          <cell r="N134" t="str">
            <v>1 X 2.75 X 0.375</v>
          </cell>
          <cell r="O134" t="str">
            <v>(4) 3/16" ELCO ULTRACONS</v>
          </cell>
          <cell r="P134" t="str">
            <v>STANDARD CLIP</v>
          </cell>
          <cell r="Q134">
            <v>2014</v>
          </cell>
          <cell r="R134">
            <v>44342</v>
          </cell>
        </row>
        <row r="135">
          <cell r="A135" t="str">
            <v>11-1117.03#1</v>
          </cell>
          <cell r="B135" t="str">
            <v>11-1117.03</v>
          </cell>
          <cell r="C135" t="str">
            <v>W/WO REINFORCEMENTS - UNREINFORCED, HEAVY DUTY STILE, STANDARD ASTRAGAL</v>
          </cell>
          <cell r="D135">
            <v>87</v>
          </cell>
          <cell r="E135">
            <v>87</v>
          </cell>
          <cell r="F135" t="str">
            <v>TYPE A</v>
          </cell>
          <cell r="G135" t="str">
            <v>1/4" ELCO ULTRACON</v>
          </cell>
          <cell r="H135">
            <v>2010</v>
          </cell>
          <cell r="I135">
            <v>41716</v>
          </cell>
          <cell r="K135" t="str">
            <v>16-0218.03#8</v>
          </cell>
          <cell r="L135" t="str">
            <v>16-0218.03</v>
          </cell>
          <cell r="M135" t="str">
            <v>PROVIDE (4) 1/4" DIA. ELCO ULTRACONS INTO HOST SPACED 2.25" O.C. W/ 1" EDGE DISTANCE/ STANDARD CLIP (FIG. 3) (PER VALID PRODUCT APPROVAL)</v>
          </cell>
          <cell r="N135" t="str">
            <v>1 x 4 x 0.375</v>
          </cell>
          <cell r="O135" t="str">
            <v>(4) 1/4" ELCO ULTRACONS</v>
          </cell>
          <cell r="P135" t="str">
            <v>(2) 1/4 ELCO TAPCONS</v>
          </cell>
          <cell r="Q135">
            <v>2014</v>
          </cell>
          <cell r="R135">
            <v>44342</v>
          </cell>
        </row>
        <row r="136">
          <cell r="A136" t="str">
            <v>11-1117.03#2</v>
          </cell>
          <cell r="B136" t="str">
            <v>11-1117.03</v>
          </cell>
          <cell r="C136" t="str">
            <v>W/WO REINFORCEMENTS - UNREINFORCED, HEAVY DUTY STILE, STANDARD ASTRAGAL</v>
          </cell>
          <cell r="D136">
            <v>100</v>
          </cell>
          <cell r="E136">
            <v>100</v>
          </cell>
          <cell r="F136" t="str">
            <v>TYPE B</v>
          </cell>
          <cell r="G136" t="str">
            <v>1/4" ELCO ULTRACON</v>
          </cell>
          <cell r="H136">
            <v>2010</v>
          </cell>
          <cell r="I136">
            <v>41716</v>
          </cell>
          <cell r="K136" t="str">
            <v>16-0218.03#9</v>
          </cell>
          <cell r="L136" t="str">
            <v>16-0218.03</v>
          </cell>
          <cell r="M136" t="str">
            <v>PROVIDE (4) 1/4" DIA. ELCO ULTRACONS INTO HOST SPACED 2.25" O.C. W/ 1" EDGE DISTANCE/ STANDARD CLIP (FIG. 3) (PER VALID PRODUCT APPROVAL)</v>
          </cell>
          <cell r="N136" t="str">
            <v>1.25" x 3.25" x 0.100"</v>
          </cell>
          <cell r="O136" t="str">
            <v>(4) 1/4" ELCO ULTRACONS</v>
          </cell>
          <cell r="P136" t="str">
            <v>(2) 1/4 ELCO TAPCONS</v>
          </cell>
          <cell r="Q136">
            <v>2014</v>
          </cell>
          <cell r="R136">
            <v>44342</v>
          </cell>
        </row>
        <row r="137">
          <cell r="A137" t="str">
            <v>11-1117.05#1</v>
          </cell>
          <cell r="B137" t="str">
            <v>11-1117.05</v>
          </cell>
          <cell r="C137"/>
          <cell r="D137">
            <v>75</v>
          </cell>
          <cell r="E137">
            <v>85</v>
          </cell>
          <cell r="F137" t="str">
            <v>SERIES 2041</v>
          </cell>
          <cell r="G137" t="str">
            <v>1/4" ELCO ULTRACON</v>
          </cell>
          <cell r="H137">
            <v>2010</v>
          </cell>
          <cell r="I137">
            <v>42788</v>
          </cell>
          <cell r="K137" t="str">
            <v>16-0218.03#10</v>
          </cell>
          <cell r="L137" t="str">
            <v>16-0218.03</v>
          </cell>
          <cell r="M137" t="str">
            <v>PROVIDE (4) 1/4" DIA. ELCO ULTRACONS INTO HOST SPACED 2.25" O.C. W/ 2.5" EDGE DISTANCE/ STANDARD CLIP (FIG. 3) (PER VALID PRODUCT APPROVAL)</v>
          </cell>
          <cell r="N137" t="str">
            <v>2 x 6 x 0.250</v>
          </cell>
          <cell r="O137" t="str">
            <v>(4) 1/4" ELCO ULTRACONS</v>
          </cell>
          <cell r="P137" t="str">
            <v>(2) 1/4 ELCO TAPCONS</v>
          </cell>
          <cell r="Q137">
            <v>2014</v>
          </cell>
          <cell r="R137">
            <v>44342</v>
          </cell>
        </row>
        <row r="138">
          <cell r="A138" t="str">
            <v>11-1201.04#1</v>
          </cell>
          <cell r="B138" t="str">
            <v>11-1201.04</v>
          </cell>
          <cell r="C138" t="str">
            <v>ALUMINUM</v>
          </cell>
          <cell r="D138">
            <v>43.6</v>
          </cell>
          <cell r="E138">
            <v>43.6</v>
          </cell>
          <cell r="F138" t="str">
            <v>TYPE 1</v>
          </cell>
          <cell r="G138" t="str">
            <v>1/4" STEEL ULTRACON</v>
          </cell>
          <cell r="H138">
            <v>2010</v>
          </cell>
          <cell r="I138">
            <v>42830</v>
          </cell>
          <cell r="K138" t="str">
            <v>16-0218.03#11</v>
          </cell>
          <cell r="L138" t="str">
            <v>16-0218.03</v>
          </cell>
          <cell r="M138" t="str">
            <v>PROVIDE (4) 1/4" DIA. ELCO ULTRACONS INTO HOST SPACED 2.25" O.C. W/ 1" EDGE DISTANCE/ STANDARD CLIP (FIG. 3) (PER VALID PRODUCT APPROVAL)</v>
          </cell>
          <cell r="N138" t="str">
            <v>1 x 2.75 x 0.650</v>
          </cell>
          <cell r="O138" t="str">
            <v>(4) 1/4" ELCO ULTRACONS</v>
          </cell>
          <cell r="P138" t="str">
            <v>(2) 1/4 ELCO TAPCONS</v>
          </cell>
          <cell r="Q138">
            <v>2014</v>
          </cell>
          <cell r="R138">
            <v>44342</v>
          </cell>
        </row>
        <row r="139">
          <cell r="A139" t="str">
            <v>11-1201.04#2</v>
          </cell>
          <cell r="B139" t="str">
            <v>11-1201.04</v>
          </cell>
          <cell r="C139" t="str">
            <v>ALUMINUM</v>
          </cell>
          <cell r="D139">
            <v>55</v>
          </cell>
          <cell r="E139">
            <v>70.5</v>
          </cell>
          <cell r="F139" t="str">
            <v>TYPE 2</v>
          </cell>
          <cell r="G139" t="str">
            <v>1/4" STEEL ULTRACON</v>
          </cell>
          <cell r="H139">
            <v>2010</v>
          </cell>
          <cell r="I139">
            <v>42830</v>
          </cell>
          <cell r="K139" t="str">
            <v>16-0218.03#12</v>
          </cell>
          <cell r="L139" t="str">
            <v>16-0218.03</v>
          </cell>
          <cell r="M139" t="str">
            <v>PROVIDE (4) 1/4" DIA. ELCO ULTRACONS INTO HOST SPACED 2.25" O.C. W/ 2.5" EDGE DISTANCE/ STANDARD CLIP (FIG. 3) (PER VALID PRODUCT APPROVAL)</v>
          </cell>
          <cell r="N139" t="str">
            <v>1 x 4 x 0.375</v>
          </cell>
          <cell r="O139" t="str">
            <v>(4) 1/4" ELCO ULTRACONS</v>
          </cell>
          <cell r="P139" t="str">
            <v>(2) 1/4 ELCO TAPCONS</v>
          </cell>
          <cell r="Q139">
            <v>2014</v>
          </cell>
          <cell r="R139">
            <v>44342</v>
          </cell>
        </row>
        <row r="140">
          <cell r="A140" t="str">
            <v>11-1201.04#3</v>
          </cell>
          <cell r="B140" t="str">
            <v>11-1201.04</v>
          </cell>
          <cell r="C140" t="str">
            <v>ALUMINUM</v>
          </cell>
          <cell r="D140">
            <v>50</v>
          </cell>
          <cell r="E140">
            <v>50</v>
          </cell>
          <cell r="F140" t="str">
            <v>TYPE 4/5</v>
          </cell>
          <cell r="G140" t="str">
            <v>1/4" STEEL ULTRACON</v>
          </cell>
          <cell r="H140">
            <v>2010</v>
          </cell>
          <cell r="I140">
            <v>42830</v>
          </cell>
          <cell r="K140" t="str">
            <v>16-0218.04#1</v>
          </cell>
          <cell r="L140" t="str">
            <v>16-0218.04</v>
          </cell>
          <cell r="M140" t="str">
            <v>PROVIDE (4) 1/4" DIA. ELCO ULTRACONS INTO HOST SPACED 2.25" O.C. W/ 2.5" EDGE DISTANCE/ STANDARD CLIP (FIG. 3) (PER VALID PRODUCT APPROVAL)</v>
          </cell>
          <cell r="N140" t="str">
            <v>1 x 4 x 0.125</v>
          </cell>
          <cell r="O140" t="str">
            <v>(4) 1/4" ELCO ULTRACONS</v>
          </cell>
          <cell r="P140" t="str">
            <v>(2) 1/4 ELCO TAPCONS</v>
          </cell>
          <cell r="Q140">
            <v>2014</v>
          </cell>
          <cell r="R140">
            <v>44342</v>
          </cell>
        </row>
        <row r="141">
          <cell r="A141" t="str">
            <v>11-1201.04#4</v>
          </cell>
          <cell r="B141" t="str">
            <v>11-1201.04</v>
          </cell>
          <cell r="C141" t="str">
            <v>ALUMINUM</v>
          </cell>
          <cell r="D141">
            <v>55</v>
          </cell>
          <cell r="E141">
            <v>56</v>
          </cell>
          <cell r="F141" t="str">
            <v>TYPE 1</v>
          </cell>
          <cell r="G141" t="str">
            <v>1/4" STEEL ULTRACON</v>
          </cell>
          <cell r="H141">
            <v>2010</v>
          </cell>
          <cell r="I141">
            <v>42830</v>
          </cell>
          <cell r="K141" t="str">
            <v>16-0218.04#2</v>
          </cell>
          <cell r="L141" t="str">
            <v>16-0218.04</v>
          </cell>
          <cell r="M141" t="str">
            <v>PROVIDE (4) 1/4" DIA. ELCO ULTRACONS INTO HOST SPACED 2.25" O.C. W/ 2.5" EDGE DISTANCE/ STANDARD CLIP (FIG. 3) (PER VALID PRODUCT APPROVAL)</v>
          </cell>
          <cell r="N141" t="str">
            <v>1 x 4 x 0.375</v>
          </cell>
          <cell r="O141" t="str">
            <v>(4) 1/4" ELCO ULTRACONS</v>
          </cell>
          <cell r="P141" t="str">
            <v>(2) 1/4 ELCO TAPCONS</v>
          </cell>
          <cell r="Q141">
            <v>2014</v>
          </cell>
          <cell r="R141">
            <v>44342</v>
          </cell>
        </row>
        <row r="142">
          <cell r="A142" t="str">
            <v>11-1201.04#5</v>
          </cell>
          <cell r="B142" t="str">
            <v>11-1201.04</v>
          </cell>
          <cell r="C142" t="str">
            <v>ALUMINUM</v>
          </cell>
          <cell r="D142">
            <v>55</v>
          </cell>
          <cell r="E142">
            <v>56.7</v>
          </cell>
          <cell r="F142" t="str">
            <v>TYPE 4/5</v>
          </cell>
          <cell r="G142" t="str">
            <v>1/4" STEEL ULTRACON</v>
          </cell>
          <cell r="H142">
            <v>2010</v>
          </cell>
          <cell r="I142">
            <v>42830</v>
          </cell>
          <cell r="K142" t="str">
            <v>17-0222.13#1</v>
          </cell>
          <cell r="L142" t="str">
            <v>17-0222.13</v>
          </cell>
          <cell r="M142" t="str">
            <v>PROVIDE (4) 5/16" DIA. TAPCONS INTO HOST STRUCTURE SPACED 2-7/16" MIN</v>
          </cell>
          <cell r="N142" t="str">
            <v>1 x 4 x 0.125</v>
          </cell>
          <cell r="O142" t="str">
            <v>(4) 5/16" TAPCONS</v>
          </cell>
          <cell r="P142"/>
          <cell r="Q142">
            <v>2014</v>
          </cell>
          <cell r="R142">
            <v>43250</v>
          </cell>
        </row>
        <row r="143">
          <cell r="A143" t="str">
            <v>11-1201.04#6</v>
          </cell>
          <cell r="B143" t="str">
            <v>11-1201.04</v>
          </cell>
          <cell r="C143" t="str">
            <v>ALUMINUM</v>
          </cell>
          <cell r="D143">
            <v>55</v>
          </cell>
          <cell r="E143">
            <v>67.2</v>
          </cell>
          <cell r="F143" t="str">
            <v>TYPE 2</v>
          </cell>
          <cell r="G143" t="str">
            <v>1/4" STEEL ULTRACON</v>
          </cell>
          <cell r="H143">
            <v>2010</v>
          </cell>
          <cell r="I143">
            <v>42830</v>
          </cell>
          <cell r="K143" t="str">
            <v>17-0630.01#1</v>
          </cell>
          <cell r="L143" t="str">
            <v>17-0630.01</v>
          </cell>
          <cell r="M143" t="str">
            <v>PROVIDE (4) 1/4" ELCO ULTRACONS INTO HOST STRUCTURE  PER CLIP</v>
          </cell>
          <cell r="N143" t="str">
            <v>1 x 4 x 0.125</v>
          </cell>
          <cell r="O143" t="str">
            <v>(4) 1/4" ELCO ULTRACONS</v>
          </cell>
          <cell r="P143"/>
          <cell r="Q143" t="str">
            <v>2014/2017</v>
          </cell>
          <cell r="R143"/>
        </row>
        <row r="144">
          <cell r="A144" t="str">
            <v>11-1208.01#1</v>
          </cell>
          <cell r="B144" t="str">
            <v>11-1208.01</v>
          </cell>
          <cell r="C144"/>
          <cell r="D144">
            <v>100</v>
          </cell>
          <cell r="E144">
            <v>120</v>
          </cell>
          <cell r="F144" t="str">
            <v>TYPE A/B</v>
          </cell>
          <cell r="G144" t="str">
            <v>1/4" ELCO ULTRACON</v>
          </cell>
          <cell r="H144">
            <v>2010</v>
          </cell>
          <cell r="I144">
            <v>42502</v>
          </cell>
          <cell r="K144" t="str">
            <v>17-0630.01#2</v>
          </cell>
          <cell r="L144" t="str">
            <v>17-0630.01</v>
          </cell>
          <cell r="M144" t="str">
            <v>PROVIDE (4) 1/4" DIA. ELCO ULTRACONS INTO HOST SPACED 2.25" O.C. W/ 2.5" EDGE DISTANCE/ STANDARD CLIP (FIG. 3) (PER VALID PRODUCT APPROVAL)</v>
          </cell>
          <cell r="N144" t="str">
            <v>1 x 4 x 0.375</v>
          </cell>
          <cell r="O144" t="str">
            <v>(4) 1/4" ELCO ULTRACONS</v>
          </cell>
          <cell r="P144" t="str">
            <v>(2) 1/4 ELCO TAPCONS</v>
          </cell>
          <cell r="Q144" t="str">
            <v>2014/2017</v>
          </cell>
          <cell r="R144">
            <v>44342</v>
          </cell>
        </row>
        <row r="145">
          <cell r="A145" t="str">
            <v>11-1209.02#1</v>
          </cell>
          <cell r="B145" t="str">
            <v>11-1209.02</v>
          </cell>
          <cell r="C145"/>
          <cell r="D145">
            <v>65</v>
          </cell>
          <cell r="E145">
            <v>65</v>
          </cell>
          <cell r="F145" t="str">
            <v>TYPE A/B/D</v>
          </cell>
          <cell r="G145" t="str">
            <v>1/4" ELCO ULTRACON</v>
          </cell>
          <cell r="H145">
            <v>2010</v>
          </cell>
          <cell r="I145">
            <v>42738</v>
          </cell>
          <cell r="K145" t="str">
            <v>17-0630.01#3</v>
          </cell>
          <cell r="L145" t="str">
            <v>17-0630.01</v>
          </cell>
          <cell r="M145" t="str">
            <v>PROVIDE (4) 1/4" DIA. ELCO ULTRACONS INTO HOST SPACED 2.25" O.C. W/ 2.5" EDGE DISTANCE/ STANDARD CLIP (FIG. 3) (PER VALID PRODUCT APPROVAL)</v>
          </cell>
          <cell r="N145" t="str">
            <v>1 x 2.75 x 0.375</v>
          </cell>
          <cell r="O145" t="str">
            <v>(4) 1/4" ELCO ULTRACONS</v>
          </cell>
          <cell r="P145" t="str">
            <v>(2) 1/4 ELCO TAPCONS</v>
          </cell>
          <cell r="Q145" t="str">
            <v>2014/2017</v>
          </cell>
          <cell r="R145">
            <v>44342</v>
          </cell>
        </row>
        <row r="146">
          <cell r="A146" t="str">
            <v>11-1212.03#1</v>
          </cell>
          <cell r="B146" t="str">
            <v>11-1212.03</v>
          </cell>
          <cell r="C146" t="str">
            <v>SCHEDULE 1 WALL MOUNT</v>
          </cell>
          <cell r="D146">
            <v>65</v>
          </cell>
          <cell r="E146">
            <v>65</v>
          </cell>
          <cell r="F146" t="str">
            <v>N/A</v>
          </cell>
          <cell r="G146" t="str">
            <v>1/4" TAPCON</v>
          </cell>
          <cell r="H146">
            <v>2010</v>
          </cell>
          <cell r="I146">
            <v>42730</v>
          </cell>
          <cell r="K146" t="str">
            <v>17-0630.01#4</v>
          </cell>
          <cell r="L146" t="str">
            <v>17-0630.01</v>
          </cell>
          <cell r="M146" t="str">
            <v>PROVIDE (4) 1/4" DIA. ELCO ULTRACONS INTO HOST SPACED 2.25" O.C. W/ 2.5" EDGE DISTANCE/ STANDARD CLIP (FIG. 3) (PER VALID PRODUCT APPROVAL)</v>
          </cell>
          <cell r="N146" t="str">
            <v>2 x 4 x 0.25</v>
          </cell>
          <cell r="O146" t="str">
            <v>(4) 1/4" ELCO ULTRACONS</v>
          </cell>
          <cell r="P146" t="str">
            <v>(2) 1/4 ELCO TAPCONS</v>
          </cell>
          <cell r="Q146" t="str">
            <v>2014/2017</v>
          </cell>
          <cell r="R146">
            <v>44342</v>
          </cell>
        </row>
        <row r="147">
          <cell r="A147" t="str">
            <v>11-1212.03#2</v>
          </cell>
          <cell r="B147" t="str">
            <v>11-1212.03</v>
          </cell>
          <cell r="C147" t="str">
            <v>SCHEDULE 3 FLOOR/CEILING MOUNT</v>
          </cell>
          <cell r="D147">
            <v>115</v>
          </cell>
          <cell r="E147">
            <v>115</v>
          </cell>
          <cell r="F147" t="str">
            <v>N/A</v>
          </cell>
          <cell r="G147" t="str">
            <v>1/4" TAPCON</v>
          </cell>
          <cell r="H147">
            <v>2010</v>
          </cell>
          <cell r="I147">
            <v>42730</v>
          </cell>
          <cell r="K147" t="str">
            <v>17-0630.01#5</v>
          </cell>
          <cell r="L147" t="str">
            <v>17-0630.01</v>
          </cell>
          <cell r="M147" t="str">
            <v>PROVIDE (4) 1/4" DIA. ELCO ULTRACONS INTO HOST SPACED 2.25" O.C. W/ 2.5" EDGE DISTANCE/ STANDARD CLIP (FIG. 3) (PER VALID PRODUCT APPROVAL)</v>
          </cell>
          <cell r="N147" t="str">
            <v>2 x 6 x 0.250</v>
          </cell>
          <cell r="O147" t="str">
            <v>(4) 1/4" ELCO ULTRACONS</v>
          </cell>
          <cell r="P147" t="str">
            <v>(2) 1/4 ELCO TAPCONS</v>
          </cell>
          <cell r="Q147" t="str">
            <v>2014/2017</v>
          </cell>
          <cell r="R147">
            <v>44342</v>
          </cell>
        </row>
        <row r="148">
          <cell r="A148" t="str">
            <v>11-1212.03#3</v>
          </cell>
          <cell r="B148" t="str">
            <v>11-1212.03</v>
          </cell>
          <cell r="C148" t="str">
            <v>SCHEDULE 1 WALL MOUNT</v>
          </cell>
          <cell r="D148">
            <v>125</v>
          </cell>
          <cell r="E148">
            <v>125</v>
          </cell>
          <cell r="F148" t="str">
            <v>N/A</v>
          </cell>
          <cell r="G148" t="str">
            <v>1/4" TAPCON</v>
          </cell>
          <cell r="H148">
            <v>2010</v>
          </cell>
          <cell r="I148">
            <v>42730</v>
          </cell>
          <cell r="K148" t="str">
            <v>17-0630.11#1</v>
          </cell>
          <cell r="L148" t="str">
            <v>17-0630.11</v>
          </cell>
          <cell r="M148" t="str">
            <v>PROVIDE (4) 1/4" DIA. ELCO ULTRACONS INTO HOST SPACED 2.25" O.C. W/ 2.5" EDGE DISTANCE/ STANDARD CLIP (FIG. 3) (PER VALID PRODUCT APPROVAL)</v>
          </cell>
          <cell r="N148" t="str">
            <v>1 x 4 x 0.375</v>
          </cell>
          <cell r="O148" t="str">
            <v>(4) 1/4" ELCO ULTRACONS</v>
          </cell>
          <cell r="P148" t="str">
            <v>(2) 1/4 ELCO TAPCONS</v>
          </cell>
          <cell r="Q148">
            <v>2017</v>
          </cell>
          <cell r="R148">
            <v>44342</v>
          </cell>
        </row>
        <row r="149">
          <cell r="A149" t="str">
            <v>11-1212.03#4</v>
          </cell>
          <cell r="B149" t="str">
            <v>11-1212.03</v>
          </cell>
          <cell r="C149" t="str">
            <v>SCHEDULE 1 WALL MOUNT</v>
          </cell>
          <cell r="D149">
            <v>155</v>
          </cell>
          <cell r="E149">
            <v>155</v>
          </cell>
          <cell r="F149" t="str">
            <v>N/A</v>
          </cell>
          <cell r="G149" t="str">
            <v>1/4" TAPCON</v>
          </cell>
          <cell r="H149">
            <v>2010</v>
          </cell>
          <cell r="I149">
            <v>42730</v>
          </cell>
          <cell r="K149" t="str">
            <v>17-0630.11#2</v>
          </cell>
          <cell r="L149" t="str">
            <v>17-0630.11</v>
          </cell>
          <cell r="M149" t="str">
            <v>PROVIDE (4) 1/4" DIA. ITW TAPCONS INTO HOST STRUCTURE SPACED 3.5" O.C./ ANGLE CLIPS (FIG. 2) (PER VALID PRODUCT APPROVAL)</v>
          </cell>
          <cell r="N149" t="str">
            <v>3.25 X 0.125 BAY MULL</v>
          </cell>
          <cell r="O149" t="str">
            <v>(4) 1/4" ELCO ULTRACONS</v>
          </cell>
          <cell r="P149" t="str">
            <v>(2) 1/4 ELCO TAPCONS</v>
          </cell>
          <cell r="Q149">
            <v>2017</v>
          </cell>
          <cell r="R149">
            <v>44342</v>
          </cell>
        </row>
        <row r="150">
          <cell r="A150" t="str">
            <v>11-1212.03#5</v>
          </cell>
          <cell r="B150" t="str">
            <v>11-1212.03</v>
          </cell>
          <cell r="C150" t="str">
            <v>SCHEDULE 1 WALL MOUNT</v>
          </cell>
          <cell r="D150">
            <v>95</v>
          </cell>
          <cell r="E150">
            <v>95</v>
          </cell>
          <cell r="F150" t="str">
            <v>N/A</v>
          </cell>
          <cell r="G150" t="str">
            <v>1/4" TAPCON</v>
          </cell>
          <cell r="H150">
            <v>2010</v>
          </cell>
          <cell r="I150">
            <v>42730</v>
          </cell>
          <cell r="K150" t="str">
            <v>17-0630.11#3</v>
          </cell>
          <cell r="L150" t="str">
            <v>17-0630.11</v>
          </cell>
          <cell r="M150" t="str">
            <v>PROVIDE (4) 1/4" DIA. ELCO ULTRACONS INTO HOST SPACED 2.25" O.C. W/ 2.5" EDGE DISTANCE/ STANDARD CLIP (FIG. 3) (PER VALID PRODUCT APPROVAL)</v>
          </cell>
          <cell r="N150" t="str">
            <v>2x 4 x 0.25</v>
          </cell>
          <cell r="O150" t="str">
            <v>(4) 1/4" ELCO ULTRACONS</v>
          </cell>
          <cell r="P150" t="str">
            <v>(2) 1/4 ELCO TAPCONS</v>
          </cell>
          <cell r="Q150">
            <v>2017</v>
          </cell>
          <cell r="R150">
            <v>44342</v>
          </cell>
        </row>
        <row r="151">
          <cell r="A151" t="str">
            <v>11-1212.03#6</v>
          </cell>
          <cell r="B151" t="str">
            <v>11-1212.03</v>
          </cell>
          <cell r="C151" t="str">
            <v>SCHEDULE 1 WALL MOUNT</v>
          </cell>
          <cell r="D151">
            <v>100</v>
          </cell>
          <cell r="E151">
            <v>100</v>
          </cell>
          <cell r="F151" t="str">
            <v>N/A</v>
          </cell>
          <cell r="G151" t="str">
            <v>1/4" TAPCON</v>
          </cell>
          <cell r="H151">
            <v>2010</v>
          </cell>
          <cell r="I151">
            <v>42730</v>
          </cell>
          <cell r="K151" t="str">
            <v>17-0630.11#4</v>
          </cell>
          <cell r="L151" t="str">
            <v>17-0630.11</v>
          </cell>
          <cell r="M151" t="str">
            <v>PROVIDE (4) 1/4" DIA. ELCO ULTRACONS INTO HOST SPACED 2.25" O.C. W/ 2.5" EDGE DISTANCE/ STANDARD CLIP (FIG. 3) (PER VALID PRODUCT APPROVAL)</v>
          </cell>
          <cell r="N151" t="str">
            <v>2x 6 x 0.25</v>
          </cell>
          <cell r="O151" t="str">
            <v>(4) 1/4" ELCO ULTRACONS</v>
          </cell>
          <cell r="P151" t="str">
            <v>(2) 1/4 ELCO TAPCONS</v>
          </cell>
          <cell r="Q151">
            <v>2017</v>
          </cell>
          <cell r="R151">
            <v>44342</v>
          </cell>
        </row>
        <row r="152">
          <cell r="A152" t="str">
            <v>11-1212.03#7</v>
          </cell>
          <cell r="B152" t="str">
            <v>11-1212.03</v>
          </cell>
          <cell r="C152" t="str">
            <v>SCHEDULE 1 WALL MOUNT</v>
          </cell>
          <cell r="D152">
            <v>135</v>
          </cell>
          <cell r="E152">
            <v>135</v>
          </cell>
          <cell r="F152" t="str">
            <v>N/A</v>
          </cell>
          <cell r="G152" t="str">
            <v>1/4" TAPCON</v>
          </cell>
          <cell r="H152">
            <v>2010</v>
          </cell>
          <cell r="I152">
            <v>42730</v>
          </cell>
          <cell r="K152" t="str">
            <v>17-0630.11#5</v>
          </cell>
          <cell r="L152" t="str">
            <v>17-0630.11</v>
          </cell>
          <cell r="M152" t="str">
            <v>PROVIDE (4) 1/4" DIA. ELCO ULTRACONS INTO HOST SPACED 2.25" O.C. W/ 2.5" EDGE DISTANCE/ STANDARD CLIP (FIG. 3) (PER VALID PRODUCT APPROVAL)</v>
          </cell>
          <cell r="N152" t="str">
            <v>1 x 4 x 0.125</v>
          </cell>
          <cell r="O152" t="str">
            <v>(4) 1/4" ELCO ULTRACONS</v>
          </cell>
          <cell r="P152" t="str">
            <v>(2) 1/4 ELCO TAPCONS</v>
          </cell>
          <cell r="Q152">
            <v>2017</v>
          </cell>
          <cell r="R152">
            <v>44342</v>
          </cell>
        </row>
        <row r="153">
          <cell r="A153" t="str">
            <v>11-1212.03#8</v>
          </cell>
          <cell r="B153" t="str">
            <v>11-1212.03</v>
          </cell>
          <cell r="C153" t="str">
            <v>SCHEDULE 1 WALL MOUNT</v>
          </cell>
          <cell r="D153">
            <v>180</v>
          </cell>
          <cell r="E153">
            <v>180</v>
          </cell>
          <cell r="F153" t="str">
            <v>N/A</v>
          </cell>
          <cell r="G153" t="str">
            <v>1/4" TAPCON</v>
          </cell>
          <cell r="H153">
            <v>2010</v>
          </cell>
          <cell r="I153">
            <v>42730</v>
          </cell>
          <cell r="K153" t="str">
            <v>17-0717.02#1</v>
          </cell>
          <cell r="L153" t="str">
            <v>17-0717.02</v>
          </cell>
          <cell r="M153"/>
          <cell r="N153" t="str">
            <v>2" x 6" x 0.125"</v>
          </cell>
          <cell r="O153" t="str">
            <v>(4) 1/4" ELCO ULTRACONS</v>
          </cell>
          <cell r="P153" t="str">
            <v>STANDARD CLIP</v>
          </cell>
          <cell r="Q153">
            <v>2017</v>
          </cell>
          <cell r="R153">
            <v>44886</v>
          </cell>
        </row>
        <row r="154">
          <cell r="A154" t="str">
            <v>11-1212.04#1</v>
          </cell>
          <cell r="B154" t="str">
            <v>11-1212.04</v>
          </cell>
          <cell r="C154"/>
          <cell r="D154">
            <v>100</v>
          </cell>
          <cell r="E154">
            <v>100</v>
          </cell>
          <cell r="F154" t="str">
            <v>LEXAN</v>
          </cell>
          <cell r="G154" t="str">
            <v>RSN 11 GA.</v>
          </cell>
          <cell r="H154">
            <v>2010</v>
          </cell>
          <cell r="I154">
            <v>42719</v>
          </cell>
          <cell r="K154" t="str">
            <v>17-0717.02#2</v>
          </cell>
          <cell r="L154" t="str">
            <v>17-0717.02</v>
          </cell>
          <cell r="M154"/>
          <cell r="N154" t="str">
            <v>1" x 3" x 0.125"</v>
          </cell>
          <cell r="O154" t="str">
            <v>(4) 1/4" ELCO ULTRACONS</v>
          </cell>
          <cell r="P154" t="str">
            <v>STANDARD CLIP</v>
          </cell>
          <cell r="Q154">
            <v>2017</v>
          </cell>
          <cell r="R154">
            <v>44886</v>
          </cell>
        </row>
        <row r="155">
          <cell r="A155" t="str">
            <v>11-1213.08#1</v>
          </cell>
          <cell r="B155" t="str">
            <v>11-1213.08</v>
          </cell>
          <cell r="C155"/>
          <cell r="D155">
            <v>65</v>
          </cell>
          <cell r="E155">
            <v>65</v>
          </cell>
          <cell r="F155" t="str">
            <v>TYPE B</v>
          </cell>
          <cell r="G155" t="str">
            <v>1/4" ELCO ULTRACON</v>
          </cell>
          <cell r="H155">
            <v>2010</v>
          </cell>
          <cell r="I155">
            <v>42717</v>
          </cell>
          <cell r="K155" t="str">
            <v>17-1018.07#1</v>
          </cell>
          <cell r="L155" t="str">
            <v>17-1018.07</v>
          </cell>
          <cell r="M155" t="str">
            <v>PROVIDE (4) 1/4" DIA. ELCO ULTRACONS INTO HOST STRUCTURE SPACED 3" O.C./ (2) 2" x 5" ANGLE CLIPS (PER VALID PRODUCT APPROVAL)</v>
          </cell>
          <cell r="N155" t="str">
            <v>1 x 2.5 x  0.125</v>
          </cell>
          <cell r="O155" t="str">
            <v>(4) 1/4" ELCO ULTRACONS</v>
          </cell>
          <cell r="P155" t="str">
            <v>(2) #14 SMS</v>
          </cell>
          <cell r="Q155">
            <v>2017</v>
          </cell>
          <cell r="R155">
            <v>44887</v>
          </cell>
        </row>
        <row r="156">
          <cell r="A156" t="str">
            <v>11-1219.13#1</v>
          </cell>
          <cell r="B156" t="str">
            <v>11-1219.13</v>
          </cell>
          <cell r="C156" t="str">
            <v>W/WO TRANSOM</v>
          </cell>
          <cell r="D156">
            <v>90</v>
          </cell>
          <cell r="E156">
            <v>90</v>
          </cell>
          <cell r="F156" t="str">
            <v>TYPE A</v>
          </cell>
          <cell r="G156" t="str">
            <v>1/4" ELCO ULTRACON</v>
          </cell>
          <cell r="H156">
            <v>2010</v>
          </cell>
          <cell r="I156">
            <v>41612</v>
          </cell>
          <cell r="K156" t="str">
            <v>17-1212.24#1</v>
          </cell>
          <cell r="L156" t="str">
            <v>17-1212.24</v>
          </cell>
          <cell r="M156" t="str">
            <v>PROVIDE (4) 5/16" DIA. TAPCONS INTO HOST STRUCTURE SPACED 2-7/16" MIN</v>
          </cell>
          <cell r="N156" t="str">
            <v>1 x 4 x 0.125</v>
          </cell>
          <cell r="O156" t="str">
            <v>(4) 5/16" TAPCONS</v>
          </cell>
          <cell r="P156"/>
          <cell r="Q156">
            <v>2014</v>
          </cell>
          <cell r="R156">
            <v>43250</v>
          </cell>
        </row>
        <row r="157">
          <cell r="A157" t="str">
            <v>11-1222.04#1</v>
          </cell>
          <cell r="B157" t="str">
            <v>11-1222.04</v>
          </cell>
          <cell r="C157" t="str">
            <v>EQUAL LITES</v>
          </cell>
          <cell r="D157">
            <v>90</v>
          </cell>
          <cell r="E157">
            <v>130</v>
          </cell>
          <cell r="F157" t="str">
            <v>7/16" LAMI</v>
          </cell>
          <cell r="G157" t="str">
            <v>1/4" STEEL ULTRACON</v>
          </cell>
          <cell r="H157">
            <v>2010</v>
          </cell>
          <cell r="I157">
            <v>42858</v>
          </cell>
          <cell r="K157" t="str">
            <v>18-0117.01#1</v>
          </cell>
          <cell r="L157" t="str">
            <v>18-0117.01</v>
          </cell>
          <cell r="M157" t="str">
            <v>36" WIDTH, 72" SPAN</v>
          </cell>
          <cell r="N157" t="str">
            <v>1" X 2.5" X 0.125"</v>
          </cell>
          <cell r="O157" t="str">
            <v>(2) 1/4" ELCO ULTRACONS</v>
          </cell>
          <cell r="P157" t="str">
            <v>1 ANCHOR AT EACH END</v>
          </cell>
          <cell r="Q157">
            <v>2017</v>
          </cell>
          <cell r="R157">
            <v>43365</v>
          </cell>
        </row>
        <row r="158">
          <cell r="A158" t="str">
            <v>11-1222.05#1</v>
          </cell>
          <cell r="B158" t="str">
            <v>11-1222.05</v>
          </cell>
          <cell r="C158"/>
          <cell r="D158">
            <v>90</v>
          </cell>
          <cell r="E158">
            <v>150</v>
          </cell>
          <cell r="F158" t="str">
            <v>3/8" LAMI</v>
          </cell>
          <cell r="G158" t="str">
            <v>1/4" STEEL ULTRACON</v>
          </cell>
          <cell r="H158">
            <v>2010</v>
          </cell>
          <cell r="I158">
            <v>42858</v>
          </cell>
          <cell r="K158" t="str">
            <v>18-0117.01#2</v>
          </cell>
          <cell r="L158" t="str">
            <v>18-0117.01</v>
          </cell>
          <cell r="M158" t="str">
            <v>36" WIDTH, 72" SPAN</v>
          </cell>
          <cell r="N158" t="str">
            <v>1" X 3" X 0.125"</v>
          </cell>
          <cell r="O158" t="str">
            <v>(2) 1/4" ELCO ULTRACONS</v>
          </cell>
          <cell r="P158" t="str">
            <v>1 ANCHOR AT EACH END</v>
          </cell>
          <cell r="Q158">
            <v>2017</v>
          </cell>
          <cell r="R158">
            <v>43365</v>
          </cell>
        </row>
        <row r="159">
          <cell r="A159" t="str">
            <v>12-0110.07#1</v>
          </cell>
          <cell r="B159" t="str">
            <v>12-0110.07</v>
          </cell>
          <cell r="C159"/>
          <cell r="D159">
            <v>56</v>
          </cell>
          <cell r="E159">
            <v>64</v>
          </cell>
          <cell r="F159" t="str">
            <v>N/A</v>
          </cell>
          <cell r="G159" t="str">
            <v>3/8"HILTI HLC OR POWERS</v>
          </cell>
          <cell r="H159">
            <v>2010</v>
          </cell>
          <cell r="I159">
            <v>42422</v>
          </cell>
          <cell r="K159" t="str">
            <v>18-0129.08#1</v>
          </cell>
          <cell r="L159" t="str">
            <v>18-0129.08</v>
          </cell>
          <cell r="M159" t="str">
            <v>SERIES CLIPPED, EXTRUDED ALUMINIUM TUBE MULLION</v>
          </cell>
          <cell r="N159" t="str">
            <v>1" X 3" X 0.125"</v>
          </cell>
          <cell r="O159"/>
          <cell r="P159"/>
          <cell r="Q159">
            <v>2017</v>
          </cell>
          <cell r="R159"/>
        </row>
        <row r="160">
          <cell r="A160" t="str">
            <v>12-0110.08#1</v>
          </cell>
          <cell r="B160" t="str">
            <v>12-0110.08</v>
          </cell>
          <cell r="C160"/>
          <cell r="D160">
            <v>48</v>
          </cell>
          <cell r="E160">
            <v>52</v>
          </cell>
          <cell r="F160" t="str">
            <v>N/A</v>
          </cell>
          <cell r="G160" t="str">
            <v>3/8"HILTI HLC OR POWERS</v>
          </cell>
          <cell r="H160">
            <v>2010</v>
          </cell>
          <cell r="I160">
            <v>42206</v>
          </cell>
          <cell r="K160" t="str">
            <v>FL11870.1-R2#1</v>
          </cell>
          <cell r="L160" t="str">
            <v>FL11870.1-R2</v>
          </cell>
          <cell r="M160" t="str">
            <v>PROVIDE (3) #10 SMS OR SDS WITH FULL THREAD PENETRATION INTO MULLION PER CLIP AND (4) #10 FLATHEAD SDS PER CLIP</v>
          </cell>
          <cell r="N160" t="str">
            <v>1 x 4 STD</v>
          </cell>
          <cell r="O160" t="str">
            <v>(3) #10 SMS OR SDS (C-CLIP)</v>
          </cell>
          <cell r="P160" t="str">
            <v>(4) #10 FLATHEAD SDS</v>
          </cell>
          <cell r="Q160">
            <v>2010</v>
          </cell>
          <cell r="R160"/>
        </row>
        <row r="161">
          <cell r="A161" t="str">
            <v>12-0117.03#1</v>
          </cell>
          <cell r="B161" t="str">
            <v>12-0117.03</v>
          </cell>
          <cell r="C161" t="str">
            <v>EQUAL LITES</v>
          </cell>
          <cell r="D161">
            <v>80</v>
          </cell>
          <cell r="E161">
            <v>80</v>
          </cell>
          <cell r="F161" t="str">
            <v>TYPE G1</v>
          </cell>
          <cell r="G161" t="str">
            <v>1/4" ITW TAPCON</v>
          </cell>
          <cell r="H161">
            <v>2010</v>
          </cell>
          <cell r="I161">
            <v>42808</v>
          </cell>
          <cell r="K161" t="str">
            <v>FL13068.1-R1#1</v>
          </cell>
          <cell r="L161" t="str">
            <v>FL13068.1-R1</v>
          </cell>
          <cell r="M161" t="str">
            <v>PROVIDE (2) 5/16" W/2"EMBED ULTRACON INTO HOST STRUCTURE PER CONNECTION ANGLE/ (2) 1/4-14 DRIL-FLEX INTO MULL PER ANGLE</v>
          </cell>
          <cell r="N161" t="str">
            <v>4 x 4 x 1/8 (6063-T6)</v>
          </cell>
          <cell r="O161" t="str">
            <v>(2) 5/16" ULTRACON</v>
          </cell>
          <cell r="P161" t="str">
            <v>(2) 1/4-14 DRIL-FLEX</v>
          </cell>
          <cell r="Q161">
            <v>2010</v>
          </cell>
          <cell r="R161"/>
        </row>
        <row r="162">
          <cell r="A162" t="str">
            <v>12-0117.03#2</v>
          </cell>
          <cell r="B162" t="str">
            <v>12-0117.03</v>
          </cell>
          <cell r="C162" t="str">
            <v>EQUAL LITES</v>
          </cell>
          <cell r="D162">
            <v>80</v>
          </cell>
          <cell r="E162">
            <v>80</v>
          </cell>
          <cell r="F162" t="str">
            <v>TYPE G1</v>
          </cell>
          <cell r="G162" t="str">
            <v>1/4" ITW TAPCON</v>
          </cell>
          <cell r="H162">
            <v>2010</v>
          </cell>
          <cell r="I162">
            <v>42808</v>
          </cell>
          <cell r="K162" t="str">
            <v>FL13068.1-R1#2</v>
          </cell>
          <cell r="L162" t="str">
            <v>FL13068.1-R1</v>
          </cell>
          <cell r="M162" t="str">
            <v>PROVIDE (3) 5/16" W/2"EMBED ULTRACON INTO HOST STRUCTURE PER CONNECTION ANGLE/ (3) 1/4-14 DRIL-FLEX INTO MULL PER ANGLE</v>
          </cell>
          <cell r="N162" t="str">
            <v>4 x 6 x 1/4 (6061-T6)</v>
          </cell>
          <cell r="O162" t="str">
            <v>(3) 5/16" ULTRACON</v>
          </cell>
          <cell r="P162" t="str">
            <v>(3) 1/4-14 DRIL-FLEX</v>
          </cell>
          <cell r="Q162">
            <v>2010</v>
          </cell>
          <cell r="R162"/>
        </row>
        <row r="163">
          <cell r="A163" t="str">
            <v>12-0117.05#1</v>
          </cell>
          <cell r="B163" t="str">
            <v>12-0117.05</v>
          </cell>
          <cell r="C163" t="str">
            <v>DOOR-O-MATIC 1490 PANIC HARDWARE</v>
          </cell>
          <cell r="D163">
            <v>70</v>
          </cell>
          <cell r="E163">
            <v>70</v>
          </cell>
          <cell r="F163" t="str">
            <v>TYPE G3</v>
          </cell>
          <cell r="G163" t="str">
            <v>1/4" TAPCON</v>
          </cell>
          <cell r="H163">
            <v>2010</v>
          </cell>
          <cell r="I163">
            <v>42080</v>
          </cell>
          <cell r="K163" t="str">
            <v>FL13068.1-R1#3</v>
          </cell>
          <cell r="L163" t="str">
            <v>FL13068.1-R1</v>
          </cell>
          <cell r="M163" t="str">
            <v>PROVIDE (4) 5/16" W/2"EMBED ULTRACON INTO HOST STRUCTURE PER CONNECTION ANGLE/ (4) 1/4-14 DRIL-FLEX INTO MULL PER ANGLE</v>
          </cell>
          <cell r="N163" t="str">
            <v>4 x 8 x 1/4 (6063-T6)</v>
          </cell>
          <cell r="O163" t="str">
            <v>(4) 5/16" ULTRACON</v>
          </cell>
          <cell r="P163" t="str">
            <v>(4) 1/4-14 DRIL-FLEX</v>
          </cell>
          <cell r="Q163">
            <v>2010</v>
          </cell>
          <cell r="R163"/>
        </row>
        <row r="164">
          <cell r="A164" t="str">
            <v>12-0118.11#1</v>
          </cell>
          <cell r="B164" t="str">
            <v>12-0118.11</v>
          </cell>
          <cell r="C164" t="str">
            <v>ANCHOR TYPE A</v>
          </cell>
          <cell r="D164">
            <v>80</v>
          </cell>
          <cell r="E164">
            <v>80</v>
          </cell>
          <cell r="F164" t="str">
            <v>TYPE C</v>
          </cell>
          <cell r="G164" t="str">
            <v>1/4" ELCO ULTRACONS</v>
          </cell>
          <cell r="H164">
            <v>2010</v>
          </cell>
          <cell r="I164">
            <v>41702</v>
          </cell>
          <cell r="K164" t="str">
            <v>FL13068.1-R1#4</v>
          </cell>
          <cell r="L164" t="str">
            <v>FL13068.1-R1</v>
          </cell>
          <cell r="M164" t="str">
            <v>PROVIDE (3) 5/16" W/2"EMBED ULTRACON INTO HOST STRUCTURE PER CONNECTION ANGLE/ (3) 1/4-14 DRIL-FLEX INTO MULL PER ANGLE</v>
          </cell>
          <cell r="N164" t="str">
            <v>4 x 6 x 1/4 (6063-T6)</v>
          </cell>
          <cell r="O164" t="str">
            <v>(3) 5/16" ULTRACON</v>
          </cell>
          <cell r="P164" t="str">
            <v>(3) 1/4-14 DRIL-FLEX</v>
          </cell>
          <cell r="Q164">
            <v>2010</v>
          </cell>
          <cell r="R164"/>
        </row>
        <row r="165">
          <cell r="A165" t="str">
            <v>12-0118.11#2</v>
          </cell>
          <cell r="B165" t="str">
            <v>12-0118.11</v>
          </cell>
          <cell r="C165" t="str">
            <v>ANCHOR TYPE A</v>
          </cell>
          <cell r="D165">
            <v>73.599999999999994</v>
          </cell>
          <cell r="E165">
            <v>73.599999999999994</v>
          </cell>
          <cell r="F165" t="str">
            <v>TYPE C</v>
          </cell>
          <cell r="G165" t="str">
            <v>1/4" ELCO ULTRACONS</v>
          </cell>
          <cell r="H165">
            <v>2010</v>
          </cell>
          <cell r="I165">
            <v>41702</v>
          </cell>
          <cell r="K165" t="str">
            <v>FL13068.1-R1#5</v>
          </cell>
          <cell r="L165" t="str">
            <v>FL13068.1-R1</v>
          </cell>
          <cell r="M165" t="str">
            <v>PROVIDE (3) 5/16" W/2"EMBED ULTRACON INTO HOST STRUCTURE PER CONNECTION ANGLE/ (3) 1/4-14 DRIL-FLEX INTO MULL PER ANGLE</v>
          </cell>
          <cell r="N165" t="str">
            <v>4 x 6 x 1/4 (6063-T6)</v>
          </cell>
          <cell r="O165" t="str">
            <v>(2) 5/16" ULTRACON</v>
          </cell>
          <cell r="P165" t="str">
            <v>(2) 1/4-14 DRIL-FLEX</v>
          </cell>
          <cell r="Q165">
            <v>2010</v>
          </cell>
          <cell r="R165"/>
        </row>
        <row r="166">
          <cell r="A166" t="str">
            <v>12-0118.11#3</v>
          </cell>
          <cell r="B166" t="str">
            <v>12-0118.11</v>
          </cell>
          <cell r="C166" t="str">
            <v>ANCHOR TYPE A</v>
          </cell>
          <cell r="D166">
            <v>64.3</v>
          </cell>
          <cell r="E166">
            <v>64.3</v>
          </cell>
          <cell r="F166" t="str">
            <v>TYPE C</v>
          </cell>
          <cell r="G166" t="str">
            <v>1/4" ELCO ULTRACONS</v>
          </cell>
          <cell r="H166">
            <v>2010</v>
          </cell>
          <cell r="I166">
            <v>41702</v>
          </cell>
          <cell r="K166" t="str">
            <v>FL15532.1#1</v>
          </cell>
          <cell r="L166" t="str">
            <v>FL15532.1</v>
          </cell>
          <cell r="M166" t="str">
            <v xml:space="preserve">PROVIDE (4) 5/16" DIA. TAPCONS INTO HOST STRUCTURE SPACED 2-7/16" O.C. </v>
          </cell>
          <cell r="N166" t="str">
            <v>1 x 4 x 0.125</v>
          </cell>
          <cell r="O166" t="str">
            <v>(4) 5/16" TAPCONS</v>
          </cell>
          <cell r="P166" t="str">
            <v>(2) 2" x 3.688" ANGLE CLIPS</v>
          </cell>
          <cell r="Q166">
            <v>2014</v>
          </cell>
          <cell r="R166">
            <v>42885</v>
          </cell>
        </row>
        <row r="167">
          <cell r="A167" t="str">
            <v>12-0118.11#4</v>
          </cell>
          <cell r="B167" t="str">
            <v>12-0118.11</v>
          </cell>
          <cell r="C167" t="str">
            <v>ANCHOR TYPE A</v>
          </cell>
          <cell r="D167">
            <v>80</v>
          </cell>
          <cell r="E167">
            <v>80</v>
          </cell>
          <cell r="F167" t="str">
            <v>TYPE C</v>
          </cell>
          <cell r="G167" t="str">
            <v>1/4" TAPCON</v>
          </cell>
          <cell r="H167">
            <v>2010</v>
          </cell>
          <cell r="I167">
            <v>41702</v>
          </cell>
          <cell r="K167" t="str">
            <v>FL15532.1-R1#1</v>
          </cell>
          <cell r="L167" t="str">
            <v>FL15532.1-R1</v>
          </cell>
          <cell r="M167" t="str">
            <v>PROVIDE (4) 5/16" DIA. TAPCONS INTO HOST STRUCTURE SPACED 3-3/4" MIN</v>
          </cell>
          <cell r="N167" t="str">
            <v>2 x 4 x 0.125</v>
          </cell>
          <cell r="O167" t="str">
            <v>(4) 5/16" TAPCONS</v>
          </cell>
          <cell r="P167"/>
          <cell r="Q167">
            <v>2014</v>
          </cell>
          <cell r="R167">
            <v>42885</v>
          </cell>
        </row>
        <row r="168">
          <cell r="A168" t="str">
            <v>12-0118.11#5</v>
          </cell>
          <cell r="B168" t="str">
            <v>12-0118.11</v>
          </cell>
          <cell r="C168" t="str">
            <v>ANCHOR TYPE A</v>
          </cell>
          <cell r="D168">
            <v>73.599999999999994</v>
          </cell>
          <cell r="E168">
            <v>73.599999999999994</v>
          </cell>
          <cell r="F168" t="str">
            <v>TYPE C</v>
          </cell>
          <cell r="G168" t="str">
            <v>1/4" TAPCON</v>
          </cell>
          <cell r="H168">
            <v>2010</v>
          </cell>
          <cell r="I168">
            <v>41702</v>
          </cell>
          <cell r="K168" t="str">
            <v>FL15532.1-R1#2</v>
          </cell>
          <cell r="L168" t="str">
            <v>FL15532.1-R1</v>
          </cell>
          <cell r="M168" t="str">
            <v>PROVIDE (4) 5/16" DIA. TAPCONS INTO HOST STRUCTURE SPACED 3-3/4" MIN</v>
          </cell>
          <cell r="N168" t="str">
            <v>2 x 6 x 0.125</v>
          </cell>
          <cell r="O168" t="str">
            <v>(4) 5/16" TAPCONS</v>
          </cell>
          <cell r="P168"/>
          <cell r="Q168">
            <v>2014</v>
          </cell>
          <cell r="R168">
            <v>42885</v>
          </cell>
        </row>
        <row r="169">
          <cell r="A169" t="str">
            <v>12-0118.18#1</v>
          </cell>
          <cell r="B169" t="str">
            <v>12-0118.18</v>
          </cell>
          <cell r="C169" t="str">
            <v>ANCHORS METHOD B</v>
          </cell>
          <cell r="D169">
            <v>70</v>
          </cell>
          <cell r="E169">
            <v>90</v>
          </cell>
          <cell r="F169" t="str">
            <v>TYPE A/B</v>
          </cell>
          <cell r="G169" t="str">
            <v>1/4" TAPCON</v>
          </cell>
          <cell r="H169">
            <v>2010</v>
          </cell>
          <cell r="I169">
            <v>42339</v>
          </cell>
          <cell r="K169" t="str">
            <v>FL16051.2-R0#1</v>
          </cell>
          <cell r="L169" t="str">
            <v>FL16051.2-R0</v>
          </cell>
          <cell r="M169" t="str">
            <v>PROVIDE (4) 3/16" DIA. ITW TAPCOS PER CLIP</v>
          </cell>
          <cell r="N169" t="str">
            <v>2" x 6" x 0.125"</v>
          </cell>
          <cell r="O169" t="str">
            <v>(4) 3/16" ITW TAPCONS</v>
          </cell>
          <cell r="P169" t="str">
            <v>(4) #14 SMS</v>
          </cell>
          <cell r="Q169">
            <v>2010</v>
          </cell>
          <cell r="R169"/>
        </row>
        <row r="170">
          <cell r="A170" t="str">
            <v>12-0118.18#2</v>
          </cell>
          <cell r="B170" t="str">
            <v>12-0118.18</v>
          </cell>
          <cell r="C170" t="str">
            <v>ANCHORS METHOD B</v>
          </cell>
          <cell r="D170">
            <v>60</v>
          </cell>
          <cell r="E170">
            <v>65</v>
          </cell>
          <cell r="F170" t="str">
            <v>TYPE A/B</v>
          </cell>
          <cell r="G170" t="str">
            <v>1/4" TAPCON</v>
          </cell>
          <cell r="H170">
            <v>2010</v>
          </cell>
          <cell r="I170">
            <v>42339</v>
          </cell>
          <cell r="K170" t="str">
            <v>FL16051.2-R0#2</v>
          </cell>
          <cell r="L170" t="str">
            <v>FL16051.2-R0</v>
          </cell>
          <cell r="M170" t="str">
            <v>PROVIDE (4) 3/16" DIA. ITW TAPCOS PER CLIP</v>
          </cell>
          <cell r="N170" t="str">
            <v>2" x 4" x 0.125"</v>
          </cell>
          <cell r="O170" t="str">
            <v>(4) 3/16" ITW TAPCONS</v>
          </cell>
          <cell r="P170" t="str">
            <v>(4) #14 SMS</v>
          </cell>
          <cell r="Q170">
            <v>2010</v>
          </cell>
          <cell r="R170"/>
        </row>
        <row r="171">
          <cell r="A171" t="str">
            <v>12-0118.21#1</v>
          </cell>
          <cell r="B171" t="str">
            <v>12-0118.21</v>
          </cell>
          <cell r="C171" t="str">
            <v>HS XOX  1/4 Vents</v>
          </cell>
          <cell r="D171">
            <v>90</v>
          </cell>
          <cell r="E171">
            <v>140</v>
          </cell>
          <cell r="F171" t="str">
            <v>TYPE A</v>
          </cell>
          <cell r="G171" t="str">
            <v>1/4" ELCO ULTRACON</v>
          </cell>
          <cell r="H171">
            <v>2010</v>
          </cell>
          <cell r="I171">
            <v>41702</v>
          </cell>
          <cell r="K171" t="str">
            <v>FL17472.2-R1#1</v>
          </cell>
          <cell r="L171" t="str">
            <v>FL17472.2-R1</v>
          </cell>
          <cell r="M171" t="str">
            <v>PROVIDE (3) 1/4" DIA. ITW TAPCONS INTO HOST STRUCTURE  PER CLIP</v>
          </cell>
          <cell r="N171" t="str">
            <v>1" x 3.125" x 0.125"/0.375"</v>
          </cell>
          <cell r="O171" t="str">
            <v>(3) 1/4" ITW TAPCONS</v>
          </cell>
          <cell r="P171"/>
          <cell r="Q171">
            <v>2014</v>
          </cell>
          <cell r="R171"/>
        </row>
        <row r="172">
          <cell r="A172" t="str">
            <v>12-0118.21#2</v>
          </cell>
          <cell r="B172" t="str">
            <v>12-0118.21</v>
          </cell>
          <cell r="C172" t="str">
            <v>HS XO, OX, XX</v>
          </cell>
          <cell r="D172">
            <v>90</v>
          </cell>
          <cell r="E172">
            <v>131.1</v>
          </cell>
          <cell r="F172" t="str">
            <v>TYPE A</v>
          </cell>
          <cell r="G172" t="str">
            <v>1/4" ELCO ULTRACON</v>
          </cell>
          <cell r="H172">
            <v>2010</v>
          </cell>
          <cell r="I172">
            <v>41702</v>
          </cell>
          <cell r="K172" t="str">
            <v>FL17472.2-R1#2</v>
          </cell>
          <cell r="L172" t="str">
            <v>FL17472.2-R1</v>
          </cell>
          <cell r="M172" t="str">
            <v>PROVIDE (3) 1/4" DIA. ITW TAPCONS INTO HOST STRUCTURE  PER CLIP</v>
          </cell>
          <cell r="N172" t="str">
            <v>1" x 4" x 0.25"</v>
          </cell>
          <cell r="O172" t="str">
            <v>(3) 1/4" ITW TAPCONS</v>
          </cell>
          <cell r="P172"/>
          <cell r="Q172">
            <v>2014</v>
          </cell>
          <cell r="R172"/>
        </row>
        <row r="173">
          <cell r="A173" t="str">
            <v>12-0118.30#1</v>
          </cell>
          <cell r="B173" t="str">
            <v>12-0118.30</v>
          </cell>
          <cell r="C173"/>
          <cell r="D173">
            <v>50.7</v>
          </cell>
          <cell r="E173">
            <v>68.599999999999994</v>
          </cell>
          <cell r="F173" t="str">
            <v>3/16" TEMP</v>
          </cell>
          <cell r="G173" t="str">
            <v>1/4" ELCO ULTRACON</v>
          </cell>
          <cell r="H173">
            <v>2010</v>
          </cell>
          <cell r="I173">
            <v>42573</v>
          </cell>
          <cell r="K173" t="str">
            <v>FL17472.2-R1#3</v>
          </cell>
          <cell r="L173" t="str">
            <v>FL17472.2-R1</v>
          </cell>
          <cell r="M173" t="str">
            <v>PROVIDE (3) 1/4" DIA. ITW TAPCONS INTO HOST STRUCTURE  PER CLIP</v>
          </cell>
          <cell r="N173" t="str">
            <v>2" x 4" x 0.25"</v>
          </cell>
          <cell r="O173" t="str">
            <v>1/4" ELCO ULTRACONS</v>
          </cell>
          <cell r="P173" t="str">
            <v>(4) 2" x 4" x 3 3/8" CLIPS</v>
          </cell>
          <cell r="Q173">
            <v>2014</v>
          </cell>
          <cell r="R173"/>
        </row>
        <row r="174">
          <cell r="A174" t="str">
            <v>12-0118.30#2</v>
          </cell>
          <cell r="B174" t="str">
            <v>12-0118.30</v>
          </cell>
          <cell r="C174"/>
          <cell r="D174">
            <v>50.7</v>
          </cell>
          <cell r="E174">
            <v>56.9</v>
          </cell>
          <cell r="F174" t="str">
            <v>3/16" TEMP</v>
          </cell>
          <cell r="G174" t="str">
            <v>1/4" ELCO ULTRACON</v>
          </cell>
          <cell r="H174">
            <v>2010</v>
          </cell>
          <cell r="I174">
            <v>42573</v>
          </cell>
          <cell r="K174" t="str">
            <v>FL17472.2-R1#4</v>
          </cell>
          <cell r="L174" t="str">
            <v>FL17472.2-R1</v>
          </cell>
          <cell r="M174" t="str">
            <v>PROVIDE (3) 1/4" DIA. ITW TAPCONS INTO HOST STRUCTURE  PER CLIP</v>
          </cell>
          <cell r="N174" t="str">
            <v>2" x 6" x 0.25"</v>
          </cell>
          <cell r="O174" t="str">
            <v>1/4" ELCO ULTRACONS</v>
          </cell>
          <cell r="P174" t="str">
            <v>(4) 2" x 4" x 3 3/8" CLIPS</v>
          </cell>
          <cell r="Q174">
            <v>2014</v>
          </cell>
          <cell r="R174"/>
        </row>
        <row r="175">
          <cell r="A175" t="str">
            <v>12-0118.31#1</v>
          </cell>
          <cell r="B175" t="str">
            <v>12-0118.31</v>
          </cell>
          <cell r="C175"/>
          <cell r="D175">
            <v>60</v>
          </cell>
          <cell r="E175">
            <v>60</v>
          </cell>
          <cell r="F175" t="str">
            <v>3/16 HEAT STR</v>
          </cell>
          <cell r="G175" t="str">
            <v>1/4" ELCO ULTRACONS</v>
          </cell>
          <cell r="H175">
            <v>2010</v>
          </cell>
          <cell r="I175">
            <v>41828</v>
          </cell>
          <cell r="K175" t="str">
            <v>FL261.1-R6#1</v>
          </cell>
          <cell r="L175" t="str">
            <v>FL261.1-R6</v>
          </cell>
          <cell r="M175" t="str">
            <v>PROVIDE (4) 1/4" DIA. ELCO ULTRACONS INTO HOST STRUCTURE SPACED 3" O.C./ (2) 2" x 5" ANGLE CLIPS (PER VALID PRODUCT APPROVAL)</v>
          </cell>
          <cell r="N175" t="str">
            <v>1 x 3.125 x 0.50</v>
          </cell>
          <cell r="O175" t="str">
            <v>(4) 1/4" DIA. ELCO ULTRACONS</v>
          </cell>
          <cell r="P175"/>
          <cell r="Q175">
            <v>2010</v>
          </cell>
          <cell r="R175">
            <v>42516</v>
          </cell>
        </row>
        <row r="176">
          <cell r="A176" t="str">
            <v>12-0118.31#2</v>
          </cell>
          <cell r="B176" t="str">
            <v>12-0118.31</v>
          </cell>
          <cell r="C176"/>
          <cell r="D176">
            <v>60</v>
          </cell>
          <cell r="E176">
            <v>60</v>
          </cell>
          <cell r="F176" t="str">
            <v>3/16 HEAT STR</v>
          </cell>
          <cell r="G176" t="str">
            <v>1/4" TAPCONS</v>
          </cell>
          <cell r="H176">
            <v>2010</v>
          </cell>
          <cell r="I176">
            <v>41828</v>
          </cell>
          <cell r="K176" t="str">
            <v>FL261.1-R6#2</v>
          </cell>
          <cell r="L176" t="str">
            <v>FL261.1-R6</v>
          </cell>
          <cell r="M176" t="str">
            <v>PROVIDE (4) 1/4" DIA. ELCO ULTRACONS INTO HOST STRUCTURE SPACED 3" O.C./ (2) 2" x 5" ANGLE CLIPS (PER VALID PRODUCT APPROVAL)</v>
          </cell>
          <cell r="N176" t="str">
            <v>1 x 2.75 x 0.375</v>
          </cell>
          <cell r="O176" t="str">
            <v>(4) 1/4" DIA. ELCO ULTRACONS</v>
          </cell>
          <cell r="P176"/>
          <cell r="Q176">
            <v>2010</v>
          </cell>
          <cell r="R176">
            <v>42516</v>
          </cell>
        </row>
        <row r="177">
          <cell r="A177" t="str">
            <v>12-0119.04#1</v>
          </cell>
          <cell r="B177" t="str">
            <v>12-0119.04</v>
          </cell>
          <cell r="C177" t="str">
            <v>W/O REINFORCEMENTS</v>
          </cell>
          <cell r="D177">
            <v>60</v>
          </cell>
          <cell r="E177">
            <v>60</v>
          </cell>
          <cell r="F177" t="str">
            <v>TYPE A/A1</v>
          </cell>
          <cell r="G177" t="str">
            <v>1/4" ELCO ULTRACON</v>
          </cell>
          <cell r="H177">
            <v>2010</v>
          </cell>
          <cell r="I177">
            <v>42269</v>
          </cell>
          <cell r="K177" t="str">
            <v>FL261.1-R6#3</v>
          </cell>
          <cell r="L177" t="str">
            <v>FL261.1-R6</v>
          </cell>
          <cell r="M177" t="str">
            <v>PROVIDE (4) 1/4" DIA. ELCO ULTRACONS INTO HOST STRUCTURE SPACED 3" O.C./ (2) 2" x 5" ANGLE CLIPS (PER VALID PRODUCT APPROVAL)</v>
          </cell>
          <cell r="N177" t="str">
            <v>1 x 4 x 0.125</v>
          </cell>
          <cell r="O177" t="str">
            <v>(4) 1/4" ELCO ULTRACONS</v>
          </cell>
          <cell r="P177" t="str">
            <v>-</v>
          </cell>
          <cell r="Q177">
            <v>2010</v>
          </cell>
          <cell r="R177">
            <v>42516</v>
          </cell>
        </row>
        <row r="178">
          <cell r="A178" t="str">
            <v>12-0124.07#1</v>
          </cell>
          <cell r="B178" t="str">
            <v>12-0124.07</v>
          </cell>
          <cell r="C178"/>
          <cell r="D178"/>
          <cell r="E178"/>
          <cell r="F178" t="str">
            <v>3.5" SEP</v>
          </cell>
          <cell r="G178" t="str">
            <v>1/4" ELCO ULTRACON</v>
          </cell>
          <cell r="H178">
            <v>2010</v>
          </cell>
          <cell r="I178">
            <v>42185</v>
          </cell>
          <cell r="K178" t="str">
            <v>FL261.1-R6#4</v>
          </cell>
          <cell r="L178" t="str">
            <v>FL261.1-R6</v>
          </cell>
          <cell r="M178" t="str">
            <v>PROVIDE (4) 1/4" DIA. ELCO ULTRACONS INTO HOST STRUCTURE SPACED 3" O.C./ (2) 2" x 5" ANGLE CLIPS (PER VALID PRODUCT APPROVAL)</v>
          </cell>
          <cell r="N178" t="str">
            <v>2 x 4 x 0.25</v>
          </cell>
          <cell r="O178" t="str">
            <v>(4) 1/4" ELCO ULTRACONS</v>
          </cell>
          <cell r="P178" t="str">
            <v>-</v>
          </cell>
          <cell r="Q178">
            <v>2010</v>
          </cell>
          <cell r="R178">
            <v>42516</v>
          </cell>
        </row>
        <row r="179">
          <cell r="A179" t="str">
            <v>12-0127.06#1</v>
          </cell>
          <cell r="B179" t="str">
            <v>12-0127.06</v>
          </cell>
          <cell r="C179"/>
          <cell r="D179">
            <v>56.7</v>
          </cell>
          <cell r="E179">
            <v>70</v>
          </cell>
          <cell r="F179" t="str">
            <v>TYPE B</v>
          </cell>
          <cell r="G179" t="str">
            <v>1/4" TAPCON</v>
          </cell>
          <cell r="H179">
            <v>2010</v>
          </cell>
          <cell r="I179">
            <v>41438</v>
          </cell>
          <cell r="K179" t="str">
            <v>FL261.1-R6#5</v>
          </cell>
          <cell r="L179" t="str">
            <v>FL261.1-R6</v>
          </cell>
          <cell r="M179" t="str">
            <v>PROVIDE (6) 1/4" DIA. ELCO ULTRACONS INTO HOST STRUCTURE SPACED 3" O.C./ (2) 2" x 5" ANGLE CLIPS (PER VALID PRODUCT APPROVAL)</v>
          </cell>
          <cell r="N179" t="str">
            <v>1 x 4 x 0.375</v>
          </cell>
          <cell r="O179" t="str">
            <v>(4) 1/4" ELCO ULTRACONS</v>
          </cell>
          <cell r="P179" t="str">
            <v>(2) 2" x 5" ANGLE CLIPS</v>
          </cell>
          <cell r="Q179">
            <v>2010</v>
          </cell>
          <cell r="R179">
            <v>42516</v>
          </cell>
        </row>
        <row r="180">
          <cell r="A180" t="str">
            <v>12-0127.16#1</v>
          </cell>
          <cell r="B180" t="str">
            <v>12-0127.16</v>
          </cell>
          <cell r="C180"/>
          <cell r="D180">
            <v>80</v>
          </cell>
          <cell r="E180">
            <v>80</v>
          </cell>
          <cell r="F180" t="str">
            <v>TYPE 2</v>
          </cell>
          <cell r="G180" t="str">
            <v>1/4" TAPCON</v>
          </cell>
          <cell r="H180">
            <v>2010</v>
          </cell>
          <cell r="I180">
            <v>42731</v>
          </cell>
          <cell r="K180" t="str">
            <v>FL6067.5-R5#1</v>
          </cell>
          <cell r="L180" t="str">
            <v>FL6067.5-R5</v>
          </cell>
          <cell r="M180" t="str">
            <v>PROVIDE (4) 3/16" DIA. HILTI KWIK-CON II+ INTO HOST STRUCTURE SPACED 2.25" O.C./ (2) #8 SMS INTO MULL PER CLIP</v>
          </cell>
          <cell r="N180" t="str">
            <v>1 x 4 CUST</v>
          </cell>
          <cell r="O180" t="str">
            <v>(4) 3/16" PFH HILTI KWIK-CON II+</v>
          </cell>
          <cell r="P180" t="str">
            <v>(2) #8 SMS</v>
          </cell>
          <cell r="Q180">
            <v>2014</v>
          </cell>
          <cell r="R180"/>
        </row>
        <row r="181">
          <cell r="A181" t="str">
            <v>12-0127.19#1</v>
          </cell>
          <cell r="B181" t="str">
            <v>12-0127.19</v>
          </cell>
          <cell r="C181" t="str">
            <v>OX</v>
          </cell>
          <cell r="D181">
            <v>60</v>
          </cell>
          <cell r="E181">
            <v>100</v>
          </cell>
          <cell r="F181" t="str">
            <v xml:space="preserve">MONOLITHIC </v>
          </cell>
          <cell r="G181" t="str">
            <v>1/4" TAPCON</v>
          </cell>
          <cell r="H181">
            <v>2010</v>
          </cell>
          <cell r="I181">
            <v>42395</v>
          </cell>
          <cell r="K181" t="str">
            <v>FL9520.1-R4#1</v>
          </cell>
          <cell r="L181" t="str">
            <v>FL9520.1-R4</v>
          </cell>
          <cell r="M181" t="str">
            <v>PROVIDE (4) 3/16" DIA. ITW TAPCONS OR (4) #10 SCREWS PRE CLIP INTO HOST STRUCTURE/(2) 4 7/8" X  2 3/16" ANGLE CLIPS (PER VALID PRODUCT APPROVAL)</v>
          </cell>
          <cell r="N181" t="str">
            <v>2.8125" x 1.375" X 0.150"</v>
          </cell>
          <cell r="O181" t="str">
            <v>(4) 3/16" ITW TAPCONS</v>
          </cell>
          <cell r="P181" t="str">
            <v>RETRO/FLANGE CLIP</v>
          </cell>
          <cell r="Q181">
            <v>2010</v>
          </cell>
          <cell r="R181"/>
        </row>
        <row r="182">
          <cell r="A182" t="str">
            <v>12-0127.19#2</v>
          </cell>
          <cell r="B182" t="str">
            <v>12-0127.19</v>
          </cell>
          <cell r="C182" t="str">
            <v>OX</v>
          </cell>
          <cell r="D182">
            <v>54</v>
          </cell>
          <cell r="E182">
            <v>54</v>
          </cell>
          <cell r="F182" t="str">
            <v xml:space="preserve">MONOLITHIC </v>
          </cell>
          <cell r="G182" t="str">
            <v>1/4" TAPCON</v>
          </cell>
          <cell r="H182">
            <v>2010</v>
          </cell>
          <cell r="I182">
            <v>42395</v>
          </cell>
          <cell r="K182" t="str">
            <v>FL9520.2-R4#1</v>
          </cell>
          <cell r="L182" t="str">
            <v>FL9520.2-R4</v>
          </cell>
          <cell r="M182" t="str">
            <v>PROVIDE (4) 3/16" DIA. ITW TAPCONS OR (4) #10 SCREWS PRE CLIP INTO HOST STRUCTURE/(2) 4 7/8" X 3 7/8" ANGLE CLIPS (PER VALID PRODUCT APPROVAL)</v>
          </cell>
          <cell r="N182" t="str">
            <v>1.375" x 4.25" x 0.125"</v>
          </cell>
          <cell r="O182" t="str">
            <v>(4) 3/16" ITW TAPCONS</v>
          </cell>
          <cell r="P182" t="str">
            <v>(4) #10 SMS</v>
          </cell>
          <cell r="Q182">
            <v>2010</v>
          </cell>
          <cell r="R182" t="str">
            <v>-</v>
          </cell>
        </row>
        <row r="183">
          <cell r="A183" t="str">
            <v>12-0127.19#3</v>
          </cell>
          <cell r="B183" t="str">
            <v>12-0127.19</v>
          </cell>
          <cell r="C183" t="str">
            <v>XOX</v>
          </cell>
          <cell r="D183">
            <v>51.1</v>
          </cell>
          <cell r="E183">
            <v>51.1</v>
          </cell>
          <cell r="F183" t="str">
            <v xml:space="preserve">MONOLITHIC </v>
          </cell>
          <cell r="G183" t="str">
            <v>1/4" TAPCON</v>
          </cell>
          <cell r="H183">
            <v>2010</v>
          </cell>
          <cell r="I183">
            <v>42395</v>
          </cell>
          <cell r="K183" t="str">
            <v>SEE#1</v>
          </cell>
          <cell r="L183" t="str">
            <v>SEE</v>
          </cell>
          <cell r="M183" t="str">
            <v>ENGINEERING</v>
          </cell>
          <cell r="N183" t="str">
            <v>SEPARATE</v>
          </cell>
          <cell r="O183" t="str">
            <v>ENGINEERING</v>
          </cell>
          <cell r="P183" t="str">
            <v>FOR MULLS</v>
          </cell>
          <cell r="Q183"/>
          <cell r="R183"/>
        </row>
        <row r="184">
          <cell r="A184" t="str">
            <v>12-0127.24#1</v>
          </cell>
          <cell r="B184" t="str">
            <v>12-0127.24</v>
          </cell>
          <cell r="C184" t="str">
            <v>STD. SILL</v>
          </cell>
          <cell r="D184">
            <v>40.700000000000003</v>
          </cell>
          <cell r="E184">
            <v>60</v>
          </cell>
          <cell r="F184" t="str">
            <v>TYPE A/B</v>
          </cell>
          <cell r="G184" t="str">
            <v>1/4" TAPCON</v>
          </cell>
          <cell r="H184">
            <v>2010</v>
          </cell>
          <cell r="I184">
            <v>41318</v>
          </cell>
        </row>
        <row r="185">
          <cell r="A185" t="str">
            <v>12-0127.24#2</v>
          </cell>
          <cell r="B185" t="str">
            <v>12-0127.24</v>
          </cell>
          <cell r="C185" t="str">
            <v>2-1/4" RISER</v>
          </cell>
          <cell r="D185">
            <v>56.7</v>
          </cell>
          <cell r="E185">
            <v>60</v>
          </cell>
          <cell r="F185" t="str">
            <v>TYPE A/B</v>
          </cell>
          <cell r="G185" t="str">
            <v>1/4" TAPCON</v>
          </cell>
          <cell r="H185">
            <v>2010</v>
          </cell>
          <cell r="I185">
            <v>41318</v>
          </cell>
        </row>
        <row r="186">
          <cell r="A186" t="str">
            <v>12-0127.24#3</v>
          </cell>
          <cell r="B186" t="str">
            <v>12-0127.24</v>
          </cell>
          <cell r="C186" t="str">
            <v>3" RISER</v>
          </cell>
          <cell r="D186">
            <v>60</v>
          </cell>
          <cell r="E186">
            <v>60</v>
          </cell>
          <cell r="F186" t="str">
            <v>TYPE A/B</v>
          </cell>
          <cell r="G186" t="str">
            <v>1/4" TAPCON</v>
          </cell>
          <cell r="H186">
            <v>2010</v>
          </cell>
          <cell r="I186">
            <v>41318</v>
          </cell>
        </row>
        <row r="187">
          <cell r="A187" t="str">
            <v>12-0130.14#1</v>
          </cell>
          <cell r="B187" t="str">
            <v>12-0130.14</v>
          </cell>
          <cell r="C187" t="str">
            <v>NON-REINFORCED WITH 2-1/4" SILL RISER</v>
          </cell>
          <cell r="D187">
            <v>60</v>
          </cell>
          <cell r="E187">
            <v>100</v>
          </cell>
          <cell r="F187" t="str">
            <v>TYPE A-F</v>
          </cell>
          <cell r="G187" t="str">
            <v>1/4" ITW TAPCON</v>
          </cell>
          <cell r="H187">
            <v>2010</v>
          </cell>
          <cell r="I187">
            <v>42460</v>
          </cell>
        </row>
        <row r="188">
          <cell r="A188" t="str">
            <v>12-0130.14#2</v>
          </cell>
          <cell r="B188" t="str">
            <v>12-0130.14</v>
          </cell>
          <cell r="C188" t="str">
            <v>NON-REINFORCED WITH 1-3/4" SILL RISER</v>
          </cell>
          <cell r="D188">
            <v>45</v>
          </cell>
          <cell r="E188">
            <v>100</v>
          </cell>
          <cell r="F188" t="str">
            <v>TYPE A-F</v>
          </cell>
          <cell r="G188" t="str">
            <v>1/4" ITW TAPCON</v>
          </cell>
          <cell r="H188">
            <v>2010</v>
          </cell>
          <cell r="I188">
            <v>42460</v>
          </cell>
        </row>
        <row r="189">
          <cell r="A189" t="str">
            <v>12-0130.14#3</v>
          </cell>
          <cell r="B189" t="str">
            <v>12-0130.14</v>
          </cell>
          <cell r="C189" t="str">
            <v>NON-REINFORCED WITH 1-3/4" SILL RISER</v>
          </cell>
          <cell r="D189">
            <v>45</v>
          </cell>
          <cell r="E189">
            <v>88.3</v>
          </cell>
          <cell r="F189" t="str">
            <v>TYPE A-F</v>
          </cell>
          <cell r="G189" t="str">
            <v>1/4" ITW TAPCON</v>
          </cell>
          <cell r="H189">
            <v>2010</v>
          </cell>
          <cell r="I189">
            <v>42460</v>
          </cell>
        </row>
        <row r="190">
          <cell r="A190" t="str">
            <v>12-0130.14#4</v>
          </cell>
          <cell r="B190" t="str">
            <v>12-0130.14</v>
          </cell>
          <cell r="C190" t="str">
            <v>NON-REINFORCED WITH 2-1/4" SILL RISER</v>
          </cell>
          <cell r="D190">
            <v>60</v>
          </cell>
          <cell r="E190">
            <v>88.3</v>
          </cell>
          <cell r="F190" t="str">
            <v>TYPE A-F</v>
          </cell>
          <cell r="G190" t="str">
            <v>1/4" ITW TAPCON</v>
          </cell>
          <cell r="H190">
            <v>2010</v>
          </cell>
          <cell r="I190">
            <v>42460</v>
          </cell>
        </row>
        <row r="191">
          <cell r="A191" t="str">
            <v>12-0130.26#1</v>
          </cell>
          <cell r="B191" t="str">
            <v>12-0130.26</v>
          </cell>
          <cell r="C191"/>
          <cell r="D191">
            <v>80</v>
          </cell>
          <cell r="E191">
            <v>130</v>
          </cell>
          <cell r="F191" t="str">
            <v>N/A</v>
          </cell>
          <cell r="G191" t="str">
            <v>3/16" ITW TAPCON</v>
          </cell>
          <cell r="H191">
            <v>2010</v>
          </cell>
          <cell r="I191">
            <v>42502</v>
          </cell>
        </row>
        <row r="192">
          <cell r="A192" t="str">
            <v>12-0131.14#1</v>
          </cell>
          <cell r="B192" t="str">
            <v>12-0131.14</v>
          </cell>
          <cell r="C192" t="str">
            <v>W/OUT REINFORCED INTERLOCKS</v>
          </cell>
          <cell r="D192">
            <v>80</v>
          </cell>
          <cell r="E192">
            <v>135</v>
          </cell>
          <cell r="F192" t="str">
            <v>TYPE A</v>
          </cell>
          <cell r="G192" t="str">
            <v>1/4" ELCO ULTRACON</v>
          </cell>
          <cell r="H192">
            <v>2010</v>
          </cell>
          <cell r="I192">
            <v>41919</v>
          </cell>
        </row>
        <row r="193">
          <cell r="A193" t="str">
            <v>12-0202.03#1</v>
          </cell>
          <cell r="B193" t="str">
            <v>12-0202.03</v>
          </cell>
          <cell r="C193" t="str">
            <v>ALUMINUM</v>
          </cell>
          <cell r="D193">
            <v>131</v>
          </cell>
          <cell r="E193">
            <v>142</v>
          </cell>
          <cell r="F193" t="str">
            <v>TYPE A</v>
          </cell>
          <cell r="G193" t="str">
            <v>1/4" HILTI KWIK-CON II</v>
          </cell>
          <cell r="H193">
            <v>2010</v>
          </cell>
          <cell r="I193">
            <v>42773</v>
          </cell>
        </row>
        <row r="194">
          <cell r="A194" t="str">
            <v>12-0202.03#2</v>
          </cell>
          <cell r="B194" t="str">
            <v>12-0202.03</v>
          </cell>
          <cell r="C194" t="str">
            <v>ALUMINUM</v>
          </cell>
          <cell r="D194">
            <v>131</v>
          </cell>
          <cell r="E194">
            <v>131</v>
          </cell>
          <cell r="F194" t="str">
            <v>TYPE A</v>
          </cell>
          <cell r="G194" t="str">
            <v>1/4" HILTI KWIK-CON II</v>
          </cell>
          <cell r="H194">
            <v>2010</v>
          </cell>
          <cell r="I194">
            <v>42773</v>
          </cell>
        </row>
        <row r="195">
          <cell r="A195" t="str">
            <v>12-0207.04#1</v>
          </cell>
          <cell r="B195" t="str">
            <v>12-0207.04</v>
          </cell>
          <cell r="C195"/>
          <cell r="D195">
            <v>75</v>
          </cell>
          <cell r="E195">
            <v>85</v>
          </cell>
          <cell r="F195" t="str">
            <v>TYPE A/B/C</v>
          </cell>
          <cell r="G195" t="str">
            <v>1/4" ELCO ULTRACON</v>
          </cell>
          <cell r="H195">
            <v>2010</v>
          </cell>
          <cell r="I195">
            <v>41800</v>
          </cell>
        </row>
        <row r="196">
          <cell r="A196" t="str">
            <v>12-0207.04#2</v>
          </cell>
          <cell r="B196" t="str">
            <v>12-0207.04</v>
          </cell>
          <cell r="C196"/>
          <cell r="D196">
            <v>85</v>
          </cell>
          <cell r="E196">
            <v>115</v>
          </cell>
          <cell r="F196" t="str">
            <v>TYPE A/B/C</v>
          </cell>
          <cell r="G196" t="str">
            <v>1/4" ELCO ULTRACON</v>
          </cell>
          <cell r="H196">
            <v>2010</v>
          </cell>
          <cell r="I196">
            <v>41800</v>
          </cell>
        </row>
        <row r="197">
          <cell r="A197" t="str">
            <v>12-0208.03#1</v>
          </cell>
          <cell r="B197" t="str">
            <v>12-0208.03</v>
          </cell>
          <cell r="C197"/>
          <cell r="D197">
            <v>75</v>
          </cell>
          <cell r="E197">
            <v>85</v>
          </cell>
          <cell r="F197" t="str">
            <v>TYPE A</v>
          </cell>
          <cell r="G197" t="str">
            <v>1/4" ELCO ULTRACON</v>
          </cell>
          <cell r="H197">
            <v>2010</v>
          </cell>
          <cell r="I197">
            <v>41800</v>
          </cell>
        </row>
        <row r="198">
          <cell r="A198" t="str">
            <v>12-0208.03#2</v>
          </cell>
          <cell r="B198" t="str">
            <v>12-0208.03</v>
          </cell>
          <cell r="C198"/>
          <cell r="D198">
            <v>100</v>
          </cell>
          <cell r="E198">
            <v>140</v>
          </cell>
          <cell r="F198" t="str">
            <v>TYPE B</v>
          </cell>
          <cell r="G198" t="str">
            <v>1/4" ELCO ULTRACON</v>
          </cell>
          <cell r="H198">
            <v>2010</v>
          </cell>
          <cell r="I198">
            <v>41800</v>
          </cell>
        </row>
        <row r="199">
          <cell r="A199" t="str">
            <v>12-0208.05#1</v>
          </cell>
          <cell r="B199" t="str">
            <v>12-0208.05</v>
          </cell>
          <cell r="C199"/>
          <cell r="D199">
            <v>75</v>
          </cell>
          <cell r="E199">
            <v>75</v>
          </cell>
          <cell r="F199" t="str">
            <v>LAMI</v>
          </cell>
          <cell r="G199" t="str">
            <v>1/4" ELCO ULTRACON</v>
          </cell>
          <cell r="H199">
            <v>2010</v>
          </cell>
          <cell r="I199">
            <v>41800</v>
          </cell>
        </row>
        <row r="200">
          <cell r="A200" t="str">
            <v>12-0208.14#1</v>
          </cell>
          <cell r="B200" t="str">
            <v>12-0208.14</v>
          </cell>
          <cell r="C200" t="str">
            <v>ALUMINUM, W/WO SIDELITES</v>
          </cell>
          <cell r="D200">
            <v>80</v>
          </cell>
          <cell r="E200">
            <v>80</v>
          </cell>
          <cell r="F200" t="str">
            <v>TYPE A/A1</v>
          </cell>
          <cell r="G200" t="str">
            <v>1/4" ELCO ULTRACON</v>
          </cell>
          <cell r="H200">
            <v>2010</v>
          </cell>
          <cell r="I200">
            <v>42481</v>
          </cell>
        </row>
        <row r="201">
          <cell r="A201" t="str">
            <v>12-0208.14#2</v>
          </cell>
          <cell r="B201" t="str">
            <v>12-0208.14</v>
          </cell>
          <cell r="C201" t="str">
            <v>ALUMINUM, W/WO SIDELITES</v>
          </cell>
          <cell r="D201">
            <v>80</v>
          </cell>
          <cell r="E201">
            <v>80</v>
          </cell>
          <cell r="F201" t="str">
            <v>TYPE A/A1</v>
          </cell>
          <cell r="G201" t="str">
            <v>1/4" ELCO ULTRACON</v>
          </cell>
          <cell r="H201">
            <v>2010</v>
          </cell>
          <cell r="I201">
            <v>42481</v>
          </cell>
        </row>
        <row r="202">
          <cell r="A202" t="str">
            <v>12-0208.14#3</v>
          </cell>
          <cell r="B202" t="str">
            <v>12-0208.14</v>
          </cell>
          <cell r="C202" t="str">
            <v>ALUMINUM, W/O SIDELITES</v>
          </cell>
          <cell r="D202">
            <v>100</v>
          </cell>
          <cell r="E202">
            <v>141</v>
          </cell>
          <cell r="F202" t="str">
            <v>TYPE B</v>
          </cell>
          <cell r="G202" t="str">
            <v>1/4" ELCO ULTRACON</v>
          </cell>
          <cell r="H202">
            <v>2010</v>
          </cell>
          <cell r="I202">
            <v>42481</v>
          </cell>
        </row>
        <row r="203">
          <cell r="A203" t="str">
            <v>12-0213.05#1</v>
          </cell>
          <cell r="B203" t="str">
            <v>12-0213.05</v>
          </cell>
          <cell r="C203" t="str">
            <v>W/ ALUMINUM REINFORCING</v>
          </cell>
          <cell r="D203">
            <v>70</v>
          </cell>
          <cell r="E203">
            <v>70</v>
          </cell>
          <cell r="F203" t="str">
            <v>TYPE C</v>
          </cell>
          <cell r="G203" t="str">
            <v>1/4" ELCO ULTRACON</v>
          </cell>
          <cell r="H203">
            <v>2010</v>
          </cell>
          <cell r="I203">
            <v>42921</v>
          </cell>
        </row>
        <row r="204">
          <cell r="A204" t="str">
            <v>12-0213.05#2</v>
          </cell>
          <cell r="B204" t="str">
            <v>12-0213.05</v>
          </cell>
          <cell r="C204" t="str">
            <v>W/ ALUMINUM REINFORCING</v>
          </cell>
          <cell r="D204">
            <v>80</v>
          </cell>
          <cell r="E204">
            <v>80</v>
          </cell>
          <cell r="F204" t="str">
            <v>TYPE F</v>
          </cell>
          <cell r="G204" t="str">
            <v>1/4" ELCO ULTRACON</v>
          </cell>
          <cell r="H204">
            <v>2010</v>
          </cell>
          <cell r="I204">
            <v>42921</v>
          </cell>
        </row>
        <row r="205">
          <cell r="A205" t="str">
            <v>12-0213.05#3</v>
          </cell>
          <cell r="B205" t="str">
            <v>12-0213.05</v>
          </cell>
          <cell r="C205" t="str">
            <v>W/ ALUMINUM REINFORCING</v>
          </cell>
          <cell r="D205">
            <v>80</v>
          </cell>
          <cell r="E205">
            <v>80</v>
          </cell>
          <cell r="F205" t="str">
            <v>TYPE G</v>
          </cell>
          <cell r="G205" t="str">
            <v>1/4" ELCO ULTRACON</v>
          </cell>
          <cell r="H205">
            <v>2010</v>
          </cell>
          <cell r="I205">
            <v>42921</v>
          </cell>
        </row>
        <row r="206">
          <cell r="A206" t="str">
            <v>12-0213.05#4</v>
          </cell>
          <cell r="B206" t="str">
            <v>12-0213.05</v>
          </cell>
          <cell r="C206" t="str">
            <v>W/ ALUMINUM REINFORCING</v>
          </cell>
          <cell r="D206">
            <v>61</v>
          </cell>
          <cell r="E206">
            <v>61</v>
          </cell>
          <cell r="F206" t="str">
            <v>TYPE D</v>
          </cell>
          <cell r="G206" t="str">
            <v>1/4" ELCO ULTRACON</v>
          </cell>
          <cell r="H206">
            <v>2010</v>
          </cell>
          <cell r="I206">
            <v>42921</v>
          </cell>
        </row>
        <row r="207">
          <cell r="A207" t="str">
            <v>12-0213.06#1</v>
          </cell>
          <cell r="B207" t="str">
            <v>12-0213.06</v>
          </cell>
          <cell r="C207" t="str">
            <v>ALUMINUM</v>
          </cell>
          <cell r="D207">
            <v>90</v>
          </cell>
          <cell r="E207">
            <v>130</v>
          </cell>
          <cell r="F207" t="str">
            <v>TYPE F</v>
          </cell>
          <cell r="G207" t="str">
            <v>1/4" ELCO ULTRACON</v>
          </cell>
          <cell r="H207">
            <v>2010</v>
          </cell>
          <cell r="I207">
            <v>41339</v>
          </cell>
        </row>
        <row r="208">
          <cell r="A208" t="str">
            <v>12-0213.06#2</v>
          </cell>
          <cell r="B208" t="str">
            <v>12-0213.06</v>
          </cell>
          <cell r="C208" t="str">
            <v>ALUMINUM</v>
          </cell>
          <cell r="D208">
            <v>90</v>
          </cell>
          <cell r="E208">
            <v>102.5</v>
          </cell>
          <cell r="F208" t="str">
            <v>TYPE F</v>
          </cell>
          <cell r="G208" t="str">
            <v>1/4" ELCO ULTRACON</v>
          </cell>
          <cell r="H208">
            <v>2010</v>
          </cell>
          <cell r="I208">
            <v>41339</v>
          </cell>
        </row>
        <row r="209">
          <cell r="A209" t="str">
            <v>12-0213.06#3</v>
          </cell>
          <cell r="B209" t="str">
            <v>12-0213.06</v>
          </cell>
          <cell r="C209" t="str">
            <v>ALUMINUM</v>
          </cell>
          <cell r="D209">
            <v>80</v>
          </cell>
          <cell r="E209">
            <v>80</v>
          </cell>
          <cell r="F209" t="str">
            <v>TYPE E</v>
          </cell>
          <cell r="G209" t="str">
            <v>1/4" ELCO ULTRACON</v>
          </cell>
          <cell r="H209">
            <v>2010</v>
          </cell>
          <cell r="I209">
            <v>41339</v>
          </cell>
        </row>
        <row r="210">
          <cell r="A210" t="str">
            <v>12-0213.06#4</v>
          </cell>
          <cell r="B210" t="str">
            <v>12-0213.06</v>
          </cell>
          <cell r="C210" t="str">
            <v>ALUMINUM</v>
          </cell>
          <cell r="D210">
            <v>90</v>
          </cell>
          <cell r="E210">
            <v>130</v>
          </cell>
          <cell r="F210" t="str">
            <v>TYPE D</v>
          </cell>
          <cell r="G210" t="str">
            <v>1/4" ELCO ULTRACON</v>
          </cell>
          <cell r="H210">
            <v>2010</v>
          </cell>
          <cell r="I210">
            <v>41339</v>
          </cell>
        </row>
        <row r="211">
          <cell r="A211" t="str">
            <v>12-0213.06#5</v>
          </cell>
          <cell r="B211" t="str">
            <v>12-0213.06</v>
          </cell>
          <cell r="C211" t="str">
            <v>ALUMINUM</v>
          </cell>
          <cell r="D211">
            <v>84.8</v>
          </cell>
          <cell r="E211">
            <v>106.4</v>
          </cell>
          <cell r="F211" t="str">
            <v>TYPE F</v>
          </cell>
          <cell r="G211" t="str">
            <v>1/4" ELCO ULTRACON</v>
          </cell>
          <cell r="H211">
            <v>2010</v>
          </cell>
          <cell r="I211">
            <v>41339</v>
          </cell>
        </row>
        <row r="212">
          <cell r="A212" t="str">
            <v>12-0214.06#1</v>
          </cell>
          <cell r="B212" t="str">
            <v>12-0214.06</v>
          </cell>
          <cell r="C212" t="str">
            <v>ALUMINUM</v>
          </cell>
          <cell r="D212">
            <v>110</v>
          </cell>
          <cell r="E212">
            <v>195</v>
          </cell>
          <cell r="F212" t="str">
            <v>TYPE 2</v>
          </cell>
          <cell r="G212" t="str">
            <v>1/4" ELCO ULTRACON</v>
          </cell>
          <cell r="H212">
            <v>2010</v>
          </cell>
          <cell r="I212">
            <v>41573</v>
          </cell>
        </row>
        <row r="213">
          <cell r="A213" t="str">
            <v>12-0214.06#2</v>
          </cell>
          <cell r="B213" t="str">
            <v>12-0214.06</v>
          </cell>
          <cell r="C213" t="str">
            <v>ALUMINUM</v>
          </cell>
          <cell r="D213">
            <v>110</v>
          </cell>
          <cell r="E213">
            <v>120</v>
          </cell>
          <cell r="F213" t="str">
            <v>TYPE 3</v>
          </cell>
          <cell r="G213" t="str">
            <v>1/4" ELCO ULTRACON</v>
          </cell>
          <cell r="H213">
            <v>2010</v>
          </cell>
          <cell r="I213">
            <v>41573</v>
          </cell>
        </row>
        <row r="214">
          <cell r="A214" t="str">
            <v>12-0214.06#3</v>
          </cell>
          <cell r="B214" t="str">
            <v>12-0214.06</v>
          </cell>
          <cell r="C214" t="str">
            <v>ALUMINUM</v>
          </cell>
          <cell r="D214">
            <v>102.1</v>
          </cell>
          <cell r="E214">
            <v>111.3</v>
          </cell>
          <cell r="F214" t="str">
            <v>TYPE 3</v>
          </cell>
          <cell r="G214" t="str">
            <v>1/4" ELCO ULTRACON</v>
          </cell>
          <cell r="H214">
            <v>2010</v>
          </cell>
          <cell r="I214">
            <v>41573</v>
          </cell>
        </row>
        <row r="215">
          <cell r="A215" t="str">
            <v>12-0216.02#1</v>
          </cell>
          <cell r="B215" t="str">
            <v>12-0216.02</v>
          </cell>
          <cell r="C215"/>
          <cell r="D215">
            <v>90</v>
          </cell>
          <cell r="E215">
            <v>128.19999999999999</v>
          </cell>
          <cell r="F215" t="str">
            <v>TYPE B</v>
          </cell>
          <cell r="G215" t="str">
            <v>1/4" ELCO ULTRACON</v>
          </cell>
          <cell r="H215">
            <v>2010</v>
          </cell>
          <cell r="I215">
            <v>41877</v>
          </cell>
        </row>
        <row r="216">
          <cell r="A216" t="str">
            <v>12-0216.02#2</v>
          </cell>
          <cell r="B216" t="str">
            <v>12-0216.02</v>
          </cell>
          <cell r="C216"/>
          <cell r="D216">
            <v>90</v>
          </cell>
          <cell r="E216">
            <v>136.9</v>
          </cell>
          <cell r="F216" t="str">
            <v>TYPE B</v>
          </cell>
          <cell r="G216" t="str">
            <v>1/4" ELCO ULTRACON</v>
          </cell>
          <cell r="H216">
            <v>2010</v>
          </cell>
          <cell r="I216">
            <v>41877</v>
          </cell>
        </row>
        <row r="217">
          <cell r="A217" t="str">
            <v>12-0216.02#3</v>
          </cell>
          <cell r="B217" t="str">
            <v>12-0216.02</v>
          </cell>
          <cell r="C217"/>
          <cell r="D217">
            <v>90</v>
          </cell>
          <cell r="E217">
            <v>153.5</v>
          </cell>
          <cell r="F217" t="str">
            <v>TYPE B</v>
          </cell>
          <cell r="G217" t="str">
            <v>1/4" ELCO ULTRACON</v>
          </cell>
          <cell r="H217">
            <v>2010</v>
          </cell>
          <cell r="I217">
            <v>41877</v>
          </cell>
        </row>
        <row r="218">
          <cell r="A218" t="str">
            <v>12-0216.03#1</v>
          </cell>
          <cell r="B218" t="str">
            <v>12-0216.03</v>
          </cell>
          <cell r="C218" t="str">
            <v>Series 3062</v>
          </cell>
          <cell r="D218">
            <v>90</v>
          </cell>
          <cell r="E218">
            <v>117.7</v>
          </cell>
          <cell r="F218" t="str">
            <v>TYPE B</v>
          </cell>
          <cell r="G218" t="str">
            <v>1/4" ELCO ULTRACON</v>
          </cell>
          <cell r="H218">
            <v>2010</v>
          </cell>
          <cell r="I218">
            <v>41877</v>
          </cell>
        </row>
        <row r="219">
          <cell r="A219" t="str">
            <v>12-0216.03#2</v>
          </cell>
          <cell r="B219" t="str">
            <v>12-0216.03</v>
          </cell>
          <cell r="C219" t="str">
            <v>Series 3062</v>
          </cell>
          <cell r="D219">
            <v>90</v>
          </cell>
          <cell r="E219">
            <v>105</v>
          </cell>
          <cell r="F219" t="str">
            <v>TYPE B</v>
          </cell>
          <cell r="G219" t="str">
            <v>1/4" ELCO ULTRACON</v>
          </cell>
          <cell r="H219">
            <v>2010</v>
          </cell>
          <cell r="I219">
            <v>41877</v>
          </cell>
        </row>
        <row r="220">
          <cell r="A220" t="str">
            <v>12-0216.03#3</v>
          </cell>
          <cell r="B220" t="str">
            <v>12-0216.03</v>
          </cell>
          <cell r="C220" t="str">
            <v>Series 3062</v>
          </cell>
          <cell r="D220">
            <v>70</v>
          </cell>
          <cell r="E220">
            <v>76.400000000000006</v>
          </cell>
          <cell r="F220" t="str">
            <v>TYPE B</v>
          </cell>
          <cell r="G220" t="str">
            <v>1/4" ELCO ULTRACON</v>
          </cell>
          <cell r="H220">
            <v>2010</v>
          </cell>
          <cell r="I220">
            <v>41877</v>
          </cell>
        </row>
        <row r="221">
          <cell r="A221" t="str">
            <v>12-0221.06#1</v>
          </cell>
          <cell r="B221" t="str">
            <v>12-0221.06</v>
          </cell>
          <cell r="C221" t="str">
            <v>SH</v>
          </cell>
          <cell r="D221">
            <v>80</v>
          </cell>
          <cell r="E221">
            <v>120</v>
          </cell>
          <cell r="F221" t="str">
            <v>TYPE C/E</v>
          </cell>
          <cell r="G221" t="str">
            <v>1/4" ELCO ULTRACON</v>
          </cell>
          <cell r="H221">
            <v>2010</v>
          </cell>
          <cell r="I221">
            <v>42865</v>
          </cell>
        </row>
        <row r="222">
          <cell r="A222" t="str">
            <v>12-0221.06#2</v>
          </cell>
          <cell r="B222" t="str">
            <v>12-0221.06</v>
          </cell>
          <cell r="C222"/>
          <cell r="D222">
            <v>80</v>
          </cell>
          <cell r="E222">
            <v>120</v>
          </cell>
          <cell r="F222" t="str">
            <v>TYPE 5</v>
          </cell>
          <cell r="G222" t="str">
            <v>1/4" ELCO ULTRACON</v>
          </cell>
          <cell r="H222">
            <v>2010</v>
          </cell>
          <cell r="I222">
            <v>42865</v>
          </cell>
        </row>
        <row r="223">
          <cell r="A223" t="str">
            <v>12-0221.08#1</v>
          </cell>
          <cell r="B223" t="str">
            <v>12-0221.08</v>
          </cell>
          <cell r="C223"/>
          <cell r="D223">
            <v>70</v>
          </cell>
          <cell r="E223">
            <v>70</v>
          </cell>
          <cell r="F223" t="str">
            <v>TYPE C</v>
          </cell>
          <cell r="G223" t="str">
            <v>1/4" ELCO ULTRACON</v>
          </cell>
          <cell r="H223">
            <v>2010</v>
          </cell>
          <cell r="I223">
            <v>42976</v>
          </cell>
        </row>
        <row r="224">
          <cell r="A224" t="str">
            <v>12-0221.11#1</v>
          </cell>
          <cell r="B224" t="str">
            <v>12-0221.11</v>
          </cell>
          <cell r="C224"/>
          <cell r="D224">
            <v>133</v>
          </cell>
          <cell r="E224">
            <v>210</v>
          </cell>
          <cell r="F224" t="str">
            <v>TYPE 1/1A</v>
          </cell>
          <cell r="G224" t="str">
            <v>1/4" ELCO ULTRACON</v>
          </cell>
          <cell r="H224">
            <v>2010</v>
          </cell>
          <cell r="I224">
            <v>41793</v>
          </cell>
        </row>
        <row r="225">
          <cell r="A225" t="str">
            <v>12-0221.13#1</v>
          </cell>
          <cell r="B225" t="str">
            <v>12-0221.13</v>
          </cell>
          <cell r="C225"/>
          <cell r="D225">
            <v>100</v>
          </cell>
          <cell r="E225">
            <v>147.69999999999999</v>
          </cell>
          <cell r="F225" t="str">
            <v>TYPE 5/6</v>
          </cell>
          <cell r="G225" t="str">
            <v>1/4" ELCO ULTRACON</v>
          </cell>
          <cell r="H225">
            <v>2010</v>
          </cell>
          <cell r="I225">
            <v>42129</v>
          </cell>
        </row>
        <row r="226">
          <cell r="A226" t="str">
            <v>12-0221.13#2</v>
          </cell>
          <cell r="B226" t="str">
            <v>12-0221.13</v>
          </cell>
          <cell r="C226"/>
          <cell r="D226">
            <v>100</v>
          </cell>
          <cell r="E226">
            <v>200</v>
          </cell>
          <cell r="F226" t="str">
            <v>TYPE 5/6</v>
          </cell>
          <cell r="G226" t="str">
            <v>1/4" ELCO ULTRACON</v>
          </cell>
          <cell r="H226">
            <v>2010</v>
          </cell>
          <cell r="I226">
            <v>42129</v>
          </cell>
        </row>
        <row r="227">
          <cell r="A227" t="str">
            <v>12-0221.14#1</v>
          </cell>
          <cell r="B227" t="str">
            <v>12-0221.14</v>
          </cell>
          <cell r="C227"/>
          <cell r="D227">
            <v>100</v>
          </cell>
          <cell r="E227">
            <v>210</v>
          </cell>
          <cell r="F227" t="str">
            <v>TYPE 2</v>
          </cell>
          <cell r="G227" t="str">
            <v>1/4" ELCO ULTRACON</v>
          </cell>
          <cell r="H227">
            <v>2010</v>
          </cell>
          <cell r="I227">
            <v>42129</v>
          </cell>
        </row>
        <row r="228">
          <cell r="A228" t="str">
            <v>12-0223.03#1</v>
          </cell>
          <cell r="B228" t="str">
            <v>12-0223.03</v>
          </cell>
          <cell r="C228" t="str">
            <v>ALUMINUM</v>
          </cell>
          <cell r="D228">
            <v>90</v>
          </cell>
          <cell r="E228">
            <v>98.7</v>
          </cell>
          <cell r="F228" t="str">
            <v>TYPE A</v>
          </cell>
          <cell r="G228" t="str">
            <v>1/4" ITW TAPCON</v>
          </cell>
          <cell r="H228">
            <v>2010</v>
          </cell>
          <cell r="I228">
            <v>41451</v>
          </cell>
        </row>
        <row r="229">
          <cell r="A229" t="str">
            <v>12-0223.08#1</v>
          </cell>
          <cell r="B229" t="str">
            <v>12-0223.08</v>
          </cell>
          <cell r="C229"/>
          <cell r="D229">
            <v>55</v>
          </cell>
          <cell r="E229">
            <v>55</v>
          </cell>
          <cell r="F229" t="str">
            <v>7/8" LAMI</v>
          </cell>
          <cell r="G229" t="str">
            <v>3/16" ITW TAPCON</v>
          </cell>
          <cell r="H229">
            <v>2010</v>
          </cell>
          <cell r="I229"/>
        </row>
        <row r="230">
          <cell r="A230" t="str">
            <v>12-0223.09#1</v>
          </cell>
          <cell r="B230" t="str">
            <v>12-0223.09</v>
          </cell>
          <cell r="C230"/>
          <cell r="D230">
            <v>55</v>
          </cell>
          <cell r="E230">
            <v>55</v>
          </cell>
          <cell r="F230" t="str">
            <v>TYPE 1/2</v>
          </cell>
          <cell r="G230" t="str">
            <v>1/4" ITW TAPCON</v>
          </cell>
          <cell r="H230">
            <v>2010</v>
          </cell>
          <cell r="I230">
            <v>41842</v>
          </cell>
        </row>
        <row r="231">
          <cell r="A231" t="str">
            <v>12-0223.11#1</v>
          </cell>
          <cell r="B231" t="str">
            <v>12-0223.11</v>
          </cell>
          <cell r="C231"/>
          <cell r="D231">
            <v>55</v>
          </cell>
          <cell r="E231">
            <v>55</v>
          </cell>
          <cell r="F231" t="str">
            <v>DETAIL 1</v>
          </cell>
          <cell r="G231" t="str">
            <v>3/16" ITW TAPCON</v>
          </cell>
          <cell r="H231">
            <v>2010</v>
          </cell>
          <cell r="I231">
            <v>41765</v>
          </cell>
        </row>
        <row r="232">
          <cell r="A232" t="str">
            <v>12-0223.19#1</v>
          </cell>
          <cell r="B232" t="str">
            <v>12-0223.19</v>
          </cell>
          <cell r="C232" t="str">
            <v>OXO SGD</v>
          </cell>
          <cell r="D232">
            <v>77.099999999999994</v>
          </cell>
          <cell r="E232">
            <v>77.099999999999994</v>
          </cell>
          <cell r="F232"/>
          <cell r="G232" t="str">
            <v>1/4" X 2-3/4" HILTI KWIK-CON II</v>
          </cell>
          <cell r="H232">
            <v>2010</v>
          </cell>
          <cell r="I232">
            <v>42773</v>
          </cell>
        </row>
        <row r="233">
          <cell r="A233" t="str">
            <v>12-0223.19#2</v>
          </cell>
          <cell r="B233" t="str">
            <v>12-0223.19</v>
          </cell>
          <cell r="C233"/>
          <cell r="D233">
            <v>131</v>
          </cell>
          <cell r="E233">
            <v>131</v>
          </cell>
          <cell r="F233" t="str">
            <v>9/16"</v>
          </cell>
          <cell r="G233" t="str">
            <v>1/4" X 2-3/4" HILTI KWIK-CON II</v>
          </cell>
          <cell r="H233">
            <v>2010</v>
          </cell>
          <cell r="I233">
            <v>42773</v>
          </cell>
        </row>
        <row r="234">
          <cell r="A234" t="str">
            <v>12-0223.29#1</v>
          </cell>
          <cell r="B234" t="str">
            <v>12-0223.29</v>
          </cell>
          <cell r="C234"/>
          <cell r="D234">
            <v>75</v>
          </cell>
          <cell r="E234">
            <v>75</v>
          </cell>
          <cell r="F234" t="str">
            <v>STEEL</v>
          </cell>
          <cell r="G234" t="str">
            <v>5/16" ELCO ULTRACON</v>
          </cell>
          <cell r="H234">
            <v>2010</v>
          </cell>
          <cell r="I234">
            <v>42199</v>
          </cell>
        </row>
        <row r="235">
          <cell r="A235" t="str">
            <v>12-0223.34#1</v>
          </cell>
          <cell r="B235" t="str">
            <v>12-0223.34</v>
          </cell>
          <cell r="C235" t="str">
            <v>OUTSWING/STEEL</v>
          </cell>
          <cell r="D235">
            <v>65</v>
          </cell>
          <cell r="E235">
            <v>65</v>
          </cell>
          <cell r="F235" t="str">
            <v>N/A</v>
          </cell>
          <cell r="G235" t="str">
            <v>5/16" ELCO ULTRACON</v>
          </cell>
          <cell r="H235">
            <v>2010</v>
          </cell>
          <cell r="I235">
            <v>42199</v>
          </cell>
        </row>
        <row r="236">
          <cell r="A236" t="str">
            <v>12-0223.41#1</v>
          </cell>
          <cell r="B236" t="str">
            <v>12-0223.41</v>
          </cell>
          <cell r="C236"/>
          <cell r="D236">
            <v>70</v>
          </cell>
          <cell r="E236">
            <v>80</v>
          </cell>
          <cell r="F236" t="str">
            <v>TYPE C1</v>
          </cell>
          <cell r="G236" t="str">
            <v>1/4" ELCO ULTRACON</v>
          </cell>
          <cell r="H236">
            <v>2010</v>
          </cell>
          <cell r="I236">
            <v>41584</v>
          </cell>
        </row>
        <row r="237">
          <cell r="A237" t="str">
            <v>12-0223.41#2</v>
          </cell>
          <cell r="B237" t="str">
            <v>12-0223.41</v>
          </cell>
          <cell r="C237"/>
          <cell r="D237">
            <v>56</v>
          </cell>
          <cell r="E237">
            <v>64</v>
          </cell>
          <cell r="F237" t="str">
            <v>TYPE C1</v>
          </cell>
          <cell r="G237" t="str">
            <v>1/4" ELCO ULTRACON</v>
          </cell>
          <cell r="H237">
            <v>2010</v>
          </cell>
          <cell r="I237">
            <v>41584</v>
          </cell>
        </row>
        <row r="238">
          <cell r="A238" t="str">
            <v>12-0223.42#1</v>
          </cell>
          <cell r="B238" t="str">
            <v>12-0223.42</v>
          </cell>
          <cell r="C238" t="str">
            <v>STD. SILL</v>
          </cell>
          <cell r="D238">
            <v>70</v>
          </cell>
          <cell r="E238">
            <v>90</v>
          </cell>
          <cell r="F238" t="str">
            <v>TYPE B/C/D/E</v>
          </cell>
          <cell r="G238" t="str">
            <v>1/4" ELCO ULTRACON</v>
          </cell>
          <cell r="H238">
            <v>2010</v>
          </cell>
          <cell r="I238">
            <v>41584</v>
          </cell>
        </row>
        <row r="239">
          <cell r="A239" t="str">
            <v>12-0223.42#2</v>
          </cell>
          <cell r="B239" t="str">
            <v>12-0223.42</v>
          </cell>
          <cell r="C239" t="str">
            <v>HVY. SILL</v>
          </cell>
          <cell r="D239">
            <v>70</v>
          </cell>
          <cell r="E239">
            <v>90</v>
          </cell>
          <cell r="F239" t="str">
            <v>TYPE B/C/D/E</v>
          </cell>
          <cell r="G239" t="str">
            <v>1/4" ELCO ULTRACON</v>
          </cell>
          <cell r="H239">
            <v>2010</v>
          </cell>
          <cell r="I239">
            <v>41584</v>
          </cell>
        </row>
        <row r="240">
          <cell r="A240" t="str">
            <v>12-0223.42#3</v>
          </cell>
          <cell r="B240" t="str">
            <v>12-0223.42</v>
          </cell>
          <cell r="C240" t="str">
            <v>STD. SILL UNEQ</v>
          </cell>
          <cell r="D240">
            <v>70</v>
          </cell>
          <cell r="E240">
            <v>90</v>
          </cell>
          <cell r="F240" t="str">
            <v>TYPE B/C/D/E</v>
          </cell>
          <cell r="G240" t="str">
            <v>1/4" ELCO ULTRACON</v>
          </cell>
          <cell r="H240">
            <v>2010</v>
          </cell>
          <cell r="I240">
            <v>41584</v>
          </cell>
        </row>
        <row r="241">
          <cell r="A241" t="str">
            <v>12-0223.42#4</v>
          </cell>
          <cell r="B241" t="str">
            <v>12-0223.42</v>
          </cell>
          <cell r="C241" t="str">
            <v>STD. SILL</v>
          </cell>
          <cell r="D241">
            <v>80</v>
          </cell>
          <cell r="E241">
            <v>90</v>
          </cell>
          <cell r="F241" t="str">
            <v>TYPE B/C/D/E</v>
          </cell>
          <cell r="G241" t="str">
            <v>1/4" ELCO ULTRACON</v>
          </cell>
          <cell r="H241">
            <v>2010</v>
          </cell>
          <cell r="I241">
            <v>41584</v>
          </cell>
        </row>
        <row r="242">
          <cell r="A242" t="str">
            <v>12-0223.42#5</v>
          </cell>
          <cell r="B242" t="str">
            <v>12-0223.42</v>
          </cell>
          <cell r="C242" t="str">
            <v>STD. SILL</v>
          </cell>
          <cell r="D242">
            <v>70</v>
          </cell>
          <cell r="E242">
            <v>80</v>
          </cell>
          <cell r="F242" t="str">
            <v>TYPE A</v>
          </cell>
          <cell r="G242" t="str">
            <v>1/4" ELCO ULTRACON</v>
          </cell>
          <cell r="H242">
            <v>2010</v>
          </cell>
          <cell r="I242">
            <v>41584</v>
          </cell>
        </row>
        <row r="243">
          <cell r="A243" t="str">
            <v>12-0223.43#1</v>
          </cell>
          <cell r="B243" t="str">
            <v>12-0223.43</v>
          </cell>
          <cell r="C243" t="str">
            <v>ALUMINUM</v>
          </cell>
          <cell r="D243">
            <v>90</v>
          </cell>
          <cell r="E243">
            <v>90</v>
          </cell>
          <cell r="F243" t="str">
            <v>TYPE C</v>
          </cell>
          <cell r="G243" t="str">
            <v>1/4" ELCO ULTRACON</v>
          </cell>
          <cell r="H243">
            <v>2010</v>
          </cell>
          <cell r="I243">
            <v>42635</v>
          </cell>
        </row>
        <row r="244">
          <cell r="A244" t="str">
            <v>12-0223.43#2</v>
          </cell>
          <cell r="B244" t="str">
            <v>12-0223.43</v>
          </cell>
          <cell r="C244"/>
          <cell r="D244">
            <v>90</v>
          </cell>
          <cell r="E244">
            <v>90</v>
          </cell>
          <cell r="F244" t="str">
            <v>TYPE C/D/E/F</v>
          </cell>
          <cell r="G244" t="str">
            <v>1/4" ELCO ULTRACON</v>
          </cell>
          <cell r="H244">
            <v>2010</v>
          </cell>
          <cell r="I244">
            <v>42635</v>
          </cell>
        </row>
        <row r="245">
          <cell r="A245" t="str">
            <v>12-0223.44#1</v>
          </cell>
          <cell r="B245" t="str">
            <v>12-0223.44</v>
          </cell>
          <cell r="C245" t="str">
            <v>DOUBLE (XX)</v>
          </cell>
          <cell r="D245">
            <v>85</v>
          </cell>
          <cell r="E245">
            <v>85</v>
          </cell>
          <cell r="F245" t="str">
            <v>TYPE B</v>
          </cell>
          <cell r="G245" t="str">
            <v>1/4" ELCO ULTRACON</v>
          </cell>
          <cell r="H245">
            <v>2010</v>
          </cell>
          <cell r="I245">
            <v>41367</v>
          </cell>
        </row>
        <row r="246">
          <cell r="A246" t="str">
            <v>12-0223.44#2</v>
          </cell>
          <cell r="B246" t="str">
            <v>12-0223.44</v>
          </cell>
          <cell r="C246" t="str">
            <v>ALUMINUM</v>
          </cell>
          <cell r="D246">
            <v>85</v>
          </cell>
          <cell r="E246">
            <v>85</v>
          </cell>
          <cell r="F246" t="str">
            <v>TYPE A</v>
          </cell>
          <cell r="G246" t="str">
            <v>1/4" ELCO ULTRACON</v>
          </cell>
          <cell r="H246">
            <v>2010</v>
          </cell>
          <cell r="I246">
            <v>41367</v>
          </cell>
        </row>
        <row r="247">
          <cell r="A247" t="str">
            <v>12-0223.44#3</v>
          </cell>
          <cell r="B247" t="str">
            <v>12-0223.44</v>
          </cell>
          <cell r="C247" t="str">
            <v>ALUMINUM</v>
          </cell>
          <cell r="D247">
            <v>90</v>
          </cell>
          <cell r="E247">
            <v>90</v>
          </cell>
          <cell r="F247" t="str">
            <v>TYPE C</v>
          </cell>
          <cell r="G247" t="str">
            <v>1/4" ELCO ULTRACON</v>
          </cell>
          <cell r="H247">
            <v>2010</v>
          </cell>
          <cell r="I247">
            <v>41367</v>
          </cell>
        </row>
        <row r="248">
          <cell r="A248" t="str">
            <v>12-0223.44#4</v>
          </cell>
          <cell r="B248" t="str">
            <v>12-0223.44</v>
          </cell>
          <cell r="C248" t="str">
            <v>ALUMINUM</v>
          </cell>
          <cell r="D248">
            <v>85.4</v>
          </cell>
          <cell r="E248">
            <v>85.4</v>
          </cell>
          <cell r="F248" t="str">
            <v>TYPE C</v>
          </cell>
          <cell r="G248" t="str">
            <v>1/4" ELCO ULTRACON</v>
          </cell>
          <cell r="H248">
            <v>2010</v>
          </cell>
          <cell r="I248">
            <v>41367</v>
          </cell>
        </row>
        <row r="249">
          <cell r="A249" t="str">
            <v>12-0223.45#1</v>
          </cell>
          <cell r="B249" t="str">
            <v>12-0223.45</v>
          </cell>
          <cell r="C249" t="str">
            <v>REINFORCING OPTION 4</v>
          </cell>
          <cell r="D249">
            <v>85</v>
          </cell>
          <cell r="E249">
            <v>145</v>
          </cell>
          <cell r="F249" t="str">
            <v>TYPE B</v>
          </cell>
          <cell r="G249" t="str">
            <v>1/4" ELCO ULTRACON</v>
          </cell>
          <cell r="H249">
            <v>2010</v>
          </cell>
          <cell r="I249">
            <v>41439</v>
          </cell>
        </row>
        <row r="250">
          <cell r="A250" t="str">
            <v>12-0223.45#2</v>
          </cell>
          <cell r="B250" t="str">
            <v>12-0223.45</v>
          </cell>
          <cell r="C250" t="str">
            <v>REINFORCING OPTION 4</v>
          </cell>
          <cell r="D250">
            <v>85</v>
          </cell>
          <cell r="E250">
            <v>119.5</v>
          </cell>
          <cell r="F250" t="str">
            <v>TYPE B</v>
          </cell>
          <cell r="G250" t="str">
            <v>1/4" ELCO ULTRACON</v>
          </cell>
          <cell r="H250">
            <v>2010</v>
          </cell>
          <cell r="I250">
            <v>41439</v>
          </cell>
        </row>
        <row r="251">
          <cell r="A251" t="str">
            <v>12-0223.46#1</v>
          </cell>
          <cell r="B251" t="str">
            <v>12-0223.46</v>
          </cell>
          <cell r="C251"/>
          <cell r="D251">
            <v>80</v>
          </cell>
          <cell r="E251">
            <v>90</v>
          </cell>
          <cell r="F251" t="str">
            <v>TYPE B1</v>
          </cell>
          <cell r="G251" t="str">
            <v>1/4" ELCO ULTRACON</v>
          </cell>
          <cell r="H251">
            <v>2010</v>
          </cell>
          <cell r="I251">
            <v>41584</v>
          </cell>
        </row>
        <row r="252">
          <cell r="A252" t="str">
            <v>12-0223.46#2</v>
          </cell>
          <cell r="B252" t="str">
            <v>12-0223.46</v>
          </cell>
          <cell r="C252"/>
          <cell r="D252">
            <v>70</v>
          </cell>
          <cell r="E252">
            <v>80</v>
          </cell>
          <cell r="F252" t="str">
            <v>TYPE A/B</v>
          </cell>
          <cell r="G252" t="str">
            <v>1/4" ELCO ULTRACON</v>
          </cell>
          <cell r="H252">
            <v>2010</v>
          </cell>
          <cell r="I252">
            <v>41584</v>
          </cell>
        </row>
        <row r="253">
          <cell r="A253" t="str">
            <v>12-0223.46#3</v>
          </cell>
          <cell r="B253" t="str">
            <v>12-0223.46</v>
          </cell>
          <cell r="C253" t="str">
            <v>XO/OX, STD MEETING RAIL</v>
          </cell>
          <cell r="D253">
            <v>70</v>
          </cell>
          <cell r="E253">
            <v>90</v>
          </cell>
          <cell r="F253" t="str">
            <v>TYPE A1/B1/C</v>
          </cell>
          <cell r="G253" t="str">
            <v>1/4" ELCO ULTRACON</v>
          </cell>
          <cell r="H253">
            <v>2010</v>
          </cell>
          <cell r="I253">
            <v>41584</v>
          </cell>
        </row>
        <row r="254">
          <cell r="A254" t="str">
            <v>12-0223.46#4</v>
          </cell>
          <cell r="B254" t="str">
            <v>12-0223.46</v>
          </cell>
          <cell r="C254" t="str">
            <v>XOX, HD MEETING RAIL</v>
          </cell>
          <cell r="D254">
            <v>80</v>
          </cell>
          <cell r="E254">
            <v>90</v>
          </cell>
          <cell r="F254" t="str">
            <v>TYPE A1/B1/D/E</v>
          </cell>
          <cell r="G254" t="str">
            <v>1/4" ELCO ULTRACON</v>
          </cell>
          <cell r="H254">
            <v>2010</v>
          </cell>
          <cell r="I254">
            <v>41584</v>
          </cell>
        </row>
        <row r="255">
          <cell r="A255" t="str">
            <v>12-0228.12#1</v>
          </cell>
          <cell r="B255" t="str">
            <v>12-0228.12</v>
          </cell>
          <cell r="C255"/>
          <cell r="D255">
            <v>51.1</v>
          </cell>
          <cell r="E255">
            <v>60.3</v>
          </cell>
          <cell r="F255" t="str">
            <v>N/A</v>
          </cell>
          <cell r="G255" t="str">
            <v>1/4" HILTI KWIK-CON II</v>
          </cell>
          <cell r="H255">
            <v>2010</v>
          </cell>
          <cell r="I255">
            <v>41521</v>
          </cell>
        </row>
        <row r="256">
          <cell r="A256" t="str">
            <v>12-0229.05#1</v>
          </cell>
          <cell r="B256" t="str">
            <v>12-0229.05</v>
          </cell>
          <cell r="C256" t="str">
            <v>FAN SHAPED</v>
          </cell>
          <cell r="D256">
            <v>71</v>
          </cell>
          <cell r="E256">
            <v>71</v>
          </cell>
          <cell r="F256" t="str">
            <v>TYPE A/C</v>
          </cell>
          <cell r="G256" t="str">
            <v>1/4" ELCO ULTRACON</v>
          </cell>
          <cell r="H256">
            <v>2010</v>
          </cell>
          <cell r="I256">
            <v>41325</v>
          </cell>
        </row>
        <row r="257">
          <cell r="A257" t="str">
            <v>12-0229.08#1</v>
          </cell>
          <cell r="B257" t="str">
            <v>12-0229.08</v>
          </cell>
          <cell r="C257" t="str">
            <v>ALUMINUM</v>
          </cell>
          <cell r="D257">
            <v>60</v>
          </cell>
          <cell r="E257">
            <v>60</v>
          </cell>
          <cell r="F257" t="str">
            <v>TYPE 2A</v>
          </cell>
          <cell r="G257" t="str">
            <v>1/4" ELCO ULTRACON</v>
          </cell>
          <cell r="H257">
            <v>2010</v>
          </cell>
          <cell r="I257">
            <v>41573</v>
          </cell>
        </row>
        <row r="258">
          <cell r="A258" t="str">
            <v>12-0229.08#2</v>
          </cell>
          <cell r="B258" t="str">
            <v>12-0229.08</v>
          </cell>
          <cell r="C258" t="str">
            <v>ALUMINUM</v>
          </cell>
          <cell r="D258">
            <v>74.7</v>
          </cell>
          <cell r="E258">
            <v>74.7</v>
          </cell>
          <cell r="F258" t="str">
            <v>TYPE 2A</v>
          </cell>
          <cell r="G258" t="str">
            <v>1/4" ELCO ULTRACON</v>
          </cell>
          <cell r="H258">
            <v>2010</v>
          </cell>
          <cell r="I258">
            <v>41573</v>
          </cell>
        </row>
        <row r="259">
          <cell r="A259" t="str">
            <v>12-0229.08#3</v>
          </cell>
          <cell r="B259" t="str">
            <v>12-0229.08</v>
          </cell>
          <cell r="C259" t="str">
            <v>ALUMINUM</v>
          </cell>
          <cell r="D259">
            <v>110</v>
          </cell>
          <cell r="E259">
            <v>120</v>
          </cell>
          <cell r="F259" t="str">
            <v>TYPE 3</v>
          </cell>
          <cell r="G259" t="str">
            <v>1/4" ELCO ULTRACON</v>
          </cell>
          <cell r="H259">
            <v>2010</v>
          </cell>
          <cell r="I259">
            <v>41573</v>
          </cell>
        </row>
        <row r="260">
          <cell r="A260" t="str">
            <v>12-0301.05#1</v>
          </cell>
          <cell r="B260" t="str">
            <v>12-0301.05</v>
          </cell>
          <cell r="C260" t="str">
            <v>ALUMINUM</v>
          </cell>
          <cell r="D260">
            <v>90</v>
          </cell>
          <cell r="E260">
            <v>138.4</v>
          </cell>
          <cell r="F260" t="str">
            <v>7/16" HS/TEMP</v>
          </cell>
          <cell r="G260" t="str">
            <v>1/4" ELCO ULTRACON</v>
          </cell>
          <cell r="H260">
            <v>2010</v>
          </cell>
          <cell r="I260">
            <v>41689</v>
          </cell>
        </row>
        <row r="261">
          <cell r="A261" t="str">
            <v>12-0301.06#1</v>
          </cell>
          <cell r="B261" t="str">
            <v>12-0301.06</v>
          </cell>
          <cell r="C261" t="str">
            <v>FOR WINDOWS REQUIRING 62 PSF OR LESS DESIGN PRESSURES</v>
          </cell>
          <cell r="D261">
            <v>62</v>
          </cell>
          <cell r="E261">
            <v>62</v>
          </cell>
          <cell r="F261" t="str">
            <v>SERIES 1040</v>
          </cell>
          <cell r="G261" t="str">
            <v>1/4" ELCO ULTRACON</v>
          </cell>
          <cell r="H261">
            <v>2010</v>
          </cell>
          <cell r="I261">
            <v>41689</v>
          </cell>
        </row>
        <row r="262">
          <cell r="A262" t="str">
            <v>12-0301.06#2</v>
          </cell>
          <cell r="B262" t="str">
            <v>12-0301.06</v>
          </cell>
          <cell r="C262" t="str">
            <v>FOR WINDOWS REQUIRING +62/-75 PSF OR LESS DESIGN PRESSURES</v>
          </cell>
          <cell r="D262">
            <v>65</v>
          </cell>
          <cell r="E262">
            <v>75</v>
          </cell>
          <cell r="F262" t="str">
            <v>SERIES 1041</v>
          </cell>
          <cell r="G262" t="str">
            <v>1/4" ELCO ULTRACON</v>
          </cell>
          <cell r="H262">
            <v>2010</v>
          </cell>
          <cell r="I262">
            <v>41689</v>
          </cell>
        </row>
        <row r="263">
          <cell r="A263" t="str">
            <v>12-0301.06#3</v>
          </cell>
          <cell r="B263" t="str">
            <v>12-0301.06</v>
          </cell>
          <cell r="C263" t="str">
            <v>FOR WINDOWS REQUIRING 62 PSF OR LESS DESIGN PRESSURES</v>
          </cell>
          <cell r="D263">
            <v>90</v>
          </cell>
          <cell r="E263">
            <v>130</v>
          </cell>
          <cell r="F263" t="str">
            <v>SERIES 1062</v>
          </cell>
          <cell r="G263" t="str">
            <v>1/4" ELCO ULTRACON</v>
          </cell>
          <cell r="H263">
            <v>2010</v>
          </cell>
          <cell r="I263">
            <v>41689</v>
          </cell>
        </row>
        <row r="264">
          <cell r="A264" t="str">
            <v>12-0301.06#4</v>
          </cell>
          <cell r="B264" t="str">
            <v>12-0301.06</v>
          </cell>
          <cell r="C264"/>
          <cell r="D264">
            <v>65</v>
          </cell>
          <cell r="E264">
            <v>72.5</v>
          </cell>
          <cell r="F264" t="str">
            <v>SERIES 1030</v>
          </cell>
          <cell r="G264" t="str">
            <v>1/4" ELCO ULTRACON</v>
          </cell>
          <cell r="H264">
            <v>2010</v>
          </cell>
          <cell r="I264">
            <v>41689</v>
          </cell>
        </row>
        <row r="265">
          <cell r="A265" t="str">
            <v>12-0305.16#1</v>
          </cell>
          <cell r="B265" t="str">
            <v>12-0305.16</v>
          </cell>
          <cell r="C265" t="str">
            <v>OUTSWING</v>
          </cell>
          <cell r="D265">
            <v>100</v>
          </cell>
          <cell r="E265">
            <v>100</v>
          </cell>
          <cell r="F265" t="str">
            <v>TYPE 3</v>
          </cell>
          <cell r="G265" t="str">
            <v>1/4" TAPCON</v>
          </cell>
          <cell r="H265">
            <v>2010</v>
          </cell>
          <cell r="I265">
            <v>42129</v>
          </cell>
        </row>
        <row r="266">
          <cell r="A266" t="str">
            <v>12-0305.20#1</v>
          </cell>
          <cell r="B266" t="str">
            <v>12-0305.20</v>
          </cell>
          <cell r="C266" t="str">
            <v>ALUMINUM</v>
          </cell>
          <cell r="D266">
            <v>90</v>
          </cell>
          <cell r="E266">
            <v>160</v>
          </cell>
          <cell r="F266" t="str">
            <v>LAMI</v>
          </cell>
          <cell r="G266" t="str">
            <v>1/4" ELCO ULTRACON</v>
          </cell>
          <cell r="H266">
            <v>2010</v>
          </cell>
          <cell r="I266">
            <v>41312</v>
          </cell>
        </row>
        <row r="267">
          <cell r="A267" t="str">
            <v>12-0305.21#1</v>
          </cell>
          <cell r="B267" t="str">
            <v>12-0305.21</v>
          </cell>
          <cell r="C267"/>
          <cell r="D267">
            <v>100</v>
          </cell>
          <cell r="E267">
            <v>140</v>
          </cell>
          <cell r="F267" t="str">
            <v>TYPE C</v>
          </cell>
          <cell r="G267" t="str">
            <v>1/4" ELCO ULTRACON</v>
          </cell>
          <cell r="H267">
            <v>2010</v>
          </cell>
          <cell r="I267">
            <v>41319</v>
          </cell>
        </row>
        <row r="268">
          <cell r="A268" t="str">
            <v>12-0305.21#2</v>
          </cell>
          <cell r="B268" t="str">
            <v>12-0305.21</v>
          </cell>
          <cell r="C268"/>
          <cell r="D268">
            <v>75</v>
          </cell>
          <cell r="E268">
            <v>75</v>
          </cell>
          <cell r="F268" t="str">
            <v>TYPE A</v>
          </cell>
          <cell r="G268" t="str">
            <v>1/4" ELCO ULTRACON</v>
          </cell>
          <cell r="H268">
            <v>2010</v>
          </cell>
          <cell r="I268">
            <v>41319</v>
          </cell>
        </row>
        <row r="269">
          <cell r="A269" t="str">
            <v>12-0305.21#3</v>
          </cell>
          <cell r="B269" t="str">
            <v>12-0305.21</v>
          </cell>
          <cell r="C269"/>
          <cell r="D269">
            <v>80</v>
          </cell>
          <cell r="E269">
            <v>95</v>
          </cell>
          <cell r="F269" t="str">
            <v>TYPE B</v>
          </cell>
          <cell r="G269" t="str">
            <v>1/4" ELCO ULTRACON</v>
          </cell>
          <cell r="H269">
            <v>2010</v>
          </cell>
          <cell r="I269">
            <v>41319</v>
          </cell>
        </row>
        <row r="270">
          <cell r="A270" t="str">
            <v>12-0306.07#1</v>
          </cell>
          <cell r="B270" t="str">
            <v>12-0306.07</v>
          </cell>
          <cell r="C270" t="str">
            <v>ALUMINUM</v>
          </cell>
          <cell r="D270">
            <v>80</v>
          </cell>
          <cell r="E270">
            <v>80</v>
          </cell>
          <cell r="F270" t="str">
            <v>TYPE B</v>
          </cell>
          <cell r="G270" t="str">
            <v>1/4" ELCO ULTRACON</v>
          </cell>
          <cell r="H270">
            <v>2010</v>
          </cell>
          <cell r="I270">
            <v>41560</v>
          </cell>
        </row>
        <row r="271">
          <cell r="A271" t="str">
            <v>12-0306.07#2</v>
          </cell>
          <cell r="B271" t="str">
            <v>12-0306.07</v>
          </cell>
          <cell r="C271" t="str">
            <v>ALUMINUM</v>
          </cell>
          <cell r="D271">
            <v>80</v>
          </cell>
          <cell r="E271">
            <v>80</v>
          </cell>
          <cell r="F271" t="str">
            <v>TYPE A</v>
          </cell>
          <cell r="G271" t="str">
            <v>5/16" ELCO ULTRACON</v>
          </cell>
          <cell r="H271">
            <v>2010</v>
          </cell>
          <cell r="I271">
            <v>41560</v>
          </cell>
        </row>
        <row r="272">
          <cell r="A272" t="str">
            <v>12-0306.07#3</v>
          </cell>
          <cell r="B272" t="str">
            <v>12-0306.07</v>
          </cell>
          <cell r="C272" t="str">
            <v>ALUMINUM</v>
          </cell>
          <cell r="D272">
            <v>120</v>
          </cell>
          <cell r="E272">
            <v>120</v>
          </cell>
          <cell r="F272" t="str">
            <v>TYPE B/C</v>
          </cell>
          <cell r="G272" t="str">
            <v>1/4" HILTI KWIK-CON II</v>
          </cell>
          <cell r="H272">
            <v>2010</v>
          </cell>
          <cell r="I272">
            <v>41560</v>
          </cell>
        </row>
        <row r="273">
          <cell r="A273" t="str">
            <v>12-0308.35#1</v>
          </cell>
          <cell r="B273" t="str">
            <v>12-0308.35</v>
          </cell>
          <cell r="C273" t="str">
            <v>ALUMINUM, W/ SIDELITES</v>
          </cell>
          <cell r="D273">
            <v>80</v>
          </cell>
          <cell r="E273">
            <v>90</v>
          </cell>
          <cell r="F273" t="str">
            <v>LAMI</v>
          </cell>
          <cell r="G273" t="str">
            <v>1/4" ELCO ULTRACON</v>
          </cell>
          <cell r="H273">
            <v>2010</v>
          </cell>
          <cell r="I273">
            <v>43095</v>
          </cell>
        </row>
        <row r="274">
          <cell r="A274" t="str">
            <v>12-0308.36#1</v>
          </cell>
          <cell r="B274" t="str">
            <v>12-0308.36</v>
          </cell>
          <cell r="C274" t="str">
            <v>ALUMINUM</v>
          </cell>
          <cell r="D274">
            <v>130</v>
          </cell>
          <cell r="E274">
            <v>130</v>
          </cell>
          <cell r="F274" t="str">
            <v>TYPE B</v>
          </cell>
          <cell r="G274" t="str">
            <v>1/4" ELCO ULTRACON</v>
          </cell>
          <cell r="H274">
            <v>2010</v>
          </cell>
          <cell r="I274">
            <v>41367</v>
          </cell>
        </row>
        <row r="275">
          <cell r="A275" t="str">
            <v>12-0308.36#2</v>
          </cell>
          <cell r="B275" t="str">
            <v>12-0308.36</v>
          </cell>
          <cell r="C275" t="str">
            <v>ALUMINUM</v>
          </cell>
          <cell r="D275">
            <v>80</v>
          </cell>
          <cell r="E275">
            <v>80</v>
          </cell>
          <cell r="F275" t="str">
            <v>TYPE A</v>
          </cell>
          <cell r="G275" t="str">
            <v>1/4" ELCO ULTRACON</v>
          </cell>
          <cell r="H275">
            <v>2010</v>
          </cell>
          <cell r="I275">
            <v>41367</v>
          </cell>
        </row>
        <row r="276">
          <cell r="A276" t="str">
            <v>12-0308.38#1</v>
          </cell>
          <cell r="B276" t="str">
            <v>12-0308.38</v>
          </cell>
          <cell r="C276"/>
          <cell r="D276">
            <v>82</v>
          </cell>
          <cell r="E276">
            <v>108</v>
          </cell>
          <cell r="F276" t="str">
            <v>TYPE A</v>
          </cell>
          <cell r="G276" t="str">
            <v>1/4" ELCO ULTRACON</v>
          </cell>
          <cell r="H276">
            <v>2010</v>
          </cell>
          <cell r="I276">
            <v>42045</v>
          </cell>
        </row>
        <row r="277">
          <cell r="A277" t="str">
            <v>12-0308.39#1</v>
          </cell>
          <cell r="B277" t="str">
            <v>12-0308.39</v>
          </cell>
          <cell r="C277"/>
          <cell r="D277">
            <v>90</v>
          </cell>
          <cell r="E277">
            <v>90</v>
          </cell>
          <cell r="F277" t="str">
            <v>TYPE B</v>
          </cell>
          <cell r="G277" t="str">
            <v>1/4" ELCO ULTRACON</v>
          </cell>
          <cell r="H277">
            <v>2010</v>
          </cell>
          <cell r="I277">
            <v>42460</v>
          </cell>
        </row>
        <row r="278">
          <cell r="A278" t="str">
            <v>12-0308.39#2</v>
          </cell>
          <cell r="B278" t="str">
            <v>12-0308.39</v>
          </cell>
          <cell r="C278"/>
          <cell r="D278">
            <v>100</v>
          </cell>
          <cell r="E278">
            <v>126.5</v>
          </cell>
          <cell r="F278" t="str">
            <v>TYPE B</v>
          </cell>
          <cell r="G278" t="str">
            <v>1/4" ELCO ULTRACON</v>
          </cell>
          <cell r="H278">
            <v>2010</v>
          </cell>
          <cell r="I278">
            <v>42460</v>
          </cell>
        </row>
        <row r="279">
          <cell r="A279" t="str">
            <v>12-0308.39#3</v>
          </cell>
          <cell r="B279" t="str">
            <v>12-0308.39</v>
          </cell>
          <cell r="C279"/>
          <cell r="D279">
            <v>100</v>
          </cell>
          <cell r="E279">
            <v>140</v>
          </cell>
          <cell r="F279" t="str">
            <v>TYPE B</v>
          </cell>
          <cell r="G279" t="str">
            <v>1/4" ELCO ULTRACON</v>
          </cell>
          <cell r="H279">
            <v>2010</v>
          </cell>
          <cell r="I279">
            <v>42460</v>
          </cell>
        </row>
        <row r="280">
          <cell r="A280" t="str">
            <v>12-0308.40#1</v>
          </cell>
          <cell r="B280" t="str">
            <v>12-0308.40</v>
          </cell>
          <cell r="C280" t="str">
            <v>W/WO SIDELITES</v>
          </cell>
          <cell r="D280">
            <v>90</v>
          </cell>
          <cell r="E280">
            <v>90</v>
          </cell>
          <cell r="F280" t="str">
            <v>TYPE C/E</v>
          </cell>
          <cell r="G280" t="str">
            <v>1/4" ELCO ULTRACON</v>
          </cell>
          <cell r="H280">
            <v>2010</v>
          </cell>
          <cell r="I280">
            <v>41898</v>
          </cell>
        </row>
        <row r="281">
          <cell r="A281" t="str">
            <v>12-0308.40#2</v>
          </cell>
          <cell r="B281" t="str">
            <v>12-0308.40</v>
          </cell>
          <cell r="C281" t="str">
            <v>W/WO SIDELITES</v>
          </cell>
          <cell r="D281">
            <v>70</v>
          </cell>
          <cell r="E281">
            <v>80</v>
          </cell>
          <cell r="F281" t="str">
            <v>TYPE A/B/D</v>
          </cell>
          <cell r="G281" t="str">
            <v>1/4" ELCO ULTRACON</v>
          </cell>
          <cell r="H281">
            <v>2010</v>
          </cell>
          <cell r="I281">
            <v>41898</v>
          </cell>
        </row>
        <row r="282">
          <cell r="A282" t="str">
            <v>12-0308.40#3</v>
          </cell>
          <cell r="B282" t="str">
            <v>12-0308.40</v>
          </cell>
          <cell r="C282" t="str">
            <v>SIDELITE (O)</v>
          </cell>
          <cell r="D282">
            <v>87.6</v>
          </cell>
          <cell r="E282">
            <v>87.6</v>
          </cell>
          <cell r="F282" t="str">
            <v>TYPE C</v>
          </cell>
          <cell r="G282" t="str">
            <v>1/4" ELCO ULTRACON</v>
          </cell>
          <cell r="H282">
            <v>2010</v>
          </cell>
          <cell r="I282">
            <v>41898</v>
          </cell>
        </row>
        <row r="283">
          <cell r="A283" t="str">
            <v>12-0308.40#4</v>
          </cell>
          <cell r="B283" t="str">
            <v>12-0308.40</v>
          </cell>
          <cell r="C283" t="str">
            <v>W/WO SIDELITES</v>
          </cell>
          <cell r="D283">
            <v>100</v>
          </cell>
          <cell r="E283">
            <v>120</v>
          </cell>
          <cell r="F283" t="str">
            <v>TYPE F</v>
          </cell>
          <cell r="G283" t="str">
            <v>1/4" ELCO ULTRACON</v>
          </cell>
          <cell r="H283">
            <v>2010</v>
          </cell>
          <cell r="I283">
            <v>41898</v>
          </cell>
        </row>
        <row r="284">
          <cell r="A284" t="str">
            <v>12-0308.40#5</v>
          </cell>
          <cell r="B284" t="str">
            <v>12-0308.40</v>
          </cell>
          <cell r="C284" t="str">
            <v>W/WO SIDELITES</v>
          </cell>
          <cell r="D284">
            <v>70</v>
          </cell>
          <cell r="E284">
            <v>80</v>
          </cell>
          <cell r="F284" t="str">
            <v>TYPE C</v>
          </cell>
          <cell r="G284" t="str">
            <v>1/4" ELCO ULTRACON</v>
          </cell>
          <cell r="H284">
            <v>2010</v>
          </cell>
          <cell r="I284">
            <v>41898</v>
          </cell>
        </row>
        <row r="285">
          <cell r="A285" t="str">
            <v>12-0308.40#6</v>
          </cell>
          <cell r="B285" t="str">
            <v>12-0308.40</v>
          </cell>
          <cell r="C285" t="str">
            <v>INSWING/OUTSWING(X)</v>
          </cell>
          <cell r="D285">
            <v>70</v>
          </cell>
          <cell r="E285">
            <v>80</v>
          </cell>
          <cell r="F285" t="str">
            <v>TYPE C/1/1</v>
          </cell>
          <cell r="G285" t="str">
            <v>1/4" ELCO ULTRACON</v>
          </cell>
          <cell r="H285">
            <v>2010</v>
          </cell>
          <cell r="I285">
            <v>41898</v>
          </cell>
        </row>
        <row r="286">
          <cell r="A286" t="str">
            <v>12-0308.40#7</v>
          </cell>
          <cell r="B286" t="str">
            <v>12-0308.40</v>
          </cell>
          <cell r="C286" t="str">
            <v>OUTSWING W/OUT SIDELITES</v>
          </cell>
          <cell r="D286">
            <v>70</v>
          </cell>
          <cell r="E286">
            <v>80</v>
          </cell>
          <cell r="F286" t="str">
            <v>TYPE A</v>
          </cell>
          <cell r="G286" t="str">
            <v>1/4" ELCO ULTRACON</v>
          </cell>
          <cell r="H286">
            <v>2010</v>
          </cell>
          <cell r="I286">
            <v>41898</v>
          </cell>
        </row>
        <row r="287">
          <cell r="A287" t="str">
            <v>12-0309.04#1</v>
          </cell>
          <cell r="B287" t="str">
            <v>12-0309.04</v>
          </cell>
          <cell r="C287" t="str">
            <v>ALUMINUM</v>
          </cell>
          <cell r="D287">
            <v>62</v>
          </cell>
          <cell r="E287">
            <v>62</v>
          </cell>
          <cell r="F287" t="str">
            <v>TYPE C</v>
          </cell>
          <cell r="G287" t="str">
            <v>1/4" ELCO ULTRACON</v>
          </cell>
          <cell r="H287">
            <v>2010</v>
          </cell>
          <cell r="I287">
            <v>41395</v>
          </cell>
        </row>
        <row r="288">
          <cell r="A288" t="str">
            <v>12-0309.04#2</v>
          </cell>
          <cell r="B288" t="str">
            <v>12-0309.04</v>
          </cell>
          <cell r="C288" t="str">
            <v>ALUMINUM</v>
          </cell>
          <cell r="D288">
            <v>80</v>
          </cell>
          <cell r="E288">
            <v>80</v>
          </cell>
          <cell r="F288" t="str">
            <v>TYPE B/D/E</v>
          </cell>
          <cell r="G288" t="str">
            <v>1/4" ELCO ULTRACON</v>
          </cell>
          <cell r="H288">
            <v>2010</v>
          </cell>
          <cell r="I288">
            <v>41395</v>
          </cell>
        </row>
        <row r="289">
          <cell r="A289" t="str">
            <v>12-0309.05#1</v>
          </cell>
          <cell r="B289" t="str">
            <v>12-0309.05</v>
          </cell>
          <cell r="C289"/>
          <cell r="D289">
            <v>90</v>
          </cell>
          <cell r="E289">
            <v>160</v>
          </cell>
          <cell r="F289" t="str">
            <v>TYPE A/B</v>
          </cell>
          <cell r="G289" t="str">
            <v>1/4" ELCO ULTRACON</v>
          </cell>
          <cell r="H289">
            <v>2010</v>
          </cell>
          <cell r="I289">
            <v>41360</v>
          </cell>
        </row>
        <row r="290">
          <cell r="A290" t="str">
            <v>12-0309.06#1</v>
          </cell>
          <cell r="B290" t="str">
            <v>12-0309.06</v>
          </cell>
          <cell r="C290" t="str">
            <v>ALUMINUM</v>
          </cell>
          <cell r="D290">
            <v>80</v>
          </cell>
          <cell r="E290">
            <v>80</v>
          </cell>
          <cell r="F290" t="str">
            <v>TYPE A</v>
          </cell>
          <cell r="G290" t="str">
            <v>1/4" ELCO ULTRACON</v>
          </cell>
          <cell r="H290">
            <v>2010</v>
          </cell>
          <cell r="I290">
            <v>41647</v>
          </cell>
        </row>
        <row r="291">
          <cell r="A291" t="str">
            <v>12-0309.06#2</v>
          </cell>
          <cell r="B291" t="str">
            <v>12-0309.06</v>
          </cell>
          <cell r="C291" t="str">
            <v>ALUMINUM</v>
          </cell>
          <cell r="D291">
            <v>68.599999999999994</v>
          </cell>
          <cell r="E291">
            <v>68.599999999999994</v>
          </cell>
          <cell r="F291" t="str">
            <v>TYPE A</v>
          </cell>
          <cell r="G291" t="str">
            <v>1/4" ELCO ULTRACON</v>
          </cell>
          <cell r="H291">
            <v>2010</v>
          </cell>
          <cell r="I291">
            <v>41647</v>
          </cell>
        </row>
        <row r="292">
          <cell r="A292" t="str">
            <v>12-0309.06#2</v>
          </cell>
          <cell r="B292" t="str">
            <v>12-0309.06</v>
          </cell>
          <cell r="C292" t="str">
            <v>ALUMINUM</v>
          </cell>
          <cell r="D292">
            <v>65.099999999999994</v>
          </cell>
          <cell r="E292">
            <v>65.099999999999994</v>
          </cell>
          <cell r="F292" t="str">
            <v>TYPE A</v>
          </cell>
          <cell r="G292" t="str">
            <v>1/4" ELCO ULTRACON</v>
          </cell>
          <cell r="H292">
            <v>2010</v>
          </cell>
          <cell r="I292">
            <v>41647</v>
          </cell>
        </row>
        <row r="293">
          <cell r="A293" t="str">
            <v>12-0309.06#3</v>
          </cell>
          <cell r="B293" t="str">
            <v>12-0309.06</v>
          </cell>
          <cell r="C293" t="str">
            <v>ALUMINUM</v>
          </cell>
          <cell r="D293">
            <v>75</v>
          </cell>
          <cell r="E293">
            <v>75</v>
          </cell>
          <cell r="F293" t="str">
            <v>TYPE C</v>
          </cell>
          <cell r="G293" t="str">
            <v>1/4" ELCO ULTRACON</v>
          </cell>
          <cell r="H293">
            <v>2010</v>
          </cell>
          <cell r="I293">
            <v>41647</v>
          </cell>
        </row>
        <row r="294">
          <cell r="A294" t="str">
            <v>12-0309.06#4</v>
          </cell>
          <cell r="B294" t="str">
            <v>12-0309.06</v>
          </cell>
          <cell r="C294" t="str">
            <v>ALUMINUM</v>
          </cell>
          <cell r="D294">
            <v>80</v>
          </cell>
          <cell r="E294">
            <v>80</v>
          </cell>
          <cell r="F294" t="str">
            <v>TYPE F</v>
          </cell>
          <cell r="G294" t="str">
            <v>1/4" ELCO ULTRACON</v>
          </cell>
          <cell r="H294">
            <v>2010</v>
          </cell>
          <cell r="I294">
            <v>41647</v>
          </cell>
        </row>
        <row r="295">
          <cell r="A295" t="str">
            <v>12-0309.06#5</v>
          </cell>
          <cell r="B295" t="str">
            <v>12-0309.06</v>
          </cell>
          <cell r="C295" t="str">
            <v>ALUMINUM</v>
          </cell>
          <cell r="D295">
            <v>75.900000000000006</v>
          </cell>
          <cell r="E295">
            <v>75.900000000000006</v>
          </cell>
          <cell r="F295" t="str">
            <v>TYPE F</v>
          </cell>
          <cell r="G295" t="str">
            <v>1/4" ELCO ULTRACON</v>
          </cell>
          <cell r="H295">
            <v>2010</v>
          </cell>
          <cell r="I295">
            <v>41647</v>
          </cell>
        </row>
        <row r="296">
          <cell r="A296" t="str">
            <v>12-0309.06#6</v>
          </cell>
          <cell r="B296" t="str">
            <v>12-0309.06</v>
          </cell>
          <cell r="C296" t="str">
            <v>ALUMINUM</v>
          </cell>
          <cell r="D296">
            <v>90</v>
          </cell>
          <cell r="E296">
            <v>90</v>
          </cell>
          <cell r="F296" t="str">
            <v>TYPE G</v>
          </cell>
          <cell r="G296" t="str">
            <v>1/4" ELCO ULTRACON</v>
          </cell>
          <cell r="H296">
            <v>2010</v>
          </cell>
          <cell r="I296">
            <v>41647</v>
          </cell>
        </row>
        <row r="297">
          <cell r="A297" t="str">
            <v>12-0309.06#7</v>
          </cell>
          <cell r="B297" t="str">
            <v>12-0309.06</v>
          </cell>
          <cell r="C297" t="str">
            <v>ALUMINUM</v>
          </cell>
          <cell r="D297">
            <v>72</v>
          </cell>
          <cell r="E297">
            <v>72</v>
          </cell>
          <cell r="F297" t="str">
            <v>TYPE G</v>
          </cell>
          <cell r="G297" t="str">
            <v>1/4" ELCO ULTRACON</v>
          </cell>
          <cell r="H297">
            <v>2010</v>
          </cell>
          <cell r="I297">
            <v>41647</v>
          </cell>
        </row>
        <row r="298">
          <cell r="A298" t="str">
            <v>12-0309.06#8</v>
          </cell>
          <cell r="B298" t="str">
            <v>12-0309.06</v>
          </cell>
          <cell r="C298" t="str">
            <v>ALUMINUM</v>
          </cell>
          <cell r="D298">
            <v>80</v>
          </cell>
          <cell r="E298">
            <v>80</v>
          </cell>
          <cell r="F298" t="str">
            <v>TYPE B</v>
          </cell>
          <cell r="G298" t="str">
            <v>1/4" ELCO ULTRACON</v>
          </cell>
          <cell r="H298">
            <v>2010</v>
          </cell>
          <cell r="I298">
            <v>41647</v>
          </cell>
        </row>
        <row r="299">
          <cell r="A299" t="str">
            <v>12-0312.03#1</v>
          </cell>
          <cell r="B299" t="str">
            <v>12-0312.03</v>
          </cell>
          <cell r="C299" t="str">
            <v>HEAVY REINF'G</v>
          </cell>
          <cell r="D299">
            <v>70</v>
          </cell>
          <cell r="E299">
            <v>80</v>
          </cell>
          <cell r="F299" t="str">
            <v>TYPE A/B/C</v>
          </cell>
          <cell r="G299" t="str">
            <v>1/4" ELCO ULTRACON</v>
          </cell>
          <cell r="H299">
            <v>2010</v>
          </cell>
          <cell r="I299">
            <v>41716</v>
          </cell>
        </row>
        <row r="300">
          <cell r="A300" t="str">
            <v>12-0313.08#1</v>
          </cell>
          <cell r="B300" t="str">
            <v>12-0313.08</v>
          </cell>
          <cell r="C300" t="str">
            <v>OX, OXO</v>
          </cell>
          <cell r="D300">
            <v>50</v>
          </cell>
          <cell r="E300">
            <v>80</v>
          </cell>
          <cell r="F300" t="str">
            <v>TYPE G1</v>
          </cell>
          <cell r="G300" t="str">
            <v>1/4" ITW TAPCON</v>
          </cell>
          <cell r="H300">
            <v>2010</v>
          </cell>
          <cell r="I300">
            <v>41765</v>
          </cell>
        </row>
        <row r="301">
          <cell r="A301" t="str">
            <v>12-0319.04#1</v>
          </cell>
          <cell r="B301" t="str">
            <v>12-0319.04</v>
          </cell>
          <cell r="C301"/>
          <cell r="D301">
            <v>78.3</v>
          </cell>
          <cell r="E301">
            <v>78.3</v>
          </cell>
          <cell r="F301" t="str">
            <v>TYPE 1</v>
          </cell>
          <cell r="G301" t="str">
            <v>5/16" ELCO ULTRACON</v>
          </cell>
          <cell r="H301">
            <v>2010</v>
          </cell>
          <cell r="I301">
            <v>42898</v>
          </cell>
        </row>
        <row r="302">
          <cell r="A302" t="str">
            <v>12-0319.04#2</v>
          </cell>
          <cell r="B302" t="str">
            <v>12-0319.04</v>
          </cell>
          <cell r="C302" t="str">
            <v>W REINF</v>
          </cell>
          <cell r="D302">
            <v>120</v>
          </cell>
          <cell r="E302">
            <v>140</v>
          </cell>
          <cell r="F302" t="str">
            <v>TYPE 2/2A</v>
          </cell>
          <cell r="G302" t="str">
            <v>5/16" ELCO ULTRACON</v>
          </cell>
          <cell r="H302">
            <v>2010</v>
          </cell>
          <cell r="I302">
            <v>42898</v>
          </cell>
        </row>
        <row r="303">
          <cell r="A303" t="str">
            <v>12-0320.07#1</v>
          </cell>
          <cell r="B303" t="str">
            <v>12-0320.07</v>
          </cell>
          <cell r="C303"/>
          <cell r="D303">
            <v>75</v>
          </cell>
          <cell r="E303">
            <v>75</v>
          </cell>
          <cell r="F303" t="str">
            <v>5/8"</v>
          </cell>
          <cell r="G303" t="str">
            <v>1/4" ELCO ULTRACON</v>
          </cell>
          <cell r="H303">
            <v>2010</v>
          </cell>
          <cell r="I303">
            <v>43214</v>
          </cell>
        </row>
        <row r="304">
          <cell r="A304" t="str">
            <v>12-0321.02#1</v>
          </cell>
          <cell r="B304" t="str">
            <v>12-0321.02</v>
          </cell>
          <cell r="C304" t="str">
            <v>XO/OX, ALUMINUM</v>
          </cell>
          <cell r="D304">
            <v>80</v>
          </cell>
          <cell r="E304">
            <v>90</v>
          </cell>
          <cell r="F304" t="str">
            <v>TYPE A</v>
          </cell>
          <cell r="G304" t="str">
            <v>1/4" ELCO ULTRACON</v>
          </cell>
          <cell r="H304">
            <v>2010</v>
          </cell>
          <cell r="I304">
            <v>41772</v>
          </cell>
        </row>
        <row r="305">
          <cell r="A305" t="str">
            <v>12-0321.02#2</v>
          </cell>
          <cell r="B305" t="str">
            <v>12-0321.02</v>
          </cell>
          <cell r="C305" t="str">
            <v>XOX, ALUMINUM</v>
          </cell>
          <cell r="D305">
            <v>80</v>
          </cell>
          <cell r="E305">
            <v>90</v>
          </cell>
          <cell r="F305" t="str">
            <v>TYPE A</v>
          </cell>
          <cell r="G305" t="str">
            <v>1/4" ELCO ULTRACON</v>
          </cell>
          <cell r="H305">
            <v>2010</v>
          </cell>
          <cell r="I305">
            <v>41772</v>
          </cell>
        </row>
        <row r="306">
          <cell r="A306" t="str">
            <v>12-0321.02#3</v>
          </cell>
          <cell r="B306" t="str">
            <v>12-0321.02</v>
          </cell>
          <cell r="C306" t="str">
            <v>XO/OX, ALUMINUM</v>
          </cell>
          <cell r="D306">
            <v>79</v>
          </cell>
          <cell r="E306">
            <v>79</v>
          </cell>
          <cell r="F306" t="str">
            <v>TYPE E</v>
          </cell>
          <cell r="G306" t="str">
            <v>1/4" ELCO ULTRACON</v>
          </cell>
          <cell r="H306">
            <v>2010</v>
          </cell>
          <cell r="I306">
            <v>41772</v>
          </cell>
        </row>
        <row r="307">
          <cell r="A307" t="str">
            <v>12-0326.07#1</v>
          </cell>
          <cell r="B307" t="str">
            <v>12-0326.07</v>
          </cell>
          <cell r="C307" t="str">
            <v>ALUMINUM</v>
          </cell>
          <cell r="D307">
            <v>95</v>
          </cell>
          <cell r="E307">
            <v>95</v>
          </cell>
          <cell r="F307" t="str">
            <v>TYPE A</v>
          </cell>
          <cell r="G307" t="str">
            <v>1/4" HILTI KWIK-CON II</v>
          </cell>
          <cell r="H307" t="str">
            <v>NO</v>
          </cell>
          <cell r="I307">
            <v>41709</v>
          </cell>
        </row>
        <row r="308">
          <cell r="A308" t="str">
            <v>12-0326.07#2</v>
          </cell>
          <cell r="B308" t="str">
            <v>12-0326.07</v>
          </cell>
          <cell r="C308" t="str">
            <v>ALUMINUM</v>
          </cell>
          <cell r="D308">
            <v>106</v>
          </cell>
          <cell r="E308">
            <v>106</v>
          </cell>
          <cell r="F308" t="str">
            <v>TYPE A</v>
          </cell>
          <cell r="G308" t="str">
            <v>1/4" HILTI KWIK-CON II</v>
          </cell>
          <cell r="H308" t="str">
            <v>NO</v>
          </cell>
          <cell r="I308">
            <v>41709</v>
          </cell>
        </row>
        <row r="309">
          <cell r="A309" t="str">
            <v>12-0326.07#3</v>
          </cell>
          <cell r="B309" t="str">
            <v>12-0326.07</v>
          </cell>
          <cell r="C309" t="str">
            <v>ALUMINUM</v>
          </cell>
          <cell r="D309">
            <v>114</v>
          </cell>
          <cell r="E309">
            <v>114</v>
          </cell>
          <cell r="F309" t="str">
            <v>TYPE A</v>
          </cell>
          <cell r="G309" t="str">
            <v>1/4" HILTI KWIK-CON II</v>
          </cell>
          <cell r="H309" t="str">
            <v>NO</v>
          </cell>
          <cell r="I309">
            <v>41709</v>
          </cell>
        </row>
        <row r="310">
          <cell r="A310" t="str">
            <v>12-0326.07#4</v>
          </cell>
          <cell r="B310" t="str">
            <v>12-0326.07</v>
          </cell>
          <cell r="C310" t="str">
            <v>ALUMINUM</v>
          </cell>
          <cell r="D310">
            <v>114</v>
          </cell>
          <cell r="E310">
            <v>136</v>
          </cell>
          <cell r="F310" t="str">
            <v>TYPE A</v>
          </cell>
          <cell r="G310" t="str">
            <v>1/4" HILTI KWIK-CON II</v>
          </cell>
          <cell r="H310" t="str">
            <v>NO</v>
          </cell>
          <cell r="I310">
            <v>41709</v>
          </cell>
        </row>
        <row r="311">
          <cell r="A311" t="str">
            <v>12-0326.07#5</v>
          </cell>
          <cell r="B311" t="str">
            <v>12-0326.07</v>
          </cell>
          <cell r="C311" t="str">
            <v>ALUMINUM</v>
          </cell>
          <cell r="D311">
            <v>114</v>
          </cell>
          <cell r="E311">
            <v>150</v>
          </cell>
          <cell r="F311" t="str">
            <v>TYPE A</v>
          </cell>
          <cell r="G311" t="str">
            <v>1/4" HILTI KWIK-CON II</v>
          </cell>
          <cell r="H311" t="str">
            <v>NO</v>
          </cell>
          <cell r="I311">
            <v>41709</v>
          </cell>
        </row>
        <row r="312">
          <cell r="A312" t="str">
            <v>12-0326.11#1</v>
          </cell>
          <cell r="B312" t="str">
            <v>12-0326.11</v>
          </cell>
          <cell r="C312"/>
          <cell r="D312">
            <v>125</v>
          </cell>
          <cell r="E312">
            <v>125</v>
          </cell>
          <cell r="F312" t="str">
            <v>SEE APPROVAL</v>
          </cell>
          <cell r="G312" t="str">
            <v>1/4" ITW TAPCON</v>
          </cell>
          <cell r="H312">
            <v>2010</v>
          </cell>
          <cell r="I312">
            <v>42483</v>
          </cell>
        </row>
        <row r="313">
          <cell r="A313" t="str">
            <v>12-0330.12#1</v>
          </cell>
          <cell r="B313" t="str">
            <v>12-0330.12</v>
          </cell>
          <cell r="C313"/>
          <cell r="D313">
            <v>100</v>
          </cell>
          <cell r="E313">
            <v>130</v>
          </cell>
          <cell r="F313" t="str">
            <v>TYPE A/B</v>
          </cell>
          <cell r="G313" t="str">
            <v>1/4" HILTI KWIK-CON II</v>
          </cell>
          <cell r="H313">
            <v>2010</v>
          </cell>
          <cell r="I313">
            <v>42178</v>
          </cell>
        </row>
        <row r="314">
          <cell r="A314" t="str">
            <v>12-0402.03#1</v>
          </cell>
          <cell r="B314" t="str">
            <v>12-0402.03</v>
          </cell>
          <cell r="C314" t="str">
            <v>XX</v>
          </cell>
          <cell r="D314">
            <v>70</v>
          </cell>
          <cell r="E314">
            <v>75</v>
          </cell>
          <cell r="F314" t="str">
            <v>TYPE G1/G2/G3</v>
          </cell>
          <cell r="G314" t="str">
            <v>1/4" ELCO ULTRACON</v>
          </cell>
          <cell r="H314">
            <v>2010</v>
          </cell>
          <cell r="I314">
            <v>42935</v>
          </cell>
        </row>
        <row r="315">
          <cell r="A315" t="str">
            <v>12-0402.03#2</v>
          </cell>
          <cell r="B315" t="str">
            <v>12-0402.03</v>
          </cell>
          <cell r="C315" t="str">
            <v>OXXO</v>
          </cell>
          <cell r="D315">
            <v>53.1</v>
          </cell>
          <cell r="E315">
            <v>53.1</v>
          </cell>
          <cell r="F315" t="str">
            <v>TYPE G1/G2/G3</v>
          </cell>
          <cell r="G315" t="str">
            <v>1/4" ELCO ULTRACON</v>
          </cell>
          <cell r="H315">
            <v>2010</v>
          </cell>
          <cell r="I315">
            <v>42935</v>
          </cell>
        </row>
        <row r="316">
          <cell r="A316" t="str">
            <v>12-0402.03#3</v>
          </cell>
          <cell r="B316" t="str">
            <v>12-0402.03</v>
          </cell>
          <cell r="C316" t="str">
            <v>OXXO</v>
          </cell>
          <cell r="D316">
            <v>63.3</v>
          </cell>
          <cell r="E316">
            <v>63.3</v>
          </cell>
          <cell r="F316" t="str">
            <v>TYPE G1/G2/G3</v>
          </cell>
          <cell r="G316" t="str">
            <v>1/4" ELCO ULTRACON</v>
          </cell>
          <cell r="H316">
            <v>2010</v>
          </cell>
          <cell r="I316">
            <v>42935</v>
          </cell>
        </row>
        <row r="317">
          <cell r="A317" t="str">
            <v>12-0403.03#1</v>
          </cell>
          <cell r="B317" t="str">
            <v>12-0403.03</v>
          </cell>
          <cell r="C317" t="str">
            <v>W/REINFORCEMENTS, IMPACT</v>
          </cell>
          <cell r="D317">
            <v>72</v>
          </cell>
          <cell r="E317">
            <v>72</v>
          </cell>
          <cell r="F317" t="str">
            <v>TYPE A</v>
          </cell>
          <cell r="G317" t="str">
            <v>1/4" ELCO ULTRACON</v>
          </cell>
          <cell r="H317">
            <v>2010</v>
          </cell>
          <cell r="I317">
            <v>41716</v>
          </cell>
        </row>
        <row r="318">
          <cell r="A318" t="str">
            <v>12-0403.03#2</v>
          </cell>
          <cell r="B318" t="str">
            <v>12-0403.03</v>
          </cell>
          <cell r="C318" t="str">
            <v>W/REINFORCEMENTS, IMPACT</v>
          </cell>
          <cell r="D318">
            <v>72</v>
          </cell>
          <cell r="E318">
            <v>72</v>
          </cell>
          <cell r="F318" t="str">
            <v>TYPE B</v>
          </cell>
          <cell r="G318" t="str">
            <v>1/4" ELCO ULTRACON</v>
          </cell>
          <cell r="H318">
            <v>2010</v>
          </cell>
          <cell r="I318">
            <v>41716</v>
          </cell>
        </row>
        <row r="319">
          <cell r="A319" t="str">
            <v>12-0406.01#1</v>
          </cell>
          <cell r="B319" t="str">
            <v>12-0406.01</v>
          </cell>
          <cell r="C319" t="str">
            <v>INSWING</v>
          </cell>
          <cell r="D319">
            <v>75</v>
          </cell>
          <cell r="E319">
            <v>75</v>
          </cell>
          <cell r="F319" t="str">
            <v>ALL TYPES</v>
          </cell>
          <cell r="G319" t="str">
            <v>1/4" ELCO ULTRACON</v>
          </cell>
          <cell r="H319">
            <v>2014</v>
          </cell>
          <cell r="I319">
            <v>42851</v>
          </cell>
        </row>
        <row r="320">
          <cell r="A320" t="str">
            <v>12-0410.04#1</v>
          </cell>
          <cell r="B320" t="str">
            <v>12-0410.04</v>
          </cell>
          <cell r="C320" t="str">
            <v>LATCHES AT BOTTOM RAIL, EQUAL LITES</v>
          </cell>
          <cell r="D320">
            <v>80</v>
          </cell>
          <cell r="E320">
            <v>140</v>
          </cell>
          <cell r="F320" t="str">
            <v>TYPE B</v>
          </cell>
          <cell r="G320" t="str">
            <v>1/4" ELCO ULTRACON</v>
          </cell>
          <cell r="H320">
            <v>2010</v>
          </cell>
          <cell r="I320">
            <v>42227</v>
          </cell>
        </row>
        <row r="321">
          <cell r="A321" t="str">
            <v>12-0410.04#2</v>
          </cell>
          <cell r="B321" t="str">
            <v>12-0410.04</v>
          </cell>
          <cell r="C321" t="str">
            <v>LATCHES AT BOTTOM RAIL, EQUAL LITES</v>
          </cell>
          <cell r="D321">
            <v>80</v>
          </cell>
          <cell r="E321">
            <v>120</v>
          </cell>
          <cell r="F321" t="str">
            <v>TYPE A</v>
          </cell>
          <cell r="G321" t="str">
            <v>1/4" ELCO ULTRACON</v>
          </cell>
          <cell r="H321">
            <v>2010</v>
          </cell>
          <cell r="I321">
            <v>42227</v>
          </cell>
        </row>
        <row r="322">
          <cell r="A322" t="str">
            <v>12-0410.04#3</v>
          </cell>
          <cell r="B322" t="str">
            <v>12-0410.04</v>
          </cell>
          <cell r="C322" t="str">
            <v>LATCHES AT BOTTOM RAIL, EQUAL LITES</v>
          </cell>
          <cell r="D322">
            <v>80</v>
          </cell>
          <cell r="E322">
            <v>117.5</v>
          </cell>
          <cell r="F322" t="str">
            <v>TYPE A</v>
          </cell>
          <cell r="G322" t="str">
            <v>1/4" ELCO ULTRACON</v>
          </cell>
          <cell r="H322">
            <v>2010</v>
          </cell>
          <cell r="I322">
            <v>42227</v>
          </cell>
        </row>
        <row r="323">
          <cell r="A323" t="str">
            <v>12-0410.15#1</v>
          </cell>
          <cell r="B323" t="str">
            <v>12-0410.15</v>
          </cell>
          <cell r="C323" t="str">
            <v>OXXO SGD</v>
          </cell>
          <cell r="D323">
            <v>75</v>
          </cell>
          <cell r="E323">
            <v>65.8</v>
          </cell>
          <cell r="F323" t="str">
            <v>TYPE A</v>
          </cell>
          <cell r="G323" t="str">
            <v>1/4" ELCO CONCRETE SCREW</v>
          </cell>
          <cell r="H323">
            <v>2010</v>
          </cell>
          <cell r="I323">
            <v>41297</v>
          </cell>
        </row>
        <row r="324">
          <cell r="A324" t="str">
            <v>12-0410.15#2</v>
          </cell>
          <cell r="B324" t="str">
            <v>12-0410.15</v>
          </cell>
          <cell r="C324" t="str">
            <v>OXO SGD</v>
          </cell>
          <cell r="D324">
            <v>100</v>
          </cell>
          <cell r="E324">
            <v>120</v>
          </cell>
          <cell r="F324" t="str">
            <v>TYPE B</v>
          </cell>
          <cell r="G324" t="str">
            <v>1/4" ELCO ULTRACON</v>
          </cell>
          <cell r="H324">
            <v>2010</v>
          </cell>
          <cell r="I324">
            <v>41297</v>
          </cell>
        </row>
        <row r="325">
          <cell r="A325" t="str">
            <v>12-0410.15#3</v>
          </cell>
          <cell r="B325" t="str">
            <v>12-0410.15</v>
          </cell>
          <cell r="C325" t="str">
            <v>OXO SGD</v>
          </cell>
          <cell r="D325">
            <v>100</v>
          </cell>
          <cell r="E325">
            <v>101.7</v>
          </cell>
          <cell r="F325" t="str">
            <v>TYPE B</v>
          </cell>
          <cell r="G325" t="str">
            <v>1/4" ELCO ULTRACON</v>
          </cell>
          <cell r="H325">
            <v>2010</v>
          </cell>
          <cell r="I325">
            <v>41297</v>
          </cell>
        </row>
        <row r="326">
          <cell r="A326" t="str">
            <v>12-0410.17#1</v>
          </cell>
          <cell r="B326" t="str">
            <v>12-0410.17</v>
          </cell>
          <cell r="C326" t="str">
            <v>OUTSWING</v>
          </cell>
          <cell r="D326">
            <v>125</v>
          </cell>
          <cell r="E326">
            <v>125</v>
          </cell>
          <cell r="F326" t="str">
            <v>9/16" LAMI</v>
          </cell>
          <cell r="G326" t="str">
            <v>1/4" HILTI KWIK-CON II</v>
          </cell>
          <cell r="H326">
            <v>2010</v>
          </cell>
          <cell r="I326">
            <v>41870</v>
          </cell>
        </row>
        <row r="327">
          <cell r="A327" t="str">
            <v>12-0410.18#1</v>
          </cell>
          <cell r="B327" t="str">
            <v>12-0410.18</v>
          </cell>
          <cell r="C327" t="str">
            <v>(X), ALUMINUM, W/WO TRANSOM AND SIDELITES</v>
          </cell>
          <cell r="D327">
            <v>80</v>
          </cell>
          <cell r="E327">
            <v>80</v>
          </cell>
          <cell r="F327" t="str">
            <v>TYPE A/B</v>
          </cell>
          <cell r="G327" t="str">
            <v>1/4" HILTI KWIK-CON II</v>
          </cell>
          <cell r="H327">
            <v>2010</v>
          </cell>
          <cell r="I327">
            <v>41870</v>
          </cell>
        </row>
        <row r="328">
          <cell r="A328" t="str">
            <v>12-0410.18#2</v>
          </cell>
          <cell r="B328" t="str">
            <v>12-0410.18</v>
          </cell>
          <cell r="C328" t="str">
            <v>(XX), ALUMINUM, W/WO TRANSOM AND SIDELITES</v>
          </cell>
          <cell r="D328">
            <v>80</v>
          </cell>
          <cell r="E328">
            <v>80</v>
          </cell>
          <cell r="F328" t="str">
            <v>TYPE A/B</v>
          </cell>
          <cell r="G328" t="str">
            <v>1/4" HILTI KWIK-CON II</v>
          </cell>
          <cell r="H328">
            <v>2010</v>
          </cell>
          <cell r="I328">
            <v>41870</v>
          </cell>
        </row>
        <row r="329">
          <cell r="A329" t="str">
            <v>12-0410.24#1</v>
          </cell>
          <cell r="B329" t="str">
            <v>12-0410.24</v>
          </cell>
          <cell r="C329" t="str">
            <v xml:space="preserve">(UNSECURED JAMB) FIXED WINDOW </v>
          </cell>
          <cell r="D329">
            <v>130</v>
          </cell>
          <cell r="E329">
            <v>130</v>
          </cell>
          <cell r="F329" t="str">
            <v>TYPE A</v>
          </cell>
          <cell r="G329" t="str">
            <v>1/4" HILTI KWIK-CON II</v>
          </cell>
          <cell r="H329">
            <v>2010</v>
          </cell>
          <cell r="I329">
            <v>41800</v>
          </cell>
        </row>
        <row r="330">
          <cell r="A330" t="str">
            <v>12-0410.24#2</v>
          </cell>
          <cell r="B330" t="str">
            <v>12-0410.24</v>
          </cell>
          <cell r="C330" t="str">
            <v xml:space="preserve">(UNSECURED JAMB) FIXED WINDOW </v>
          </cell>
          <cell r="D330">
            <v>101</v>
          </cell>
          <cell r="E330">
            <v>101</v>
          </cell>
          <cell r="F330" t="str">
            <v>TYPE A</v>
          </cell>
          <cell r="G330" t="str">
            <v>1/4" HILTI KWIK-CON II</v>
          </cell>
          <cell r="H330">
            <v>2010</v>
          </cell>
          <cell r="I330">
            <v>41800</v>
          </cell>
        </row>
        <row r="331">
          <cell r="A331" t="str">
            <v>12-0410.30#1</v>
          </cell>
          <cell r="B331" t="str">
            <v>12-0410.30</v>
          </cell>
          <cell r="C331"/>
          <cell r="D331">
            <v>100</v>
          </cell>
          <cell r="E331">
            <v>130</v>
          </cell>
          <cell r="F331" t="str">
            <v>TYPE A/B</v>
          </cell>
          <cell r="G331" t="str">
            <v>1/4" HILTI KWIK-CON II</v>
          </cell>
          <cell r="H331">
            <v>2010</v>
          </cell>
          <cell r="I331">
            <v>42178</v>
          </cell>
        </row>
        <row r="332">
          <cell r="A332" t="str">
            <v>12-0410.30#2</v>
          </cell>
          <cell r="B332" t="str">
            <v>12-0410.30</v>
          </cell>
          <cell r="C332"/>
          <cell r="D332">
            <v>100</v>
          </cell>
          <cell r="E332">
            <v>130</v>
          </cell>
          <cell r="F332" t="str">
            <v>TYPE A/B</v>
          </cell>
          <cell r="G332" t="str">
            <v>1/4" HILTI KWIK-FLEX SELF DRILLING SCREWS</v>
          </cell>
          <cell r="H332">
            <v>2010</v>
          </cell>
          <cell r="I332">
            <v>42178</v>
          </cell>
        </row>
        <row r="333">
          <cell r="A333" t="str">
            <v>12-0419.04#1</v>
          </cell>
          <cell r="B333" t="str">
            <v>12-0419.04</v>
          </cell>
          <cell r="C333"/>
          <cell r="D333">
            <v>60</v>
          </cell>
          <cell r="E333">
            <v>70</v>
          </cell>
          <cell r="F333" t="str">
            <v>3.0"</v>
          </cell>
          <cell r="G333" t="str">
            <v>1/4" ITW TAPCON</v>
          </cell>
          <cell r="H333">
            <v>2010</v>
          </cell>
          <cell r="I333">
            <v>42453</v>
          </cell>
        </row>
        <row r="334">
          <cell r="A334" t="str">
            <v>12-0419.04#2</v>
          </cell>
          <cell r="B334" t="str">
            <v>12-0419.04</v>
          </cell>
          <cell r="C334"/>
          <cell r="D334">
            <v>130</v>
          </cell>
          <cell r="E334">
            <v>185</v>
          </cell>
          <cell r="F334" t="str">
            <v>2.375"</v>
          </cell>
          <cell r="G334" t="str">
            <v>1/4" ITW TAPCON</v>
          </cell>
          <cell r="H334">
            <v>2010</v>
          </cell>
          <cell r="I334">
            <v>42453</v>
          </cell>
        </row>
        <row r="335">
          <cell r="A335" t="str">
            <v>12-0503.02#1</v>
          </cell>
          <cell r="B335" t="str">
            <v>12-0503.02</v>
          </cell>
          <cell r="C335" t="str">
            <v>CIRCULAR FIXED 37" DIA</v>
          </cell>
          <cell r="D335">
            <v>62.3</v>
          </cell>
          <cell r="E335">
            <v>62.3</v>
          </cell>
          <cell r="F335" t="str">
            <v>1/4" ANN</v>
          </cell>
          <cell r="G335" t="str">
            <v>3/16" ELCO ULTRACON</v>
          </cell>
          <cell r="H335">
            <v>2010</v>
          </cell>
          <cell r="I335">
            <v>42995</v>
          </cell>
        </row>
        <row r="336">
          <cell r="A336" t="str">
            <v>12-0507.06#1</v>
          </cell>
          <cell r="B336" t="str">
            <v>12-0507.06</v>
          </cell>
          <cell r="C336" t="str">
            <v>W/REINFORCEMENTS</v>
          </cell>
          <cell r="D336">
            <v>100</v>
          </cell>
          <cell r="E336">
            <v>120</v>
          </cell>
          <cell r="F336" t="str">
            <v>TYPE A/B</v>
          </cell>
          <cell r="G336" t="str">
            <v>1/4" ELCO ULTRACON</v>
          </cell>
          <cell r="H336">
            <v>2010</v>
          </cell>
          <cell r="I336">
            <v>41458</v>
          </cell>
        </row>
        <row r="337">
          <cell r="A337" t="str">
            <v>12-0516.02#1</v>
          </cell>
          <cell r="B337" t="str">
            <v>12-0516.02</v>
          </cell>
          <cell r="C337" t="str">
            <v>OUTSWING ALUMINUM W/WO SIDELITES</v>
          </cell>
          <cell r="D337">
            <v>75</v>
          </cell>
          <cell r="E337">
            <v>75</v>
          </cell>
          <cell r="F337" t="str">
            <v>TYPE A/B/C/D/E</v>
          </cell>
          <cell r="G337" t="str">
            <v>1/4" ELCO TAPCON</v>
          </cell>
          <cell r="H337">
            <v>2010</v>
          </cell>
          <cell r="I337">
            <v>43026</v>
          </cell>
        </row>
        <row r="338">
          <cell r="A338" t="str">
            <v>12-0516.03#1</v>
          </cell>
          <cell r="B338" t="str">
            <v>12-0516.03</v>
          </cell>
          <cell r="C338" t="str">
            <v>OUTSWING ALUMINUM W/ SIDELITES</v>
          </cell>
          <cell r="D338">
            <v>65</v>
          </cell>
          <cell r="E338">
            <v>65</v>
          </cell>
          <cell r="F338" t="str">
            <v>3/16" TEMP</v>
          </cell>
          <cell r="G338" t="str">
            <v>1/4" ELCO TAPCON</v>
          </cell>
          <cell r="H338">
            <v>2010</v>
          </cell>
          <cell r="I338">
            <v>42949</v>
          </cell>
        </row>
        <row r="339">
          <cell r="A339" t="str">
            <v>12-0516.04#1</v>
          </cell>
          <cell r="B339" t="str">
            <v>12-0516.04</v>
          </cell>
          <cell r="C339"/>
          <cell r="D339">
            <v>75.2</v>
          </cell>
          <cell r="E339">
            <v>75.2</v>
          </cell>
          <cell r="F339" t="str">
            <v>TYPE G1/G3</v>
          </cell>
          <cell r="G339" t="str">
            <v>1/4" ELCO ULTRACON</v>
          </cell>
          <cell r="H339">
            <v>2007</v>
          </cell>
          <cell r="I339">
            <v>42949</v>
          </cell>
        </row>
        <row r="340">
          <cell r="A340" t="str">
            <v>12-0607.04#1</v>
          </cell>
          <cell r="B340" t="str">
            <v>12-0607.04</v>
          </cell>
          <cell r="C340" t="str">
            <v>WATER INFILTRATION EXCEPTION</v>
          </cell>
          <cell r="D340">
            <v>75</v>
          </cell>
          <cell r="E340">
            <v>75</v>
          </cell>
          <cell r="F340" t="str">
            <v>N/A</v>
          </cell>
          <cell r="G340" t="str">
            <v>1/4" ITW TAPCON</v>
          </cell>
          <cell r="H340">
            <v>2010</v>
          </cell>
          <cell r="I340">
            <v>41249</v>
          </cell>
        </row>
        <row r="341">
          <cell r="A341" t="str">
            <v>12-0607.05#1</v>
          </cell>
          <cell r="B341" t="str">
            <v>12-0607.05</v>
          </cell>
          <cell r="C341" t="str">
            <v>8'-10" &amp; 9'-2", OPAQUE, OPTION 1, NO WATER INFILTRATION</v>
          </cell>
          <cell r="D341">
            <v>60</v>
          </cell>
          <cell r="E341">
            <v>75</v>
          </cell>
          <cell r="F341" t="str">
            <v>N/A</v>
          </cell>
          <cell r="G341" t="str">
            <v>1/4" ITW TAPCON</v>
          </cell>
          <cell r="H341">
            <v>2010</v>
          </cell>
          <cell r="I341">
            <v>41249</v>
          </cell>
        </row>
        <row r="342">
          <cell r="A342" t="str">
            <v>12-0612.21#1</v>
          </cell>
          <cell r="B342" t="str">
            <v>12-0612.21</v>
          </cell>
          <cell r="C342" t="str">
            <v>Roll-up</v>
          </cell>
          <cell r="D342">
            <v>125</v>
          </cell>
          <cell r="E342">
            <v>125</v>
          </cell>
          <cell r="F342" t="str">
            <v>2  5/8"</v>
          </cell>
          <cell r="G342" t="str">
            <v>1/4" TAPCON</v>
          </cell>
          <cell r="H342">
            <v>2010</v>
          </cell>
          <cell r="I342">
            <v>41797</v>
          </cell>
        </row>
        <row r="343">
          <cell r="A343" t="str">
            <v>12-0620.01#1</v>
          </cell>
          <cell r="B343" t="str">
            <v>12-0620.01</v>
          </cell>
          <cell r="C343" t="str">
            <v>REINFORCING OPTION 1</v>
          </cell>
          <cell r="D343">
            <v>85</v>
          </cell>
          <cell r="E343">
            <v>140</v>
          </cell>
          <cell r="F343" t="str">
            <v>TYPE A</v>
          </cell>
          <cell r="G343" t="str">
            <v>1/4" ELCO ULTRACON</v>
          </cell>
          <cell r="H343">
            <v>2010</v>
          </cell>
          <cell r="I343">
            <v>41439</v>
          </cell>
        </row>
        <row r="344">
          <cell r="A344" t="str">
            <v>12-0620.01#2</v>
          </cell>
          <cell r="B344" t="str">
            <v>12-0620.01</v>
          </cell>
          <cell r="C344" t="str">
            <v>REINFORCING OPTION 1</v>
          </cell>
          <cell r="D344">
            <v>85</v>
          </cell>
          <cell r="E344">
            <v>127.4</v>
          </cell>
          <cell r="F344" t="str">
            <v>TYPE A</v>
          </cell>
          <cell r="G344" t="str">
            <v>1/4" ELCO ULTRACON</v>
          </cell>
          <cell r="H344">
            <v>2010</v>
          </cell>
          <cell r="I344">
            <v>41439</v>
          </cell>
        </row>
        <row r="345">
          <cell r="A345" t="str">
            <v>12-0620.01#3</v>
          </cell>
          <cell r="B345" t="str">
            <v>12-0620.01</v>
          </cell>
          <cell r="C345" t="str">
            <v>REINFORCING OPTION 1</v>
          </cell>
          <cell r="D345">
            <v>85</v>
          </cell>
          <cell r="E345">
            <v>136.4</v>
          </cell>
          <cell r="F345" t="str">
            <v>TYPE A</v>
          </cell>
          <cell r="G345" t="str">
            <v>1/4" ELCO ULTRACON</v>
          </cell>
          <cell r="H345">
            <v>2010</v>
          </cell>
          <cell r="I345">
            <v>41439</v>
          </cell>
        </row>
        <row r="346">
          <cell r="A346" t="str">
            <v>12-0620.01#4</v>
          </cell>
          <cell r="B346" t="str">
            <v>12-0620.01</v>
          </cell>
          <cell r="C346" t="str">
            <v>REINFORCING OPTION 1</v>
          </cell>
          <cell r="D346">
            <v>85</v>
          </cell>
          <cell r="E346">
            <v>120</v>
          </cell>
          <cell r="F346" t="str">
            <v>TYPE A</v>
          </cell>
          <cell r="G346" t="str">
            <v>1/4" ELCO ULTRACON</v>
          </cell>
          <cell r="H346">
            <v>2010</v>
          </cell>
          <cell r="I346">
            <v>41439</v>
          </cell>
        </row>
        <row r="347">
          <cell r="A347" t="str">
            <v>12-0620.01#5</v>
          </cell>
          <cell r="B347" t="str">
            <v>12-0620.01</v>
          </cell>
          <cell r="C347" t="str">
            <v xml:space="preserve">REINFORCING OPTION 2 </v>
          </cell>
          <cell r="D347">
            <v>85</v>
          </cell>
          <cell r="E347">
            <v>100</v>
          </cell>
          <cell r="F347" t="str">
            <v>TYPE A</v>
          </cell>
          <cell r="G347" t="str">
            <v>1/4" ELCO ULTRACON</v>
          </cell>
          <cell r="H347">
            <v>2010</v>
          </cell>
          <cell r="I347">
            <v>41439</v>
          </cell>
        </row>
        <row r="348">
          <cell r="A348" t="str">
            <v>12-0625.04#1</v>
          </cell>
          <cell r="B348" t="str">
            <v>12-0625.04</v>
          </cell>
          <cell r="C348" t="str">
            <v>UNEQUAL LITES</v>
          </cell>
          <cell r="D348">
            <v>90</v>
          </cell>
          <cell r="E348">
            <v>160</v>
          </cell>
          <cell r="F348" t="str">
            <v>TYPE B</v>
          </cell>
          <cell r="G348" t="str">
            <v>1/4" ELCO ULTRACON</v>
          </cell>
          <cell r="H348">
            <v>2010</v>
          </cell>
          <cell r="I348">
            <v>41689</v>
          </cell>
        </row>
        <row r="349">
          <cell r="A349" t="str">
            <v>12-0625.04#2</v>
          </cell>
          <cell r="B349" t="str">
            <v>12-0625.04</v>
          </cell>
          <cell r="C349" t="str">
            <v>UNEQUAL LITES</v>
          </cell>
          <cell r="D349">
            <v>90</v>
          </cell>
          <cell r="E349">
            <v>138.4</v>
          </cell>
          <cell r="F349" t="str">
            <v>TYPE B</v>
          </cell>
          <cell r="G349" t="str">
            <v>1/4" ELCO ULTRACON</v>
          </cell>
          <cell r="H349">
            <v>2010</v>
          </cell>
          <cell r="I349">
            <v>41689</v>
          </cell>
        </row>
        <row r="350">
          <cell r="A350" t="str">
            <v>12-0625.04#3</v>
          </cell>
          <cell r="B350" t="str">
            <v>12-0625.04</v>
          </cell>
          <cell r="C350" t="str">
            <v>UNEQUAL LITES</v>
          </cell>
          <cell r="D350">
            <v>90</v>
          </cell>
          <cell r="E350">
            <v>96.3</v>
          </cell>
          <cell r="F350" t="str">
            <v>TYPE B</v>
          </cell>
          <cell r="G350" t="str">
            <v>1/4" ELCO ULTRACON</v>
          </cell>
          <cell r="H350">
            <v>2010</v>
          </cell>
          <cell r="I350">
            <v>41689</v>
          </cell>
        </row>
        <row r="351">
          <cell r="A351" t="str">
            <v>12-0625.04#4</v>
          </cell>
          <cell r="B351" t="str">
            <v>12-0625.04</v>
          </cell>
          <cell r="C351" t="str">
            <v>EXTRA JAMB ANCHORS UNEQUAL LITES</v>
          </cell>
          <cell r="D351">
            <v>90</v>
          </cell>
          <cell r="E351">
            <v>125.8</v>
          </cell>
          <cell r="F351" t="str">
            <v>TYPE B</v>
          </cell>
          <cell r="G351" t="str">
            <v>1/4" ELCO ULTRACON</v>
          </cell>
          <cell r="H351">
            <v>2010</v>
          </cell>
          <cell r="I351">
            <v>41689</v>
          </cell>
        </row>
        <row r="352">
          <cell r="A352" t="str">
            <v>12-0625.04#5</v>
          </cell>
          <cell r="B352" t="str">
            <v>12-0625.04</v>
          </cell>
          <cell r="C352" t="str">
            <v>EQUAL LITES</v>
          </cell>
          <cell r="D352">
            <v>90</v>
          </cell>
          <cell r="E352">
            <v>136.9</v>
          </cell>
          <cell r="F352" t="str">
            <v>TYPE B</v>
          </cell>
          <cell r="G352" t="str">
            <v>1/4" ELCO ULTRACON</v>
          </cell>
          <cell r="H352">
            <v>2010</v>
          </cell>
          <cell r="I352">
            <v>41689</v>
          </cell>
        </row>
        <row r="353">
          <cell r="A353" t="str">
            <v>12-0625.04#6</v>
          </cell>
          <cell r="B353" t="str">
            <v>12-0625.04</v>
          </cell>
          <cell r="C353" t="str">
            <v>EQUAL LITES</v>
          </cell>
          <cell r="D353">
            <v>80</v>
          </cell>
          <cell r="E353">
            <v>90</v>
          </cell>
          <cell r="F353" t="str">
            <v>TYPE A</v>
          </cell>
          <cell r="G353" t="str">
            <v>1/4" ELCO ULTRACON</v>
          </cell>
          <cell r="H353">
            <v>2010</v>
          </cell>
          <cell r="I353">
            <v>41689</v>
          </cell>
        </row>
        <row r="354">
          <cell r="A354" t="str">
            <v>12-0713.09#1</v>
          </cell>
          <cell r="B354" t="str">
            <v>12-0713.09</v>
          </cell>
          <cell r="C354" t="str">
            <v>Aluminum FW</v>
          </cell>
          <cell r="D354">
            <v>80</v>
          </cell>
          <cell r="E354">
            <v>80</v>
          </cell>
          <cell r="F354" t="str">
            <v>TYPE E</v>
          </cell>
          <cell r="G354" t="str">
            <v>1/4" HILTI KWIK-CON II</v>
          </cell>
          <cell r="H354">
            <v>2010</v>
          </cell>
          <cell r="I354">
            <v>41870</v>
          </cell>
        </row>
        <row r="355">
          <cell r="A355" t="str">
            <v>12-0718.05#1</v>
          </cell>
          <cell r="B355" t="str">
            <v>12-0718.05</v>
          </cell>
          <cell r="C355" t="str">
            <v>XO OR OX</v>
          </cell>
          <cell r="D355">
            <v>90</v>
          </cell>
          <cell r="E355">
            <v>140</v>
          </cell>
          <cell r="F355" t="str">
            <v>TYPE 1</v>
          </cell>
          <cell r="G355" t="str">
            <v>1/4" STEEL ULTRACON</v>
          </cell>
          <cell r="H355">
            <v>2010</v>
          </cell>
          <cell r="I355">
            <v>42746</v>
          </cell>
        </row>
        <row r="356">
          <cell r="A356" t="str">
            <v>12-0726.03#1</v>
          </cell>
          <cell r="B356" t="str">
            <v>12-0726.03</v>
          </cell>
          <cell r="C356" t="str">
            <v>ALUMINUM, W/WO REINFORCEMENTS, NON-IMPACT</v>
          </cell>
          <cell r="D356">
            <v>65</v>
          </cell>
          <cell r="E356">
            <v>72.3</v>
          </cell>
          <cell r="F356" t="str">
            <v>TYPE B</v>
          </cell>
          <cell r="G356" t="str">
            <v>1/4" ELCO ULTRACON</v>
          </cell>
          <cell r="H356">
            <v>2010</v>
          </cell>
          <cell r="I356">
            <v>43242</v>
          </cell>
        </row>
        <row r="357">
          <cell r="A357" t="str">
            <v>12-0726.03#2</v>
          </cell>
          <cell r="B357" t="str">
            <v>12-0726.03</v>
          </cell>
          <cell r="C357" t="str">
            <v>ALUMINUM, W/WO REINFORCEMENTS, NON-IMPACT</v>
          </cell>
          <cell r="D357">
            <v>56.9</v>
          </cell>
          <cell r="E357">
            <v>56.9</v>
          </cell>
          <cell r="F357" t="str">
            <v>TYPE D</v>
          </cell>
          <cell r="G357" t="str">
            <v>1/4" ELCO ULTRACON</v>
          </cell>
          <cell r="H357">
            <v>2010</v>
          </cell>
          <cell r="I357">
            <v>43242</v>
          </cell>
        </row>
        <row r="358">
          <cell r="A358" t="str">
            <v>12-0820.05#1</v>
          </cell>
          <cell r="B358" t="str">
            <v>12-0820.05</v>
          </cell>
          <cell r="C358"/>
          <cell r="D358">
            <v>100</v>
          </cell>
          <cell r="E358">
            <v>115</v>
          </cell>
          <cell r="F358" t="str">
            <v>TYPE A</v>
          </cell>
          <cell r="G358" t="str">
            <v>1/4" ELCO ULTRACON</v>
          </cell>
          <cell r="H358">
            <v>2010</v>
          </cell>
          <cell r="I358">
            <v>43082</v>
          </cell>
        </row>
        <row r="359">
          <cell r="A359" t="str">
            <v>12-0820.06#1</v>
          </cell>
          <cell r="B359" t="str">
            <v>12-0820.06</v>
          </cell>
          <cell r="C359" t="str">
            <v>OUTSWING CASEMENT WINDOW</v>
          </cell>
          <cell r="D359">
            <v>90</v>
          </cell>
          <cell r="E359">
            <v>90</v>
          </cell>
          <cell r="F359" t="str">
            <v>TYPE C</v>
          </cell>
          <cell r="G359" t="str">
            <v>1/4" ELCO ULTRACON</v>
          </cell>
          <cell r="H359">
            <v>2010</v>
          </cell>
          <cell r="I359">
            <v>43193</v>
          </cell>
        </row>
        <row r="360">
          <cell r="A360" t="str">
            <v>12-0820.06#2</v>
          </cell>
          <cell r="B360" t="str">
            <v>12-0820.06</v>
          </cell>
          <cell r="C360" t="str">
            <v>OUTSWING CASEMENT WINDOW</v>
          </cell>
          <cell r="D360">
            <v>85</v>
          </cell>
          <cell r="E360">
            <v>85</v>
          </cell>
          <cell r="F360" t="str">
            <v>TYPE A</v>
          </cell>
          <cell r="G360" t="str">
            <v>1/4" ELCO ULTRACON</v>
          </cell>
          <cell r="H360">
            <v>2010</v>
          </cell>
          <cell r="I360">
            <v>43193</v>
          </cell>
        </row>
        <row r="361">
          <cell r="A361" t="str">
            <v>12-0820.06#3</v>
          </cell>
          <cell r="B361" t="str">
            <v>12-0820.06</v>
          </cell>
          <cell r="C361" t="str">
            <v>OUTSWING CASEMENT WINDOW</v>
          </cell>
          <cell r="D361">
            <v>90</v>
          </cell>
          <cell r="E361">
            <v>90</v>
          </cell>
          <cell r="F361" t="str">
            <v>TYPE C/D/E/F</v>
          </cell>
          <cell r="G361" t="str">
            <v>1/4" ELCO ULTRACON</v>
          </cell>
          <cell r="H361">
            <v>2010</v>
          </cell>
          <cell r="I361">
            <v>43193</v>
          </cell>
        </row>
        <row r="362">
          <cell r="A362" t="str">
            <v>12-0820.06#4</v>
          </cell>
          <cell r="B362" t="str">
            <v>12-0820.06</v>
          </cell>
          <cell r="C362" t="str">
            <v>OUTSWING CASEMENT WINDOW</v>
          </cell>
          <cell r="D362">
            <v>65.099999999999994</v>
          </cell>
          <cell r="E362">
            <v>65.099999999999994</v>
          </cell>
          <cell r="F362" t="str">
            <v>TYPE A</v>
          </cell>
          <cell r="G362" t="str">
            <v>1/4" ELCO ULTRACON</v>
          </cell>
          <cell r="H362">
            <v>2010</v>
          </cell>
          <cell r="I362">
            <v>43193</v>
          </cell>
        </row>
        <row r="363">
          <cell r="A363" t="str">
            <v>12-0820.06#5</v>
          </cell>
          <cell r="B363" t="str">
            <v>12-0820.06</v>
          </cell>
          <cell r="C363" t="str">
            <v>OUTSWING CASEMENT WINDOW</v>
          </cell>
          <cell r="D363">
            <v>85.4</v>
          </cell>
          <cell r="E363">
            <v>85.4</v>
          </cell>
          <cell r="F363" t="str">
            <v>TYPE C/D/E/F</v>
          </cell>
          <cell r="G363" t="str">
            <v>1/4" ELCO ULTRACON</v>
          </cell>
          <cell r="H363">
            <v>2010</v>
          </cell>
          <cell r="I363">
            <v>43193</v>
          </cell>
        </row>
        <row r="364">
          <cell r="A364" t="str">
            <v>12-0820.08#1</v>
          </cell>
          <cell r="B364" t="str">
            <v>12-0820.08</v>
          </cell>
          <cell r="C364"/>
          <cell r="D364">
            <v>55</v>
          </cell>
          <cell r="E364">
            <v>60</v>
          </cell>
          <cell r="F364" t="str">
            <v>LAMI</v>
          </cell>
          <cell r="G364" t="str">
            <v>1/4" ELCO ULTRACON</v>
          </cell>
          <cell r="H364">
            <v>2010</v>
          </cell>
          <cell r="I364">
            <v>43060</v>
          </cell>
        </row>
        <row r="365">
          <cell r="A365" t="str">
            <v>12-0821.16#1</v>
          </cell>
          <cell r="B365" t="str">
            <v>12-0821.16</v>
          </cell>
          <cell r="C365" t="str">
            <v>W/WO REINFORCEMENTS</v>
          </cell>
          <cell r="D365">
            <v>80</v>
          </cell>
          <cell r="E365">
            <v>80</v>
          </cell>
          <cell r="F365" t="str">
            <v>TYPE B/B1</v>
          </cell>
          <cell r="G365" t="str">
            <v>1/4" ELCO ULTRACON</v>
          </cell>
          <cell r="H365">
            <v>2010</v>
          </cell>
          <cell r="I365">
            <v>42269</v>
          </cell>
        </row>
        <row r="366">
          <cell r="A366" t="str">
            <v>12-1004.02#1</v>
          </cell>
          <cell r="B366" t="str">
            <v>12-1004.02</v>
          </cell>
          <cell r="C366" t="str">
            <v>HURRICANE FABRIC PROTECTION</v>
          </cell>
          <cell r="D366">
            <v>60</v>
          </cell>
          <cell r="E366">
            <v>2010</v>
          </cell>
          <cell r="F366"/>
          <cell r="G366"/>
          <cell r="H366">
            <v>2010</v>
          </cell>
          <cell r="I366">
            <v>42297</v>
          </cell>
        </row>
        <row r="367">
          <cell r="A367" t="str">
            <v>12-1005.01#1</v>
          </cell>
          <cell r="B367" t="str">
            <v>12-1005.01</v>
          </cell>
          <cell r="C367"/>
          <cell r="D367">
            <v>120</v>
          </cell>
          <cell r="E367">
            <v>120</v>
          </cell>
          <cell r="F367" t="str">
            <v>TYPE C</v>
          </cell>
          <cell r="G367" t="str">
            <v>1/4" ELCO STEEL ULTRACON</v>
          </cell>
          <cell r="H367">
            <v>2010</v>
          </cell>
          <cell r="I367">
            <v>43117</v>
          </cell>
        </row>
        <row r="368">
          <cell r="A368" t="str">
            <v>12-1005.01#2</v>
          </cell>
          <cell r="B368" t="str">
            <v>12-1005.01</v>
          </cell>
          <cell r="C368"/>
          <cell r="D368">
            <v>100</v>
          </cell>
          <cell r="E368">
            <v>100</v>
          </cell>
          <cell r="F368" t="str">
            <v>TYPE C</v>
          </cell>
          <cell r="G368" t="str">
            <v>1/4" ELCO STEEL ULTRACON</v>
          </cell>
          <cell r="H368">
            <v>2010</v>
          </cell>
          <cell r="I368">
            <v>43117</v>
          </cell>
        </row>
        <row r="369">
          <cell r="A369" t="str">
            <v>12-1019.26#1</v>
          </cell>
          <cell r="B369" t="str">
            <v>12-1019.26</v>
          </cell>
          <cell r="C369"/>
          <cell r="D369">
            <v>60</v>
          </cell>
          <cell r="E369">
            <v>60</v>
          </cell>
          <cell r="F369" t="str">
            <v>N/A</v>
          </cell>
          <cell r="G369" t="str">
            <v>3/4" ITW REDHEAD TRU-BOLT</v>
          </cell>
          <cell r="H369">
            <v>2010</v>
          </cell>
          <cell r="I369">
            <v>43250</v>
          </cell>
        </row>
        <row r="370">
          <cell r="A370" t="str">
            <v>12-1114.04#1</v>
          </cell>
          <cell r="B370" t="str">
            <v>12-1114.04</v>
          </cell>
          <cell r="C370" t="str">
            <v>XO, OX</v>
          </cell>
          <cell r="D370">
            <v>165</v>
          </cell>
          <cell r="E370">
            <v>165</v>
          </cell>
          <cell r="F370" t="str">
            <v>9/16" LAMI</v>
          </cell>
          <cell r="G370" t="str">
            <v>5/16" ELCO TAPCON</v>
          </cell>
          <cell r="H370">
            <v>2010</v>
          </cell>
          <cell r="I370">
            <v>43145</v>
          </cell>
        </row>
        <row r="371">
          <cell r="A371" t="str">
            <v>12-1114.04#2</v>
          </cell>
          <cell r="B371" t="str">
            <v>12-1114.04</v>
          </cell>
          <cell r="C371" t="str">
            <v>OXO, OXXO</v>
          </cell>
          <cell r="D371">
            <v>165</v>
          </cell>
          <cell r="E371">
            <v>165</v>
          </cell>
          <cell r="F371" t="str">
            <v>9/16" LAMI</v>
          </cell>
          <cell r="G371" t="str">
            <v>5/16" ELCO TAPCON</v>
          </cell>
          <cell r="H371">
            <v>2010</v>
          </cell>
          <cell r="I371">
            <v>43145</v>
          </cell>
        </row>
        <row r="372">
          <cell r="A372" t="str">
            <v>12-1205.04#1</v>
          </cell>
          <cell r="B372" t="str">
            <v>12-1205.04</v>
          </cell>
          <cell r="C372" t="str">
            <v>MEDIUM REINFORCING W/O HEAD RECEPTOR</v>
          </cell>
          <cell r="D372">
            <v>87.2</v>
          </cell>
          <cell r="E372">
            <v>87.2</v>
          </cell>
          <cell r="F372" t="str">
            <v>TYPE A</v>
          </cell>
          <cell r="G372" t="str">
            <v>1/4" ELCO ULTRACON</v>
          </cell>
          <cell r="H372">
            <v>2010</v>
          </cell>
          <cell r="I372">
            <v>43096</v>
          </cell>
        </row>
        <row r="373">
          <cell r="A373" t="str">
            <v>12-1205.04#2</v>
          </cell>
          <cell r="B373" t="str">
            <v>12-1205.04</v>
          </cell>
          <cell r="C373" t="str">
            <v>HEAVY REINFORCING W/O HEAD RECEPTOR</v>
          </cell>
          <cell r="D373">
            <v>100</v>
          </cell>
          <cell r="E373">
            <v>120</v>
          </cell>
          <cell r="F373" t="str">
            <v>TYPE B</v>
          </cell>
          <cell r="G373" t="str">
            <v>1/4" ELCO ULTRACON</v>
          </cell>
          <cell r="H373">
            <v>2010</v>
          </cell>
          <cell r="I373">
            <v>43096</v>
          </cell>
        </row>
        <row r="374">
          <cell r="A374" t="str">
            <v>12-1205.04#3</v>
          </cell>
          <cell r="B374" t="str">
            <v>12-1205.04</v>
          </cell>
          <cell r="C374" t="str">
            <v>MEDIUM REINFORCING W/O HEAD RECEPTOR</v>
          </cell>
          <cell r="D374">
            <v>100</v>
          </cell>
          <cell r="E374">
            <v>115.7</v>
          </cell>
          <cell r="F374" t="str">
            <v>TYPE A</v>
          </cell>
          <cell r="G374" t="str">
            <v>1/4" ELCO ULTRACON</v>
          </cell>
          <cell r="H374">
            <v>2010</v>
          </cell>
          <cell r="I374">
            <v>43096</v>
          </cell>
        </row>
        <row r="375">
          <cell r="A375" t="str">
            <v>12-1205.04#4</v>
          </cell>
          <cell r="B375" t="str">
            <v>12-1205.04</v>
          </cell>
          <cell r="C375" t="str">
            <v>MEDIUM REINFORCING W/O HEAD RECEPTOR</v>
          </cell>
          <cell r="D375">
            <v>86.8</v>
          </cell>
          <cell r="E375">
            <v>86.8</v>
          </cell>
          <cell r="F375" t="str">
            <v>TYPE A</v>
          </cell>
          <cell r="G375" t="str">
            <v>1/4" ELCO ULTRACON</v>
          </cell>
          <cell r="H375">
            <v>2010</v>
          </cell>
          <cell r="I375">
            <v>43096</v>
          </cell>
        </row>
        <row r="376">
          <cell r="A376" t="str">
            <v>12-1205.04#5</v>
          </cell>
          <cell r="B376" t="str">
            <v>12-1205.04</v>
          </cell>
          <cell r="C376" t="str">
            <v>MEDIUM REINFORCING W/O HEAD RECEPTOR</v>
          </cell>
          <cell r="D376">
            <v>100</v>
          </cell>
          <cell r="E376">
            <v>109.8</v>
          </cell>
          <cell r="F376" t="str">
            <v>TYPE B</v>
          </cell>
          <cell r="G376" t="str">
            <v>1/4" ELCO ULTRACON</v>
          </cell>
          <cell r="H376">
            <v>2010</v>
          </cell>
          <cell r="I376">
            <v>43096</v>
          </cell>
        </row>
        <row r="377">
          <cell r="A377" t="str">
            <v>12-1205.04#6</v>
          </cell>
          <cell r="B377" t="str">
            <v>12-1205.04</v>
          </cell>
          <cell r="C377" t="str">
            <v>MEDIUM REINFORCING W/O HEAD RECEPTOR</v>
          </cell>
          <cell r="D377">
            <v>88.9</v>
          </cell>
          <cell r="E377">
            <v>88.9</v>
          </cell>
          <cell r="F377" t="str">
            <v>TYPE A</v>
          </cell>
          <cell r="G377" t="str">
            <v>1/4" ELCO ULTRACON</v>
          </cell>
          <cell r="H377">
            <v>2010</v>
          </cell>
          <cell r="I377">
            <v>43096</v>
          </cell>
        </row>
        <row r="378">
          <cell r="A378" t="str">
            <v>12-1205.04#7</v>
          </cell>
          <cell r="B378" t="str">
            <v>12-1205.04</v>
          </cell>
          <cell r="C378" t="str">
            <v>MEDIUM REINFORCING W/O HEAD RECEPTOR</v>
          </cell>
          <cell r="D378">
            <v>94</v>
          </cell>
          <cell r="E378">
            <v>94</v>
          </cell>
          <cell r="F378" t="str">
            <v>TYPE A</v>
          </cell>
          <cell r="G378" t="str">
            <v>1/4" ELCO ULTRACON</v>
          </cell>
          <cell r="H378">
            <v>2010</v>
          </cell>
          <cell r="I378">
            <v>43096</v>
          </cell>
        </row>
        <row r="379">
          <cell r="A379" t="str">
            <v>12-1205.04#8</v>
          </cell>
          <cell r="B379" t="str">
            <v>12-1205.04</v>
          </cell>
          <cell r="C379" t="str">
            <v>MEDIUM REINFORCING W/O HEAD RECEPTOR</v>
          </cell>
          <cell r="D379">
            <v>100</v>
          </cell>
          <cell r="E379">
            <v>119</v>
          </cell>
          <cell r="F379" t="str">
            <v>TYPE B</v>
          </cell>
          <cell r="G379" t="str">
            <v>1/4" ELCO ULTRACON</v>
          </cell>
          <cell r="H379">
            <v>2010</v>
          </cell>
          <cell r="I379">
            <v>43096</v>
          </cell>
        </row>
        <row r="380">
          <cell r="A380" t="str">
            <v>12-1218.07#1</v>
          </cell>
          <cell r="B380" t="str">
            <v>12-1218.07</v>
          </cell>
          <cell r="C380" t="str">
            <v>ALUMINUM</v>
          </cell>
          <cell r="D380">
            <v>70</v>
          </cell>
          <cell r="E380">
            <v>90</v>
          </cell>
          <cell r="F380" t="str">
            <v>TYPE 1</v>
          </cell>
          <cell r="G380" t="str">
            <v>1/4" STEEL ULTRACON</v>
          </cell>
          <cell r="H380">
            <v>2010</v>
          </cell>
          <cell r="I380">
            <v>43201</v>
          </cell>
        </row>
        <row r="381">
          <cell r="A381" t="str">
            <v>12-1218.09#1</v>
          </cell>
          <cell r="B381" t="str">
            <v>12-1218.09</v>
          </cell>
          <cell r="C381"/>
          <cell r="D381">
            <v>70</v>
          </cell>
          <cell r="E381">
            <v>90</v>
          </cell>
          <cell r="F381" t="str">
            <v>5/16" LAMI</v>
          </cell>
          <cell r="G381" t="str">
            <v>1/4" STEEL ULTRACON</v>
          </cell>
          <cell r="H381">
            <v>2010</v>
          </cell>
          <cell r="I381">
            <v>43201</v>
          </cell>
        </row>
        <row r="382">
          <cell r="A382" t="str">
            <v>13-0115.06#1</v>
          </cell>
          <cell r="B382" t="str">
            <v>13-0115.06</v>
          </cell>
          <cell r="C382" t="str">
            <v>ALUMINUM</v>
          </cell>
          <cell r="D382">
            <v>130</v>
          </cell>
          <cell r="E382">
            <v>130</v>
          </cell>
          <cell r="F382" t="str">
            <v>TYPE B</v>
          </cell>
          <cell r="G382" t="str">
            <v>1/4" ELCO ULTRACON</v>
          </cell>
          <cell r="H382">
            <v>2010</v>
          </cell>
          <cell r="I382">
            <v>43193</v>
          </cell>
        </row>
        <row r="383">
          <cell r="A383" t="str">
            <v>13-0115.06#2</v>
          </cell>
          <cell r="B383" t="str">
            <v>13-0115.06</v>
          </cell>
          <cell r="C383" t="str">
            <v>ALUMINUM</v>
          </cell>
          <cell r="D383">
            <v>80</v>
          </cell>
          <cell r="E383">
            <v>80</v>
          </cell>
          <cell r="F383" t="str">
            <v>TYPE A</v>
          </cell>
          <cell r="G383" t="str">
            <v>1/4" ELCO ULTRACON</v>
          </cell>
          <cell r="H383">
            <v>2010</v>
          </cell>
          <cell r="I383">
            <v>43193</v>
          </cell>
        </row>
        <row r="384">
          <cell r="A384" t="str">
            <v>13-0115.06#3</v>
          </cell>
          <cell r="B384" t="str">
            <v>13-0115.06</v>
          </cell>
          <cell r="C384" t="str">
            <v>SIDE-LOADED, ALUMINUM</v>
          </cell>
          <cell r="D384">
            <v>80</v>
          </cell>
          <cell r="E384">
            <v>80</v>
          </cell>
          <cell r="F384" t="str">
            <v>TYPE A</v>
          </cell>
          <cell r="G384" t="str">
            <v>1/4" ELCO ULTRACON</v>
          </cell>
          <cell r="H384">
            <v>2010</v>
          </cell>
          <cell r="I384">
            <v>43193</v>
          </cell>
        </row>
        <row r="385">
          <cell r="A385" t="str">
            <v>13-0117.03#1</v>
          </cell>
          <cell r="B385" t="str">
            <v>13-0117.03</v>
          </cell>
          <cell r="C385"/>
          <cell r="D385">
            <v>115</v>
          </cell>
          <cell r="E385">
            <v>120</v>
          </cell>
          <cell r="F385" t="str">
            <v>N/A</v>
          </cell>
          <cell r="G385" t="str">
            <v>1/4" TAPCON</v>
          </cell>
          <cell r="H385">
            <v>2010</v>
          </cell>
          <cell r="I385">
            <v>41612</v>
          </cell>
        </row>
        <row r="386">
          <cell r="A386" t="str">
            <v>13-0117.03#2</v>
          </cell>
          <cell r="B386" t="str">
            <v>13-0117.03</v>
          </cell>
          <cell r="C386"/>
          <cell r="D386">
            <v>115</v>
          </cell>
          <cell r="E386">
            <v>120</v>
          </cell>
          <cell r="F386" t="str">
            <v>N/A</v>
          </cell>
          <cell r="G386" t="str">
            <v>1/4" TAPCON</v>
          </cell>
          <cell r="H386">
            <v>2010</v>
          </cell>
          <cell r="I386">
            <v>41612</v>
          </cell>
        </row>
        <row r="387">
          <cell r="A387" t="str">
            <v>13-0122.03#1</v>
          </cell>
          <cell r="B387" t="str">
            <v>13-0122.03</v>
          </cell>
          <cell r="C387"/>
          <cell r="D387">
            <v>90</v>
          </cell>
          <cell r="E387">
            <v>130</v>
          </cell>
          <cell r="F387" t="str">
            <v>TYPE D/F</v>
          </cell>
          <cell r="G387" t="str">
            <v>1/4" ELCO ULTRACON</v>
          </cell>
          <cell r="H387">
            <v>2010</v>
          </cell>
          <cell r="I387">
            <v>43165</v>
          </cell>
        </row>
        <row r="388">
          <cell r="A388" t="str">
            <v>13-0122.03#1</v>
          </cell>
          <cell r="B388" t="str">
            <v>13-0122.03</v>
          </cell>
          <cell r="C388"/>
          <cell r="D388">
            <v>90</v>
          </cell>
          <cell r="E388">
            <v>110.5</v>
          </cell>
          <cell r="F388" t="str">
            <v>TYPE F</v>
          </cell>
          <cell r="G388" t="str">
            <v>1/4" ELCO ULTRACON</v>
          </cell>
          <cell r="H388">
            <v>2010</v>
          </cell>
          <cell r="I388">
            <v>43165</v>
          </cell>
        </row>
        <row r="389">
          <cell r="A389" t="str">
            <v>13-0122.03#2</v>
          </cell>
          <cell r="B389" t="str">
            <v>13-0122.03</v>
          </cell>
          <cell r="C389"/>
          <cell r="D389">
            <v>90</v>
          </cell>
          <cell r="E389">
            <v>90</v>
          </cell>
          <cell r="F389" t="str">
            <v>TYPE A/B</v>
          </cell>
          <cell r="G389" t="str">
            <v>1/4" ELCO ULTRACON</v>
          </cell>
          <cell r="H389">
            <v>2010</v>
          </cell>
          <cell r="I389">
            <v>43165</v>
          </cell>
        </row>
        <row r="390">
          <cell r="A390" t="str">
            <v>13-0206.04#1</v>
          </cell>
          <cell r="B390" t="str">
            <v>13-0206.04</v>
          </cell>
          <cell r="C390"/>
          <cell r="D390">
            <v>75</v>
          </cell>
          <cell r="E390">
            <v>90</v>
          </cell>
          <cell r="F390" t="str">
            <v>TYPE A/B</v>
          </cell>
          <cell r="G390" t="str">
            <v>1/4" ITW TAPCON</v>
          </cell>
          <cell r="H390">
            <v>2010</v>
          </cell>
          <cell r="I390">
            <v>41737</v>
          </cell>
        </row>
        <row r="391">
          <cell r="A391" t="str">
            <v>13-0220.05#1</v>
          </cell>
          <cell r="B391" t="str">
            <v>13-0220.05</v>
          </cell>
          <cell r="C391"/>
          <cell r="D391">
            <v>100</v>
          </cell>
          <cell r="E391">
            <v>100</v>
          </cell>
          <cell r="F391" t="str">
            <v>1/4" TEMP</v>
          </cell>
          <cell r="G391" t="str">
            <v>1/4" TAPCON</v>
          </cell>
          <cell r="H391">
            <v>2010</v>
          </cell>
          <cell r="I391">
            <v>43228</v>
          </cell>
        </row>
        <row r="392">
          <cell r="A392" t="str">
            <v>13-0226.05#1</v>
          </cell>
          <cell r="B392" t="str">
            <v>13-0226.05</v>
          </cell>
          <cell r="C392" t="str">
            <v>REINFORCING OPTION 1</v>
          </cell>
          <cell r="D392">
            <v>85</v>
          </cell>
          <cell r="E392">
            <v>140</v>
          </cell>
          <cell r="F392" t="str">
            <v>TYPE A</v>
          </cell>
          <cell r="G392" t="str">
            <v>1/4" ELCO ULTRACON</v>
          </cell>
          <cell r="H392">
            <v>2010</v>
          </cell>
          <cell r="I392">
            <v>41804</v>
          </cell>
        </row>
        <row r="393">
          <cell r="A393" t="str">
            <v>13-0226.05#2</v>
          </cell>
          <cell r="B393" t="str">
            <v>13-0226.05</v>
          </cell>
          <cell r="C393" t="str">
            <v>REINFORCING OPTION 1</v>
          </cell>
          <cell r="D393">
            <v>85</v>
          </cell>
          <cell r="E393">
            <v>127.4</v>
          </cell>
          <cell r="F393" t="str">
            <v>TYPE A</v>
          </cell>
          <cell r="G393" t="str">
            <v>1/4" ELCO ULTRACON</v>
          </cell>
          <cell r="H393">
            <v>2010</v>
          </cell>
          <cell r="I393">
            <v>41804</v>
          </cell>
        </row>
        <row r="394">
          <cell r="A394" t="str">
            <v>13-0226.05#3</v>
          </cell>
          <cell r="B394" t="str">
            <v>13-0226.05</v>
          </cell>
          <cell r="C394" t="str">
            <v>REINFORCING OPTION 1</v>
          </cell>
          <cell r="D394">
            <v>85</v>
          </cell>
          <cell r="E394">
            <v>136.4</v>
          </cell>
          <cell r="F394" t="str">
            <v>TYPE A</v>
          </cell>
          <cell r="G394" t="str">
            <v>1/4" ELCO ULTRACON</v>
          </cell>
          <cell r="H394">
            <v>2010</v>
          </cell>
          <cell r="I394">
            <v>41804</v>
          </cell>
        </row>
        <row r="395">
          <cell r="A395" t="str">
            <v>13-0226.05#4</v>
          </cell>
          <cell r="B395" t="str">
            <v>13-0226.05</v>
          </cell>
          <cell r="C395" t="str">
            <v>REINFORCING OPTION 1</v>
          </cell>
          <cell r="D395">
            <v>85</v>
          </cell>
          <cell r="E395">
            <v>120</v>
          </cell>
          <cell r="F395" t="str">
            <v>TYPE A</v>
          </cell>
          <cell r="G395" t="str">
            <v>1/4" ELCO ULTRACON</v>
          </cell>
          <cell r="H395">
            <v>2010</v>
          </cell>
          <cell r="I395">
            <v>41804</v>
          </cell>
        </row>
        <row r="396">
          <cell r="A396" t="str">
            <v>13-0226.05#5</v>
          </cell>
          <cell r="B396" t="str">
            <v>13-0226.05</v>
          </cell>
          <cell r="C396" t="str">
            <v xml:space="preserve">REINFORCING OPTION 2 </v>
          </cell>
          <cell r="D396">
            <v>85</v>
          </cell>
          <cell r="E396">
            <v>100</v>
          </cell>
          <cell r="F396" t="str">
            <v>TYPE A</v>
          </cell>
          <cell r="G396" t="str">
            <v>1/4" ELCO ULTRACON</v>
          </cell>
          <cell r="H396">
            <v>2010</v>
          </cell>
          <cell r="I396">
            <v>41804</v>
          </cell>
        </row>
        <row r="397">
          <cell r="A397" t="str">
            <v>13-0430.09#1</v>
          </cell>
          <cell r="B397" t="str">
            <v>13-0430.09</v>
          </cell>
          <cell r="C397"/>
          <cell r="D397">
            <v>90</v>
          </cell>
          <cell r="E397">
            <v>140</v>
          </cell>
          <cell r="F397" t="str">
            <v>TYPE A/B/C</v>
          </cell>
          <cell r="G397" t="str">
            <v>1/4" ELCO ULTRACON</v>
          </cell>
          <cell r="H397">
            <v>2010</v>
          </cell>
          <cell r="I397">
            <v>43584</v>
          </cell>
        </row>
        <row r="398">
          <cell r="A398" t="str">
            <v>13-0430.09#2</v>
          </cell>
          <cell r="B398" t="str">
            <v>13-0430.09</v>
          </cell>
          <cell r="C398"/>
          <cell r="D398">
            <v>90</v>
          </cell>
          <cell r="E398">
            <v>139.69999999999999</v>
          </cell>
          <cell r="F398" t="str">
            <v>TYPE A/B/C</v>
          </cell>
          <cell r="G398" t="str">
            <v>1/4" ELCO ULTRACON</v>
          </cell>
          <cell r="H398">
            <v>2010</v>
          </cell>
          <cell r="I398">
            <v>43584</v>
          </cell>
        </row>
        <row r="399">
          <cell r="A399" t="str">
            <v>13-0502.03#1</v>
          </cell>
          <cell r="B399" t="str">
            <v>13-0502.03</v>
          </cell>
          <cell r="C399"/>
          <cell r="D399">
            <v>80</v>
          </cell>
          <cell r="E399">
            <v>80</v>
          </cell>
          <cell r="F399" t="str">
            <v>TYPE 1</v>
          </cell>
          <cell r="G399" t="str">
            <v>1/4" STEEL ULTRACON</v>
          </cell>
          <cell r="H399">
            <v>2010</v>
          </cell>
          <cell r="I399">
            <v>43515</v>
          </cell>
        </row>
        <row r="400">
          <cell r="A400" t="str">
            <v>13-0502.03#2</v>
          </cell>
          <cell r="B400" t="str">
            <v>13-0502.03</v>
          </cell>
          <cell r="C400"/>
          <cell r="D400">
            <v>79.3</v>
          </cell>
          <cell r="E400">
            <v>79.3</v>
          </cell>
          <cell r="F400" t="str">
            <v>TYPE 1</v>
          </cell>
          <cell r="G400" t="str">
            <v>1/4" STEEL ULTRACON</v>
          </cell>
          <cell r="H400">
            <v>2010</v>
          </cell>
          <cell r="I400">
            <v>43515</v>
          </cell>
        </row>
        <row r="401">
          <cell r="A401" t="str">
            <v>13-0502.03#3</v>
          </cell>
          <cell r="B401" t="str">
            <v>13-0502.03</v>
          </cell>
          <cell r="C401"/>
          <cell r="D401">
            <v>80</v>
          </cell>
          <cell r="E401">
            <v>80</v>
          </cell>
          <cell r="F401" t="str">
            <v>TYPE 2/4</v>
          </cell>
          <cell r="G401" t="str">
            <v>1/4" STEEL ULTRACON</v>
          </cell>
          <cell r="H401">
            <v>2010</v>
          </cell>
          <cell r="I401">
            <v>43515</v>
          </cell>
        </row>
        <row r="402">
          <cell r="A402" t="str">
            <v>13-0502.03#4</v>
          </cell>
          <cell r="B402" t="str">
            <v>13-0502.03</v>
          </cell>
          <cell r="C402"/>
          <cell r="D402">
            <v>90</v>
          </cell>
          <cell r="E402">
            <v>130</v>
          </cell>
          <cell r="F402" t="str">
            <v>TYPE 6/8</v>
          </cell>
          <cell r="G402" t="str">
            <v>1/4" STEEL ULTRACON</v>
          </cell>
          <cell r="H402">
            <v>2010</v>
          </cell>
          <cell r="I402">
            <v>43515</v>
          </cell>
        </row>
        <row r="403">
          <cell r="A403" t="str">
            <v>13-0502.03#5</v>
          </cell>
          <cell r="B403" t="str">
            <v>13-0502.03</v>
          </cell>
          <cell r="C403"/>
          <cell r="D403">
            <v>75.599999999999994</v>
          </cell>
          <cell r="E403">
            <v>75.599999999999994</v>
          </cell>
          <cell r="F403" t="str">
            <v>TYPE 1</v>
          </cell>
          <cell r="G403" t="str">
            <v>1/4" STEEL ULTRACON</v>
          </cell>
          <cell r="H403">
            <v>2010</v>
          </cell>
          <cell r="I403">
            <v>43515</v>
          </cell>
        </row>
        <row r="404">
          <cell r="A404" t="str">
            <v>13-0617.26#1</v>
          </cell>
          <cell r="B404" t="str">
            <v>13-0617.26</v>
          </cell>
          <cell r="C404"/>
          <cell r="D404">
            <v>70</v>
          </cell>
          <cell r="E404">
            <v>90</v>
          </cell>
          <cell r="F404" t="str">
            <v>TYPE B/B1</v>
          </cell>
          <cell r="G404" t="str">
            <v>1/4" ELCO ULTRACON</v>
          </cell>
          <cell r="H404">
            <v>2010</v>
          </cell>
          <cell r="I404">
            <v>43410</v>
          </cell>
        </row>
        <row r="405">
          <cell r="A405" t="str">
            <v>13-0617.26#2</v>
          </cell>
          <cell r="B405" t="str">
            <v>13-0617.26</v>
          </cell>
          <cell r="C405"/>
          <cell r="D405">
            <v>70</v>
          </cell>
          <cell r="E405">
            <v>80</v>
          </cell>
          <cell r="F405" t="str">
            <v>TYPE C/C1/C2</v>
          </cell>
          <cell r="G405" t="str">
            <v>1/4" ELCO ULTRACON</v>
          </cell>
          <cell r="H405">
            <v>2010</v>
          </cell>
          <cell r="I405">
            <v>43410</v>
          </cell>
        </row>
        <row r="406">
          <cell r="A406" t="str">
            <v>13-0617.27#1</v>
          </cell>
          <cell r="B406" t="str">
            <v>13-0617.27</v>
          </cell>
          <cell r="C406" t="str">
            <v>ALUMINUM</v>
          </cell>
          <cell r="D406">
            <v>70</v>
          </cell>
          <cell r="E406">
            <v>80</v>
          </cell>
          <cell r="F406" t="str">
            <v>TYPE A</v>
          </cell>
          <cell r="G406" t="str">
            <v>1/4" ELCO ULTRACON</v>
          </cell>
          <cell r="H406">
            <v>2010</v>
          </cell>
          <cell r="I406">
            <v>43410</v>
          </cell>
        </row>
        <row r="407">
          <cell r="A407" t="str">
            <v>13-0617.27#2</v>
          </cell>
          <cell r="B407" t="str">
            <v>13-0617.27</v>
          </cell>
          <cell r="C407" t="str">
            <v>ALUMINUM</v>
          </cell>
          <cell r="D407">
            <v>80</v>
          </cell>
          <cell r="E407">
            <v>90</v>
          </cell>
          <cell r="F407" t="str">
            <v>TYPE B/C/D/E</v>
          </cell>
          <cell r="G407" t="str">
            <v>1/4" ELCO ULTRACON</v>
          </cell>
          <cell r="H407">
            <v>2010</v>
          </cell>
          <cell r="I407">
            <v>43410</v>
          </cell>
        </row>
        <row r="408">
          <cell r="A408" t="str">
            <v>13-0617.28#1</v>
          </cell>
          <cell r="B408" t="str">
            <v>13-0617.28</v>
          </cell>
          <cell r="C408"/>
          <cell r="D408">
            <v>70</v>
          </cell>
          <cell r="E408">
            <v>80</v>
          </cell>
          <cell r="F408" t="str">
            <v>TYPE A/B</v>
          </cell>
          <cell r="G408" t="str">
            <v>1/4" ELCO ULTRACON</v>
          </cell>
          <cell r="H408">
            <v>2010</v>
          </cell>
          <cell r="I408">
            <v>43410</v>
          </cell>
        </row>
        <row r="409">
          <cell r="A409" t="str">
            <v>13-0617.29#1</v>
          </cell>
          <cell r="B409" t="str">
            <v>13-0617.29</v>
          </cell>
          <cell r="C409"/>
          <cell r="D409">
            <v>72</v>
          </cell>
          <cell r="E409">
            <v>72</v>
          </cell>
          <cell r="F409" t="str">
            <v>TYPE A</v>
          </cell>
          <cell r="G409" t="str">
            <v>1/4" HILTI KWIK-CON II</v>
          </cell>
          <cell r="H409">
            <v>2010</v>
          </cell>
          <cell r="I409">
            <v>43458</v>
          </cell>
        </row>
        <row r="410">
          <cell r="A410" t="str">
            <v>13-0617.29#2</v>
          </cell>
          <cell r="B410" t="str">
            <v>13-0617.29</v>
          </cell>
          <cell r="C410"/>
          <cell r="D410">
            <v>80</v>
          </cell>
          <cell r="E410">
            <v>80</v>
          </cell>
          <cell r="F410" t="str">
            <v>TYPE A</v>
          </cell>
          <cell r="G410" t="str">
            <v>1/4" HILTI KWIK-CON II</v>
          </cell>
          <cell r="H410">
            <v>2010</v>
          </cell>
          <cell r="I410">
            <v>43458</v>
          </cell>
        </row>
        <row r="411">
          <cell r="A411" t="str">
            <v>13-0710.01#1</v>
          </cell>
          <cell r="B411" t="str">
            <v>13-0710.01</v>
          </cell>
          <cell r="C411"/>
          <cell r="D411">
            <v>65</v>
          </cell>
          <cell r="E411">
            <v>65</v>
          </cell>
          <cell r="F411" t="str">
            <v>N/A</v>
          </cell>
          <cell r="G411" t="str">
            <v>3/8" TAPCON</v>
          </cell>
          <cell r="H411">
            <v>2010</v>
          </cell>
          <cell r="I411">
            <v>43472</v>
          </cell>
        </row>
        <row r="412">
          <cell r="A412" t="str">
            <v>13-0723.01#1</v>
          </cell>
          <cell r="B412" t="str">
            <v>13-0723.01</v>
          </cell>
          <cell r="C412" t="str">
            <v>ALUMINUM</v>
          </cell>
          <cell r="D412">
            <v>85</v>
          </cell>
          <cell r="E412">
            <v>85</v>
          </cell>
          <cell r="F412" t="str">
            <v>TYPE C/C1</v>
          </cell>
          <cell r="G412" t="str">
            <v>1/4" ELCO ULTRACON</v>
          </cell>
          <cell r="H412">
            <v>2010</v>
          </cell>
          <cell r="I412">
            <v>43362</v>
          </cell>
        </row>
        <row r="413">
          <cell r="A413" t="str">
            <v>13-0723.01#2</v>
          </cell>
          <cell r="B413" t="str">
            <v>13-0723.01</v>
          </cell>
          <cell r="C413" t="str">
            <v>ALUMINUM</v>
          </cell>
          <cell r="D413">
            <v>110</v>
          </cell>
          <cell r="E413">
            <v>120</v>
          </cell>
          <cell r="F413" t="str">
            <v>TYPE C/C1</v>
          </cell>
          <cell r="G413" t="str">
            <v>1/4" ELCO ULTRACON</v>
          </cell>
          <cell r="H413">
            <v>2010</v>
          </cell>
          <cell r="I413">
            <v>43362</v>
          </cell>
        </row>
        <row r="414">
          <cell r="A414" t="str">
            <v>13-0723.01#3</v>
          </cell>
          <cell r="B414" t="str">
            <v>13-0723.01</v>
          </cell>
          <cell r="C414" t="str">
            <v>ALUMINUM</v>
          </cell>
          <cell r="D414">
            <v>120</v>
          </cell>
          <cell r="E414">
            <v>135</v>
          </cell>
          <cell r="F414" t="str">
            <v>TYPE C/C1</v>
          </cell>
          <cell r="G414" t="str">
            <v>1/4" ELCO ULTRACON</v>
          </cell>
          <cell r="H414">
            <v>2010</v>
          </cell>
          <cell r="I414">
            <v>43362</v>
          </cell>
        </row>
        <row r="415">
          <cell r="A415" t="str">
            <v>13-0912.02#1</v>
          </cell>
          <cell r="B415" t="str">
            <v>13-0912.02</v>
          </cell>
          <cell r="C415" t="str">
            <v>WITH REINFORCEMENTS</v>
          </cell>
          <cell r="D415">
            <v>70</v>
          </cell>
          <cell r="E415">
            <v>80</v>
          </cell>
          <cell r="F415" t="str">
            <v>TYPE B</v>
          </cell>
          <cell r="G415" t="str">
            <v>1/4" ELCO ULTRACON</v>
          </cell>
          <cell r="H415">
            <v>2010</v>
          </cell>
          <cell r="I415">
            <v>43544</v>
          </cell>
        </row>
        <row r="416">
          <cell r="A416" t="str">
            <v>13-0912.02#2</v>
          </cell>
          <cell r="B416" t="str">
            <v>13-0912.02</v>
          </cell>
          <cell r="C416" t="str">
            <v>WITHOUT REINFORCEMENTS</v>
          </cell>
          <cell r="D416">
            <v>70</v>
          </cell>
          <cell r="E416">
            <v>80</v>
          </cell>
          <cell r="F416" t="str">
            <v>TYPE B</v>
          </cell>
          <cell r="G416" t="str">
            <v>1/4" ELCO ULTRACON</v>
          </cell>
          <cell r="H416">
            <v>2010</v>
          </cell>
          <cell r="I416">
            <v>43544</v>
          </cell>
        </row>
        <row r="417">
          <cell r="A417" t="str">
            <v>13-0912.02#3</v>
          </cell>
          <cell r="B417" t="str">
            <v>13-0912.02</v>
          </cell>
          <cell r="C417" t="str">
            <v>WITHOUT REINFORCEMENTS</v>
          </cell>
          <cell r="D417">
            <v>62.2</v>
          </cell>
          <cell r="E417">
            <v>71.099999999999994</v>
          </cell>
          <cell r="F417" t="str">
            <v>TYPE B/B1</v>
          </cell>
          <cell r="G417" t="str">
            <v>1/4" ELCO ULTRACON</v>
          </cell>
          <cell r="H417">
            <v>2010</v>
          </cell>
          <cell r="I417">
            <v>43544</v>
          </cell>
        </row>
        <row r="418">
          <cell r="A418" t="str">
            <v>13-0912.02#4</v>
          </cell>
          <cell r="B418" t="str">
            <v>13-0912.02</v>
          </cell>
          <cell r="C418" t="str">
            <v>WITH REINFORCEMENTS</v>
          </cell>
          <cell r="D418">
            <v>62.2</v>
          </cell>
          <cell r="E418">
            <v>71.099999999999994</v>
          </cell>
          <cell r="F418" t="str">
            <v>TYPE A/A1</v>
          </cell>
          <cell r="G418" t="str">
            <v>1/4" ELCO ULTRACON</v>
          </cell>
          <cell r="H418">
            <v>2010</v>
          </cell>
          <cell r="I418">
            <v>43544</v>
          </cell>
        </row>
        <row r="419">
          <cell r="A419" t="str">
            <v>13-0917.09#1</v>
          </cell>
          <cell r="B419" t="str">
            <v>13-0917.09</v>
          </cell>
          <cell r="C419"/>
          <cell r="D419">
            <v>120</v>
          </cell>
          <cell r="E419">
            <v>150</v>
          </cell>
          <cell r="F419" t="str">
            <v>TYPE A/B</v>
          </cell>
          <cell r="G419" t="str">
            <v>1/4" ELCO CRETE-FLEX TAPCON</v>
          </cell>
          <cell r="H419">
            <v>2010</v>
          </cell>
          <cell r="I419">
            <v>43551</v>
          </cell>
        </row>
        <row r="420">
          <cell r="A420" t="str">
            <v>13-1009.06#1</v>
          </cell>
          <cell r="B420" t="str">
            <v>13-1009.06</v>
          </cell>
          <cell r="C420" t="str">
            <v>REINFORCED , HEAVY DITY ASTRAGAL, HEAVY DUTY STILES</v>
          </cell>
          <cell r="D420">
            <v>90</v>
          </cell>
          <cell r="E420">
            <v>130</v>
          </cell>
          <cell r="F420" t="str">
            <v>TYPE G9/G9A/G10/G10A</v>
          </cell>
          <cell r="G420" t="str">
            <v>1/4" ELCO CONCRETE SCREW</v>
          </cell>
          <cell r="H420">
            <v>2010</v>
          </cell>
          <cell r="I420">
            <v>42028</v>
          </cell>
        </row>
        <row r="421">
          <cell r="A421" t="str">
            <v>13-1009.06#2</v>
          </cell>
          <cell r="B421" t="str">
            <v>13-1009.06</v>
          </cell>
          <cell r="C421"/>
          <cell r="D421">
            <v>90</v>
          </cell>
          <cell r="E421">
            <v>130</v>
          </cell>
          <cell r="F421" t="str">
            <v>TYPE G9/G9A/G10/G10A</v>
          </cell>
          <cell r="G421" t="str">
            <v>1/4" ELCO ULTRACON</v>
          </cell>
          <cell r="H421">
            <v>2010</v>
          </cell>
          <cell r="I421">
            <v>42087</v>
          </cell>
        </row>
        <row r="422">
          <cell r="A422" t="str">
            <v>13-1009.07#1</v>
          </cell>
          <cell r="B422" t="str">
            <v>13-1009.07</v>
          </cell>
          <cell r="C422"/>
          <cell r="D422">
            <v>90</v>
          </cell>
          <cell r="E422">
            <v>130</v>
          </cell>
          <cell r="F422" t="str">
            <v>TYPE G4/G4A/G6/G6A</v>
          </cell>
          <cell r="G422" t="str">
            <v>1/4" ELCO ULTRACON</v>
          </cell>
          <cell r="H422">
            <v>2010</v>
          </cell>
          <cell r="I422">
            <v>42087</v>
          </cell>
        </row>
        <row r="423">
          <cell r="A423" t="str">
            <v>13-1021.03#1</v>
          </cell>
          <cell r="B423" t="str">
            <v>13-1021.03</v>
          </cell>
          <cell r="C423" t="str">
            <v>OUTSWING</v>
          </cell>
          <cell r="D423">
            <v>100</v>
          </cell>
          <cell r="E423">
            <v>120</v>
          </cell>
          <cell r="F423" t="str">
            <v>TYPE A/B</v>
          </cell>
          <cell r="G423" t="str">
            <v>1/4" ELCO ULTRACON</v>
          </cell>
          <cell r="H423">
            <v>2010</v>
          </cell>
          <cell r="I423"/>
        </row>
        <row r="424">
          <cell r="A424" t="str">
            <v>13-1021.07#1</v>
          </cell>
          <cell r="B424" t="str">
            <v>13-1021.07</v>
          </cell>
          <cell r="C424"/>
          <cell r="D424">
            <v>100</v>
          </cell>
          <cell r="E424">
            <v>100</v>
          </cell>
          <cell r="F424" t="str">
            <v>TYPE D</v>
          </cell>
          <cell r="G424" t="str">
            <v>1/4" ELCO ULTRACON</v>
          </cell>
          <cell r="H424">
            <v>2010</v>
          </cell>
          <cell r="I424">
            <v>43060</v>
          </cell>
        </row>
        <row r="425">
          <cell r="A425" t="str">
            <v>13-1021.11#1</v>
          </cell>
          <cell r="B425" t="str">
            <v>13-1021.11</v>
          </cell>
          <cell r="C425" t="str">
            <v>OUTSWING</v>
          </cell>
          <cell r="D425">
            <v>65</v>
          </cell>
          <cell r="E425">
            <v>80</v>
          </cell>
          <cell r="F425" t="str">
            <v>TYPE A</v>
          </cell>
          <cell r="G425" t="str">
            <v>3/16" ITW TAPCON</v>
          </cell>
          <cell r="H425">
            <v>2014</v>
          </cell>
          <cell r="I425">
            <v>44054</v>
          </cell>
        </row>
        <row r="426">
          <cell r="A426" t="str">
            <v>13-1021.11#2</v>
          </cell>
          <cell r="B426" t="str">
            <v>13-1021.11</v>
          </cell>
          <cell r="C426" t="str">
            <v>OUTSWING</v>
          </cell>
          <cell r="D426">
            <v>80</v>
          </cell>
          <cell r="E426">
            <v>120</v>
          </cell>
          <cell r="F426" t="str">
            <v xml:space="preserve">TYPE C/D/E </v>
          </cell>
          <cell r="G426" t="str">
            <v>3/16" ITW TAPCON</v>
          </cell>
          <cell r="H426">
            <v>2014</v>
          </cell>
          <cell r="I426">
            <v>44054</v>
          </cell>
        </row>
        <row r="427">
          <cell r="A427" t="str">
            <v>13-1024.04#1</v>
          </cell>
          <cell r="B427" t="str">
            <v>13-1024.04</v>
          </cell>
          <cell r="C427"/>
          <cell r="D427">
            <v>90</v>
          </cell>
          <cell r="E427">
            <v>139</v>
          </cell>
          <cell r="F427" t="str">
            <v>TYPE A/B/C</v>
          </cell>
          <cell r="G427" t="str">
            <v>1/4" ELCO ULTRACON</v>
          </cell>
          <cell r="H427">
            <v>2010</v>
          </cell>
          <cell r="I427">
            <v>43515</v>
          </cell>
        </row>
        <row r="428">
          <cell r="A428" t="str">
            <v>13-1024.04#2</v>
          </cell>
          <cell r="B428" t="str">
            <v>13-1024.04</v>
          </cell>
          <cell r="C428"/>
          <cell r="D428">
            <v>90</v>
          </cell>
          <cell r="E428">
            <v>138.4</v>
          </cell>
          <cell r="F428" t="str">
            <v>TYPE A/B/C</v>
          </cell>
          <cell r="G428" t="str">
            <v>1/4" ELCO ULTRACON</v>
          </cell>
          <cell r="H428">
            <v>2010</v>
          </cell>
          <cell r="I428">
            <v>43515</v>
          </cell>
        </row>
        <row r="429">
          <cell r="A429" t="str">
            <v>13-1024.05#1</v>
          </cell>
          <cell r="B429" t="str">
            <v>13-1024.05</v>
          </cell>
          <cell r="C429"/>
          <cell r="D429">
            <v>65</v>
          </cell>
          <cell r="E429">
            <v>72.5</v>
          </cell>
          <cell r="F429" t="str">
            <v>SERIES 1030</v>
          </cell>
          <cell r="G429" t="str">
            <v>1/4" ELCO ULTRACON</v>
          </cell>
          <cell r="H429">
            <v>2010</v>
          </cell>
          <cell r="I429">
            <v>43515</v>
          </cell>
        </row>
        <row r="430">
          <cell r="A430" t="str">
            <v>13-1112.07#1</v>
          </cell>
          <cell r="B430" t="str">
            <v>13-1112.07</v>
          </cell>
          <cell r="C430"/>
          <cell r="D430">
            <v>125</v>
          </cell>
          <cell r="E430">
            <v>125</v>
          </cell>
          <cell r="F430"/>
          <cell r="G430"/>
          <cell r="H430">
            <v>2014</v>
          </cell>
          <cell r="I430">
            <v>43696</v>
          </cell>
        </row>
        <row r="431">
          <cell r="A431" t="str">
            <v>13-1112.09#1</v>
          </cell>
          <cell r="B431" t="str">
            <v>13-1112.09</v>
          </cell>
          <cell r="C431" t="str">
            <v>ALUMINUM</v>
          </cell>
          <cell r="D431">
            <v>101</v>
          </cell>
          <cell r="E431">
            <v>101</v>
          </cell>
          <cell r="F431" t="str">
            <v>TYPE A</v>
          </cell>
          <cell r="G431" t="str">
            <v>1/4" HILTI KWIK-CON II</v>
          </cell>
          <cell r="H431">
            <v>2010</v>
          </cell>
          <cell r="I431">
            <v>43626</v>
          </cell>
        </row>
        <row r="432">
          <cell r="A432" t="str">
            <v>13-1115.03#1</v>
          </cell>
          <cell r="B432" t="str">
            <v>13-1115.03</v>
          </cell>
          <cell r="C432" t="str">
            <v>WITH REINFORCEMENTS</v>
          </cell>
          <cell r="D432">
            <v>70</v>
          </cell>
          <cell r="E432">
            <v>80</v>
          </cell>
          <cell r="F432" t="str">
            <v>TYPE A/B/C</v>
          </cell>
          <cell r="G432" t="str">
            <v>1/4" ELCO ULTRACON</v>
          </cell>
          <cell r="H432">
            <v>2010</v>
          </cell>
          <cell r="I432">
            <v>43542</v>
          </cell>
        </row>
        <row r="433">
          <cell r="A433" t="str">
            <v>13-1125.03#1</v>
          </cell>
          <cell r="B433" t="str">
            <v>13-1125.03</v>
          </cell>
          <cell r="C433"/>
          <cell r="D433">
            <v>65</v>
          </cell>
          <cell r="E433">
            <v>80</v>
          </cell>
          <cell r="F433" t="str">
            <v>TYPE C</v>
          </cell>
          <cell r="G433" t="str">
            <v>3/16" ITW TAPCON</v>
          </cell>
          <cell r="H433">
            <v>2014</v>
          </cell>
          <cell r="I433">
            <v>44188</v>
          </cell>
        </row>
        <row r="434">
          <cell r="A434" t="str">
            <v>13-1125.03#2</v>
          </cell>
          <cell r="B434" t="str">
            <v>13-1125.03</v>
          </cell>
          <cell r="C434"/>
          <cell r="D434">
            <v>70</v>
          </cell>
          <cell r="E434">
            <v>100</v>
          </cell>
          <cell r="F434" t="str">
            <v>TYPE A/B</v>
          </cell>
          <cell r="G434" t="str">
            <v>3/16" ITW TAPCON</v>
          </cell>
          <cell r="H434">
            <v>2014</v>
          </cell>
          <cell r="I434">
            <v>44188</v>
          </cell>
        </row>
        <row r="435">
          <cell r="A435" t="str">
            <v>13-1125.04#1</v>
          </cell>
          <cell r="B435" t="str">
            <v>13-1125.04</v>
          </cell>
          <cell r="C435"/>
          <cell r="D435">
            <v>100</v>
          </cell>
          <cell r="E435">
            <v>120</v>
          </cell>
          <cell r="F435" t="str">
            <v>TYPE A</v>
          </cell>
          <cell r="G435" t="str">
            <v>3/16" STEEL ULTRACON</v>
          </cell>
          <cell r="H435">
            <v>2014</v>
          </cell>
          <cell r="I435">
            <v>44054</v>
          </cell>
        </row>
        <row r="436">
          <cell r="A436" t="str">
            <v>13-1125.04#2</v>
          </cell>
          <cell r="B436" t="str">
            <v>13-1125.04</v>
          </cell>
          <cell r="C436"/>
          <cell r="D436">
            <v>65</v>
          </cell>
          <cell r="E436">
            <v>80</v>
          </cell>
          <cell r="F436" t="str">
            <v>TYPE B/C</v>
          </cell>
          <cell r="G436" t="str">
            <v>3/16" STEEL ULTRACON</v>
          </cell>
          <cell r="H436">
            <v>2014</v>
          </cell>
          <cell r="I436">
            <v>44054</v>
          </cell>
        </row>
        <row r="437">
          <cell r="A437" t="str">
            <v>13-1217.23#1</v>
          </cell>
          <cell r="B437" t="str">
            <v>13-1217.23</v>
          </cell>
          <cell r="C437" t="str">
            <v>ALUMINUM, WITH REINFORCEMENTS</v>
          </cell>
          <cell r="D437">
            <v>70</v>
          </cell>
          <cell r="E437">
            <v>80</v>
          </cell>
          <cell r="F437" t="str">
            <v>TYPE A/A1</v>
          </cell>
          <cell r="G437" t="str">
            <v>1/4" ELCO ULTRACON</v>
          </cell>
          <cell r="H437">
            <v>2010</v>
          </cell>
          <cell r="I437">
            <v>43544</v>
          </cell>
        </row>
        <row r="438">
          <cell r="A438" t="str">
            <v>14-0107.08#1</v>
          </cell>
          <cell r="B438" t="str">
            <v>14-0107.08</v>
          </cell>
          <cell r="C438" t="str">
            <v>ALUMINUM</v>
          </cell>
          <cell r="D438">
            <v>80</v>
          </cell>
          <cell r="E438">
            <v>80</v>
          </cell>
          <cell r="F438" t="str">
            <v>TYPE A/C</v>
          </cell>
          <cell r="G438" t="str">
            <v>1/4" ELCO ULTRACON</v>
          </cell>
          <cell r="H438">
            <v>2010</v>
          </cell>
          <cell r="I438">
            <v>43598</v>
          </cell>
        </row>
        <row r="439">
          <cell r="A439" t="str">
            <v>14-0107.10#1</v>
          </cell>
          <cell r="B439" t="str">
            <v>14-0107.10</v>
          </cell>
          <cell r="C439" t="str">
            <v>ALUMINUM</v>
          </cell>
          <cell r="D439">
            <v>80</v>
          </cell>
          <cell r="E439">
            <v>80</v>
          </cell>
          <cell r="F439"/>
          <cell r="G439" t="str">
            <v>5/16" ELCO ULTRACON</v>
          </cell>
          <cell r="H439">
            <v>2010</v>
          </cell>
          <cell r="I439">
            <v>41725</v>
          </cell>
        </row>
        <row r="440">
          <cell r="A440" t="str">
            <v>14-0123.10#1</v>
          </cell>
          <cell r="B440" t="str">
            <v>14-0123.10</v>
          </cell>
          <cell r="C440"/>
          <cell r="D440">
            <v>60</v>
          </cell>
          <cell r="E440">
            <v>60</v>
          </cell>
          <cell r="F440" t="str">
            <v>G1</v>
          </cell>
          <cell r="G440" t="str">
            <v>1/4" ELCO ULTRACON</v>
          </cell>
          <cell r="H440">
            <v>2010</v>
          </cell>
          <cell r="I440">
            <v>42052</v>
          </cell>
        </row>
        <row r="441">
          <cell r="A441" t="str">
            <v>14-0123.10#2</v>
          </cell>
          <cell r="B441" t="str">
            <v>14-0123.10</v>
          </cell>
          <cell r="C441" t="str">
            <v>W/WO REINFORCEMENTS</v>
          </cell>
          <cell r="D441">
            <v>60</v>
          </cell>
          <cell r="E441">
            <v>60</v>
          </cell>
          <cell r="F441" t="str">
            <v>TYPE G3/G3A/G5/G5A/G7/G7A/G8/G8A</v>
          </cell>
          <cell r="G441" t="str">
            <v>1/4" ELCO ULTRACON</v>
          </cell>
          <cell r="H441">
            <v>2010</v>
          </cell>
          <cell r="I441">
            <v>42052</v>
          </cell>
        </row>
        <row r="442">
          <cell r="A442" t="str">
            <v>14-0123.10#3</v>
          </cell>
          <cell r="B442" t="str">
            <v>14-0123.10</v>
          </cell>
          <cell r="C442" t="str">
            <v>3-1/4" SILL HEIGHT, W/O REINFORCEMENTS</v>
          </cell>
          <cell r="D442">
            <v>60</v>
          </cell>
          <cell r="E442">
            <v>90</v>
          </cell>
          <cell r="F442" t="str">
            <v>TYPE G4/G4A/G6/G6A/G7/G7A/G8/G8A</v>
          </cell>
          <cell r="G442" t="str">
            <v>1/4" ELCO ULTRACON</v>
          </cell>
          <cell r="H442">
            <v>2010</v>
          </cell>
          <cell r="I442">
            <v>42052</v>
          </cell>
        </row>
        <row r="443">
          <cell r="A443" t="str">
            <v>14-0128.11#1</v>
          </cell>
          <cell r="B443" t="str">
            <v>14-0128.11</v>
          </cell>
          <cell r="C443" t="str">
            <v>3-1/4" SILL HEIGHT, HEAVY DUTY STILES</v>
          </cell>
          <cell r="D443">
            <v>60</v>
          </cell>
          <cell r="E443">
            <v>60</v>
          </cell>
          <cell r="F443" t="str">
            <v>TYPE 4/4A/6/6A/7/7A/8/8A</v>
          </cell>
          <cell r="G443" t="str">
            <v>1/4" ELCO ULTRACON</v>
          </cell>
          <cell r="H443">
            <v>2014</v>
          </cell>
          <cell r="I443">
            <v>43878</v>
          </cell>
        </row>
        <row r="444">
          <cell r="A444" t="str">
            <v>14-0128.11#2</v>
          </cell>
          <cell r="B444" t="str">
            <v>14-0128.11</v>
          </cell>
          <cell r="C444" t="str">
            <v>4" SILL HEIGHT, HEAVY DUTY STILES</v>
          </cell>
          <cell r="D444">
            <v>90</v>
          </cell>
          <cell r="E444">
            <v>90</v>
          </cell>
          <cell r="F444" t="str">
            <v>TYPE 4/4A/6/6A/7/7A/8/8A</v>
          </cell>
          <cell r="G444" t="str">
            <v>1/4" ELCO ULTRACON</v>
          </cell>
          <cell r="H444">
            <v>2014</v>
          </cell>
          <cell r="I444">
            <v>43878</v>
          </cell>
        </row>
        <row r="445">
          <cell r="A445" t="str">
            <v>14-0303.09#1</v>
          </cell>
          <cell r="B445" t="str">
            <v>14-0303.09</v>
          </cell>
          <cell r="C445"/>
          <cell r="D445">
            <v>75</v>
          </cell>
          <cell r="E445">
            <v>85</v>
          </cell>
          <cell r="F445" t="str">
            <v xml:space="preserve">TYPE A </v>
          </cell>
          <cell r="G445" t="str">
            <v>1/4" ELCO ULTRACON</v>
          </cell>
          <cell r="H445">
            <v>2010</v>
          </cell>
          <cell r="I445">
            <v>43626</v>
          </cell>
        </row>
        <row r="446">
          <cell r="A446" t="str">
            <v>14-0303.10#1</v>
          </cell>
          <cell r="B446" t="str">
            <v>14-0303.10</v>
          </cell>
          <cell r="C446" t="str">
            <v xml:space="preserve">W/ SHW </v>
          </cell>
          <cell r="D446">
            <v>75</v>
          </cell>
          <cell r="E446">
            <v>85</v>
          </cell>
          <cell r="F446" t="str">
            <v>TYPE A/B/C</v>
          </cell>
          <cell r="G446" t="str">
            <v>1/4" ELCO ULTRACON</v>
          </cell>
          <cell r="H446">
            <v>2010</v>
          </cell>
          <cell r="I446">
            <v>43626</v>
          </cell>
        </row>
        <row r="447">
          <cell r="A447" t="str">
            <v>14-0305.08#1</v>
          </cell>
          <cell r="B447" t="str">
            <v>14-0305.08</v>
          </cell>
          <cell r="C447"/>
          <cell r="D447">
            <v>55</v>
          </cell>
          <cell r="E447">
            <v>55</v>
          </cell>
          <cell r="F447"/>
          <cell r="G447"/>
          <cell r="H447">
            <v>2014</v>
          </cell>
          <cell r="I447">
            <v>43242</v>
          </cell>
        </row>
        <row r="448">
          <cell r="A448" t="str">
            <v>14-0317.01#1</v>
          </cell>
          <cell r="B448" t="str">
            <v>14-0317.01</v>
          </cell>
          <cell r="C448"/>
          <cell r="D448">
            <v>70</v>
          </cell>
          <cell r="E448">
            <v>80</v>
          </cell>
          <cell r="F448" t="str">
            <v>TYPE A/C</v>
          </cell>
          <cell r="G448" t="str">
            <v>1/4" ELCO ULTRACON</v>
          </cell>
          <cell r="H448">
            <v>2010</v>
          </cell>
          <cell r="I448">
            <v>43612</v>
          </cell>
        </row>
        <row r="449">
          <cell r="A449" t="str">
            <v>14-0317.02#1</v>
          </cell>
          <cell r="B449" t="str">
            <v>14-0317.02</v>
          </cell>
          <cell r="C449"/>
          <cell r="D449">
            <v>75</v>
          </cell>
          <cell r="E449">
            <v>90</v>
          </cell>
          <cell r="F449" t="str">
            <v>TYPE A/B</v>
          </cell>
          <cell r="G449" t="str">
            <v>1/4" ITW TAPCON</v>
          </cell>
          <cell r="H449">
            <v>2010</v>
          </cell>
          <cell r="I449">
            <v>43565</v>
          </cell>
        </row>
        <row r="450">
          <cell r="A450" t="str">
            <v>14-0317.02#2</v>
          </cell>
          <cell r="B450" t="str">
            <v>14-0317.02</v>
          </cell>
          <cell r="C450"/>
          <cell r="D450">
            <v>75</v>
          </cell>
          <cell r="E450">
            <v>90</v>
          </cell>
          <cell r="F450" t="str">
            <v>TYPE B/C</v>
          </cell>
          <cell r="G450" t="str">
            <v>1/4" ITW TAPCON</v>
          </cell>
          <cell r="H450">
            <v>2010</v>
          </cell>
          <cell r="I450">
            <v>43565</v>
          </cell>
        </row>
        <row r="451">
          <cell r="A451" t="str">
            <v>14-0317.03#1</v>
          </cell>
          <cell r="B451" t="str">
            <v>14-0317.03</v>
          </cell>
          <cell r="C451"/>
          <cell r="D451">
            <v>80</v>
          </cell>
          <cell r="E451">
            <v>90</v>
          </cell>
          <cell r="F451" t="str">
            <v>TYPE D</v>
          </cell>
          <cell r="G451" t="str">
            <v>1/4" ITW TAPCON</v>
          </cell>
          <cell r="H451">
            <v>2010</v>
          </cell>
          <cell r="I451">
            <v>43633</v>
          </cell>
        </row>
        <row r="452">
          <cell r="A452" t="str">
            <v>14-0331.02#1</v>
          </cell>
          <cell r="B452" t="str">
            <v>14-0331.02</v>
          </cell>
          <cell r="C452" t="str">
            <v>ALUMINUM, MULLION M2, M3, M4, OR M5</v>
          </cell>
          <cell r="D452">
            <v>65.400000000000006</v>
          </cell>
          <cell r="E452">
            <v>65.400000000000006</v>
          </cell>
          <cell r="F452" t="str">
            <v>TYPE A/B</v>
          </cell>
          <cell r="G452" t="str">
            <v>1/4" ELCO ULTRACON</v>
          </cell>
          <cell r="H452">
            <v>2014</v>
          </cell>
          <cell r="I452">
            <v>43605</v>
          </cell>
        </row>
        <row r="453">
          <cell r="A453" t="str">
            <v>14-0331.02#2</v>
          </cell>
          <cell r="B453" t="str">
            <v>14-0331.02</v>
          </cell>
          <cell r="C453" t="str">
            <v>ALUMINUM, MULLION M2, M3, M4, OR M5</v>
          </cell>
          <cell r="D453">
            <v>80</v>
          </cell>
          <cell r="E453">
            <v>80</v>
          </cell>
          <cell r="F453" t="str">
            <v>TYPE A/B</v>
          </cell>
          <cell r="G453" t="str">
            <v>1/4" ELCO ULTRACON</v>
          </cell>
          <cell r="H453">
            <v>2014</v>
          </cell>
          <cell r="I453">
            <v>43605</v>
          </cell>
        </row>
        <row r="454">
          <cell r="A454" t="str">
            <v>14-0403.09#1</v>
          </cell>
          <cell r="B454" t="str">
            <v>14-0403.09</v>
          </cell>
          <cell r="C454"/>
          <cell r="D454">
            <v>55</v>
          </cell>
          <cell r="E454">
            <v>60</v>
          </cell>
          <cell r="F454"/>
          <cell r="G454"/>
          <cell r="H454">
            <v>2014</v>
          </cell>
          <cell r="I454"/>
        </row>
        <row r="455">
          <cell r="A455" t="str">
            <v>14-0415.06#1</v>
          </cell>
          <cell r="B455" t="str">
            <v>14-0415.06</v>
          </cell>
          <cell r="C455"/>
          <cell r="D455">
            <v>90</v>
          </cell>
          <cell r="E455">
            <v>90</v>
          </cell>
          <cell r="F455"/>
          <cell r="G455"/>
          <cell r="H455">
            <v>2014</v>
          </cell>
          <cell r="I455">
            <v>43649</v>
          </cell>
        </row>
        <row r="456">
          <cell r="A456" t="str">
            <v>14-0415.06#2</v>
          </cell>
          <cell r="B456" t="str">
            <v>14-0415.06</v>
          </cell>
          <cell r="C456"/>
          <cell r="D456">
            <v>120</v>
          </cell>
          <cell r="E456">
            <v>135</v>
          </cell>
          <cell r="F456"/>
          <cell r="G456"/>
          <cell r="H456">
            <v>2014</v>
          </cell>
          <cell r="I456">
            <v>43649</v>
          </cell>
        </row>
        <row r="457">
          <cell r="A457" t="str">
            <v>14-0714.04#1</v>
          </cell>
          <cell r="B457" t="str">
            <v>14-0714.04</v>
          </cell>
          <cell r="C457"/>
          <cell r="D457">
            <v>90</v>
          </cell>
          <cell r="E457">
            <v>155</v>
          </cell>
          <cell r="F457" t="str">
            <v>TYPE B/C</v>
          </cell>
          <cell r="G457" t="str">
            <v>1/4"ELCO ULTRACON</v>
          </cell>
          <cell r="H457">
            <v>2014</v>
          </cell>
          <cell r="I457">
            <v>43703</v>
          </cell>
        </row>
        <row r="458">
          <cell r="A458" t="str">
            <v>14-0714.05#1</v>
          </cell>
          <cell r="B458" t="str">
            <v>14-0714.05</v>
          </cell>
          <cell r="C458"/>
          <cell r="D458">
            <v>90</v>
          </cell>
          <cell r="E458">
            <v>120</v>
          </cell>
          <cell r="F458" t="str">
            <v>TYPE 3062</v>
          </cell>
          <cell r="G458" t="str">
            <v>1/4" ELCO ULTRACON</v>
          </cell>
          <cell r="H458">
            <v>2010</v>
          </cell>
          <cell r="I458">
            <v>43703</v>
          </cell>
        </row>
        <row r="459">
          <cell r="A459" t="str">
            <v>14-0807.18#1</v>
          </cell>
          <cell r="B459" t="str">
            <v>14-0807.18</v>
          </cell>
          <cell r="C459"/>
          <cell r="D459">
            <v>125.7</v>
          </cell>
          <cell r="E459">
            <v>125.7</v>
          </cell>
          <cell r="F459" t="str">
            <v>ALL TYPES</v>
          </cell>
          <cell r="G459" t="str">
            <v>1/4" ELCO ULTRACON</v>
          </cell>
          <cell r="H459">
            <v>2014</v>
          </cell>
          <cell r="I459">
            <v>43823</v>
          </cell>
        </row>
        <row r="460">
          <cell r="A460" t="str">
            <v>14-0811.18#1</v>
          </cell>
          <cell r="B460" t="str">
            <v>14-0811.18</v>
          </cell>
          <cell r="C460" t="str">
            <v>ROLL UP SHUTTER</v>
          </cell>
          <cell r="D460">
            <v>59.2</v>
          </cell>
          <cell r="E460">
            <v>59.6</v>
          </cell>
          <cell r="F460" t="str">
            <v>18" MIN GLASS SEP.</v>
          </cell>
          <cell r="G460" t="str">
            <v>5/16 ITW TAPCON</v>
          </cell>
          <cell r="H460">
            <v>2010</v>
          </cell>
          <cell r="I460">
            <v>43689</v>
          </cell>
        </row>
        <row r="461">
          <cell r="A461" t="str">
            <v>14-0903.04#1</v>
          </cell>
          <cell r="B461" t="str">
            <v>14-0903.04</v>
          </cell>
          <cell r="C461"/>
          <cell r="D461">
            <v>90</v>
          </cell>
          <cell r="E461">
            <v>160</v>
          </cell>
          <cell r="F461" t="str">
            <v>TYPE B/C</v>
          </cell>
          <cell r="G461" t="str">
            <v>1/4" ELCO ULTRACON</v>
          </cell>
          <cell r="H461">
            <v>2014</v>
          </cell>
          <cell r="I461">
            <v>43515</v>
          </cell>
        </row>
        <row r="462">
          <cell r="A462" t="str">
            <v>14-0903.04#2</v>
          </cell>
          <cell r="B462" t="str">
            <v>14-0903.04</v>
          </cell>
          <cell r="C462"/>
          <cell r="D462">
            <v>90</v>
          </cell>
          <cell r="E462">
            <v>138.4</v>
          </cell>
          <cell r="F462" t="str">
            <v>TYPE B</v>
          </cell>
          <cell r="G462" t="str">
            <v>1/4" ELCO ULTRACON</v>
          </cell>
          <cell r="H462">
            <v>2014</v>
          </cell>
          <cell r="I462">
            <v>43515</v>
          </cell>
        </row>
        <row r="463">
          <cell r="A463" t="str">
            <v>14-0908.02#1</v>
          </cell>
          <cell r="B463" t="str">
            <v>14-0908.02</v>
          </cell>
          <cell r="C463" t="str">
            <v>ALUMINUM, 3" RISER</v>
          </cell>
          <cell r="D463">
            <v>60</v>
          </cell>
          <cell r="E463">
            <v>60</v>
          </cell>
          <cell r="F463" t="str">
            <v>TYPE A/B</v>
          </cell>
          <cell r="G463" t="str">
            <v>1/4" ELCO ULTRACON</v>
          </cell>
          <cell r="H463">
            <v>2014</v>
          </cell>
          <cell r="I463">
            <v>43144</v>
          </cell>
        </row>
        <row r="464">
          <cell r="A464" t="str">
            <v>14-0908.07#1</v>
          </cell>
          <cell r="B464" t="str">
            <v>14-0908.07</v>
          </cell>
          <cell r="C464" t="str">
            <v>OUTSWING</v>
          </cell>
          <cell r="D464">
            <v>86</v>
          </cell>
          <cell r="E464">
            <v>86</v>
          </cell>
          <cell r="F464" t="str">
            <v>TYPE A/E</v>
          </cell>
          <cell r="G464" t="str">
            <v>5/16" ELCO ULTRACON</v>
          </cell>
          <cell r="H464">
            <v>2014</v>
          </cell>
          <cell r="I464">
            <v>43256</v>
          </cell>
        </row>
        <row r="465">
          <cell r="A465" t="str">
            <v>14-0908.09#1</v>
          </cell>
          <cell r="B465" t="str">
            <v>14-0908.09</v>
          </cell>
          <cell r="C465" t="str">
            <v>FIN-FRAME</v>
          </cell>
          <cell r="D465">
            <v>60</v>
          </cell>
          <cell r="E465">
            <v>60</v>
          </cell>
          <cell r="F465" t="str">
            <v>TYPE 1/2/3</v>
          </cell>
          <cell r="G465" t="str">
            <v>#12 SMS</v>
          </cell>
          <cell r="H465">
            <v>2014</v>
          </cell>
          <cell r="I465">
            <v>43410</v>
          </cell>
        </row>
        <row r="466">
          <cell r="A466" t="str">
            <v>14-0908.10#1</v>
          </cell>
          <cell r="B466" t="str">
            <v>14-0908.10</v>
          </cell>
          <cell r="C466" t="str">
            <v>ALUMINUM</v>
          </cell>
          <cell r="D466">
            <v>60</v>
          </cell>
          <cell r="E466">
            <v>60</v>
          </cell>
          <cell r="F466" t="str">
            <v>TYPE 4</v>
          </cell>
          <cell r="G466" t="str">
            <v>1/4" TAPCON</v>
          </cell>
          <cell r="H466">
            <v>2014</v>
          </cell>
          <cell r="I466">
            <v>42731</v>
          </cell>
        </row>
        <row r="467">
          <cell r="A467" t="str">
            <v>14-0908.10#2</v>
          </cell>
          <cell r="B467" t="str">
            <v>14-0908.10</v>
          </cell>
          <cell r="C467" t="str">
            <v>ALUMINUM</v>
          </cell>
          <cell r="D467">
            <v>80</v>
          </cell>
          <cell r="E467">
            <v>80</v>
          </cell>
          <cell r="F467" t="str">
            <v>TYPE 2/3/5/6/7</v>
          </cell>
          <cell r="G467" t="str">
            <v>1/4" TAPCON</v>
          </cell>
          <cell r="H467">
            <v>2014</v>
          </cell>
          <cell r="I467">
            <v>42731</v>
          </cell>
        </row>
        <row r="468">
          <cell r="A468" t="str">
            <v>14-1015.04#1</v>
          </cell>
          <cell r="B468" t="str">
            <v>14-1015.04</v>
          </cell>
          <cell r="C468" t="str">
            <v>OUTSWING</v>
          </cell>
          <cell r="D468">
            <v>80</v>
          </cell>
          <cell r="E468">
            <v>80</v>
          </cell>
          <cell r="F468" t="str">
            <v>7/16LAM.</v>
          </cell>
          <cell r="G468" t="str">
            <v>1/4" ELCO CONCRETE SCREW</v>
          </cell>
          <cell r="H468">
            <v>2014</v>
          </cell>
          <cell r="I468">
            <v>43320</v>
          </cell>
        </row>
        <row r="469">
          <cell r="A469" t="str">
            <v>14-1117.05#1</v>
          </cell>
          <cell r="B469" t="str">
            <v>14-1117.05</v>
          </cell>
          <cell r="C469" t="str">
            <v>OUTSWING</v>
          </cell>
          <cell r="D469">
            <v>70</v>
          </cell>
          <cell r="E469">
            <v>80</v>
          </cell>
          <cell r="F469" t="str">
            <v xml:space="preserve">TYPE A/E </v>
          </cell>
          <cell r="G469" t="str">
            <v>1/4" ELCO ULTRACON</v>
          </cell>
          <cell r="H469">
            <v>2014</v>
          </cell>
          <cell r="I469">
            <v>43885</v>
          </cell>
        </row>
        <row r="470">
          <cell r="A470" t="str">
            <v>14-1118.04#1</v>
          </cell>
          <cell r="B470" t="str">
            <v>14-1118.04</v>
          </cell>
          <cell r="C470"/>
          <cell r="D470">
            <v>120</v>
          </cell>
          <cell r="E470">
            <v>120</v>
          </cell>
          <cell r="F470"/>
          <cell r="G470"/>
          <cell r="H470">
            <v>2014</v>
          </cell>
          <cell r="I470">
            <v>43923</v>
          </cell>
        </row>
        <row r="471">
          <cell r="A471" t="str">
            <v>14-1118.04#2</v>
          </cell>
          <cell r="B471" t="str">
            <v>14-1118.04</v>
          </cell>
          <cell r="C471"/>
          <cell r="D471">
            <v>110</v>
          </cell>
          <cell r="E471">
            <v>110</v>
          </cell>
          <cell r="F471"/>
          <cell r="G471"/>
          <cell r="H471">
            <v>2014</v>
          </cell>
          <cell r="I471">
            <v>43923</v>
          </cell>
        </row>
        <row r="472">
          <cell r="A472" t="str">
            <v>14-1208.02#1</v>
          </cell>
          <cell r="B472" t="str">
            <v>14-1208.02</v>
          </cell>
          <cell r="C472"/>
          <cell r="D472">
            <v>75</v>
          </cell>
          <cell r="E472">
            <v>75</v>
          </cell>
          <cell r="F472" t="str">
            <v>TYPE 2031</v>
          </cell>
          <cell r="G472" t="str">
            <v>1/4" ELCO ULTRACON</v>
          </cell>
          <cell r="H472">
            <v>2014</v>
          </cell>
          <cell r="I472">
            <v>42809</v>
          </cell>
        </row>
        <row r="473">
          <cell r="A473" t="str">
            <v>14-1208.02#2</v>
          </cell>
          <cell r="B473" t="str">
            <v>14-1208.02</v>
          </cell>
          <cell r="C473"/>
          <cell r="D473">
            <v>75</v>
          </cell>
          <cell r="E473">
            <v>85</v>
          </cell>
          <cell r="F473" t="str">
            <v>TYPE 2041</v>
          </cell>
          <cell r="G473" t="str">
            <v>1/4" ELCO ULTRACON</v>
          </cell>
          <cell r="H473">
            <v>2014</v>
          </cell>
          <cell r="I473">
            <v>42809</v>
          </cell>
        </row>
        <row r="474">
          <cell r="A474" t="str">
            <v>14-1212.01#1</v>
          </cell>
          <cell r="B474" t="str">
            <v>14-1212.01</v>
          </cell>
          <cell r="C474"/>
          <cell r="D474">
            <v>70</v>
          </cell>
          <cell r="E474">
            <v>70</v>
          </cell>
          <cell r="F474" t="str">
            <v>TYPE C</v>
          </cell>
          <cell r="G474" t="str">
            <v>1/4" ELCO ULTRACON</v>
          </cell>
          <cell r="H474">
            <v>2014</v>
          </cell>
          <cell r="I474">
            <v>42976</v>
          </cell>
        </row>
        <row r="475">
          <cell r="A475" t="str">
            <v>14-1212.02#1</v>
          </cell>
          <cell r="B475" t="str">
            <v>14-1212.02</v>
          </cell>
          <cell r="C475"/>
          <cell r="D475">
            <v>55</v>
          </cell>
          <cell r="E475">
            <v>60</v>
          </cell>
          <cell r="F475"/>
          <cell r="G475"/>
          <cell r="H475">
            <v>2014</v>
          </cell>
          <cell r="I475"/>
        </row>
        <row r="476">
          <cell r="A476" t="str">
            <v>15-0102.01#1</v>
          </cell>
          <cell r="B476" t="str">
            <v>15-0102.01</v>
          </cell>
          <cell r="C476" t="str">
            <v>GLASS C, W/ STEEL REINF.</v>
          </cell>
          <cell r="D476">
            <v>80</v>
          </cell>
          <cell r="E476">
            <v>100</v>
          </cell>
          <cell r="F476" t="str">
            <v>TYPE C</v>
          </cell>
          <cell r="G476"/>
          <cell r="H476">
            <v>2014</v>
          </cell>
          <cell r="I476">
            <v>42948</v>
          </cell>
        </row>
        <row r="477">
          <cell r="A477" t="str">
            <v>15-0102.02#1</v>
          </cell>
          <cell r="B477" t="str">
            <v>15-0102.02</v>
          </cell>
          <cell r="C477"/>
          <cell r="D477">
            <v>60</v>
          </cell>
          <cell r="E477">
            <v>60</v>
          </cell>
          <cell r="F477" t="str">
            <v>ALL TYPES</v>
          </cell>
          <cell r="G477"/>
          <cell r="H477">
            <v>2014</v>
          </cell>
          <cell r="I477">
            <v>42948</v>
          </cell>
        </row>
        <row r="478">
          <cell r="A478" t="str">
            <v>15-0106.08#1</v>
          </cell>
          <cell r="B478" t="str">
            <v>15-0106.08</v>
          </cell>
          <cell r="C478"/>
          <cell r="D478">
            <v>90</v>
          </cell>
          <cell r="E478">
            <v>130</v>
          </cell>
          <cell r="F478" t="str">
            <v>TYPE G4/G4A/G6/G6A</v>
          </cell>
          <cell r="G478" t="str">
            <v>1/4" ELCO ULTRACON</v>
          </cell>
          <cell r="H478">
            <v>2014</v>
          </cell>
          <cell r="I478">
            <v>43914</v>
          </cell>
        </row>
        <row r="479">
          <cell r="A479" t="str">
            <v>15-0106.09#1</v>
          </cell>
          <cell r="B479" t="str">
            <v>15-0106.09</v>
          </cell>
          <cell r="C479" t="str">
            <v>ALUMINUM, 3-1/4" SILL</v>
          </cell>
          <cell r="D479">
            <v>60</v>
          </cell>
          <cell r="E479">
            <v>130</v>
          </cell>
          <cell r="F479" t="str">
            <v>TYPE G9/G9A/G10/G10A</v>
          </cell>
          <cell r="G479" t="str">
            <v>1/4" ELCO ULTRACON</v>
          </cell>
          <cell r="H479">
            <v>2014</v>
          </cell>
          <cell r="I479">
            <v>43914</v>
          </cell>
        </row>
        <row r="480">
          <cell r="A480" t="str">
            <v>15-0106.09#2</v>
          </cell>
          <cell r="B480" t="str">
            <v>15-0106.09</v>
          </cell>
          <cell r="C480" t="str">
            <v>ALUMINUM, 4" SILL</v>
          </cell>
          <cell r="D480">
            <v>90</v>
          </cell>
          <cell r="E480">
            <v>130</v>
          </cell>
          <cell r="F480" t="str">
            <v>TYPE G9/G9A/G10/G10A</v>
          </cell>
          <cell r="G480" t="str">
            <v>1/4" ELCO ULTRACON</v>
          </cell>
          <cell r="H480">
            <v>2014</v>
          </cell>
          <cell r="I480">
            <v>43914</v>
          </cell>
        </row>
        <row r="481">
          <cell r="A481" t="str">
            <v>15-0106.09#3</v>
          </cell>
          <cell r="B481" t="str">
            <v>15-0106.09</v>
          </cell>
          <cell r="C481" t="str">
            <v>ALUMINUM, 3-1/4" SILL</v>
          </cell>
          <cell r="D481">
            <v>60</v>
          </cell>
          <cell r="E481">
            <v>130</v>
          </cell>
          <cell r="F481" t="str">
            <v>TYPE G10A</v>
          </cell>
          <cell r="G481" t="str">
            <v>1/4" ELCO ULTRACON</v>
          </cell>
          <cell r="H481">
            <v>2014</v>
          </cell>
          <cell r="I481">
            <v>43914</v>
          </cell>
        </row>
        <row r="482">
          <cell r="A482" t="str">
            <v>15-0129.07#1</v>
          </cell>
          <cell r="B482" t="str">
            <v>15-0129.07</v>
          </cell>
          <cell r="C482"/>
          <cell r="D482">
            <v>80</v>
          </cell>
          <cell r="E482">
            <v>120</v>
          </cell>
          <cell r="F482"/>
          <cell r="G482"/>
          <cell r="H482">
            <v>2014</v>
          </cell>
          <cell r="I482"/>
        </row>
        <row r="483">
          <cell r="A483" t="str">
            <v>15-0130.03#1</v>
          </cell>
          <cell r="B483" t="str">
            <v>15-0130.03</v>
          </cell>
          <cell r="C483"/>
          <cell r="D483">
            <v>90</v>
          </cell>
          <cell r="E483">
            <v>140</v>
          </cell>
          <cell r="F483" t="str">
            <v>TYPE A/C/D/E</v>
          </cell>
          <cell r="G483" t="str">
            <v>1/4" ELCO ULTRACON</v>
          </cell>
          <cell r="H483">
            <v>2014</v>
          </cell>
          <cell r="I483"/>
        </row>
        <row r="484">
          <cell r="A484" t="str">
            <v>15-0130.03#2</v>
          </cell>
          <cell r="B484" t="str">
            <v>15-0130.03</v>
          </cell>
          <cell r="C484"/>
          <cell r="D484">
            <v>75</v>
          </cell>
          <cell r="E484">
            <v>75</v>
          </cell>
          <cell r="F484" t="str">
            <v>TYPE F</v>
          </cell>
          <cell r="G484" t="str">
            <v>1/4" ELCO ULTRACON</v>
          </cell>
          <cell r="H484">
            <v>2014</v>
          </cell>
          <cell r="I484"/>
        </row>
        <row r="485">
          <cell r="A485" t="str">
            <v>15-0406.12#1</v>
          </cell>
          <cell r="B485" t="str">
            <v>15-0406.12</v>
          </cell>
          <cell r="C485" t="str">
            <v>ALUMINUM</v>
          </cell>
          <cell r="D485">
            <v>75</v>
          </cell>
          <cell r="E485">
            <v>90</v>
          </cell>
          <cell r="F485" t="str">
            <v>TYPE A/B/C</v>
          </cell>
          <cell r="G485" t="str">
            <v>1/4" ELCO ULTRACON</v>
          </cell>
          <cell r="H485">
            <v>2014</v>
          </cell>
          <cell r="I485">
            <v>43563</v>
          </cell>
        </row>
        <row r="486">
          <cell r="A486" t="str">
            <v>15-0409.02#1</v>
          </cell>
          <cell r="B486" t="str">
            <v>15-0409.02</v>
          </cell>
          <cell r="C486" t="str">
            <v xml:space="preserve">REINFORCED </v>
          </cell>
          <cell r="D486">
            <v>100</v>
          </cell>
          <cell r="E486">
            <v>100</v>
          </cell>
          <cell r="F486" t="str">
            <v>TYPE A</v>
          </cell>
          <cell r="G486" t="str">
            <v>1/4" ELCO ULTRACON</v>
          </cell>
          <cell r="H486">
            <v>2014</v>
          </cell>
          <cell r="I486">
            <v>42108</v>
          </cell>
        </row>
        <row r="487">
          <cell r="A487" t="str">
            <v>15-0409.02#2</v>
          </cell>
          <cell r="B487" t="str">
            <v>15-0409.02</v>
          </cell>
          <cell r="C487" t="str">
            <v xml:space="preserve">REINFORCED </v>
          </cell>
          <cell r="D487">
            <v>60</v>
          </cell>
          <cell r="E487">
            <v>60</v>
          </cell>
          <cell r="F487" t="str">
            <v>TYPE B/C</v>
          </cell>
          <cell r="G487" t="str">
            <v>1/4" ELCO ULTRACON</v>
          </cell>
          <cell r="H487">
            <v>2014</v>
          </cell>
          <cell r="I487">
            <v>42108</v>
          </cell>
        </row>
        <row r="488">
          <cell r="A488" t="str">
            <v>15-0409.03#1</v>
          </cell>
          <cell r="B488" t="str">
            <v>15-0409.03</v>
          </cell>
          <cell r="C488" t="str">
            <v xml:space="preserve">W/WO SIDELITE </v>
          </cell>
          <cell r="D488">
            <v>70</v>
          </cell>
          <cell r="E488">
            <v>70</v>
          </cell>
          <cell r="F488"/>
          <cell r="G488" t="str">
            <v>3/16" ELCO ULTRACON</v>
          </cell>
          <cell r="H488">
            <v>2014</v>
          </cell>
          <cell r="I488">
            <v>43488</v>
          </cell>
        </row>
        <row r="489">
          <cell r="A489" t="str">
            <v>15-0409.09#1</v>
          </cell>
          <cell r="B489" t="str">
            <v>15-0409.09</v>
          </cell>
          <cell r="C489"/>
          <cell r="D489">
            <v>131</v>
          </cell>
          <cell r="E489">
            <v>131</v>
          </cell>
          <cell r="F489" t="str">
            <v>9/16 LAMI</v>
          </cell>
          <cell r="G489" t="str">
            <v>1/4" KWIK CON</v>
          </cell>
          <cell r="H489">
            <v>2014</v>
          </cell>
          <cell r="I489"/>
        </row>
        <row r="490">
          <cell r="A490" t="str">
            <v>15-0413.03#1</v>
          </cell>
          <cell r="B490" t="str">
            <v>15-0413.03</v>
          </cell>
          <cell r="C490" t="str">
            <v>HVHZ</v>
          </cell>
          <cell r="D490">
            <v>80</v>
          </cell>
          <cell r="E490">
            <v>80</v>
          </cell>
          <cell r="F490" t="str">
            <v>7/16LAM.</v>
          </cell>
          <cell r="G490" t="str">
            <v>1/4" ELCO ULTRACONS</v>
          </cell>
          <cell r="H490">
            <v>2014</v>
          </cell>
          <cell r="I490"/>
        </row>
        <row r="491">
          <cell r="A491" t="str">
            <v>15-0416.05#1</v>
          </cell>
          <cell r="B491" t="str">
            <v>15-0416.05</v>
          </cell>
          <cell r="C491"/>
          <cell r="D491">
            <v>74.400000000000006</v>
          </cell>
          <cell r="E491">
            <v>74.400000000000006</v>
          </cell>
          <cell r="F491" t="str">
            <v>1/2" LAM GLASS</v>
          </cell>
          <cell r="G491" t="str">
            <v>5/16" ELCO ULTRACON</v>
          </cell>
          <cell r="H491">
            <v>2014</v>
          </cell>
          <cell r="I491">
            <v>43186</v>
          </cell>
        </row>
        <row r="492">
          <cell r="A492" t="str">
            <v>15-0416.06#1</v>
          </cell>
          <cell r="B492" t="str">
            <v>15-0416.06</v>
          </cell>
          <cell r="C492"/>
          <cell r="D492">
            <v>110</v>
          </cell>
          <cell r="E492">
            <v>110</v>
          </cell>
          <cell r="F492" t="str">
            <v>TYPE A</v>
          </cell>
          <cell r="G492" t="str">
            <v>1/4" ELCO ULTRACON</v>
          </cell>
          <cell r="H492">
            <v>2014</v>
          </cell>
          <cell r="I492">
            <v>43186</v>
          </cell>
        </row>
        <row r="493">
          <cell r="A493" t="str">
            <v>15-0505.29#1</v>
          </cell>
          <cell r="B493" t="str">
            <v>15-0505.29</v>
          </cell>
          <cell r="C493" t="str">
            <v>ALUMINUM</v>
          </cell>
          <cell r="D493">
            <v>80</v>
          </cell>
          <cell r="E493">
            <v>90</v>
          </cell>
          <cell r="F493" t="str">
            <v>TYPE A</v>
          </cell>
          <cell r="G493" t="str">
            <v>1/4" ELCO ULTRACON</v>
          </cell>
          <cell r="H493">
            <v>2014</v>
          </cell>
          <cell r="I493">
            <v>43598</v>
          </cell>
        </row>
        <row r="494">
          <cell r="A494" t="str">
            <v>15-0505.29#2</v>
          </cell>
          <cell r="B494" t="str">
            <v>15-0505.29</v>
          </cell>
          <cell r="C494" t="str">
            <v>ALUMINUM</v>
          </cell>
          <cell r="D494">
            <v>90</v>
          </cell>
          <cell r="E494">
            <v>130</v>
          </cell>
          <cell r="F494" t="str">
            <v>TYPE B</v>
          </cell>
          <cell r="G494" t="str">
            <v>1/4" ELCO ULTRACON</v>
          </cell>
          <cell r="H494">
            <v>2014</v>
          </cell>
          <cell r="I494">
            <v>43598</v>
          </cell>
        </row>
        <row r="495">
          <cell r="A495" t="str">
            <v>15-0512.08#1</v>
          </cell>
          <cell r="B495" t="str">
            <v>15-0512.08</v>
          </cell>
          <cell r="C495"/>
          <cell r="D495">
            <v>80</v>
          </cell>
          <cell r="E495">
            <v>200</v>
          </cell>
          <cell r="F495"/>
          <cell r="G495"/>
          <cell r="H495">
            <v>2014</v>
          </cell>
          <cell r="I495">
            <v>43956</v>
          </cell>
        </row>
        <row r="496">
          <cell r="A496" t="str">
            <v>15-0512.09#1</v>
          </cell>
          <cell r="B496" t="str">
            <v>15-0512.09</v>
          </cell>
          <cell r="C496"/>
          <cell r="D496">
            <v>80</v>
          </cell>
          <cell r="E496">
            <v>102.1</v>
          </cell>
          <cell r="F496"/>
          <cell r="G496"/>
          <cell r="H496">
            <v>2014</v>
          </cell>
          <cell r="I496">
            <v>43782</v>
          </cell>
        </row>
        <row r="497">
          <cell r="A497" t="str">
            <v>15-0512.10#1</v>
          </cell>
          <cell r="B497" t="str">
            <v>15-0512.10</v>
          </cell>
          <cell r="C497" t="str">
            <v>HVHZ</v>
          </cell>
          <cell r="D497">
            <v>75</v>
          </cell>
          <cell r="E497">
            <v>75</v>
          </cell>
          <cell r="F497" t="str">
            <v>5/16 LAMINATED</v>
          </cell>
          <cell r="G497" t="str">
            <v>1/4" ELCO ULTRACON</v>
          </cell>
          <cell r="H497">
            <v>2014</v>
          </cell>
          <cell r="I497"/>
        </row>
        <row r="498">
          <cell r="A498" t="str">
            <v>15-0512.10#2</v>
          </cell>
          <cell r="B498" t="str">
            <v>15-0512.10</v>
          </cell>
          <cell r="C498" t="str">
            <v>HVHZ</v>
          </cell>
          <cell r="D498">
            <v>80</v>
          </cell>
          <cell r="E498">
            <v>85</v>
          </cell>
          <cell r="F498"/>
          <cell r="G498" t="str">
            <v>1/4" ELCO ULTRACON</v>
          </cell>
          <cell r="H498">
            <v>2014</v>
          </cell>
          <cell r="I498"/>
        </row>
        <row r="499">
          <cell r="A499" t="str">
            <v>15-0512.12#1</v>
          </cell>
          <cell r="B499" t="str">
            <v>15-0512.12</v>
          </cell>
          <cell r="C499"/>
          <cell r="D499">
            <v>133</v>
          </cell>
          <cell r="E499">
            <v>150</v>
          </cell>
          <cell r="F499"/>
          <cell r="G499"/>
          <cell r="H499">
            <v>2014</v>
          </cell>
          <cell r="I499">
            <v>43619</v>
          </cell>
        </row>
        <row r="500">
          <cell r="A500" t="str">
            <v>15-0512.16#1</v>
          </cell>
          <cell r="B500" t="str">
            <v>15-0512.16</v>
          </cell>
          <cell r="C500"/>
          <cell r="D500">
            <v>110</v>
          </cell>
          <cell r="E500">
            <v>120</v>
          </cell>
          <cell r="F500"/>
          <cell r="G500"/>
          <cell r="H500">
            <v>2014</v>
          </cell>
          <cell r="I500"/>
        </row>
        <row r="501">
          <cell r="A501" t="str">
            <v>15-0512.19#1</v>
          </cell>
          <cell r="B501" t="str">
            <v>15-0512.19</v>
          </cell>
          <cell r="C501"/>
          <cell r="D501">
            <v>110</v>
          </cell>
          <cell r="E501">
            <v>195</v>
          </cell>
          <cell r="F501"/>
          <cell r="G501"/>
          <cell r="H501">
            <v>2014</v>
          </cell>
          <cell r="I501">
            <v>43399</v>
          </cell>
        </row>
        <row r="502">
          <cell r="A502" t="str">
            <v>15-0512.25#1</v>
          </cell>
          <cell r="B502" t="str">
            <v>15-0512.25</v>
          </cell>
          <cell r="C502"/>
          <cell r="D502">
            <v>80</v>
          </cell>
          <cell r="E502">
            <v>140</v>
          </cell>
          <cell r="F502" t="str">
            <v>ANY</v>
          </cell>
          <cell r="G502" t="str">
            <v>1/4" HILTI KWIK-CON II</v>
          </cell>
          <cell r="H502">
            <v>2014</v>
          </cell>
          <cell r="I502"/>
        </row>
        <row r="503">
          <cell r="A503" t="str">
            <v>15-0512.27#1</v>
          </cell>
          <cell r="B503" t="str">
            <v>15-0512.27</v>
          </cell>
          <cell r="C503"/>
          <cell r="D503">
            <v>143</v>
          </cell>
          <cell r="E503">
            <v>143</v>
          </cell>
          <cell r="F503" t="str">
            <v>TYPE A</v>
          </cell>
          <cell r="G503" t="str">
            <v>1/4" HILTI KWIK-CON II</v>
          </cell>
          <cell r="H503">
            <v>2014</v>
          </cell>
          <cell r="I503">
            <v>43626</v>
          </cell>
        </row>
        <row r="504">
          <cell r="A504" t="str">
            <v>15-0515.03#1</v>
          </cell>
          <cell r="B504" t="str">
            <v>15-0515.03</v>
          </cell>
          <cell r="C504"/>
          <cell r="D504">
            <v>125</v>
          </cell>
          <cell r="E504">
            <v>160</v>
          </cell>
          <cell r="F504" t="str">
            <v>ANY</v>
          </cell>
          <cell r="G504" t="str">
            <v>1/4" KWIK CON II</v>
          </cell>
          <cell r="H504">
            <v>2014</v>
          </cell>
          <cell r="I504"/>
        </row>
        <row r="505">
          <cell r="A505" t="str">
            <v>15-0515.25#1</v>
          </cell>
          <cell r="B505" t="str">
            <v>15-0515.25</v>
          </cell>
          <cell r="C505"/>
          <cell r="D505">
            <v>120</v>
          </cell>
          <cell r="E505">
            <v>150</v>
          </cell>
          <cell r="F505" t="str">
            <v>ALL TYPES</v>
          </cell>
          <cell r="G505" t="str">
            <v>1/4" ELCO ULTRACON</v>
          </cell>
          <cell r="H505">
            <v>2015</v>
          </cell>
          <cell r="I505">
            <v>43626</v>
          </cell>
        </row>
        <row r="506">
          <cell r="A506" t="str">
            <v>15-0519.06#1</v>
          </cell>
          <cell r="B506" t="str">
            <v>15-0519.06</v>
          </cell>
          <cell r="C506"/>
          <cell r="D506">
            <v>65</v>
          </cell>
          <cell r="E506">
            <v>74.3</v>
          </cell>
          <cell r="F506"/>
          <cell r="G506"/>
          <cell r="H506">
            <v>2014</v>
          </cell>
          <cell r="I506">
            <v>44012</v>
          </cell>
        </row>
        <row r="507">
          <cell r="A507" t="str">
            <v>15-0519.08#1</v>
          </cell>
          <cell r="B507" t="str">
            <v>15-0519.08</v>
          </cell>
          <cell r="C507" t="str">
            <v>ALUMINUM</v>
          </cell>
          <cell r="D507">
            <v>80</v>
          </cell>
          <cell r="E507">
            <v>80</v>
          </cell>
          <cell r="F507" t="str">
            <v>TYPE A/B/M</v>
          </cell>
          <cell r="G507" t="str">
            <v xml:space="preserve">1/4" ELCO TAPCONS </v>
          </cell>
          <cell r="H507">
            <v>2014</v>
          </cell>
          <cell r="I507">
            <v>44281</v>
          </cell>
        </row>
        <row r="508">
          <cell r="A508" t="str">
            <v>15-0519.09#1</v>
          </cell>
          <cell r="B508" t="str">
            <v>15-0519.09</v>
          </cell>
          <cell r="C508"/>
          <cell r="D508">
            <v>75</v>
          </cell>
          <cell r="E508">
            <v>75</v>
          </cell>
          <cell r="F508" t="str">
            <v>TYPE A/B/G/H</v>
          </cell>
          <cell r="G508" t="str">
            <v>1/4" ELCO TAPCON</v>
          </cell>
          <cell r="H508">
            <v>2014</v>
          </cell>
          <cell r="I508">
            <v>44551</v>
          </cell>
        </row>
        <row r="509">
          <cell r="A509" t="str">
            <v>15-0528.24#1</v>
          </cell>
          <cell r="B509" t="str">
            <v>15-0528.24</v>
          </cell>
          <cell r="C509" t="str">
            <v>W/WO SIDELITES</v>
          </cell>
          <cell r="D509">
            <v>75</v>
          </cell>
          <cell r="E509">
            <v>75</v>
          </cell>
          <cell r="F509" t="str">
            <v>TYPE A/B/C/D/E</v>
          </cell>
          <cell r="G509" t="str">
            <v xml:space="preserve">1/4" ELCO TAPCONS </v>
          </cell>
          <cell r="H509">
            <v>2014</v>
          </cell>
          <cell r="I509">
            <v>43026</v>
          </cell>
        </row>
        <row r="510">
          <cell r="A510" t="str">
            <v>15-0528.26#1</v>
          </cell>
          <cell r="B510" t="str">
            <v>15-0528.26</v>
          </cell>
          <cell r="C510" t="str">
            <v>ALUMINUM</v>
          </cell>
          <cell r="D510">
            <v>80</v>
          </cell>
          <cell r="E510">
            <v>80</v>
          </cell>
          <cell r="F510" t="str">
            <v>TYPE 2/4</v>
          </cell>
          <cell r="G510" t="str">
            <v>1/4" ULTRACON</v>
          </cell>
          <cell r="H510">
            <v>2014</v>
          </cell>
          <cell r="I510">
            <v>43515</v>
          </cell>
        </row>
        <row r="511">
          <cell r="A511" t="str">
            <v>15-0528.26#2</v>
          </cell>
          <cell r="B511" t="str">
            <v>15-0528.26</v>
          </cell>
          <cell r="C511" t="str">
            <v>ALUMINUM</v>
          </cell>
          <cell r="D511">
            <v>80</v>
          </cell>
          <cell r="E511">
            <v>80</v>
          </cell>
          <cell r="F511" t="str">
            <v>TYPE 1</v>
          </cell>
          <cell r="G511" t="str">
            <v>1/4" ULTRACON</v>
          </cell>
          <cell r="H511">
            <v>2014</v>
          </cell>
          <cell r="I511">
            <v>43515</v>
          </cell>
        </row>
        <row r="512">
          <cell r="A512" t="str">
            <v>15-0603.13#1</v>
          </cell>
          <cell r="B512" t="str">
            <v>15-0603.13</v>
          </cell>
          <cell r="C512"/>
          <cell r="D512">
            <v>70</v>
          </cell>
          <cell r="E512">
            <v>75</v>
          </cell>
          <cell r="F512" t="str">
            <v>ALL TYPES</v>
          </cell>
          <cell r="G512" t="str">
            <v>1/4" ELCO ULTRACON</v>
          </cell>
          <cell r="H512">
            <v>2014</v>
          </cell>
          <cell r="I512">
            <v>43544</v>
          </cell>
        </row>
        <row r="513">
          <cell r="A513" t="str">
            <v>15-0609.03#1</v>
          </cell>
          <cell r="B513" t="str">
            <v>15-0609.03</v>
          </cell>
          <cell r="C513" t="str">
            <v xml:space="preserve">ALUMINUM </v>
          </cell>
          <cell r="D513">
            <v>90</v>
          </cell>
          <cell r="E513">
            <v>150</v>
          </cell>
          <cell r="F513" t="str">
            <v>ALL TYPES</v>
          </cell>
          <cell r="G513" t="str">
            <v>1/4" STEEL ULTRACON</v>
          </cell>
          <cell r="H513">
            <v>2014</v>
          </cell>
          <cell r="I513">
            <v>42858</v>
          </cell>
        </row>
        <row r="514">
          <cell r="A514" t="str">
            <v>15-0609.04#1</v>
          </cell>
          <cell r="B514" t="str">
            <v>15-0609.04</v>
          </cell>
          <cell r="C514" t="str">
            <v>ALUMINUM</v>
          </cell>
          <cell r="D514">
            <v>90</v>
          </cell>
          <cell r="E514">
            <v>129.1</v>
          </cell>
          <cell r="F514" t="str">
            <v xml:space="preserve">TYPE 1 </v>
          </cell>
          <cell r="G514" t="str">
            <v>1/4" STEEL ULTRACON</v>
          </cell>
          <cell r="H514">
            <v>2014</v>
          </cell>
          <cell r="I514">
            <v>43040</v>
          </cell>
        </row>
        <row r="515">
          <cell r="A515" t="str">
            <v>15-0609.04#2</v>
          </cell>
          <cell r="B515" t="str">
            <v>15-0609.04</v>
          </cell>
          <cell r="C515" t="str">
            <v>ALUMINUM</v>
          </cell>
          <cell r="D515">
            <v>90</v>
          </cell>
          <cell r="E515">
            <v>139.19999999999999</v>
          </cell>
          <cell r="F515" t="str">
            <v>TYPE 2</v>
          </cell>
          <cell r="G515" t="str">
            <v>1/4" STEEL ULTRACON</v>
          </cell>
          <cell r="H515">
            <v>2014</v>
          </cell>
          <cell r="I515">
            <v>43040</v>
          </cell>
        </row>
        <row r="516">
          <cell r="A516" t="str">
            <v>15-0609.04#3</v>
          </cell>
          <cell r="B516" t="str">
            <v>15-0609.04</v>
          </cell>
          <cell r="C516" t="str">
            <v>ALUMINUM</v>
          </cell>
          <cell r="D516">
            <v>90</v>
          </cell>
          <cell r="E516">
            <v>140</v>
          </cell>
          <cell r="F516" t="str">
            <v>TYPE 3</v>
          </cell>
          <cell r="G516" t="str">
            <v>1/4" STEEL ULTRACON</v>
          </cell>
          <cell r="H516">
            <v>2014</v>
          </cell>
          <cell r="I516">
            <v>43040</v>
          </cell>
        </row>
        <row r="517">
          <cell r="A517" t="str">
            <v>15-0609.11#1</v>
          </cell>
          <cell r="B517" t="str">
            <v>15-0609.11</v>
          </cell>
          <cell r="C517" t="str">
            <v>MUST USE 5.25" SILL RISER TO MEET POS PRESS</v>
          </cell>
          <cell r="D517">
            <v>120</v>
          </cell>
          <cell r="E517">
            <v>141.5</v>
          </cell>
          <cell r="F517"/>
          <cell r="G517"/>
          <cell r="H517">
            <v>2014</v>
          </cell>
          <cell r="I517">
            <v>43542</v>
          </cell>
        </row>
        <row r="518">
          <cell r="A518" t="str">
            <v>15-0609.11#2</v>
          </cell>
          <cell r="B518" t="str">
            <v>15-0609.11</v>
          </cell>
          <cell r="C518" t="str">
            <v>MUST USE 5.25" SILL RISER TO MEET POS PRESS</v>
          </cell>
          <cell r="D518">
            <v>105</v>
          </cell>
          <cell r="E518">
            <v>115</v>
          </cell>
          <cell r="F518"/>
          <cell r="G518"/>
          <cell r="H518">
            <v>2014</v>
          </cell>
          <cell r="I518">
            <v>43542</v>
          </cell>
        </row>
        <row r="519">
          <cell r="A519" t="str">
            <v>15-0611.08#1</v>
          </cell>
          <cell r="B519" t="str">
            <v>15-0611.08</v>
          </cell>
          <cell r="C519"/>
          <cell r="D519">
            <v>90</v>
          </cell>
          <cell r="E519">
            <v>90</v>
          </cell>
          <cell r="F519" t="str">
            <v>TYPE A/B</v>
          </cell>
          <cell r="G519" t="str">
            <v>1/4" ELCO ULTRACON</v>
          </cell>
          <cell r="H519">
            <v>2014</v>
          </cell>
          <cell r="I519">
            <v>43165</v>
          </cell>
        </row>
        <row r="520">
          <cell r="A520" t="str">
            <v>15-0612.05#1</v>
          </cell>
          <cell r="B520" t="str">
            <v>15-0612.05</v>
          </cell>
          <cell r="C520" t="str">
            <v>W/ REINFORCEMENTS</v>
          </cell>
          <cell r="D520">
            <v>62.2</v>
          </cell>
          <cell r="E520">
            <v>71.099999999999994</v>
          </cell>
          <cell r="F520" t="str">
            <v>TYPE A/A1</v>
          </cell>
          <cell r="G520" t="str">
            <v>1/4" ELCO ULTRACON</v>
          </cell>
          <cell r="H520">
            <v>2014</v>
          </cell>
          <cell r="I520">
            <v>43544</v>
          </cell>
        </row>
        <row r="521">
          <cell r="A521" t="str">
            <v>15-0612.08#1</v>
          </cell>
          <cell r="B521" t="str">
            <v>15-0612.08</v>
          </cell>
          <cell r="C521"/>
          <cell r="D521">
            <v>120</v>
          </cell>
          <cell r="E521">
            <v>120</v>
          </cell>
          <cell r="F521" t="str">
            <v xml:space="preserve">TYPE C </v>
          </cell>
          <cell r="G521" t="str">
            <v>1/4" STEEL ULTRACON</v>
          </cell>
          <cell r="H521">
            <v>2014</v>
          </cell>
          <cell r="I521">
            <v>43117</v>
          </cell>
        </row>
        <row r="522">
          <cell r="A522" t="str">
            <v>15-0612.09#1</v>
          </cell>
          <cell r="B522" t="str">
            <v>15-0612.09</v>
          </cell>
          <cell r="C522" t="str">
            <v>1-1/2" SILL, OUTSWING, W/WO TRANSOM</v>
          </cell>
          <cell r="D522">
            <v>50</v>
          </cell>
          <cell r="E522">
            <v>74.3</v>
          </cell>
          <cell r="F522" t="str">
            <v>ALL TYPES</v>
          </cell>
          <cell r="G522" t="str">
            <v>1/4" STEEL ULTRACON</v>
          </cell>
          <cell r="H522">
            <v>2014</v>
          </cell>
          <cell r="I522">
            <v>43117</v>
          </cell>
        </row>
        <row r="523">
          <cell r="A523" t="str">
            <v>15-0612.13#1</v>
          </cell>
          <cell r="B523" t="str">
            <v>15-0612.13</v>
          </cell>
          <cell r="C523"/>
          <cell r="D523">
            <v>80</v>
          </cell>
          <cell r="E523">
            <v>80</v>
          </cell>
          <cell r="F523" t="str">
            <v>TYPE A/B</v>
          </cell>
          <cell r="G523" t="str">
            <v>3/16" ULTRACON</v>
          </cell>
          <cell r="H523">
            <v>2014</v>
          </cell>
          <cell r="I523">
            <v>43473</v>
          </cell>
        </row>
        <row r="524">
          <cell r="A524" t="str">
            <v>15-0612.14#1</v>
          </cell>
          <cell r="B524" t="str">
            <v>15-0612.14</v>
          </cell>
          <cell r="C524"/>
          <cell r="D524">
            <v>60</v>
          </cell>
          <cell r="E524">
            <v>70</v>
          </cell>
          <cell r="F524" t="str">
            <v>TYPE A/B</v>
          </cell>
          <cell r="G524" t="str">
            <v>3/16" ELCO ULTRACON</v>
          </cell>
          <cell r="H524">
            <v>2014</v>
          </cell>
          <cell r="I524">
            <v>44244</v>
          </cell>
        </row>
        <row r="525">
          <cell r="A525" t="str">
            <v>15-0619.06#1</v>
          </cell>
          <cell r="B525" t="str">
            <v>15-0619.06</v>
          </cell>
          <cell r="C525"/>
          <cell r="D525">
            <v>60</v>
          </cell>
          <cell r="E525">
            <v>60</v>
          </cell>
          <cell r="F525" t="str">
            <v>ALL TYPES</v>
          </cell>
          <cell r="G525" t="str">
            <v>1/4" ELCO ULTRACON</v>
          </cell>
          <cell r="H525">
            <v>2014</v>
          </cell>
          <cell r="I525">
            <v>44096</v>
          </cell>
        </row>
        <row r="526">
          <cell r="A526" t="str">
            <v>15-0715.05#1</v>
          </cell>
          <cell r="B526" t="str">
            <v>15-0715.05</v>
          </cell>
          <cell r="C526" t="str">
            <v>42" NOM PANEL WIDTH, 108" HEIGHT NO REIN</v>
          </cell>
          <cell r="D526">
            <v>73.900000000000006</v>
          </cell>
          <cell r="E526">
            <v>73.900000000000006</v>
          </cell>
          <cell r="F526"/>
          <cell r="G526"/>
          <cell r="H526">
            <v>2014</v>
          </cell>
          <cell r="I526">
            <v>44503</v>
          </cell>
        </row>
        <row r="527">
          <cell r="A527" t="str">
            <v>15-0715.05#2</v>
          </cell>
          <cell r="B527" t="str">
            <v>15-0715.05</v>
          </cell>
          <cell r="C527" t="str">
            <v>54" NOM PANEL WIDTH, 108" HEIGHT W/ REIN</v>
          </cell>
          <cell r="D527">
            <v>80</v>
          </cell>
          <cell r="E527">
            <v>98.8</v>
          </cell>
          <cell r="F527"/>
          <cell r="G527"/>
          <cell r="H527">
            <v>2014</v>
          </cell>
          <cell r="I527">
            <v>44503</v>
          </cell>
        </row>
        <row r="528">
          <cell r="A528" t="str">
            <v>15-0715.05#3</v>
          </cell>
          <cell r="B528" t="str">
            <v>15-0715.05</v>
          </cell>
          <cell r="C528" t="str">
            <v>36" NOM PANEL WIDTH, 108" HEIGHT NO REIN</v>
          </cell>
          <cell r="D528">
            <v>75</v>
          </cell>
          <cell r="E528">
            <v>75</v>
          </cell>
          <cell r="F528"/>
          <cell r="G528"/>
          <cell r="H528">
            <v>2014</v>
          </cell>
          <cell r="I528">
            <v>44503</v>
          </cell>
        </row>
        <row r="529">
          <cell r="A529" t="str">
            <v>15-0715.10#1</v>
          </cell>
          <cell r="B529" t="str">
            <v>15-0715.10</v>
          </cell>
          <cell r="C529" t="str">
            <v>ALUMINUM</v>
          </cell>
          <cell r="D529">
            <v>75</v>
          </cell>
          <cell r="E529">
            <v>80</v>
          </cell>
          <cell r="F529" t="str">
            <v>TYPE C</v>
          </cell>
          <cell r="G529" t="str">
            <v>1/4" ELCO ULTRACON</v>
          </cell>
          <cell r="H529">
            <v>2014</v>
          </cell>
          <cell r="I529">
            <v>43633</v>
          </cell>
        </row>
        <row r="530">
          <cell r="A530" t="str">
            <v>15-0715.10#2</v>
          </cell>
          <cell r="B530" t="str">
            <v>15-0715.10</v>
          </cell>
          <cell r="C530"/>
          <cell r="D530">
            <v>71.3</v>
          </cell>
          <cell r="E530">
            <v>76</v>
          </cell>
          <cell r="F530"/>
          <cell r="G530"/>
          <cell r="H530">
            <v>2014</v>
          </cell>
          <cell r="I530"/>
        </row>
        <row r="531">
          <cell r="A531" t="str">
            <v>15-0715.10#3</v>
          </cell>
          <cell r="B531" t="str">
            <v>15-0715.10</v>
          </cell>
          <cell r="C531"/>
          <cell r="D531">
            <v>55</v>
          </cell>
          <cell r="E531">
            <v>80</v>
          </cell>
          <cell r="F531"/>
          <cell r="G531"/>
          <cell r="H531">
            <v>2014</v>
          </cell>
          <cell r="I531"/>
        </row>
        <row r="532">
          <cell r="A532" t="str">
            <v>15-0723.06#1</v>
          </cell>
          <cell r="B532" t="str">
            <v>15-0723.06</v>
          </cell>
          <cell r="C532"/>
          <cell r="D532">
            <v>120</v>
          </cell>
          <cell r="E532">
            <v>150</v>
          </cell>
          <cell r="F532"/>
          <cell r="G532"/>
          <cell r="H532">
            <v>2014</v>
          </cell>
          <cell r="I532"/>
        </row>
        <row r="533">
          <cell r="A533" t="str">
            <v>15-0723.08#1</v>
          </cell>
          <cell r="B533" t="str">
            <v>15-0723.08</v>
          </cell>
          <cell r="C533"/>
          <cell r="D533">
            <v>80</v>
          </cell>
          <cell r="E533">
            <v>80</v>
          </cell>
          <cell r="F533"/>
          <cell r="G533"/>
          <cell r="H533">
            <v>2014</v>
          </cell>
          <cell r="I533">
            <v>43488</v>
          </cell>
        </row>
        <row r="534">
          <cell r="A534" t="str">
            <v>15-0723.10#1</v>
          </cell>
          <cell r="B534" t="str">
            <v>15-0723.10</v>
          </cell>
          <cell r="C534" t="str">
            <v>W/WO REINFORCEMENTS</v>
          </cell>
          <cell r="D534">
            <v>60</v>
          </cell>
          <cell r="E534">
            <v>100</v>
          </cell>
          <cell r="F534" t="str">
            <v>ALL TYPES</v>
          </cell>
          <cell r="G534" t="str">
            <v>1/4" ELCO CRETE-FLEX TAPCON</v>
          </cell>
          <cell r="H534">
            <v>2014</v>
          </cell>
          <cell r="I534">
            <v>44286</v>
          </cell>
        </row>
        <row r="535">
          <cell r="A535" t="str">
            <v>15-0723.10#2</v>
          </cell>
          <cell r="B535" t="str">
            <v>15-0723.10</v>
          </cell>
          <cell r="C535" t="str">
            <v>W/ REINFORCEMENTS, 3-1/2" SILL RISER</v>
          </cell>
          <cell r="D535">
            <v>100</v>
          </cell>
          <cell r="E535">
            <v>150</v>
          </cell>
          <cell r="F535" t="str">
            <v>ALL TYPES</v>
          </cell>
          <cell r="G535" t="str">
            <v>1/4" ELCO CRETE-FLEX TAPCON</v>
          </cell>
          <cell r="H535">
            <v>2014</v>
          </cell>
          <cell r="I535">
            <v>44286</v>
          </cell>
        </row>
        <row r="536">
          <cell r="A536" t="str">
            <v>15-0723.12#1</v>
          </cell>
          <cell r="B536" t="str">
            <v>15-0723.12</v>
          </cell>
          <cell r="C536" t="str">
            <v>48" NO M PANEL WIDTH, 108" HEIGHT W/ REIN</v>
          </cell>
          <cell r="D536">
            <v>80</v>
          </cell>
          <cell r="E536">
            <v>125.7</v>
          </cell>
          <cell r="F536" t="str">
            <v>TYPE C</v>
          </cell>
          <cell r="G536"/>
          <cell r="H536">
            <v>2014</v>
          </cell>
          <cell r="I536"/>
        </row>
        <row r="537">
          <cell r="A537" t="str">
            <v>15-0723.12#2</v>
          </cell>
          <cell r="B537" t="str">
            <v>15-0723.12</v>
          </cell>
          <cell r="C537"/>
          <cell r="D537">
            <v>80</v>
          </cell>
          <cell r="E537">
            <v>150</v>
          </cell>
          <cell r="F537"/>
          <cell r="G537"/>
          <cell r="H537">
            <v>2014</v>
          </cell>
          <cell r="I537"/>
        </row>
        <row r="538">
          <cell r="A538" t="str">
            <v>15-0723.12#3</v>
          </cell>
          <cell r="B538" t="str">
            <v>15-0723.12</v>
          </cell>
          <cell r="C538" t="str">
            <v>108 H X 42 NOM PANEL WIDTH</v>
          </cell>
          <cell r="D538">
            <v>80</v>
          </cell>
          <cell r="E538">
            <v>138.69999999999999</v>
          </cell>
          <cell r="F538" t="str">
            <v>A,B,C,D</v>
          </cell>
          <cell r="G538"/>
          <cell r="H538">
            <v>2014</v>
          </cell>
          <cell r="I538"/>
        </row>
        <row r="539">
          <cell r="A539" t="str">
            <v>15-0728.02#1</v>
          </cell>
          <cell r="B539" t="str">
            <v>15-0728.02</v>
          </cell>
          <cell r="C539"/>
          <cell r="D539">
            <v>100</v>
          </cell>
          <cell r="E539">
            <v>140.9</v>
          </cell>
          <cell r="F539"/>
          <cell r="G539"/>
          <cell r="H539">
            <v>2014</v>
          </cell>
          <cell r="I539"/>
        </row>
        <row r="540">
          <cell r="A540" t="str">
            <v>15-0728.05#1</v>
          </cell>
          <cell r="B540" t="str">
            <v>15-0728.05</v>
          </cell>
          <cell r="C540" t="str">
            <v>ALUMINUM</v>
          </cell>
          <cell r="D540">
            <v>70</v>
          </cell>
          <cell r="E540">
            <v>70</v>
          </cell>
          <cell r="F540" t="str">
            <v>TYPE A</v>
          </cell>
          <cell r="G540" t="str">
            <v>1/4" ELCO ULTRACON</v>
          </cell>
          <cell r="H540">
            <v>2014</v>
          </cell>
          <cell r="I540">
            <v>43612</v>
          </cell>
        </row>
        <row r="541">
          <cell r="A541" t="str">
            <v>15-0728.05#2</v>
          </cell>
          <cell r="B541" t="str">
            <v>15-0728.05</v>
          </cell>
          <cell r="C541" t="str">
            <v>ALUMINUM</v>
          </cell>
          <cell r="D541">
            <v>70</v>
          </cell>
          <cell r="E541">
            <v>80</v>
          </cell>
          <cell r="F541"/>
          <cell r="G541" t="str">
            <v>1/4" ELCO ULTRACON</v>
          </cell>
          <cell r="H541">
            <v>2014</v>
          </cell>
          <cell r="I541">
            <v>43612</v>
          </cell>
        </row>
        <row r="542">
          <cell r="A542" t="str">
            <v>15-0728.05#3</v>
          </cell>
          <cell r="B542" t="str">
            <v>15-0728.05</v>
          </cell>
          <cell r="C542" t="str">
            <v>ALUMINUM</v>
          </cell>
          <cell r="D542">
            <v>75</v>
          </cell>
          <cell r="E542">
            <v>80</v>
          </cell>
          <cell r="F542"/>
          <cell r="G542" t="str">
            <v>1/4" ELCO ULTRACON</v>
          </cell>
          <cell r="H542">
            <v>2014</v>
          </cell>
          <cell r="I542">
            <v>43612</v>
          </cell>
        </row>
        <row r="543">
          <cell r="A543" t="str">
            <v>15-0729.14#1</v>
          </cell>
          <cell r="B543" t="str">
            <v>15-0729.14</v>
          </cell>
          <cell r="C543" t="str">
            <v>ALUMINUM</v>
          </cell>
          <cell r="D543">
            <v>75</v>
          </cell>
          <cell r="E543">
            <v>85</v>
          </cell>
          <cell r="F543" t="str">
            <v xml:space="preserve">TYPE A </v>
          </cell>
          <cell r="G543" t="str">
            <v>1/4 ELCO ULTRACON</v>
          </cell>
          <cell r="H543">
            <v>2014</v>
          </cell>
          <cell r="I543">
            <v>43626</v>
          </cell>
        </row>
        <row r="544">
          <cell r="A544" t="str">
            <v>15-0729.14#2</v>
          </cell>
          <cell r="B544" t="str">
            <v>15-0729.14</v>
          </cell>
          <cell r="C544" t="str">
            <v>ALUMINUM</v>
          </cell>
          <cell r="D544">
            <v>100</v>
          </cell>
          <cell r="E544">
            <v>140</v>
          </cell>
          <cell r="F544" t="str">
            <v>TYPE B</v>
          </cell>
          <cell r="G544" t="str">
            <v>1/4 ELCO ULTRACON</v>
          </cell>
          <cell r="H544">
            <v>2014</v>
          </cell>
          <cell r="I544">
            <v>43626</v>
          </cell>
        </row>
        <row r="545">
          <cell r="A545" t="str">
            <v>15-0729.14#3</v>
          </cell>
          <cell r="B545" t="str">
            <v>15-0729.14</v>
          </cell>
          <cell r="C545" t="str">
            <v>SINGLE DOOR</v>
          </cell>
          <cell r="D545">
            <v>75</v>
          </cell>
          <cell r="E545">
            <v>85</v>
          </cell>
          <cell r="F545" t="str">
            <v>TYPE A</v>
          </cell>
          <cell r="G545" t="str">
            <v>1/4" ELCO ULTRACON</v>
          </cell>
          <cell r="H545">
            <v>2014</v>
          </cell>
          <cell r="I545">
            <v>43626</v>
          </cell>
        </row>
        <row r="546">
          <cell r="A546" t="str">
            <v>15-0812.04#1</v>
          </cell>
          <cell r="B546" t="str">
            <v>15-0812.04</v>
          </cell>
          <cell r="C546"/>
          <cell r="D546">
            <v>50</v>
          </cell>
          <cell r="E546">
            <v>50</v>
          </cell>
          <cell r="F546" t="str">
            <v>TYPE 5/6/7/8</v>
          </cell>
          <cell r="G546" t="str">
            <v>3/16" ULTRACON</v>
          </cell>
          <cell r="H546">
            <v>2014</v>
          </cell>
          <cell r="I546">
            <v>44091</v>
          </cell>
        </row>
        <row r="547">
          <cell r="A547" t="str">
            <v>15-0812.21#1</v>
          </cell>
          <cell r="B547" t="str">
            <v>15-0812.21</v>
          </cell>
          <cell r="C547" t="str">
            <v>60" MAX FRAME WIDTH 108" MAX FRAME HEIGHT</v>
          </cell>
          <cell r="D547">
            <v>106.7</v>
          </cell>
          <cell r="E547">
            <v>106.7</v>
          </cell>
          <cell r="F547"/>
          <cell r="G547"/>
          <cell r="H547">
            <v>2014</v>
          </cell>
          <cell r="I547"/>
        </row>
        <row r="548">
          <cell r="A548" t="str">
            <v>15-0812.21#2</v>
          </cell>
          <cell r="B548" t="str">
            <v>15-0812.21</v>
          </cell>
          <cell r="C548" t="str">
            <v>54" MAX FRAME WIDTH 108" MAX FRAME HEIGHT</v>
          </cell>
          <cell r="D548">
            <v>109.5</v>
          </cell>
          <cell r="E548">
            <v>109.5</v>
          </cell>
          <cell r="F548"/>
          <cell r="G548"/>
          <cell r="H548">
            <v>2014</v>
          </cell>
          <cell r="I548"/>
        </row>
        <row r="549">
          <cell r="A549" t="str">
            <v>15-0902.02#1</v>
          </cell>
          <cell r="B549" t="str">
            <v>15-0902.02</v>
          </cell>
          <cell r="C549"/>
          <cell r="D549">
            <v>110</v>
          </cell>
          <cell r="E549">
            <v>150</v>
          </cell>
          <cell r="F549" t="str">
            <v>ALL TYPES</v>
          </cell>
          <cell r="G549" t="str">
            <v>1/4" KWIK CON II</v>
          </cell>
          <cell r="H549">
            <v>2014</v>
          </cell>
          <cell r="I549">
            <v>44217</v>
          </cell>
        </row>
        <row r="550">
          <cell r="A550" t="str">
            <v>15-0908.05#1</v>
          </cell>
          <cell r="B550" t="str">
            <v>15-0908.05</v>
          </cell>
          <cell r="C550" t="str">
            <v>XOX</v>
          </cell>
          <cell r="D550">
            <v>75</v>
          </cell>
          <cell r="E550">
            <v>110</v>
          </cell>
          <cell r="F550" t="str">
            <v>TYPE B</v>
          </cell>
          <cell r="G550" t="str">
            <v>1/4" ELCO ULTRACON</v>
          </cell>
          <cell r="H550">
            <v>2014</v>
          </cell>
          <cell r="I550">
            <v>43452</v>
          </cell>
        </row>
        <row r="551">
          <cell r="A551" t="str">
            <v>15-0915.02#1</v>
          </cell>
          <cell r="B551" t="str">
            <v>15-0915.02</v>
          </cell>
          <cell r="C551" t="str">
            <v>OUTSWING</v>
          </cell>
          <cell r="D551">
            <v>75</v>
          </cell>
          <cell r="E551">
            <v>75</v>
          </cell>
          <cell r="F551" t="str">
            <v>ALL TYPES</v>
          </cell>
          <cell r="G551" t="str">
            <v>1/4" ELCO ULTRACON</v>
          </cell>
          <cell r="H551">
            <v>2014</v>
          </cell>
          <cell r="I551">
            <v>44237</v>
          </cell>
        </row>
        <row r="552">
          <cell r="A552" t="str">
            <v>15-0916.14#1</v>
          </cell>
          <cell r="B552" t="str">
            <v>15-0916.14</v>
          </cell>
          <cell r="C552" t="str">
            <v>OUTSWING</v>
          </cell>
          <cell r="D552">
            <v>70</v>
          </cell>
          <cell r="E552">
            <v>75</v>
          </cell>
          <cell r="F552" t="str">
            <v>ALL TYPES</v>
          </cell>
          <cell r="G552" t="str">
            <v>1/4" ELCO ULTRACON</v>
          </cell>
          <cell r="H552">
            <v>2014</v>
          </cell>
          <cell r="I552">
            <v>43626</v>
          </cell>
        </row>
        <row r="553">
          <cell r="A553" t="str">
            <v>15-0929.13#1</v>
          </cell>
          <cell r="B553" t="str">
            <v>15-0929.13</v>
          </cell>
          <cell r="C553" t="str">
            <v>HVHZ</v>
          </cell>
          <cell r="D553">
            <v>65</v>
          </cell>
          <cell r="E553">
            <v>65</v>
          </cell>
          <cell r="F553" t="str">
            <v>5/16" LAMINATED</v>
          </cell>
          <cell r="G553" t="str">
            <v>1/4" ELCO ULTRACON</v>
          </cell>
          <cell r="H553">
            <v>2014</v>
          </cell>
          <cell r="I553">
            <v>44096</v>
          </cell>
        </row>
        <row r="554">
          <cell r="A554" t="str">
            <v>15-0929.13#2</v>
          </cell>
          <cell r="B554" t="str">
            <v>15-0929.13</v>
          </cell>
          <cell r="C554" t="str">
            <v>HVHZ</v>
          </cell>
          <cell r="D554">
            <v>80</v>
          </cell>
          <cell r="E554">
            <v>90</v>
          </cell>
          <cell r="F554"/>
          <cell r="G554" t="str">
            <v>1/4" ELCO ULTRACON</v>
          </cell>
          <cell r="H554">
            <v>2014</v>
          </cell>
          <cell r="I554">
            <v>44096</v>
          </cell>
        </row>
        <row r="555">
          <cell r="A555" t="str">
            <v>15-1007.02#1</v>
          </cell>
          <cell r="B555" t="str">
            <v>15-1007.02</v>
          </cell>
          <cell r="C555"/>
          <cell r="D555">
            <v>80</v>
          </cell>
          <cell r="E555">
            <v>80</v>
          </cell>
          <cell r="F555"/>
          <cell r="G555"/>
          <cell r="H555">
            <v>2014</v>
          </cell>
          <cell r="I555">
            <v>43727</v>
          </cell>
        </row>
        <row r="556">
          <cell r="A556" t="str">
            <v>15-1013.15#1</v>
          </cell>
          <cell r="B556" t="str">
            <v>15-1013.15</v>
          </cell>
          <cell r="C556" t="str">
            <v>4" SILL, 90 &amp; 135 CORNERS</v>
          </cell>
          <cell r="D556">
            <v>60</v>
          </cell>
          <cell r="E556">
            <v>60</v>
          </cell>
          <cell r="F556" t="str">
            <v>TYPE 4/4A/6/6A/7/7A/8/8A</v>
          </cell>
          <cell r="G556" t="str">
            <v>1/4" ELCO ULTRACON</v>
          </cell>
          <cell r="H556">
            <v>2014</v>
          </cell>
          <cell r="I556">
            <v>43878</v>
          </cell>
        </row>
        <row r="557">
          <cell r="A557" t="str">
            <v>15-1210.01#1</v>
          </cell>
          <cell r="B557" t="str">
            <v>15-1210.01</v>
          </cell>
          <cell r="C557" t="str">
            <v>W/ REINFORCEMENT NO WATER TEST</v>
          </cell>
          <cell r="D557">
            <v>60</v>
          </cell>
          <cell r="E557">
            <v>65</v>
          </cell>
          <cell r="F557" t="str">
            <v>GLASS TYPE 1,3,5</v>
          </cell>
          <cell r="G557"/>
          <cell r="H557">
            <v>2014</v>
          </cell>
          <cell r="I557">
            <v>44300</v>
          </cell>
        </row>
        <row r="558">
          <cell r="A558" t="str">
            <v>15-1210.01#2</v>
          </cell>
          <cell r="B558" t="str">
            <v>15-1210.01</v>
          </cell>
          <cell r="C558"/>
          <cell r="D558">
            <v>100</v>
          </cell>
          <cell r="E558">
            <v>100</v>
          </cell>
          <cell r="F558" t="str">
            <v>GLASS 2, 4</v>
          </cell>
          <cell r="G558"/>
          <cell r="H558">
            <v>2014</v>
          </cell>
          <cell r="I558">
            <v>44300</v>
          </cell>
        </row>
        <row r="559">
          <cell r="A559" t="str">
            <v>15-1210.02#1</v>
          </cell>
          <cell r="B559" t="str">
            <v>15-1210.02</v>
          </cell>
          <cell r="C559" t="str">
            <v xml:space="preserve">REINFORCED </v>
          </cell>
          <cell r="D559">
            <v>73.8</v>
          </cell>
          <cell r="E559">
            <v>73.8</v>
          </cell>
          <cell r="F559"/>
          <cell r="G559" t="str">
            <v>1/4" ELCO ULTRACON</v>
          </cell>
          <cell r="H559">
            <v>2014</v>
          </cell>
          <cell r="I559">
            <v>44307</v>
          </cell>
        </row>
        <row r="560">
          <cell r="A560" t="str">
            <v>15-1210.02#2</v>
          </cell>
          <cell r="B560" t="str">
            <v>15-1210.02</v>
          </cell>
          <cell r="C560"/>
          <cell r="D560">
            <v>60</v>
          </cell>
          <cell r="E560">
            <v>60</v>
          </cell>
          <cell r="F560"/>
          <cell r="G560"/>
          <cell r="H560">
            <v>2014</v>
          </cell>
          <cell r="I560">
            <v>44307</v>
          </cell>
        </row>
        <row r="561">
          <cell r="A561" t="str">
            <v>16-0125.08#1</v>
          </cell>
          <cell r="B561" t="str">
            <v>16-0125.08</v>
          </cell>
          <cell r="C561"/>
          <cell r="D561">
            <v>138.4</v>
          </cell>
          <cell r="E561">
            <v>138.4</v>
          </cell>
          <cell r="F561" t="str">
            <v>4 OR 4A FOR SMI</v>
          </cell>
          <cell r="G561" t="str">
            <v>1/4" ELCO ULTRACON</v>
          </cell>
          <cell r="H561">
            <v>2014</v>
          </cell>
          <cell r="I561">
            <v>43956</v>
          </cell>
        </row>
        <row r="562">
          <cell r="A562" t="str">
            <v>16-0126.04#1</v>
          </cell>
          <cell r="B562" t="str">
            <v>16-0126.04</v>
          </cell>
          <cell r="C562"/>
          <cell r="D562">
            <v>70</v>
          </cell>
          <cell r="E562">
            <v>70</v>
          </cell>
          <cell r="F562"/>
          <cell r="G562"/>
          <cell r="H562">
            <v>2017</v>
          </cell>
          <cell r="I562"/>
        </row>
        <row r="563">
          <cell r="A563" t="str">
            <v>16-0309.03#1</v>
          </cell>
          <cell r="B563" t="str">
            <v>16-0309.03</v>
          </cell>
          <cell r="C563"/>
          <cell r="D563">
            <v>90</v>
          </cell>
          <cell r="E563">
            <v>132.80000000000001</v>
          </cell>
          <cell r="F563"/>
          <cell r="G563"/>
          <cell r="H563">
            <v>2014</v>
          </cell>
          <cell r="I563"/>
        </row>
        <row r="564">
          <cell r="A564" t="str">
            <v>16-0316.06#1</v>
          </cell>
          <cell r="B564" t="str">
            <v>16-0316.06</v>
          </cell>
          <cell r="C564"/>
          <cell r="D564">
            <v>100</v>
          </cell>
          <cell r="E564">
            <v>120</v>
          </cell>
          <cell r="F564"/>
          <cell r="G564"/>
          <cell r="H564">
            <v>2014</v>
          </cell>
          <cell r="I564"/>
        </row>
        <row r="565">
          <cell r="A565" t="str">
            <v>16-0329.04#1</v>
          </cell>
          <cell r="B565" t="str">
            <v>16-0329.04</v>
          </cell>
          <cell r="C565"/>
          <cell r="D565">
            <v>100</v>
          </cell>
          <cell r="E565">
            <v>110</v>
          </cell>
          <cell r="F565"/>
          <cell r="G565"/>
          <cell r="H565">
            <v>2014</v>
          </cell>
          <cell r="I565">
            <v>44509</v>
          </cell>
        </row>
        <row r="566">
          <cell r="A566" t="str">
            <v>16-0421.10#1</v>
          </cell>
          <cell r="B566" t="str">
            <v>16-0421.10</v>
          </cell>
          <cell r="C566" t="str">
            <v>OUTSWING</v>
          </cell>
          <cell r="D566">
            <v>90</v>
          </cell>
          <cell r="E566">
            <v>90</v>
          </cell>
          <cell r="F566"/>
          <cell r="G566" t="str">
            <v>1/4" TAPCON</v>
          </cell>
          <cell r="H566">
            <v>2014</v>
          </cell>
          <cell r="I566">
            <v>43117</v>
          </cell>
        </row>
        <row r="567">
          <cell r="A567" t="str">
            <v>16-0505.04#1</v>
          </cell>
          <cell r="B567" t="str">
            <v>16-0505.04</v>
          </cell>
          <cell r="C567"/>
          <cell r="D567">
            <v>90</v>
          </cell>
          <cell r="E567">
            <v>90</v>
          </cell>
          <cell r="F567"/>
          <cell r="G567" t="str">
            <v>1/4" TAPCON</v>
          </cell>
          <cell r="H567">
            <v>2014</v>
          </cell>
          <cell r="I567">
            <v>43117</v>
          </cell>
        </row>
        <row r="568">
          <cell r="A568" t="str">
            <v>16-0629.06#1</v>
          </cell>
          <cell r="B568" t="str">
            <v>16-0629.06</v>
          </cell>
          <cell r="C568" t="str">
            <v>W/ 90 &amp; 135 DEG CORNERS, 4" SILL RISER</v>
          </cell>
          <cell r="D568">
            <v>90</v>
          </cell>
          <cell r="E568">
            <v>90</v>
          </cell>
          <cell r="F568" t="str">
            <v>TYPES 4, 4A, 6, 6A, 7, 7A, 8, 8A</v>
          </cell>
          <cell r="G568" t="str">
            <v>1/4" ELCO ULTRACON</v>
          </cell>
          <cell r="H568">
            <v>2014</v>
          </cell>
          <cell r="I568">
            <v>43878</v>
          </cell>
        </row>
        <row r="569">
          <cell r="A569" t="str">
            <v>16-0629.06#2</v>
          </cell>
          <cell r="B569" t="str">
            <v>16-0629.06</v>
          </cell>
          <cell r="C569" t="str">
            <v>W/ 90 &amp; 135 DEG CORNERS, 4" SILL RISER</v>
          </cell>
          <cell r="D569">
            <v>60</v>
          </cell>
          <cell r="E569">
            <v>60</v>
          </cell>
          <cell r="F569" t="str">
            <v>ALL TYPES</v>
          </cell>
          <cell r="G569" t="str">
            <v>1/4" ELCO ULTRACON</v>
          </cell>
          <cell r="H569">
            <v>2014</v>
          </cell>
          <cell r="I569">
            <v>43878</v>
          </cell>
        </row>
        <row r="570">
          <cell r="A570" t="str">
            <v>16-0629.07#1</v>
          </cell>
          <cell r="B570" t="str">
            <v>16-0629.07</v>
          </cell>
          <cell r="C570" t="str">
            <v>W/ REINFORCEMENTS, 3-1/2" SILL RISER</v>
          </cell>
          <cell r="D570">
            <v>60</v>
          </cell>
          <cell r="E570">
            <v>130</v>
          </cell>
          <cell r="F570" t="str">
            <v>ALL TYPES</v>
          </cell>
          <cell r="G570" t="str">
            <v>1/4" ELCO ULTRACON</v>
          </cell>
          <cell r="H570">
            <v>2014</v>
          </cell>
          <cell r="I570">
            <v>43914</v>
          </cell>
        </row>
        <row r="571">
          <cell r="A571" t="str">
            <v>16-0629.07#2</v>
          </cell>
          <cell r="B571" t="str">
            <v>16-0629.07</v>
          </cell>
          <cell r="C571" t="str">
            <v>W/ REINFORCEMENTS, 4" SILL RISER</v>
          </cell>
          <cell r="D571">
            <v>90</v>
          </cell>
          <cell r="E571">
            <v>130</v>
          </cell>
          <cell r="F571" t="str">
            <v>ALL TYPES</v>
          </cell>
          <cell r="G571" t="str">
            <v>1/4" ELCO ULTRACON</v>
          </cell>
          <cell r="H571">
            <v>2014</v>
          </cell>
          <cell r="I571">
            <v>43914</v>
          </cell>
        </row>
        <row r="572">
          <cell r="A572" t="str">
            <v>16-0629.08#1</v>
          </cell>
          <cell r="B572" t="str">
            <v>16-0629.08</v>
          </cell>
          <cell r="C572" t="str">
            <v>W/ REINFORCEMENTS, 3-1/2" SILL RISER</v>
          </cell>
          <cell r="D572">
            <v>60</v>
          </cell>
          <cell r="E572">
            <v>130</v>
          </cell>
          <cell r="F572" t="str">
            <v>ALL TYPES</v>
          </cell>
          <cell r="G572" t="str">
            <v>1/4" ELCO ULTRACON</v>
          </cell>
          <cell r="H572">
            <v>2014</v>
          </cell>
          <cell r="I572">
            <v>43914</v>
          </cell>
        </row>
        <row r="573">
          <cell r="A573" t="str">
            <v>16-0629.08#2</v>
          </cell>
          <cell r="B573" t="str">
            <v>16-0629.08</v>
          </cell>
          <cell r="C573" t="str">
            <v>W/ REINFORCEMENTS, 3-1/2" SILL RISER</v>
          </cell>
          <cell r="D573">
            <v>90</v>
          </cell>
          <cell r="E573">
            <v>130</v>
          </cell>
          <cell r="F573" t="str">
            <v>ALL TYPES</v>
          </cell>
          <cell r="G573" t="str">
            <v>1/4" ELCO ULTRACON</v>
          </cell>
          <cell r="H573">
            <v>2014</v>
          </cell>
          <cell r="I573">
            <v>43914</v>
          </cell>
        </row>
        <row r="574">
          <cell r="A574" t="str">
            <v>16-0629.10#1</v>
          </cell>
          <cell r="B574" t="str">
            <v>16-0629.10</v>
          </cell>
          <cell r="C574"/>
          <cell r="D574">
            <v>105</v>
          </cell>
          <cell r="E574">
            <v>110</v>
          </cell>
          <cell r="F574" t="str">
            <v>TYPE 11</v>
          </cell>
          <cell r="G574" t="str">
            <v>1/4" ELCO ULTRACON</v>
          </cell>
          <cell r="H574">
            <v>2014</v>
          </cell>
          <cell r="I574"/>
        </row>
        <row r="575">
          <cell r="A575" t="str">
            <v>16-0629.13#1</v>
          </cell>
          <cell r="B575" t="str">
            <v>16-0629.13</v>
          </cell>
          <cell r="C575"/>
          <cell r="D575">
            <v>100</v>
          </cell>
          <cell r="E575">
            <v>106.4</v>
          </cell>
          <cell r="F575"/>
          <cell r="G575"/>
          <cell r="H575">
            <v>2014</v>
          </cell>
          <cell r="I575">
            <v>43515</v>
          </cell>
        </row>
        <row r="576">
          <cell r="A576" t="str">
            <v>16-0629.14#1</v>
          </cell>
          <cell r="B576" t="str">
            <v>16-0629.14</v>
          </cell>
          <cell r="C576"/>
          <cell r="D576">
            <v>72.7</v>
          </cell>
          <cell r="E576">
            <v>72.7</v>
          </cell>
          <cell r="F576" t="str">
            <v>TYPE 1</v>
          </cell>
          <cell r="G576" t="str">
            <v>1/4" STEEL ULTRACON</v>
          </cell>
          <cell r="H576">
            <v>2014</v>
          </cell>
          <cell r="I576">
            <v>43515</v>
          </cell>
        </row>
        <row r="577">
          <cell r="A577" t="str">
            <v>16-0629.14#2</v>
          </cell>
          <cell r="B577" t="str">
            <v>16-0629.14</v>
          </cell>
          <cell r="C577"/>
          <cell r="D577">
            <v>80</v>
          </cell>
          <cell r="E577">
            <v>80</v>
          </cell>
          <cell r="F577" t="str">
            <v>TYPE 2/4</v>
          </cell>
          <cell r="G577" t="str">
            <v>1/4" STEEL ULTRACON</v>
          </cell>
          <cell r="H577">
            <v>2014</v>
          </cell>
          <cell r="I577">
            <v>43515</v>
          </cell>
        </row>
        <row r="578">
          <cell r="A578" t="str">
            <v>16-0629.14#3</v>
          </cell>
          <cell r="B578" t="str">
            <v>16-0629.14</v>
          </cell>
          <cell r="C578"/>
          <cell r="D578">
            <v>90</v>
          </cell>
          <cell r="E578">
            <v>130</v>
          </cell>
          <cell r="F578" t="str">
            <v>TYPE 6/8</v>
          </cell>
          <cell r="G578" t="str">
            <v>1/4" STEEL ULTRACON</v>
          </cell>
          <cell r="H578">
            <v>2014</v>
          </cell>
          <cell r="I578">
            <v>43515</v>
          </cell>
        </row>
        <row r="579">
          <cell r="A579" t="str">
            <v>16-0629.16#1</v>
          </cell>
          <cell r="B579" t="str">
            <v>16-0629.16</v>
          </cell>
          <cell r="C579"/>
          <cell r="D579">
            <v>70</v>
          </cell>
          <cell r="E579">
            <v>80</v>
          </cell>
          <cell r="F579" t="str">
            <v>A,E</v>
          </cell>
          <cell r="G579"/>
          <cell r="H579">
            <v>2014</v>
          </cell>
          <cell r="I579">
            <v>43884</v>
          </cell>
        </row>
        <row r="580">
          <cell r="A580" t="str">
            <v>16-0629.16#2</v>
          </cell>
          <cell r="B580" t="str">
            <v>16-0629.16</v>
          </cell>
          <cell r="C580"/>
          <cell r="D580">
            <v>100</v>
          </cell>
          <cell r="E580">
            <v>100</v>
          </cell>
          <cell r="F580" t="str">
            <v>C,G</v>
          </cell>
          <cell r="G580"/>
          <cell r="H580">
            <v>2014</v>
          </cell>
          <cell r="I580">
            <v>43885</v>
          </cell>
        </row>
        <row r="581">
          <cell r="A581" t="str">
            <v>16-0629.17#1</v>
          </cell>
          <cell r="B581" t="str">
            <v>16-0629.17</v>
          </cell>
          <cell r="C581" t="str">
            <v>W/ OR W/O SIDELITES</v>
          </cell>
          <cell r="D581">
            <v>75</v>
          </cell>
          <cell r="E581">
            <v>75</v>
          </cell>
          <cell r="F581"/>
          <cell r="G581"/>
          <cell r="H581">
            <v>2014</v>
          </cell>
          <cell r="I581">
            <v>43026</v>
          </cell>
        </row>
        <row r="582">
          <cell r="A582" t="str">
            <v>16-0714.01#1</v>
          </cell>
          <cell r="B582" t="str">
            <v>16-0714.01</v>
          </cell>
          <cell r="C582"/>
          <cell r="D582">
            <v>90</v>
          </cell>
          <cell r="E582">
            <v>110</v>
          </cell>
          <cell r="F582" t="str">
            <v>ALL TYPES</v>
          </cell>
          <cell r="G582" t="str">
            <v>5/16" STEEL ULTRACON</v>
          </cell>
          <cell r="H582">
            <v>2014</v>
          </cell>
          <cell r="I582">
            <v>44684</v>
          </cell>
        </row>
        <row r="583">
          <cell r="A583" t="str">
            <v>16-0714.02#1</v>
          </cell>
          <cell r="B583" t="str">
            <v>16-0714.02</v>
          </cell>
          <cell r="C583" t="str">
            <v>ALUMINUM</v>
          </cell>
          <cell r="D583">
            <v>90</v>
          </cell>
          <cell r="E583">
            <v>150</v>
          </cell>
          <cell r="F583" t="str">
            <v>ALL TYPES</v>
          </cell>
          <cell r="G583" t="str">
            <v>1/4" STEEL ULTRACON</v>
          </cell>
          <cell r="H583">
            <v>2014</v>
          </cell>
          <cell r="I583">
            <v>44684</v>
          </cell>
        </row>
        <row r="584">
          <cell r="A584" t="str">
            <v>16-0714.02#2</v>
          </cell>
          <cell r="B584" t="str">
            <v>16-0714.02</v>
          </cell>
          <cell r="C584" t="str">
            <v>ALUMINUM</v>
          </cell>
          <cell r="D584">
            <v>75</v>
          </cell>
          <cell r="E584">
            <v>75</v>
          </cell>
          <cell r="F584" t="str">
            <v>ALL TYPES</v>
          </cell>
          <cell r="G584" t="str">
            <v>1/4" STEEL ULTRACON</v>
          </cell>
          <cell r="H584">
            <v>2014</v>
          </cell>
          <cell r="I584">
            <v>44684</v>
          </cell>
        </row>
        <row r="585">
          <cell r="A585" t="str">
            <v>16-0714.02#3</v>
          </cell>
          <cell r="B585" t="str">
            <v>16-0714.02</v>
          </cell>
          <cell r="C585" t="str">
            <v>ALUMINUM</v>
          </cell>
          <cell r="D585">
            <v>58.8</v>
          </cell>
          <cell r="E585">
            <v>58.8</v>
          </cell>
          <cell r="F585" t="str">
            <v>ALL TYPES</v>
          </cell>
          <cell r="G585" t="str">
            <v>1/4" STEEL ULTRACON</v>
          </cell>
          <cell r="H585">
            <v>2014</v>
          </cell>
          <cell r="I585">
            <v>44684</v>
          </cell>
        </row>
        <row r="586">
          <cell r="A586" t="str">
            <v>16-0714.03#1</v>
          </cell>
          <cell r="B586" t="str">
            <v>16-0714.03</v>
          </cell>
          <cell r="C586"/>
          <cell r="D586">
            <v>50</v>
          </cell>
          <cell r="E586">
            <v>50</v>
          </cell>
          <cell r="F586" t="str">
            <v>TYPE 5/6/7/8</v>
          </cell>
          <cell r="G586" t="str">
            <v>3/16" ULTRACON</v>
          </cell>
          <cell r="H586">
            <v>2014</v>
          </cell>
          <cell r="I586">
            <v>44042</v>
          </cell>
        </row>
        <row r="587">
          <cell r="A587" t="str">
            <v>16-0714.03#2</v>
          </cell>
          <cell r="B587" t="str">
            <v>16-0714.03</v>
          </cell>
          <cell r="C587" t="str">
            <v>62" SPAN</v>
          </cell>
          <cell r="D587">
            <v>65</v>
          </cell>
          <cell r="E587">
            <v>70</v>
          </cell>
          <cell r="F587" t="str">
            <v>TYPE 5</v>
          </cell>
          <cell r="G587" t="str">
            <v>1/4" ULTRACON</v>
          </cell>
          <cell r="H587">
            <v>2014</v>
          </cell>
          <cell r="I587">
            <v>44042</v>
          </cell>
        </row>
        <row r="588">
          <cell r="A588" t="str">
            <v>16-0714.04#1</v>
          </cell>
          <cell r="B588" t="str">
            <v>16-0714.04</v>
          </cell>
          <cell r="C588"/>
          <cell r="D588">
            <v>65</v>
          </cell>
          <cell r="E588">
            <v>74.3</v>
          </cell>
          <cell r="F588"/>
          <cell r="G588"/>
          <cell r="H588">
            <v>2014</v>
          </cell>
          <cell r="I588">
            <v>44012</v>
          </cell>
        </row>
        <row r="589">
          <cell r="A589" t="str">
            <v>16-0714.04#2</v>
          </cell>
          <cell r="B589" t="str">
            <v>16-0714.04</v>
          </cell>
          <cell r="C589" t="str">
            <v xml:space="preserve"> </v>
          </cell>
          <cell r="D589">
            <v>50</v>
          </cell>
          <cell r="E589">
            <v>50</v>
          </cell>
          <cell r="F589"/>
          <cell r="G589" t="str">
            <v>3/16" STEEL ULTRACON</v>
          </cell>
          <cell r="H589">
            <v>2014</v>
          </cell>
          <cell r="I589">
            <v>44012</v>
          </cell>
        </row>
        <row r="590">
          <cell r="A590" t="str">
            <v>16-0714.05#1</v>
          </cell>
          <cell r="B590" t="str">
            <v>16-0714.05</v>
          </cell>
          <cell r="C590"/>
          <cell r="D590">
            <v>80</v>
          </cell>
          <cell r="E590">
            <v>80</v>
          </cell>
          <cell r="F590" t="str">
            <v>A,C,E,G,I</v>
          </cell>
          <cell r="G590"/>
          <cell r="H590">
            <v>2014</v>
          </cell>
          <cell r="I590">
            <v>44222</v>
          </cell>
        </row>
        <row r="591">
          <cell r="A591" t="str">
            <v>16-0714.06#1</v>
          </cell>
          <cell r="B591" t="str">
            <v>16-0714.06</v>
          </cell>
          <cell r="C591"/>
          <cell r="D591">
            <v>65</v>
          </cell>
          <cell r="E591">
            <v>80</v>
          </cell>
          <cell r="F591" t="str">
            <v>A</v>
          </cell>
          <cell r="G591" t="str">
            <v xml:space="preserve">1/4" ELCO TAPCONS </v>
          </cell>
          <cell r="H591">
            <v>2014</v>
          </cell>
          <cell r="I591">
            <v>44281</v>
          </cell>
        </row>
        <row r="592">
          <cell r="A592" t="str">
            <v>16-0714.06#2</v>
          </cell>
          <cell r="B592" t="str">
            <v>16-0714.06</v>
          </cell>
          <cell r="C592"/>
          <cell r="D592">
            <v>64</v>
          </cell>
          <cell r="E592">
            <v>80</v>
          </cell>
          <cell r="F592"/>
          <cell r="G592" t="str">
            <v xml:space="preserve">1/4" ELCO TAPCONS </v>
          </cell>
          <cell r="H592">
            <v>2014</v>
          </cell>
          <cell r="I592"/>
        </row>
        <row r="593">
          <cell r="A593" t="str">
            <v>16-0714.13#1</v>
          </cell>
          <cell r="B593" t="str">
            <v>16-0714.13</v>
          </cell>
          <cell r="C593" t="str">
            <v>XO OR OX</v>
          </cell>
          <cell r="D593">
            <v>63.8</v>
          </cell>
          <cell r="E593">
            <v>63.8</v>
          </cell>
          <cell r="F593" t="str">
            <v>A,B,G,H</v>
          </cell>
          <cell r="G593"/>
          <cell r="H593">
            <v>2014</v>
          </cell>
          <cell r="I593">
            <v>44551</v>
          </cell>
        </row>
        <row r="594">
          <cell r="A594" t="str">
            <v>16-0714.13#2</v>
          </cell>
          <cell r="B594" t="str">
            <v>16-0714.13</v>
          </cell>
          <cell r="C594"/>
          <cell r="D594">
            <v>75</v>
          </cell>
          <cell r="E594">
            <v>75</v>
          </cell>
          <cell r="F594"/>
          <cell r="G594"/>
          <cell r="H594">
            <v>2014</v>
          </cell>
          <cell r="I594">
            <v>44551</v>
          </cell>
        </row>
        <row r="595">
          <cell r="A595" t="str">
            <v>16-0714.13#3</v>
          </cell>
          <cell r="B595" t="str">
            <v>16-0714.13</v>
          </cell>
          <cell r="C595"/>
          <cell r="D595">
            <v>58.8</v>
          </cell>
          <cell r="E595">
            <v>58.8</v>
          </cell>
          <cell r="F595"/>
          <cell r="G595"/>
          <cell r="H595">
            <v>2014</v>
          </cell>
          <cell r="I595">
            <v>44551</v>
          </cell>
        </row>
        <row r="596">
          <cell r="A596" t="str">
            <v>16-0714.15#1</v>
          </cell>
          <cell r="B596" t="str">
            <v>16-0714.15</v>
          </cell>
          <cell r="C596"/>
          <cell r="D596">
            <v>90</v>
          </cell>
          <cell r="E596">
            <v>140</v>
          </cell>
          <cell r="F596"/>
          <cell r="G596"/>
          <cell r="H596">
            <v>2014</v>
          </cell>
          <cell r="I596"/>
        </row>
        <row r="597">
          <cell r="A597" t="str">
            <v>16-0714.15#2</v>
          </cell>
          <cell r="B597" t="str">
            <v>16-0714.15</v>
          </cell>
          <cell r="C597"/>
          <cell r="D597">
            <v>90</v>
          </cell>
          <cell r="E597">
            <v>117.5</v>
          </cell>
          <cell r="F597"/>
          <cell r="G597"/>
          <cell r="H597">
            <v>2014</v>
          </cell>
          <cell r="I597"/>
        </row>
        <row r="598">
          <cell r="A598" t="str">
            <v>16-0714.19#1</v>
          </cell>
          <cell r="B598" t="str">
            <v>16-0714.19</v>
          </cell>
          <cell r="C598"/>
          <cell r="D598">
            <v>70</v>
          </cell>
          <cell r="E598">
            <v>70</v>
          </cell>
          <cell r="F598"/>
          <cell r="G598"/>
          <cell r="H598">
            <v>2014</v>
          </cell>
          <cell r="I598">
            <v>44098</v>
          </cell>
        </row>
        <row r="599">
          <cell r="A599" t="str">
            <v>16-0824.06#1</v>
          </cell>
          <cell r="B599" t="str">
            <v>16-0824.06</v>
          </cell>
          <cell r="C599" t="str">
            <v>60X96 MAX W/WO REINFORCEMENTS</v>
          </cell>
          <cell r="D599">
            <v>73</v>
          </cell>
          <cell r="E599">
            <v>73</v>
          </cell>
          <cell r="F599" t="str">
            <v>TYPE C</v>
          </cell>
          <cell r="G599" t="str">
            <v>1/4" KWIK CON</v>
          </cell>
          <cell r="H599">
            <v>2014</v>
          </cell>
          <cell r="I599">
            <v>44160</v>
          </cell>
        </row>
        <row r="600">
          <cell r="A600" t="str">
            <v>16-0824.06#2</v>
          </cell>
          <cell r="B600" t="str">
            <v>16-0824.06</v>
          </cell>
          <cell r="C600"/>
          <cell r="D600">
            <v>131</v>
          </cell>
          <cell r="E600">
            <v>131</v>
          </cell>
          <cell r="F600" t="str">
            <v>TYPE A</v>
          </cell>
          <cell r="G600" t="str">
            <v>1/4" KWIK CON</v>
          </cell>
          <cell r="H600">
            <v>2014</v>
          </cell>
          <cell r="I600">
            <v>44160</v>
          </cell>
        </row>
        <row r="601">
          <cell r="A601" t="str">
            <v>16-0824.06#3</v>
          </cell>
          <cell r="B601" t="str">
            <v>16-0824.06</v>
          </cell>
          <cell r="C601"/>
          <cell r="D601">
            <v>110</v>
          </cell>
          <cell r="E601">
            <v>110</v>
          </cell>
          <cell r="F601" t="str">
            <v>TYPE A</v>
          </cell>
          <cell r="G601" t="str">
            <v>1/4" KWIK CON</v>
          </cell>
          <cell r="H601">
            <v>2014</v>
          </cell>
          <cell r="I601">
            <v>44160</v>
          </cell>
        </row>
        <row r="602">
          <cell r="A602" t="str">
            <v>16-1003.01#1</v>
          </cell>
          <cell r="B602" t="str">
            <v>16-1003.01</v>
          </cell>
          <cell r="C602" t="str">
            <v>FLANGE FRAME</v>
          </cell>
          <cell r="D602">
            <v>80</v>
          </cell>
          <cell r="E602">
            <v>80</v>
          </cell>
          <cell r="F602" t="str">
            <v>TYPE 2</v>
          </cell>
          <cell r="G602" t="str">
            <v>1/4" TAPCON</v>
          </cell>
          <cell r="H602">
            <v>2014</v>
          </cell>
          <cell r="I602">
            <v>44557</v>
          </cell>
        </row>
        <row r="603">
          <cell r="A603" t="str">
            <v>16-1018.06#1</v>
          </cell>
          <cell r="B603" t="str">
            <v>16-1018.06</v>
          </cell>
          <cell r="C603" t="str">
            <v>OUTSWING</v>
          </cell>
          <cell r="D603">
            <v>75</v>
          </cell>
          <cell r="E603">
            <v>75</v>
          </cell>
          <cell r="F603" t="str">
            <v>N/A</v>
          </cell>
          <cell r="G603" t="str">
            <v>3/8" UNICAN SLEEVE ANCHOR</v>
          </cell>
          <cell r="H603">
            <v>2014</v>
          </cell>
          <cell r="I603">
            <v>44580</v>
          </cell>
        </row>
        <row r="604">
          <cell r="A604" t="str">
            <v>17-0118.04#1</v>
          </cell>
          <cell r="B604" t="str">
            <v>17-0118.04</v>
          </cell>
          <cell r="C604"/>
          <cell r="D604">
            <v>70</v>
          </cell>
          <cell r="E604">
            <v>75</v>
          </cell>
          <cell r="F604"/>
          <cell r="G604"/>
          <cell r="H604">
            <v>2014</v>
          </cell>
          <cell r="I604"/>
        </row>
        <row r="605">
          <cell r="A605" t="str">
            <v>17-0307.09#1</v>
          </cell>
          <cell r="B605" t="str">
            <v>17-0307.09</v>
          </cell>
          <cell r="C605" t="str">
            <v>W/O REINFORCEMENTS</v>
          </cell>
          <cell r="D605">
            <v>80</v>
          </cell>
          <cell r="E605">
            <v>80</v>
          </cell>
          <cell r="F605"/>
          <cell r="G605"/>
          <cell r="H605">
            <v>2014</v>
          </cell>
          <cell r="I605">
            <v>43277</v>
          </cell>
        </row>
        <row r="606">
          <cell r="A606" t="str">
            <v>17-0307.11#1</v>
          </cell>
          <cell r="B606" t="str">
            <v>17-0307.11</v>
          </cell>
          <cell r="C606"/>
          <cell r="D606">
            <v>80</v>
          </cell>
          <cell r="E606">
            <v>80</v>
          </cell>
          <cell r="F606" t="str">
            <v>1, 1A</v>
          </cell>
          <cell r="G606"/>
          <cell r="H606">
            <v>2014</v>
          </cell>
          <cell r="I606">
            <v>43263</v>
          </cell>
        </row>
        <row r="607">
          <cell r="A607" t="str">
            <v>17-0307.11#2</v>
          </cell>
          <cell r="B607" t="str">
            <v>17-0307.11</v>
          </cell>
          <cell r="C607"/>
          <cell r="D607">
            <v>120</v>
          </cell>
          <cell r="E607">
            <v>140</v>
          </cell>
          <cell r="F607" t="str">
            <v>2, 2A</v>
          </cell>
          <cell r="G607"/>
          <cell r="H607">
            <v>2014</v>
          </cell>
          <cell r="I607">
            <v>43263</v>
          </cell>
        </row>
        <row r="608">
          <cell r="A608" t="str">
            <v>17-0411.04#1</v>
          </cell>
          <cell r="B608" t="str">
            <v>17-0411.04</v>
          </cell>
          <cell r="C608"/>
          <cell r="D608">
            <v>90</v>
          </cell>
          <cell r="E608">
            <v>117.5</v>
          </cell>
          <cell r="F608"/>
          <cell r="G608"/>
          <cell r="H608">
            <v>2017</v>
          </cell>
          <cell r="I608">
            <v>44866</v>
          </cell>
        </row>
        <row r="609">
          <cell r="A609" t="str">
            <v>17-0411.06#1</v>
          </cell>
          <cell r="B609" t="str">
            <v>17-0411.06</v>
          </cell>
          <cell r="C609"/>
          <cell r="D609">
            <v>75</v>
          </cell>
          <cell r="E609">
            <v>75</v>
          </cell>
          <cell r="F609"/>
          <cell r="G609"/>
          <cell r="H609">
            <v>2014</v>
          </cell>
          <cell r="I609">
            <v>44551</v>
          </cell>
        </row>
        <row r="610">
          <cell r="A610" t="str">
            <v>17-0411.06#2</v>
          </cell>
          <cell r="B610" t="str">
            <v>17-0411.06</v>
          </cell>
          <cell r="C610"/>
          <cell r="D610">
            <v>75</v>
          </cell>
          <cell r="E610">
            <v>75</v>
          </cell>
          <cell r="F610" t="str">
            <v>ALL TYPES</v>
          </cell>
          <cell r="G610" t="str">
            <v>1/4" ELCO ULTRACON</v>
          </cell>
          <cell r="H610" t="str">
            <v>2014/2017</v>
          </cell>
          <cell r="I610">
            <v>44551</v>
          </cell>
        </row>
        <row r="611">
          <cell r="A611" t="str">
            <v>17-0411.08#1</v>
          </cell>
          <cell r="B611" t="str">
            <v>17-0411.08</v>
          </cell>
          <cell r="C611"/>
          <cell r="D611">
            <v>65</v>
          </cell>
          <cell r="E611">
            <v>70</v>
          </cell>
          <cell r="F611"/>
          <cell r="G611"/>
          <cell r="H611">
            <v>2017</v>
          </cell>
          <cell r="I611"/>
        </row>
        <row r="612">
          <cell r="A612" t="str">
            <v>17-0420.04#1</v>
          </cell>
          <cell r="B612" t="str">
            <v>17-0420.04</v>
          </cell>
          <cell r="C612"/>
          <cell r="D612">
            <v>105</v>
          </cell>
          <cell r="E612">
            <v>115</v>
          </cell>
          <cell r="F612"/>
          <cell r="G612"/>
          <cell r="H612">
            <v>2017</v>
          </cell>
          <cell r="I612">
            <v>44775</v>
          </cell>
        </row>
        <row r="613">
          <cell r="A613" t="str">
            <v>17-0420.06#1</v>
          </cell>
          <cell r="B613" t="str">
            <v>17-0420.06</v>
          </cell>
          <cell r="C613"/>
          <cell r="D613">
            <v>60</v>
          </cell>
          <cell r="E613">
            <v>60</v>
          </cell>
          <cell r="F613"/>
          <cell r="G613"/>
          <cell r="H613">
            <v>2017</v>
          </cell>
          <cell r="I613">
            <v>44300</v>
          </cell>
        </row>
        <row r="614">
          <cell r="A614" t="str">
            <v>17-0420.07#1</v>
          </cell>
          <cell r="B614" t="str">
            <v>17-0420.07</v>
          </cell>
          <cell r="C614"/>
          <cell r="D614">
            <v>80</v>
          </cell>
          <cell r="E614">
            <v>80</v>
          </cell>
          <cell r="F614"/>
          <cell r="G614"/>
          <cell r="H614">
            <v>2017</v>
          </cell>
          <cell r="I614">
            <v>44307</v>
          </cell>
        </row>
        <row r="615">
          <cell r="A615" t="str">
            <v>17-0420.07#2</v>
          </cell>
          <cell r="B615" t="str">
            <v>17-0420.07</v>
          </cell>
          <cell r="C615"/>
          <cell r="D615">
            <v>98.5</v>
          </cell>
          <cell r="E615">
            <v>98.5</v>
          </cell>
          <cell r="F615"/>
          <cell r="G615"/>
          <cell r="H615">
            <v>2017</v>
          </cell>
          <cell r="I615">
            <v>44307</v>
          </cell>
        </row>
        <row r="616">
          <cell r="A616" t="str">
            <v>17-0420.09#1</v>
          </cell>
          <cell r="B616" t="str">
            <v>17-0420.09</v>
          </cell>
          <cell r="C616"/>
          <cell r="D616">
            <v>60</v>
          </cell>
          <cell r="E616">
            <v>60</v>
          </cell>
          <cell r="F616"/>
          <cell r="G616"/>
          <cell r="H616">
            <v>2014</v>
          </cell>
          <cell r="I616">
            <v>43928</v>
          </cell>
        </row>
        <row r="617">
          <cell r="A617" t="str">
            <v>17-0420.10#1</v>
          </cell>
          <cell r="B617" t="str">
            <v>17-0420.10</v>
          </cell>
          <cell r="C617"/>
          <cell r="D617">
            <v>90</v>
          </cell>
          <cell r="E617">
            <v>151</v>
          </cell>
          <cell r="F617"/>
          <cell r="G617"/>
          <cell r="H617">
            <v>2014</v>
          </cell>
          <cell r="I617"/>
        </row>
        <row r="618">
          <cell r="A618" t="str">
            <v>17-0420.11#1</v>
          </cell>
          <cell r="B618" t="str">
            <v>17-0420.11</v>
          </cell>
          <cell r="C618"/>
          <cell r="D618">
            <v>105</v>
          </cell>
          <cell r="E618">
            <v>115</v>
          </cell>
          <cell r="F618"/>
          <cell r="G618"/>
          <cell r="H618">
            <v>2017</v>
          </cell>
          <cell r="I618">
            <v>43542</v>
          </cell>
        </row>
        <row r="619">
          <cell r="A619" t="str">
            <v>17-0420.12#1</v>
          </cell>
          <cell r="B619" t="str">
            <v>17-0420.12</v>
          </cell>
          <cell r="C619" t="str">
            <v>W/ 90 &amp; 135 DEG CORNERS, 4" SILL RISER</v>
          </cell>
          <cell r="D619">
            <v>60</v>
          </cell>
          <cell r="E619">
            <v>60</v>
          </cell>
          <cell r="F619" t="str">
            <v>ALL TYPES</v>
          </cell>
          <cell r="G619" t="str">
            <v>1/4" ELCO ULTRACON</v>
          </cell>
          <cell r="H619">
            <v>2014</v>
          </cell>
          <cell r="I619">
            <v>43878</v>
          </cell>
        </row>
        <row r="620">
          <cell r="A620" t="str">
            <v>17-0420.12#2</v>
          </cell>
          <cell r="B620" t="str">
            <v>17-0420.12</v>
          </cell>
          <cell r="C620" t="str">
            <v xml:space="preserve">3-1/4 SILL </v>
          </cell>
          <cell r="D620">
            <v>60</v>
          </cell>
          <cell r="E620">
            <v>90</v>
          </cell>
          <cell r="F620" t="str">
            <v>TYPES 4, 4A, 6, 6A, 7, 7A, 8, 8A</v>
          </cell>
          <cell r="G620" t="str">
            <v>1/4" ELCO ULTRACON</v>
          </cell>
          <cell r="H620" t="str">
            <v>2014/2017</v>
          </cell>
          <cell r="I620">
            <v>43878</v>
          </cell>
        </row>
        <row r="621">
          <cell r="A621" t="str">
            <v>17-0420.13#1</v>
          </cell>
          <cell r="B621" t="str">
            <v>17-0420.13</v>
          </cell>
          <cell r="C621" t="str">
            <v>W/ REINFORCEMENTS, 3-1/2" SILL RISER</v>
          </cell>
          <cell r="D621">
            <v>60</v>
          </cell>
          <cell r="E621">
            <v>130</v>
          </cell>
          <cell r="F621" t="str">
            <v>ALL TYPES</v>
          </cell>
          <cell r="G621" t="str">
            <v>1/4" ELCO ULTRACON</v>
          </cell>
          <cell r="H621">
            <v>2017</v>
          </cell>
          <cell r="I621">
            <v>43914</v>
          </cell>
        </row>
        <row r="622">
          <cell r="A622" t="str">
            <v>17-0420.14#1</v>
          </cell>
          <cell r="B622" t="str">
            <v>17-0420.14</v>
          </cell>
          <cell r="C622" t="str">
            <v xml:space="preserve">3-1/4 SILL </v>
          </cell>
          <cell r="D622">
            <v>90</v>
          </cell>
          <cell r="E622">
            <v>130</v>
          </cell>
          <cell r="F622" t="str">
            <v>ALL TYPES</v>
          </cell>
          <cell r="G622" t="str">
            <v>1/4" ELCO ULTRACON</v>
          </cell>
          <cell r="H622" t="str">
            <v>2014/2017</v>
          </cell>
          <cell r="I622">
            <v>43914</v>
          </cell>
        </row>
        <row r="623">
          <cell r="A623" t="str">
            <v>17-0420.14#2</v>
          </cell>
          <cell r="B623" t="str">
            <v>17-0420.14</v>
          </cell>
          <cell r="C623" t="str">
            <v xml:space="preserve">3-1/4 SILL </v>
          </cell>
          <cell r="D623">
            <v>46.7</v>
          </cell>
          <cell r="E623">
            <v>130</v>
          </cell>
          <cell r="F623" t="str">
            <v>ALL TYPES</v>
          </cell>
          <cell r="G623" t="str">
            <v>1/4" ELCO ULTRACON</v>
          </cell>
          <cell r="H623">
            <v>2017</v>
          </cell>
          <cell r="I623">
            <v>43914</v>
          </cell>
        </row>
        <row r="624">
          <cell r="A624" t="str">
            <v>17-0420.17#1</v>
          </cell>
          <cell r="B624" t="str">
            <v>17-0420.17</v>
          </cell>
          <cell r="C624" t="str">
            <v>W/ 90 &amp; 135 DEG CORNERS, 4" SILL RISER</v>
          </cell>
          <cell r="D624">
            <v>60</v>
          </cell>
          <cell r="E624">
            <v>60</v>
          </cell>
          <cell r="F624" t="str">
            <v>ALL TYPES</v>
          </cell>
          <cell r="G624" t="str">
            <v>1/4" ELCO ULTRACON</v>
          </cell>
          <cell r="H624">
            <v>2014</v>
          </cell>
          <cell r="I624">
            <v>43873</v>
          </cell>
        </row>
        <row r="625">
          <cell r="A625" t="str">
            <v>17-0504.05#1</v>
          </cell>
          <cell r="B625" t="str">
            <v>17-0504.05</v>
          </cell>
          <cell r="C625"/>
          <cell r="D625">
            <v>50</v>
          </cell>
          <cell r="E625">
            <v>50</v>
          </cell>
          <cell r="F625"/>
          <cell r="G625"/>
          <cell r="H625">
            <v>2017</v>
          </cell>
          <cell r="I625">
            <v>43488</v>
          </cell>
        </row>
        <row r="626">
          <cell r="A626" t="str">
            <v>17-0504.07#1</v>
          </cell>
          <cell r="B626" t="str">
            <v>17-0504.07</v>
          </cell>
          <cell r="C626"/>
          <cell r="D626">
            <v>50</v>
          </cell>
          <cell r="E626">
            <v>50</v>
          </cell>
          <cell r="F626"/>
          <cell r="G626"/>
          <cell r="H626">
            <v>2017</v>
          </cell>
          <cell r="I626">
            <v>43488</v>
          </cell>
        </row>
        <row r="627">
          <cell r="A627" t="str">
            <v>17-0608.04#1</v>
          </cell>
          <cell r="B627" t="str">
            <v>17-0608.04</v>
          </cell>
          <cell r="C627"/>
          <cell r="D627">
            <v>80</v>
          </cell>
          <cell r="E627">
            <v>80</v>
          </cell>
          <cell r="F627"/>
          <cell r="G627"/>
          <cell r="H627">
            <v>2017</v>
          </cell>
          <cell r="I627"/>
        </row>
        <row r="628">
          <cell r="A628" t="str">
            <v>17-0614.09#1</v>
          </cell>
          <cell r="B628" t="str">
            <v>17-0614.09</v>
          </cell>
          <cell r="C628"/>
          <cell r="D628">
            <v>80</v>
          </cell>
          <cell r="E628">
            <v>110</v>
          </cell>
          <cell r="F628"/>
          <cell r="G628"/>
          <cell r="H628">
            <v>2017</v>
          </cell>
          <cell r="I628"/>
        </row>
        <row r="629">
          <cell r="A629" t="str">
            <v>17-0614.11#1</v>
          </cell>
          <cell r="B629" t="str">
            <v>17-0614.11</v>
          </cell>
          <cell r="C629"/>
          <cell r="D629">
            <v>90</v>
          </cell>
          <cell r="E629">
            <v>108.9</v>
          </cell>
          <cell r="F629" t="str">
            <v>TYPE 5</v>
          </cell>
          <cell r="G629"/>
          <cell r="H629">
            <v>2017</v>
          </cell>
          <cell r="I629">
            <v>43515</v>
          </cell>
        </row>
        <row r="630">
          <cell r="A630" t="str">
            <v>17-0630.04#1</v>
          </cell>
          <cell r="B630" t="str">
            <v>17-0630.04</v>
          </cell>
          <cell r="C630" t="str">
            <v>ALUMINUM</v>
          </cell>
          <cell r="D630">
            <v>90</v>
          </cell>
          <cell r="E630">
            <v>150</v>
          </cell>
          <cell r="F630" t="str">
            <v>ALL TYPES</v>
          </cell>
          <cell r="G630" t="str">
            <v>1/4" STEEL ULTRACON</v>
          </cell>
          <cell r="H630">
            <v>2017</v>
          </cell>
          <cell r="I630">
            <v>44684</v>
          </cell>
        </row>
        <row r="631">
          <cell r="A631" t="str">
            <v>17-0630.05#1</v>
          </cell>
          <cell r="B631" t="str">
            <v>17-0630.05</v>
          </cell>
          <cell r="C631"/>
          <cell r="D631">
            <v>65</v>
          </cell>
          <cell r="E631">
            <v>70</v>
          </cell>
          <cell r="F631"/>
          <cell r="G631"/>
          <cell r="H631">
            <v>2017</v>
          </cell>
          <cell r="I631"/>
        </row>
        <row r="632">
          <cell r="A632" t="str">
            <v>17-0630.06#1</v>
          </cell>
          <cell r="B632" t="str">
            <v>17-0630.06</v>
          </cell>
          <cell r="C632" t="str">
            <v xml:space="preserve"> </v>
          </cell>
          <cell r="D632">
            <v>50</v>
          </cell>
          <cell r="E632">
            <v>50</v>
          </cell>
          <cell r="F632"/>
          <cell r="G632" t="str">
            <v>3/16" STEEL ULTRACON</v>
          </cell>
          <cell r="H632">
            <v>2017</v>
          </cell>
          <cell r="I632">
            <v>44042</v>
          </cell>
        </row>
        <row r="633">
          <cell r="A633" t="str">
            <v>17-0630.06#2</v>
          </cell>
          <cell r="B633" t="str">
            <v>17-0630.06</v>
          </cell>
          <cell r="C633"/>
          <cell r="D633">
            <v>65</v>
          </cell>
          <cell r="E633">
            <v>74.3</v>
          </cell>
          <cell r="F633"/>
          <cell r="G633"/>
          <cell r="H633">
            <v>2017</v>
          </cell>
          <cell r="I633">
            <v>44042</v>
          </cell>
        </row>
        <row r="634">
          <cell r="A634" t="str">
            <v>17-0630.08#1</v>
          </cell>
          <cell r="B634" t="str">
            <v>17-0630.08</v>
          </cell>
          <cell r="C634"/>
          <cell r="D634">
            <v>80</v>
          </cell>
          <cell r="E634">
            <v>80</v>
          </cell>
          <cell r="F634"/>
          <cell r="G634"/>
          <cell r="H634">
            <v>2017</v>
          </cell>
          <cell r="I634">
            <v>44281</v>
          </cell>
        </row>
        <row r="635">
          <cell r="A635" t="str">
            <v>17-0630.10#1</v>
          </cell>
          <cell r="B635" t="str">
            <v>17-0630.10</v>
          </cell>
          <cell r="C635"/>
          <cell r="D635">
            <v>70</v>
          </cell>
          <cell r="E635">
            <v>110</v>
          </cell>
          <cell r="F635"/>
          <cell r="G635"/>
          <cell r="H635">
            <v>2017</v>
          </cell>
          <cell r="I635">
            <v>44091</v>
          </cell>
        </row>
        <row r="636">
          <cell r="A636" t="str">
            <v>17-0731.06#1</v>
          </cell>
          <cell r="B636" t="str">
            <v>17-0731.06</v>
          </cell>
          <cell r="C636"/>
          <cell r="D636">
            <v>80</v>
          </cell>
          <cell r="E636">
            <v>120</v>
          </cell>
          <cell r="F636" t="str">
            <v>TYPE C</v>
          </cell>
          <cell r="G636" t="str">
            <v>1/4" ELCO ULTRACON</v>
          </cell>
          <cell r="H636">
            <v>2017</v>
          </cell>
          <cell r="I636">
            <v>44691</v>
          </cell>
        </row>
        <row r="637">
          <cell r="A637" t="str">
            <v>17-0809.37#1</v>
          </cell>
          <cell r="B637" t="str">
            <v>17-0809.37</v>
          </cell>
          <cell r="C637"/>
          <cell r="D637">
            <v>55</v>
          </cell>
          <cell r="E637">
            <v>60</v>
          </cell>
          <cell r="F637" t="str">
            <v>5/16" LAMINATED</v>
          </cell>
          <cell r="G637" t="str">
            <v>1/4" ITW TAPCON</v>
          </cell>
          <cell r="H637" t="str">
            <v>2014/2017</v>
          </cell>
          <cell r="I637">
            <v>44886</v>
          </cell>
        </row>
        <row r="638">
          <cell r="A638" t="str">
            <v>17-0821.11#1</v>
          </cell>
          <cell r="B638" t="str">
            <v>17-0821.11</v>
          </cell>
          <cell r="C638"/>
          <cell r="D638">
            <v>100</v>
          </cell>
          <cell r="E638">
            <v>100</v>
          </cell>
          <cell r="F638"/>
          <cell r="G638"/>
          <cell r="H638">
            <v>2017</v>
          </cell>
          <cell r="I638">
            <v>44886</v>
          </cell>
        </row>
        <row r="639">
          <cell r="A639" t="str">
            <v>17-0918.06#1</v>
          </cell>
          <cell r="B639" t="str">
            <v>17-0918.06</v>
          </cell>
          <cell r="C639"/>
          <cell r="D639">
            <v>110</v>
          </cell>
          <cell r="E639">
            <v>120</v>
          </cell>
          <cell r="F639"/>
          <cell r="G639"/>
          <cell r="H639">
            <v>2017</v>
          </cell>
          <cell r="I639">
            <v>45230</v>
          </cell>
        </row>
        <row r="640">
          <cell r="A640" t="str">
            <v>17-0918.07#1</v>
          </cell>
          <cell r="B640" t="str">
            <v>17-0918.07</v>
          </cell>
          <cell r="C640" t="str">
            <v>HVHZ</v>
          </cell>
          <cell r="D640">
            <v>80</v>
          </cell>
          <cell r="E640">
            <v>80</v>
          </cell>
          <cell r="F640" t="str">
            <v>7/16LAM.</v>
          </cell>
          <cell r="G640" t="str">
            <v>1/4" ELCO ULTRACONS</v>
          </cell>
          <cell r="H640">
            <v>2017</v>
          </cell>
          <cell r="I640"/>
        </row>
        <row r="641">
          <cell r="A641" t="str">
            <v>17-0918.08#1</v>
          </cell>
          <cell r="B641" t="str">
            <v>17-0918.08</v>
          </cell>
          <cell r="C641"/>
          <cell r="D641">
            <v>100</v>
          </cell>
          <cell r="E641">
            <v>120</v>
          </cell>
          <cell r="F641"/>
          <cell r="G641"/>
          <cell r="H641">
            <v>2017</v>
          </cell>
          <cell r="I641" t="str">
            <v>31/07/19</v>
          </cell>
        </row>
        <row r="642">
          <cell r="A642" t="str">
            <v>17-0918.09#1</v>
          </cell>
          <cell r="B642" t="str">
            <v>17-0918.09</v>
          </cell>
          <cell r="C642" t="str">
            <v>HVHZ</v>
          </cell>
          <cell r="D642">
            <v>65</v>
          </cell>
          <cell r="E642">
            <v>65</v>
          </cell>
          <cell r="F642" t="str">
            <v>5/16" LAMINATED</v>
          </cell>
          <cell r="G642" t="str">
            <v>1/4" ELCO ULTRACON</v>
          </cell>
          <cell r="H642">
            <v>2014</v>
          </cell>
          <cell r="I642">
            <v>44096</v>
          </cell>
        </row>
        <row r="643">
          <cell r="A643" t="str">
            <v>17-0918.09#2</v>
          </cell>
          <cell r="B643" t="str">
            <v>17-0918.09</v>
          </cell>
          <cell r="C643" t="str">
            <v>HVHZ</v>
          </cell>
          <cell r="D643">
            <v>65</v>
          </cell>
          <cell r="E643">
            <v>65</v>
          </cell>
          <cell r="F643" t="str">
            <v>5/16" LAMINATED</v>
          </cell>
          <cell r="G643" t="str">
            <v>1/4" ELCO ULTRACON</v>
          </cell>
          <cell r="H643">
            <v>2017</v>
          </cell>
          <cell r="I643">
            <v>44096</v>
          </cell>
        </row>
        <row r="644">
          <cell r="A644" t="str">
            <v>17-0918.09#3</v>
          </cell>
          <cell r="B644" t="str">
            <v>17-0918.09</v>
          </cell>
          <cell r="C644" t="str">
            <v>HVHZ</v>
          </cell>
          <cell r="D644">
            <v>80</v>
          </cell>
          <cell r="E644">
            <v>90</v>
          </cell>
          <cell r="F644"/>
          <cell r="G644" t="str">
            <v>1/4" ELCO ULTRACON</v>
          </cell>
          <cell r="H644">
            <v>2017</v>
          </cell>
          <cell r="I644">
            <v>44096</v>
          </cell>
        </row>
        <row r="645">
          <cell r="A645" t="str">
            <v>17-0918.11#1</v>
          </cell>
          <cell r="B645" t="str">
            <v>17-0918.11</v>
          </cell>
          <cell r="C645"/>
          <cell r="D645">
            <v>110</v>
          </cell>
          <cell r="E645">
            <v>120</v>
          </cell>
          <cell r="F645" t="str">
            <v>TYPE 6</v>
          </cell>
          <cell r="G645" t="str">
            <v>1/4" ELCO ULTRACON</v>
          </cell>
          <cell r="H645">
            <v>2017</v>
          </cell>
          <cell r="I645">
            <v>45225</v>
          </cell>
        </row>
        <row r="646">
          <cell r="A646" t="str">
            <v>17-0926.17#1</v>
          </cell>
          <cell r="B646" t="str">
            <v>17-0926.17</v>
          </cell>
          <cell r="C646"/>
          <cell r="D646">
            <v>80</v>
          </cell>
          <cell r="E646">
            <v>80</v>
          </cell>
          <cell r="F646"/>
          <cell r="G646"/>
          <cell r="H646">
            <v>2017</v>
          </cell>
          <cell r="I646">
            <v>45219</v>
          </cell>
        </row>
        <row r="647">
          <cell r="A647" t="str">
            <v>17-0926.18#1</v>
          </cell>
          <cell r="B647" t="str">
            <v>17-0926.18</v>
          </cell>
          <cell r="C647"/>
          <cell r="D647">
            <v>110</v>
          </cell>
          <cell r="E647">
            <v>120</v>
          </cell>
          <cell r="F647"/>
          <cell r="G647"/>
          <cell r="H647">
            <v>2017</v>
          </cell>
          <cell r="I647">
            <v>45225</v>
          </cell>
        </row>
        <row r="648">
          <cell r="A648" t="str">
            <v>17-1011.15#1</v>
          </cell>
          <cell r="B648" t="str">
            <v>17-1011.15</v>
          </cell>
          <cell r="C648"/>
          <cell r="D648">
            <v>80</v>
          </cell>
          <cell r="E648">
            <v>134</v>
          </cell>
          <cell r="F648"/>
          <cell r="G648"/>
          <cell r="H648">
            <v>2018</v>
          </cell>
          <cell r="I648" t="str">
            <v>13/11/19</v>
          </cell>
        </row>
        <row r="649">
          <cell r="A649" t="str">
            <v>17-1011.18#1</v>
          </cell>
          <cell r="B649" t="str">
            <v>17-1011.18</v>
          </cell>
          <cell r="C649"/>
          <cell r="D649">
            <v>60</v>
          </cell>
          <cell r="E649">
            <v>60</v>
          </cell>
          <cell r="F649" t="str">
            <v>ALL TYPES</v>
          </cell>
          <cell r="G649" t="str">
            <v>1/4" ELCO ULTRACON</v>
          </cell>
          <cell r="H649">
            <v>2017</v>
          </cell>
          <cell r="I649">
            <v>43516</v>
          </cell>
        </row>
        <row r="650">
          <cell r="A650" t="str">
            <v>17-1016.13#1</v>
          </cell>
          <cell r="B650" t="str">
            <v>17-1016.13</v>
          </cell>
          <cell r="C650" t="str">
            <v>SECTIONAL GARAGE DOORS</v>
          </cell>
          <cell r="D650"/>
          <cell r="E650"/>
          <cell r="F650"/>
          <cell r="G650"/>
          <cell r="H650"/>
          <cell r="I650"/>
        </row>
        <row r="651">
          <cell r="A651" t="str">
            <v>17-1016.18#1</v>
          </cell>
          <cell r="B651" t="str">
            <v>17-1016.18</v>
          </cell>
          <cell r="C651" t="str">
            <v>BLOCK WALL</v>
          </cell>
          <cell r="D651">
            <v>75</v>
          </cell>
          <cell r="E651">
            <v>75</v>
          </cell>
          <cell r="F651" t="str">
            <v>N/A</v>
          </cell>
          <cell r="G651" t="str">
            <v>1/4" ITW TAPCON</v>
          </cell>
          <cell r="H651">
            <v>201</v>
          </cell>
          <cell r="I651">
            <v>43333</v>
          </cell>
        </row>
        <row r="652">
          <cell r="A652" t="str">
            <v>17-1016.18#2</v>
          </cell>
          <cell r="B652" t="str">
            <v>17-1016.18</v>
          </cell>
          <cell r="C652"/>
          <cell r="D652">
            <v>42</v>
          </cell>
          <cell r="E652">
            <v>48</v>
          </cell>
          <cell r="F652"/>
          <cell r="G652"/>
          <cell r="H652">
            <v>2017</v>
          </cell>
          <cell r="I652">
            <v>43333</v>
          </cell>
        </row>
        <row r="653">
          <cell r="A653" t="str">
            <v>17-1017.13#1</v>
          </cell>
          <cell r="B653" t="str">
            <v>17-1017.13</v>
          </cell>
          <cell r="C653"/>
          <cell r="D653">
            <v>70</v>
          </cell>
          <cell r="E653">
            <v>70</v>
          </cell>
          <cell r="F653"/>
          <cell r="G653"/>
          <cell r="H653">
            <v>2017</v>
          </cell>
          <cell r="I653"/>
        </row>
        <row r="654">
          <cell r="A654" t="str">
            <v>17-1017.16#1</v>
          </cell>
          <cell r="B654" t="str">
            <v>17-1017.16</v>
          </cell>
          <cell r="C654"/>
          <cell r="D654">
            <v>87</v>
          </cell>
          <cell r="E654">
            <v>87</v>
          </cell>
          <cell r="F654"/>
          <cell r="G654"/>
          <cell r="H654">
            <v>2018</v>
          </cell>
          <cell r="I654">
            <v>43490</v>
          </cell>
        </row>
        <row r="655">
          <cell r="A655" t="str">
            <v>17-1018.04#1</v>
          </cell>
          <cell r="B655" t="str">
            <v>17-1018.04</v>
          </cell>
          <cell r="C655"/>
          <cell r="D655">
            <v>80</v>
          </cell>
          <cell r="E655">
            <v>200</v>
          </cell>
          <cell r="F655"/>
          <cell r="G655"/>
          <cell r="H655">
            <v>2014</v>
          </cell>
          <cell r="I655">
            <v>43956</v>
          </cell>
        </row>
        <row r="656">
          <cell r="A656" t="str">
            <v>17-1018.06#1</v>
          </cell>
          <cell r="B656" t="str">
            <v>17-1018.06</v>
          </cell>
          <cell r="C656"/>
          <cell r="D656">
            <v>80</v>
          </cell>
          <cell r="E656">
            <v>120</v>
          </cell>
          <cell r="F656" t="str">
            <v>4 OR 4A FOR SMI</v>
          </cell>
          <cell r="G656" t="str">
            <v>1/4" ELCO ULTRACON</v>
          </cell>
          <cell r="H656">
            <v>2017</v>
          </cell>
          <cell r="I656">
            <v>43956</v>
          </cell>
        </row>
        <row r="657">
          <cell r="A657" t="str">
            <v>17-1018.08#1</v>
          </cell>
          <cell r="B657" t="str">
            <v>17-1018.08</v>
          </cell>
          <cell r="C657" t="str">
            <v>HVHZ</v>
          </cell>
          <cell r="D657">
            <v>75</v>
          </cell>
          <cell r="E657">
            <v>75</v>
          </cell>
          <cell r="F657" t="str">
            <v>5/16 LAMINATED</v>
          </cell>
          <cell r="G657" t="str">
            <v>1/4" ELCO ULTRACON</v>
          </cell>
          <cell r="H657">
            <v>2017</v>
          </cell>
          <cell r="I657">
            <v>44096</v>
          </cell>
        </row>
        <row r="658">
          <cell r="A658" t="str">
            <v>17-1018.08#2</v>
          </cell>
          <cell r="B658" t="str">
            <v>17-1018.08</v>
          </cell>
          <cell r="C658" t="str">
            <v>HVHZ</v>
          </cell>
          <cell r="D658">
            <v>80</v>
          </cell>
          <cell r="E658">
            <v>85</v>
          </cell>
          <cell r="F658"/>
          <cell r="G658" t="str">
            <v>1/4" ELCO ULTRACON</v>
          </cell>
          <cell r="H658">
            <v>2017</v>
          </cell>
          <cell r="I658">
            <v>44096</v>
          </cell>
        </row>
        <row r="659">
          <cell r="A659" t="str">
            <v>17-1102.23#1</v>
          </cell>
          <cell r="B659" t="str">
            <v>17-1102.23</v>
          </cell>
          <cell r="C659" t="str">
            <v>ALUMINUM</v>
          </cell>
          <cell r="D659">
            <v>46.7</v>
          </cell>
          <cell r="E659">
            <v>60</v>
          </cell>
          <cell r="F659"/>
          <cell r="G659"/>
          <cell r="H659">
            <v>2017</v>
          </cell>
          <cell r="I659"/>
        </row>
        <row r="660">
          <cell r="A660" t="str">
            <v>17-1212.05#1</v>
          </cell>
          <cell r="B660" t="str">
            <v>17-1212.05</v>
          </cell>
          <cell r="C660" t="str">
            <v>ALUMINUM, 3" RISER</v>
          </cell>
          <cell r="D660">
            <v>60</v>
          </cell>
          <cell r="E660">
            <v>60</v>
          </cell>
          <cell r="F660" t="str">
            <v>TYPE A/B</v>
          </cell>
          <cell r="G660" t="str">
            <v>1/4" ELCO ULTRACON</v>
          </cell>
          <cell r="H660">
            <v>2017</v>
          </cell>
          <cell r="I660">
            <v>44980</v>
          </cell>
        </row>
        <row r="661">
          <cell r="A661" t="str">
            <v>17-1212.13#1</v>
          </cell>
          <cell r="B661" t="str">
            <v>17-1212.13</v>
          </cell>
          <cell r="C661"/>
          <cell r="D661">
            <v>65</v>
          </cell>
          <cell r="E661">
            <v>65</v>
          </cell>
          <cell r="F661"/>
          <cell r="G661"/>
          <cell r="H661">
            <v>2018</v>
          </cell>
          <cell r="I661">
            <v>44795</v>
          </cell>
        </row>
        <row r="662">
          <cell r="A662" t="str">
            <v>17-1212.17#1</v>
          </cell>
          <cell r="B662" t="str">
            <v>17-1212.17</v>
          </cell>
          <cell r="C662" t="str">
            <v>INSWING/OUTSWING</v>
          </cell>
          <cell r="D662">
            <v>65</v>
          </cell>
          <cell r="E662">
            <v>65</v>
          </cell>
          <cell r="F662" t="str">
            <v>TYPE A</v>
          </cell>
          <cell r="G662" t="str">
            <v>1/4" TAPCON</v>
          </cell>
          <cell r="H662">
            <v>2017</v>
          </cell>
          <cell r="I662"/>
        </row>
        <row r="663">
          <cell r="A663" t="str">
            <v>17-1212.21#1</v>
          </cell>
          <cell r="B663" t="str">
            <v>17-1212.21</v>
          </cell>
          <cell r="C663" t="str">
            <v>FLANGE FRAME</v>
          </cell>
          <cell r="D663">
            <v>80</v>
          </cell>
          <cell r="E663">
            <v>80</v>
          </cell>
          <cell r="F663" t="str">
            <v>TYPE 2</v>
          </cell>
          <cell r="G663" t="str">
            <v>1/4" TAPCON</v>
          </cell>
          <cell r="H663">
            <v>2017</v>
          </cell>
          <cell r="I663">
            <v>44557</v>
          </cell>
        </row>
        <row r="664">
          <cell r="A664" t="str">
            <v>17-1218.20#1</v>
          </cell>
          <cell r="B664" t="str">
            <v>17-1218.20</v>
          </cell>
          <cell r="C664"/>
          <cell r="D664">
            <v>60</v>
          </cell>
          <cell r="E664">
            <v>60</v>
          </cell>
          <cell r="F664" t="str">
            <v>ALL TYPES</v>
          </cell>
          <cell r="G664" t="str">
            <v>1/4" ELCO ULTRACON</v>
          </cell>
          <cell r="H664">
            <v>2017</v>
          </cell>
          <cell r="I664">
            <v>43516</v>
          </cell>
        </row>
        <row r="665">
          <cell r="A665" t="str">
            <v>17-1218.21#1</v>
          </cell>
          <cell r="B665" t="str">
            <v>17-1218.21</v>
          </cell>
          <cell r="C665"/>
          <cell r="D665">
            <v>125.7</v>
          </cell>
          <cell r="E665">
            <v>125.7</v>
          </cell>
          <cell r="F665" t="str">
            <v>ALL TYPES</v>
          </cell>
          <cell r="G665" t="str">
            <v>1/4" ELCO ULTRACON</v>
          </cell>
          <cell r="H665">
            <v>2017</v>
          </cell>
          <cell r="I665"/>
        </row>
        <row r="666">
          <cell r="A666" t="str">
            <v>17-1218.22#1</v>
          </cell>
          <cell r="B666" t="str">
            <v>17-1218.22</v>
          </cell>
          <cell r="C666"/>
          <cell r="D666">
            <v>80</v>
          </cell>
          <cell r="E666">
            <v>130</v>
          </cell>
          <cell r="F666"/>
          <cell r="G666"/>
          <cell r="H666">
            <v>2017</v>
          </cell>
          <cell r="I666" t="str">
            <v>24/Dec/</v>
          </cell>
        </row>
        <row r="667">
          <cell r="A667" t="str">
            <v>17-1219.06#1</v>
          </cell>
          <cell r="B667" t="str">
            <v>17-1219.06</v>
          </cell>
          <cell r="C667"/>
          <cell r="D667">
            <v>60</v>
          </cell>
          <cell r="E667">
            <v>60</v>
          </cell>
          <cell r="F667"/>
          <cell r="G667"/>
          <cell r="H667">
            <v>2017</v>
          </cell>
          <cell r="I667"/>
        </row>
        <row r="668">
          <cell r="A668" t="str">
            <v>17-1219.29#1</v>
          </cell>
          <cell r="B668" t="str">
            <v>17-1219.29</v>
          </cell>
          <cell r="C668"/>
          <cell r="D668">
            <v>90</v>
          </cell>
          <cell r="E668">
            <v>90</v>
          </cell>
          <cell r="F668"/>
          <cell r="G668"/>
          <cell r="H668">
            <v>2017</v>
          </cell>
          <cell r="I668"/>
        </row>
        <row r="669">
          <cell r="A669" t="str">
            <v>17-1226.05#1</v>
          </cell>
          <cell r="B669" t="str">
            <v>17-1226.05</v>
          </cell>
          <cell r="C669" t="str">
            <v>OUTSWING</v>
          </cell>
          <cell r="D669">
            <v>80</v>
          </cell>
          <cell r="E669">
            <v>80</v>
          </cell>
          <cell r="F669" t="str">
            <v>7/16LAM.</v>
          </cell>
          <cell r="G669" t="str">
            <v>1/4" ELCO CONCRETE SCREW</v>
          </cell>
          <cell r="H669">
            <v>2017</v>
          </cell>
          <cell r="I669"/>
        </row>
        <row r="670">
          <cell r="A670" t="str">
            <v>18-0122.15#1</v>
          </cell>
          <cell r="B670" t="str">
            <v>18-0122.15</v>
          </cell>
          <cell r="C670" t="str">
            <v>OUTSWING</v>
          </cell>
          <cell r="D670">
            <v>70</v>
          </cell>
          <cell r="E670">
            <v>75</v>
          </cell>
          <cell r="F670" t="str">
            <v>ALL TYPES</v>
          </cell>
          <cell r="G670" t="str">
            <v>1/4" ELCO ULTRACON</v>
          </cell>
          <cell r="H670">
            <v>2014</v>
          </cell>
          <cell r="I670">
            <v>43626</v>
          </cell>
        </row>
        <row r="671">
          <cell r="A671" t="str">
            <v>18-0122.20#1</v>
          </cell>
          <cell r="B671" t="str">
            <v>18-0122.20</v>
          </cell>
          <cell r="C671"/>
          <cell r="D671">
            <v>75.8</v>
          </cell>
          <cell r="E671">
            <v>75.8</v>
          </cell>
          <cell r="F671" t="str">
            <v xml:space="preserve">TYPE 1 </v>
          </cell>
          <cell r="G671" t="str">
            <v xml:space="preserve">1/4" ELCO ULTRACON </v>
          </cell>
          <cell r="H671">
            <v>2017</v>
          </cell>
          <cell r="I671">
            <v>43619</v>
          </cell>
        </row>
        <row r="672">
          <cell r="A672" t="str">
            <v>18-0122.20#2</v>
          </cell>
          <cell r="B672" t="str">
            <v>18-0122.20</v>
          </cell>
          <cell r="C672" t="str">
            <v>ANCHOR OPTION 2</v>
          </cell>
          <cell r="D672">
            <v>133</v>
          </cell>
          <cell r="E672">
            <v>148.9</v>
          </cell>
          <cell r="F672" t="str">
            <v>TYPE 2</v>
          </cell>
          <cell r="G672" t="str">
            <v xml:space="preserve">1/4" ELCO ULTRACON </v>
          </cell>
          <cell r="H672">
            <v>2017</v>
          </cell>
          <cell r="I672">
            <v>43619</v>
          </cell>
        </row>
        <row r="673">
          <cell r="A673" t="str">
            <v>18-0122.21#1</v>
          </cell>
          <cell r="B673" t="str">
            <v>18-0122.21</v>
          </cell>
          <cell r="C673"/>
          <cell r="D673">
            <v>112.6</v>
          </cell>
          <cell r="E673">
            <v>112.6</v>
          </cell>
          <cell r="F673"/>
          <cell r="G673"/>
          <cell r="H673">
            <v>2018</v>
          </cell>
          <cell r="I673">
            <v>43530</v>
          </cell>
        </row>
        <row r="674">
          <cell r="A674" t="str">
            <v>18-0213.01#1</v>
          </cell>
          <cell r="B674" t="str">
            <v>18-0213.01</v>
          </cell>
          <cell r="C674"/>
          <cell r="D674">
            <v>80</v>
          </cell>
          <cell r="E674">
            <v>80</v>
          </cell>
          <cell r="F674" t="str">
            <v>TYPE C</v>
          </cell>
          <cell r="G674" t="str">
            <v>1/4" KWIK-CON</v>
          </cell>
          <cell r="H674">
            <v>2017</v>
          </cell>
          <cell r="I674">
            <v>43640</v>
          </cell>
        </row>
        <row r="675">
          <cell r="A675" t="str">
            <v>18-0213.06#1</v>
          </cell>
          <cell r="B675" t="str">
            <v>18-0213.06</v>
          </cell>
          <cell r="C675"/>
          <cell r="D675">
            <v>80</v>
          </cell>
          <cell r="E675">
            <v>140</v>
          </cell>
          <cell r="F675" t="str">
            <v>ANY</v>
          </cell>
          <cell r="G675" t="str">
            <v>1/4" HILTI KWIK-CON II</v>
          </cell>
          <cell r="H675">
            <v>2014</v>
          </cell>
          <cell r="I675">
            <v>43640</v>
          </cell>
        </row>
        <row r="676">
          <cell r="A676" t="str">
            <v>18-0214.06#1</v>
          </cell>
          <cell r="B676" t="str">
            <v>18-0214.06</v>
          </cell>
          <cell r="C676"/>
          <cell r="D676">
            <v>115.5</v>
          </cell>
          <cell r="E676">
            <v>115.5</v>
          </cell>
          <cell r="F676"/>
          <cell r="G676"/>
          <cell r="H676">
            <v>2017</v>
          </cell>
          <cell r="I676"/>
        </row>
        <row r="677">
          <cell r="A677" t="str">
            <v>FL10272.1-R3#1</v>
          </cell>
          <cell r="B677" t="str">
            <v>FL10272.1-R3</v>
          </cell>
          <cell r="C677"/>
          <cell r="D677">
            <v>67.5</v>
          </cell>
          <cell r="E677">
            <v>67.5</v>
          </cell>
          <cell r="F677" t="str">
            <v>TYPE A</v>
          </cell>
          <cell r="G677" t="str">
            <v>3/16" ELCO ULTRACON</v>
          </cell>
          <cell r="H677">
            <v>2010</v>
          </cell>
          <cell r="I677"/>
        </row>
        <row r="678">
          <cell r="A678" t="str">
            <v>FL10537.1-R1#1</v>
          </cell>
          <cell r="B678" t="str">
            <v>FL10537.1-R1</v>
          </cell>
          <cell r="C678" t="str">
            <v>OUTSWING, FRAME ANCHORING</v>
          </cell>
          <cell r="D678">
            <v>80</v>
          </cell>
          <cell r="E678">
            <v>80</v>
          </cell>
          <cell r="F678" t="str">
            <v>N/A</v>
          </cell>
          <cell r="G678" t="str">
            <v>1/4" ELCO CONCRETE SCREW</v>
          </cell>
          <cell r="H678">
            <v>2010</v>
          </cell>
          <cell r="I678"/>
        </row>
        <row r="679">
          <cell r="A679" t="str">
            <v>FL10537.1-R1#2</v>
          </cell>
          <cell r="B679" t="str">
            <v>FL10537.1-R1</v>
          </cell>
          <cell r="C679" t="str">
            <v>INSWING, FRAME ANCHORING</v>
          </cell>
          <cell r="D679">
            <v>75</v>
          </cell>
          <cell r="E679">
            <v>75</v>
          </cell>
          <cell r="F679" t="str">
            <v>N/A</v>
          </cell>
          <cell r="G679" t="str">
            <v>1/4" ELCO CONCRETE SCREW</v>
          </cell>
          <cell r="H679">
            <v>2010</v>
          </cell>
          <cell r="I679"/>
        </row>
        <row r="680">
          <cell r="A680" t="str">
            <v>FL10599.1-R2#1</v>
          </cell>
          <cell r="B680" t="str">
            <v>FL10599.1-R2</v>
          </cell>
          <cell r="C680" t="str">
            <v>INSWING</v>
          </cell>
          <cell r="D680">
            <v>47</v>
          </cell>
          <cell r="E680">
            <v>53</v>
          </cell>
          <cell r="F680" t="str">
            <v>STEEL</v>
          </cell>
          <cell r="G680" t="str">
            <v>1/4" ELCO CONCRETE SCREW</v>
          </cell>
          <cell r="H680">
            <v>2010</v>
          </cell>
          <cell r="I680"/>
        </row>
        <row r="681">
          <cell r="A681" t="str">
            <v>FL10599.1-R2#2</v>
          </cell>
          <cell r="B681" t="str">
            <v>FL10599.1-R2</v>
          </cell>
          <cell r="C681" t="str">
            <v>OUTSWING</v>
          </cell>
          <cell r="D681">
            <v>50</v>
          </cell>
          <cell r="E681">
            <v>50</v>
          </cell>
          <cell r="F681" t="str">
            <v>STEEL</v>
          </cell>
          <cell r="G681" t="str">
            <v>1/4" ELCO CONCRETE SCREW</v>
          </cell>
          <cell r="H681">
            <v>2010</v>
          </cell>
          <cell r="I681"/>
        </row>
        <row r="682">
          <cell r="A682" t="str">
            <v>FL10723.1-R2#1</v>
          </cell>
          <cell r="B682" t="str">
            <v>FL10723.1-R2</v>
          </cell>
          <cell r="C682" t="str">
            <v>OUTSWING</v>
          </cell>
          <cell r="D682">
            <v>100</v>
          </cell>
          <cell r="E682">
            <v>100</v>
          </cell>
          <cell r="F682" t="str">
            <v>N/A</v>
          </cell>
          <cell r="G682" t="str">
            <v>3/8" EXPANSION SHELL</v>
          </cell>
          <cell r="H682">
            <v>2010</v>
          </cell>
          <cell r="I682"/>
        </row>
        <row r="683">
          <cell r="A683" t="str">
            <v>FL10723.1-R2#2</v>
          </cell>
          <cell r="B683" t="str">
            <v>FL10723.1-R2</v>
          </cell>
          <cell r="C683" t="str">
            <v>OUTSWING</v>
          </cell>
          <cell r="D683">
            <v>70</v>
          </cell>
          <cell r="E683">
            <v>70</v>
          </cell>
          <cell r="F683" t="str">
            <v>N/A</v>
          </cell>
          <cell r="G683" t="str">
            <v>3/8" EXPANSION SHELL</v>
          </cell>
          <cell r="H683">
            <v>2010</v>
          </cell>
          <cell r="I683"/>
        </row>
        <row r="684">
          <cell r="A684" t="str">
            <v>FL10975.1-R4#1</v>
          </cell>
          <cell r="B684" t="str">
            <v>FL10975.1-R4</v>
          </cell>
          <cell r="C684" t="str">
            <v>OUTSWING</v>
          </cell>
          <cell r="D684">
            <v>55</v>
          </cell>
          <cell r="E684">
            <v>55</v>
          </cell>
          <cell r="F684" t="str">
            <v>TYPE G1</v>
          </cell>
          <cell r="G684" t="str">
            <v>1/4" ITW TAPCON</v>
          </cell>
          <cell r="H684">
            <v>2010</v>
          </cell>
          <cell r="I684"/>
        </row>
        <row r="685">
          <cell r="A685" t="str">
            <v>FL10975.6-R4#1</v>
          </cell>
          <cell r="B685" t="str">
            <v>FL10975.6-R4</v>
          </cell>
          <cell r="C685" t="str">
            <v>INSWING, FRAME ANCHORING</v>
          </cell>
          <cell r="D685">
            <v>65</v>
          </cell>
          <cell r="E685">
            <v>70</v>
          </cell>
          <cell r="F685" t="str">
            <v>TYPE G1</v>
          </cell>
          <cell r="G685" t="str">
            <v>1/4" ITW TAPCON</v>
          </cell>
          <cell r="H685">
            <v>2010</v>
          </cell>
          <cell r="I685"/>
        </row>
        <row r="686">
          <cell r="A686" t="str">
            <v>FL10975.6-R4#2</v>
          </cell>
          <cell r="B686" t="str">
            <v>FL10975.6-R4</v>
          </cell>
          <cell r="C686" t="str">
            <v>OUTSWING, FRAME ANCHORING</v>
          </cell>
          <cell r="D686">
            <v>65</v>
          </cell>
          <cell r="E686">
            <v>65</v>
          </cell>
          <cell r="F686" t="str">
            <v>TYPE G1</v>
          </cell>
          <cell r="G686" t="str">
            <v>1/4" ITW TAPCON</v>
          </cell>
          <cell r="H686">
            <v>2010</v>
          </cell>
          <cell r="I686"/>
        </row>
        <row r="687">
          <cell r="A687" t="str">
            <v>FL11020.1-R2#1</v>
          </cell>
          <cell r="B687" t="str">
            <v>FL11020.1-R2</v>
          </cell>
          <cell r="C687" t="str">
            <v>Horizontal Sliding Window</v>
          </cell>
          <cell r="D687">
            <v>60</v>
          </cell>
          <cell r="E687">
            <v>65</v>
          </cell>
          <cell r="F687" t="str">
            <v>3/8" LAMINATED</v>
          </cell>
          <cell r="G687" t="str">
            <v>5/16" LAG SCREW w/ MIN 2.5" PENETRATION</v>
          </cell>
          <cell r="H687">
            <v>2014</v>
          </cell>
          <cell r="I687"/>
        </row>
        <row r="688">
          <cell r="A688" t="str">
            <v>FL11020.1-R2#2</v>
          </cell>
          <cell r="B688" t="str">
            <v>FL11020.1-R2</v>
          </cell>
          <cell r="C688" t="str">
            <v>Horizontal Sliding WindoW</v>
          </cell>
          <cell r="D688">
            <v>60</v>
          </cell>
          <cell r="E688">
            <v>65</v>
          </cell>
          <cell r="F688" t="str">
            <v>3/8" LAMINATED</v>
          </cell>
          <cell r="G688" t="str">
            <v>5/16" ELCO ULTRACON</v>
          </cell>
          <cell r="H688">
            <v>2014</v>
          </cell>
          <cell r="I688"/>
        </row>
        <row r="689">
          <cell r="A689" t="str">
            <v>FL11103.1-R2#1</v>
          </cell>
          <cell r="B689" t="str">
            <v>FL11103.1-R2</v>
          </cell>
          <cell r="C689" t="str">
            <v>PVC Sliding Glass Door</v>
          </cell>
          <cell r="D689">
            <v>60</v>
          </cell>
          <cell r="E689">
            <v>60</v>
          </cell>
          <cell r="F689" t="str">
            <v>TYPE A</v>
          </cell>
          <cell r="G689" t="str">
            <v>3/16" ITW TAPCON</v>
          </cell>
          <cell r="H689">
            <v>2014</v>
          </cell>
          <cell r="I689"/>
        </row>
        <row r="690">
          <cell r="A690" t="str">
            <v>FL11103.2-R2#1</v>
          </cell>
          <cell r="B690" t="str">
            <v>FL11103.2-R2</v>
          </cell>
          <cell r="C690" t="str">
            <v>PVC Sliding Glass Door</v>
          </cell>
          <cell r="D690">
            <v>60</v>
          </cell>
          <cell r="E690">
            <v>60</v>
          </cell>
          <cell r="F690" t="str">
            <v>TYPE A</v>
          </cell>
          <cell r="G690" t="str">
            <v>3/16" ITW TAPCON</v>
          </cell>
          <cell r="H690">
            <v>2014</v>
          </cell>
          <cell r="I690"/>
        </row>
        <row r="691">
          <cell r="A691" t="str">
            <v>FL11120.1-R5#1</v>
          </cell>
          <cell r="B691" t="str">
            <v>FL11120.1-R5</v>
          </cell>
          <cell r="C691" t="str">
            <v>PREMIUM ATLANTIC ALUMINUM</v>
          </cell>
          <cell r="D691">
            <v>60</v>
          </cell>
          <cell r="E691">
            <v>60</v>
          </cell>
          <cell r="F691" t="str">
            <v>TYPE 1/2/3/4</v>
          </cell>
          <cell r="G691" t="str">
            <v>3/16" ITW TAPCON</v>
          </cell>
          <cell r="H691">
            <v>2010</v>
          </cell>
          <cell r="I691"/>
        </row>
        <row r="692">
          <cell r="A692" t="str">
            <v>FL11120.3-R5#1</v>
          </cell>
          <cell r="B692" t="str">
            <v>FL11120.3-R5</v>
          </cell>
          <cell r="C692" t="str">
            <v>PREMIUM ATLANTIC ALUMINUM</v>
          </cell>
          <cell r="D692">
            <v>60</v>
          </cell>
          <cell r="E692">
            <v>65</v>
          </cell>
          <cell r="F692" t="str">
            <v>TYPE B/D</v>
          </cell>
          <cell r="G692" t="str">
            <v>1/4" ITW TAPCON</v>
          </cell>
          <cell r="H692">
            <v>2010</v>
          </cell>
          <cell r="I692"/>
        </row>
        <row r="693">
          <cell r="A693" t="str">
            <v>FL11398.1-R1#1</v>
          </cell>
          <cell r="B693" t="str">
            <v>FL11398.1-R1</v>
          </cell>
          <cell r="C693" t="str">
            <v>.050 - 2" X 12" ALUMINUM CORREGATED STORM PANEL</v>
          </cell>
          <cell r="D693">
            <v>38.299999999999997</v>
          </cell>
          <cell r="E693">
            <v>38.299999999999997</v>
          </cell>
          <cell r="F693" t="str">
            <v>TYPE C1</v>
          </cell>
          <cell r="G693" t="str">
            <v>1/4" ELCO PANELMATE</v>
          </cell>
          <cell r="H693">
            <v>2010</v>
          </cell>
          <cell r="I693"/>
        </row>
        <row r="694">
          <cell r="A694" t="str">
            <v>FL11398.1-R1#2</v>
          </cell>
          <cell r="B694" t="str">
            <v>FL11398.1-R1</v>
          </cell>
          <cell r="C694" t="str">
            <v>.050 - 2" X 12" ALUMINUM CORREGATED STORM PANEL</v>
          </cell>
          <cell r="D694">
            <v>47.2</v>
          </cell>
          <cell r="E694">
            <v>47.2</v>
          </cell>
          <cell r="F694" t="str">
            <v>TYPE C1</v>
          </cell>
          <cell r="G694" t="str">
            <v>1/4" ELCO PANELMATE</v>
          </cell>
          <cell r="H694">
            <v>2010</v>
          </cell>
          <cell r="I694"/>
        </row>
        <row r="695">
          <cell r="A695" t="str">
            <v>FL11409.1-R2#1</v>
          </cell>
          <cell r="B695" t="str">
            <v>FL11409.1-R2</v>
          </cell>
          <cell r="C695" t="str">
            <v>Non-HCHZ</v>
          </cell>
          <cell r="D695">
            <v>70</v>
          </cell>
          <cell r="E695">
            <v>70</v>
          </cell>
          <cell r="F695" t="str">
            <v>7/8" INSULATED GLASS</v>
          </cell>
          <cell r="G695" t="str">
            <v>1/4"  TAPCON</v>
          </cell>
          <cell r="H695">
            <v>2010</v>
          </cell>
          <cell r="I695"/>
        </row>
        <row r="696">
          <cell r="A696" t="str">
            <v>FL11409.2-R2#1</v>
          </cell>
          <cell r="B696" t="str">
            <v>FL11409.2-R2</v>
          </cell>
          <cell r="C696" t="str">
            <v>HVHZ</v>
          </cell>
          <cell r="D696">
            <v>55</v>
          </cell>
          <cell r="E696">
            <v>55</v>
          </cell>
          <cell r="F696" t="str">
            <v>15/16" INSULATED GLASS</v>
          </cell>
          <cell r="G696" t="str">
            <v>1/4"  TAPCON</v>
          </cell>
          <cell r="H696">
            <v>2007</v>
          </cell>
          <cell r="I696"/>
        </row>
        <row r="697">
          <cell r="A697" t="str">
            <v>FL11410.0-R1#1</v>
          </cell>
          <cell r="B697" t="str">
            <v>FL11410.0-R1</v>
          </cell>
          <cell r="C697"/>
          <cell r="D697">
            <v>55</v>
          </cell>
          <cell r="E697">
            <v>55</v>
          </cell>
          <cell r="F697" t="str">
            <v>7/8" LAMI</v>
          </cell>
          <cell r="G697" t="str">
            <v>3/16" ITW TAPCON</v>
          </cell>
          <cell r="H697">
            <v>2010</v>
          </cell>
          <cell r="I697"/>
        </row>
        <row r="698">
          <cell r="A698" t="str">
            <v>FL11526.1-R3#1</v>
          </cell>
          <cell r="B698" t="str">
            <v>FL11526.1-R3</v>
          </cell>
          <cell r="C698" t="str">
            <v>ANCHOR CHART 6</v>
          </cell>
          <cell r="D698">
            <v>135</v>
          </cell>
          <cell r="E698">
            <v>135</v>
          </cell>
          <cell r="F698" t="str">
            <v>6"</v>
          </cell>
          <cell r="G698" t="str">
            <v>1/4" ELCO ULTRACON</v>
          </cell>
          <cell r="H698">
            <v>2010</v>
          </cell>
          <cell r="I698"/>
        </row>
        <row r="699">
          <cell r="A699" t="str">
            <v>FL11526.1-R3#2</v>
          </cell>
          <cell r="B699" t="str">
            <v>FL11526.1-R3</v>
          </cell>
          <cell r="C699" t="str">
            <v>ANCHOR CHART 6</v>
          </cell>
          <cell r="D699">
            <v>140</v>
          </cell>
          <cell r="E699">
            <v>140</v>
          </cell>
          <cell r="F699" t="str">
            <v>6"</v>
          </cell>
          <cell r="G699" t="str">
            <v>1/4" ELCO ULTRACON</v>
          </cell>
          <cell r="H699">
            <v>2010</v>
          </cell>
          <cell r="I699"/>
        </row>
        <row r="700">
          <cell r="A700" t="str">
            <v>FL11627.1-R2#1</v>
          </cell>
          <cell r="B700" t="str">
            <v>FL11627.1-R2</v>
          </cell>
          <cell r="C700" t="str">
            <v>Aluminum and Laminated Glass Storefront</v>
          </cell>
          <cell r="D700">
            <v>75</v>
          </cell>
          <cell r="E700">
            <v>85</v>
          </cell>
          <cell r="F700" t="str">
            <v>9/16" LAMI</v>
          </cell>
          <cell r="G700" t="str">
            <v>5/16" ELCO ULTRACON TRIM FIT</v>
          </cell>
          <cell r="H700">
            <v>2014</v>
          </cell>
          <cell r="I700">
            <v>43282</v>
          </cell>
        </row>
        <row r="701">
          <cell r="A701" t="str">
            <v>FL12225.2-R3#1</v>
          </cell>
          <cell r="B701" t="str">
            <v>FL12225.2-R3</v>
          </cell>
          <cell r="C701" t="str">
            <v>FIXED PANEL</v>
          </cell>
          <cell r="D701">
            <v>43</v>
          </cell>
          <cell r="E701">
            <v>70</v>
          </cell>
          <cell r="F701" t="str">
            <v>N/A</v>
          </cell>
          <cell r="G701" t="str">
            <v>1/4" ELCO CRETE-FLEX TAPCON</v>
          </cell>
          <cell r="H701">
            <v>2014</v>
          </cell>
          <cell r="I701">
            <v>43282</v>
          </cell>
        </row>
        <row r="702">
          <cell r="A702" t="str">
            <v>FL12225.2-R3#2</v>
          </cell>
          <cell r="B702" t="str">
            <v>FL12225.2-R3</v>
          </cell>
          <cell r="C702"/>
          <cell r="D702">
            <v>43</v>
          </cell>
          <cell r="E702">
            <v>70</v>
          </cell>
          <cell r="F702" t="str">
            <v>N/A</v>
          </cell>
          <cell r="G702"/>
          <cell r="H702">
            <v>2014</v>
          </cell>
          <cell r="I702"/>
        </row>
        <row r="703">
          <cell r="A703" t="str">
            <v>FL12549.1-R4#1</v>
          </cell>
          <cell r="B703" t="str">
            <v>FL12549.1-R4</v>
          </cell>
          <cell r="C703" t="str">
            <v>ALUMINUM OR POLYCARBONATE BLADES</v>
          </cell>
          <cell r="D703">
            <v>100.5</v>
          </cell>
          <cell r="E703">
            <v>100.5</v>
          </cell>
          <cell r="F703" t="str">
            <v>TYPE C1</v>
          </cell>
          <cell r="G703" t="str">
            <v>1/4" ELCO PANELMATE</v>
          </cell>
          <cell r="H703">
            <v>2010</v>
          </cell>
          <cell r="I703"/>
        </row>
        <row r="704">
          <cell r="A704" t="str">
            <v>FL12549.1-R4#2</v>
          </cell>
          <cell r="B704" t="str">
            <v>FL12549.1-R4</v>
          </cell>
          <cell r="C704" t="str">
            <v>ALUMINUM OR POLYCARBONATE BLADES</v>
          </cell>
          <cell r="D704">
            <v>117.8</v>
          </cell>
          <cell r="E704">
            <v>117.8</v>
          </cell>
          <cell r="F704" t="str">
            <v>TYPE C1</v>
          </cell>
          <cell r="G704" t="str">
            <v>1/4" ELCO PANELMATE</v>
          </cell>
          <cell r="H704">
            <v>2010</v>
          </cell>
          <cell r="I704"/>
        </row>
        <row r="705">
          <cell r="A705" t="str">
            <v>FL12549.1-R4#3</v>
          </cell>
          <cell r="B705" t="str">
            <v>FL12549.1-R4</v>
          </cell>
          <cell r="C705" t="str">
            <v>ALUMINUM OR POLYCARBONATE BLADES</v>
          </cell>
          <cell r="D705">
            <v>152.5</v>
          </cell>
          <cell r="E705">
            <v>152.5</v>
          </cell>
          <cell r="F705" t="str">
            <v>TYPE C1</v>
          </cell>
          <cell r="G705" t="str">
            <v>1/4" ELCO PANELMATE</v>
          </cell>
          <cell r="H705">
            <v>2010</v>
          </cell>
          <cell r="I705"/>
        </row>
        <row r="706">
          <cell r="A706" t="str">
            <v>FL12769.3-R1#1</v>
          </cell>
          <cell r="B706" t="str">
            <v>FL12769.3-R1</v>
          </cell>
          <cell r="C706" t="str">
            <v>WOOD EDGE 12-0x6-8 OUTSWING</v>
          </cell>
          <cell r="D706">
            <v>55</v>
          </cell>
          <cell r="E706">
            <v>66</v>
          </cell>
          <cell r="F706" t="str">
            <v>STEEL</v>
          </cell>
          <cell r="G706" t="str">
            <v>1/4" ITW TAPCON</v>
          </cell>
          <cell r="H706">
            <v>2010</v>
          </cell>
          <cell r="I706"/>
        </row>
        <row r="707">
          <cell r="A707" t="str">
            <v>FL12856.1-R3#1</v>
          </cell>
          <cell r="B707" t="str">
            <v>FL12856.1-R3</v>
          </cell>
          <cell r="C707" t="str">
            <v>FOR USE OUTSIDE THE HVHZ AND ESSENTIAL FACILITIES</v>
          </cell>
          <cell r="D707">
            <v>120</v>
          </cell>
          <cell r="E707">
            <v>120</v>
          </cell>
          <cell r="F707" t="str">
            <v>TYPE C2</v>
          </cell>
          <cell r="G707" t="str">
            <v>1/4" LAG SCREW</v>
          </cell>
          <cell r="H707">
            <v>2010</v>
          </cell>
          <cell r="I707"/>
        </row>
        <row r="708">
          <cell r="A708" t="str">
            <v>FL12856.1-R3#2</v>
          </cell>
          <cell r="B708" t="str">
            <v>FL12856.1-R3</v>
          </cell>
          <cell r="C708" t="str">
            <v>FOR USE OUTSIDE THE HVHZ AND ESSENTIAL FACILITIES</v>
          </cell>
          <cell r="D708">
            <v>109.1</v>
          </cell>
          <cell r="E708">
            <v>109.1</v>
          </cell>
          <cell r="F708" t="str">
            <v>TYPE C2</v>
          </cell>
          <cell r="G708" t="str">
            <v>1/4" LAG SCREW</v>
          </cell>
          <cell r="H708">
            <v>2010</v>
          </cell>
          <cell r="I708"/>
        </row>
        <row r="709">
          <cell r="A709" t="str">
            <v>FL12882.1#1</v>
          </cell>
          <cell r="B709" t="str">
            <v>FL12882.1</v>
          </cell>
          <cell r="C709" t="str">
            <v>OUTSWING</v>
          </cell>
          <cell r="D709">
            <v>70</v>
          </cell>
          <cell r="E709">
            <v>70</v>
          </cell>
          <cell r="F709" t="str">
            <v>TYPE F/G</v>
          </cell>
          <cell r="G709" t="str">
            <v>5/16" W/ 1-3/4"EMBED ITW TAPCONS</v>
          </cell>
          <cell r="H709">
            <v>2010</v>
          </cell>
          <cell r="I709"/>
        </row>
        <row r="710">
          <cell r="A710" t="str">
            <v>FL13010.1#1</v>
          </cell>
          <cell r="B710" t="str">
            <v>FL13010.1</v>
          </cell>
          <cell r="C710" t="str">
            <v>NON-HVHZ</v>
          </cell>
          <cell r="D710">
            <v>65</v>
          </cell>
          <cell r="E710">
            <v>65</v>
          </cell>
          <cell r="F710" t="str">
            <v>TYPE B</v>
          </cell>
          <cell r="G710" t="str">
            <v>3/16" ITW TAPCON</v>
          </cell>
          <cell r="H710">
            <v>2014</v>
          </cell>
          <cell r="I710"/>
        </row>
        <row r="711">
          <cell r="A711" t="str">
            <v>FL13010.1#2</v>
          </cell>
          <cell r="B711" t="str">
            <v>FL13010.1</v>
          </cell>
          <cell r="C711" t="str">
            <v>HVHZ</v>
          </cell>
          <cell r="D711">
            <v>67.5</v>
          </cell>
          <cell r="E711">
            <v>67.5</v>
          </cell>
          <cell r="F711" t="str">
            <v>TYPE B</v>
          </cell>
          <cell r="G711" t="str">
            <v>3/16" ITW TAPCON</v>
          </cell>
          <cell r="H711">
            <v>2014</v>
          </cell>
          <cell r="I711"/>
        </row>
        <row r="712">
          <cell r="A712" t="str">
            <v>FL13010.2-R0#1</v>
          </cell>
          <cell r="B712" t="str">
            <v>FL13010.2-R0</v>
          </cell>
          <cell r="C712"/>
          <cell r="D712">
            <v>70</v>
          </cell>
          <cell r="E712">
            <v>70</v>
          </cell>
          <cell r="F712" t="str">
            <v>7/16" LAMI</v>
          </cell>
          <cell r="G712" t="str">
            <v>3/16" ELCO ULTRACON</v>
          </cell>
          <cell r="H712">
            <v>2010</v>
          </cell>
          <cell r="I712"/>
        </row>
        <row r="713">
          <cell r="A713" t="str">
            <v>FL13010.4-R1#1</v>
          </cell>
          <cell r="B713" t="str">
            <v>FL13010.4-R1</v>
          </cell>
          <cell r="C713"/>
          <cell r="D713">
            <v>70</v>
          </cell>
          <cell r="E713">
            <v>70</v>
          </cell>
          <cell r="F713" t="str">
            <v>7/16" LAMI</v>
          </cell>
          <cell r="G713" t="str">
            <v>3/16" ELCO ULTRACON</v>
          </cell>
          <cell r="H713">
            <v>2014</v>
          </cell>
          <cell r="I713"/>
        </row>
        <row r="714">
          <cell r="A714" t="str">
            <v>FL13040.1#1</v>
          </cell>
          <cell r="B714" t="str">
            <v>FL13040.1</v>
          </cell>
          <cell r="C714"/>
          <cell r="D714">
            <v>65</v>
          </cell>
          <cell r="E714">
            <v>120</v>
          </cell>
          <cell r="F714" t="str">
            <v>ALL TYPES</v>
          </cell>
          <cell r="G714" t="str">
            <v>3/16 ELCO TAPCON</v>
          </cell>
          <cell r="H714">
            <v>2010</v>
          </cell>
          <cell r="I714"/>
        </row>
        <row r="715">
          <cell r="A715" t="str">
            <v>FL13040.1#2</v>
          </cell>
          <cell r="B715" t="str">
            <v>FL13040.1</v>
          </cell>
          <cell r="C715"/>
          <cell r="D715">
            <v>65</v>
          </cell>
          <cell r="E715">
            <v>80</v>
          </cell>
          <cell r="F715" t="str">
            <v>ALL TYPES</v>
          </cell>
          <cell r="G715" t="str">
            <v>3/16 ELCO TAPCON</v>
          </cell>
          <cell r="H715">
            <v>2010</v>
          </cell>
          <cell r="I715"/>
        </row>
        <row r="716">
          <cell r="A716" t="str">
            <v>FL13158.13#1</v>
          </cell>
          <cell r="B716" t="str">
            <v>FL13158.13</v>
          </cell>
          <cell r="C716" t="str">
            <v>SINGLE DOOR</v>
          </cell>
          <cell r="D716">
            <v>50</v>
          </cell>
          <cell r="E716">
            <v>55</v>
          </cell>
          <cell r="F716" t="str">
            <v>N/A</v>
          </cell>
          <cell r="G716" t="str">
            <v>1/4" ITW TAPCON</v>
          </cell>
          <cell r="H716">
            <v>2010</v>
          </cell>
          <cell r="I716"/>
        </row>
        <row r="717">
          <cell r="A717" t="str">
            <v>FL13241.1-R1#1</v>
          </cell>
          <cell r="B717" t="str">
            <v>FL13241.1-R1</v>
          </cell>
          <cell r="C717"/>
          <cell r="D717">
            <v>60</v>
          </cell>
          <cell r="E717">
            <v>60</v>
          </cell>
          <cell r="F717" t="str">
            <v>TYPE A</v>
          </cell>
          <cell r="G717" t="str">
            <v>3/16" ITW TAPCON</v>
          </cell>
          <cell r="H717">
            <v>2010</v>
          </cell>
          <cell r="I717"/>
        </row>
        <row r="718">
          <cell r="A718" t="str">
            <v>FL13574.1#1</v>
          </cell>
          <cell r="B718" t="str">
            <v>FL13574.1</v>
          </cell>
          <cell r="C718"/>
          <cell r="D718">
            <v>80</v>
          </cell>
          <cell r="E718">
            <v>125.7</v>
          </cell>
          <cell r="F718"/>
          <cell r="G718"/>
          <cell r="H718">
            <v>2017</v>
          </cell>
          <cell r="I718"/>
        </row>
        <row r="719">
          <cell r="A719" t="str">
            <v>FL13702.1-R2#1</v>
          </cell>
          <cell r="B719" t="str">
            <v>FL13702.1-R2</v>
          </cell>
          <cell r="C719" t="str">
            <v>W/WO SIDELITES, IN/OUTSWING</v>
          </cell>
          <cell r="D719">
            <v>60</v>
          </cell>
          <cell r="E719">
            <v>60</v>
          </cell>
          <cell r="F719" t="str">
            <v>STEEL</v>
          </cell>
          <cell r="G719" t="str">
            <v>1/4" ELCO CONCRETE SCREW</v>
          </cell>
          <cell r="H719">
            <v>2010</v>
          </cell>
          <cell r="I719"/>
        </row>
        <row r="720">
          <cell r="A720" t="str">
            <v>FL13757.1-R.4#1</v>
          </cell>
          <cell r="B720" t="str">
            <v>FL13757.1-R.4</v>
          </cell>
          <cell r="C720"/>
          <cell r="D720">
            <v>120</v>
          </cell>
          <cell r="E720">
            <v>200</v>
          </cell>
          <cell r="F720" t="str">
            <v>5.8"</v>
          </cell>
          <cell r="G720" t="str">
            <v>1/4" ELCO ULTRACON</v>
          </cell>
          <cell r="H720">
            <v>2010</v>
          </cell>
          <cell r="I720">
            <v>42004</v>
          </cell>
        </row>
        <row r="721">
          <cell r="A721" t="str">
            <v>FL13757.1-R5#1</v>
          </cell>
          <cell r="B721" t="str">
            <v>FL13757.1-R5</v>
          </cell>
          <cell r="C721"/>
          <cell r="D721">
            <v>120</v>
          </cell>
          <cell r="E721">
            <v>200</v>
          </cell>
          <cell r="F721" t="str">
            <v>5.8"</v>
          </cell>
          <cell r="G721" t="str">
            <v>1/4" ELCO ULTRACON</v>
          </cell>
          <cell r="H721">
            <v>2014</v>
          </cell>
          <cell r="I721"/>
        </row>
        <row r="722">
          <cell r="A722" t="str">
            <v>FL13817.1#1</v>
          </cell>
          <cell r="B722" t="str">
            <v>FL13817.1</v>
          </cell>
          <cell r="C722"/>
          <cell r="D722">
            <v>55</v>
          </cell>
          <cell r="E722">
            <v>55</v>
          </cell>
          <cell r="F722"/>
          <cell r="G722"/>
          <cell r="H722">
            <v>2014</v>
          </cell>
          <cell r="I722"/>
        </row>
        <row r="723">
          <cell r="A723" t="str">
            <v>FL13856-R3.2#1</v>
          </cell>
          <cell r="B723" t="str">
            <v>FL13856-R3.2</v>
          </cell>
          <cell r="C723"/>
          <cell r="D723">
            <v>100</v>
          </cell>
          <cell r="E723">
            <v>130</v>
          </cell>
          <cell r="F723"/>
          <cell r="G723"/>
          <cell r="H723">
            <v>2014</v>
          </cell>
          <cell r="I723">
            <v>43962</v>
          </cell>
        </row>
        <row r="724">
          <cell r="A724" t="str">
            <v>FL14218.2-R2#1</v>
          </cell>
          <cell r="B724" t="str">
            <v>FL14218.2-R2</v>
          </cell>
          <cell r="C724"/>
          <cell r="D724">
            <v>70</v>
          </cell>
          <cell r="E724">
            <v>70</v>
          </cell>
          <cell r="F724" t="str">
            <v>TYPE A</v>
          </cell>
          <cell r="G724" t="str">
            <v>5/16" W/ 1-1/4"EMBED ITW TAPCONS - 5/16" TEK/DRILL SCREW</v>
          </cell>
          <cell r="H724">
            <v>2010</v>
          </cell>
          <cell r="I724"/>
        </row>
        <row r="725">
          <cell r="A725" t="str">
            <v>FL14569.1-R2#1</v>
          </cell>
          <cell r="B725" t="str">
            <v>FL14569.1-R2</v>
          </cell>
          <cell r="C725"/>
          <cell r="D725">
            <v>60</v>
          </cell>
          <cell r="E725">
            <v>60</v>
          </cell>
          <cell r="F725" t="str">
            <v>ODL INSULATED</v>
          </cell>
          <cell r="G725" t="str">
            <v>3/16" ITW TAPCON</v>
          </cell>
          <cell r="H725">
            <v>2010</v>
          </cell>
          <cell r="I725"/>
        </row>
        <row r="726">
          <cell r="A726" t="str">
            <v>FL14569.2-R5#1</v>
          </cell>
          <cell r="B726" t="str">
            <v>FL14569.2-R5</v>
          </cell>
          <cell r="C726" t="str">
            <v>INSWING/OUTSWING</v>
          </cell>
          <cell r="D726">
            <v>60</v>
          </cell>
          <cell r="E726">
            <v>65</v>
          </cell>
          <cell r="F726" t="str">
            <v>ODL INSULATED</v>
          </cell>
          <cell r="G726" t="str">
            <v>3/16" ITW TAPCON</v>
          </cell>
          <cell r="H726">
            <v>2014</v>
          </cell>
          <cell r="I726"/>
        </row>
        <row r="727">
          <cell r="A727" t="str">
            <v>FL14604.2-R1#1</v>
          </cell>
          <cell r="B727" t="str">
            <v>FL14604.2-R1</v>
          </cell>
          <cell r="C727" t="str">
            <v>FLANGE</v>
          </cell>
          <cell r="D727">
            <v>60</v>
          </cell>
          <cell r="E727">
            <v>80</v>
          </cell>
          <cell r="F727" t="str">
            <v>TYPE A</v>
          </cell>
          <cell r="G727" t="str">
            <v>#14 WOOD SCREW</v>
          </cell>
          <cell r="H727">
            <v>2010</v>
          </cell>
          <cell r="I727"/>
        </row>
        <row r="728">
          <cell r="A728" t="str">
            <v>FL14604.3-R2#1</v>
          </cell>
          <cell r="B728" t="str">
            <v>FL14604.3-R2</v>
          </cell>
          <cell r="C728"/>
          <cell r="D728">
            <v>60</v>
          </cell>
          <cell r="E728">
            <v>60</v>
          </cell>
          <cell r="F728" t="str">
            <v>TYPE D</v>
          </cell>
          <cell r="G728" t="str">
            <v>1/4" ITW TAPCON</v>
          </cell>
          <cell r="H728">
            <v>2010</v>
          </cell>
          <cell r="I728"/>
        </row>
        <row r="729">
          <cell r="A729" t="str">
            <v>FL14604.5-R1#1</v>
          </cell>
          <cell r="B729" t="str">
            <v>FL14604.5-R1</v>
          </cell>
          <cell r="C729"/>
          <cell r="D729">
            <v>120</v>
          </cell>
          <cell r="E729">
            <v>150</v>
          </cell>
          <cell r="F729" t="str">
            <v>TYPE A</v>
          </cell>
          <cell r="G729" t="str">
            <v>1/4" ITW TAPCON</v>
          </cell>
          <cell r="H729">
            <v>2010</v>
          </cell>
          <cell r="I729"/>
        </row>
        <row r="730">
          <cell r="A730" t="str">
            <v>FL14604.6-R2#1</v>
          </cell>
          <cell r="B730" t="str">
            <v>FL14604.6-R2</v>
          </cell>
          <cell r="C730"/>
          <cell r="D730">
            <v>120</v>
          </cell>
          <cell r="E730">
            <v>150</v>
          </cell>
          <cell r="F730" t="str">
            <v>TYPE A</v>
          </cell>
          <cell r="G730" t="str">
            <v>1/4" ITW TAPCON</v>
          </cell>
          <cell r="H730">
            <v>2010</v>
          </cell>
          <cell r="I730"/>
        </row>
        <row r="731">
          <cell r="A731" t="str">
            <v>FL14604.6-R2#2</v>
          </cell>
          <cell r="B731" t="str">
            <v>FL14604.6-R2</v>
          </cell>
          <cell r="C731"/>
          <cell r="D731">
            <v>75</v>
          </cell>
          <cell r="E731">
            <v>75</v>
          </cell>
          <cell r="F731" t="str">
            <v>TYPE A</v>
          </cell>
          <cell r="G731" t="str">
            <v>1/4" ITW TAPCON</v>
          </cell>
          <cell r="H731">
            <v>2014</v>
          </cell>
          <cell r="I731"/>
        </row>
        <row r="732">
          <cell r="A732" t="str">
            <v>FL14604.6-R2#3</v>
          </cell>
          <cell r="B732" t="str">
            <v>FL14604.6-R2</v>
          </cell>
          <cell r="C732"/>
          <cell r="D732">
            <v>120</v>
          </cell>
          <cell r="E732">
            <v>150</v>
          </cell>
          <cell r="F732" t="str">
            <v>TYPE B</v>
          </cell>
          <cell r="G732" t="str">
            <v>1/4" ITW TAPCON</v>
          </cell>
          <cell r="H732">
            <v>2014</v>
          </cell>
          <cell r="I732"/>
        </row>
        <row r="733">
          <cell r="A733" t="str">
            <v>FL14604.8-R5#1</v>
          </cell>
          <cell r="B733" t="str">
            <v>FL14604.8-R5</v>
          </cell>
          <cell r="C733"/>
          <cell r="D733">
            <v>75</v>
          </cell>
          <cell r="E733">
            <v>75</v>
          </cell>
          <cell r="F733" t="str">
            <v>TYPE A</v>
          </cell>
          <cell r="G733" t="str">
            <v>1/4" TAPCON</v>
          </cell>
          <cell r="H733">
            <v>2014</v>
          </cell>
          <cell r="I733"/>
        </row>
        <row r="734">
          <cell r="A734" t="str">
            <v>FL14604.8-R5#2</v>
          </cell>
          <cell r="B734" t="str">
            <v>FL14604.8-R5</v>
          </cell>
          <cell r="C734"/>
          <cell r="D734">
            <v>120</v>
          </cell>
          <cell r="E734">
            <v>150</v>
          </cell>
          <cell r="F734" t="str">
            <v>TYPE B</v>
          </cell>
          <cell r="G734" t="str">
            <v>1/4" TAPCON</v>
          </cell>
          <cell r="H734">
            <v>2014</v>
          </cell>
          <cell r="I734"/>
        </row>
        <row r="735">
          <cell r="A735" t="str">
            <v>FL14605.1#1</v>
          </cell>
          <cell r="B735" t="str">
            <v>FL14605.1</v>
          </cell>
          <cell r="C735"/>
          <cell r="D735">
            <v>45</v>
          </cell>
          <cell r="E735">
            <v>45</v>
          </cell>
          <cell r="F735"/>
          <cell r="G735"/>
          <cell r="H735">
            <v>2014</v>
          </cell>
          <cell r="I735"/>
        </row>
        <row r="736">
          <cell r="A736" t="str">
            <v>FL14605.10-R2#1</v>
          </cell>
          <cell r="B736" t="str">
            <v>FL14605.10-R2</v>
          </cell>
          <cell r="C736"/>
          <cell r="D736">
            <v>80</v>
          </cell>
          <cell r="E736">
            <v>80</v>
          </cell>
          <cell r="F736" t="str">
            <v>TYPE A</v>
          </cell>
          <cell r="G736" t="str">
            <v>1/4" ITW TAPCON</v>
          </cell>
          <cell r="H736">
            <v>2010</v>
          </cell>
          <cell r="I736"/>
        </row>
        <row r="737">
          <cell r="A737" t="str">
            <v>FL14605.12#1</v>
          </cell>
          <cell r="B737" t="str">
            <v>FL14605.12</v>
          </cell>
          <cell r="C737"/>
          <cell r="D737">
            <v>60</v>
          </cell>
          <cell r="E737">
            <v>60</v>
          </cell>
          <cell r="F737" t="str">
            <v>B &amp; C</v>
          </cell>
          <cell r="G737"/>
          <cell r="H737">
            <v>2014</v>
          </cell>
          <cell r="I737"/>
        </row>
        <row r="738">
          <cell r="A738" t="str">
            <v>FL14605.16#1</v>
          </cell>
          <cell r="B738" t="str">
            <v>FL14605.16</v>
          </cell>
          <cell r="C738" t="str">
            <v>ALUMINUM</v>
          </cell>
          <cell r="D738">
            <v>80</v>
          </cell>
          <cell r="E738">
            <v>80</v>
          </cell>
          <cell r="F738" t="str">
            <v>ALL TYPES</v>
          </cell>
          <cell r="G738" t="str">
            <v>3/16" TAPCON</v>
          </cell>
          <cell r="H738">
            <v>2014</v>
          </cell>
          <cell r="I738"/>
        </row>
        <row r="739">
          <cell r="A739" t="str">
            <v>FL14605.2#1</v>
          </cell>
          <cell r="B739" t="str">
            <v>FL14605.2</v>
          </cell>
          <cell r="C739" t="str">
            <v>INSWING/OUTSWING</v>
          </cell>
          <cell r="D739">
            <v>80</v>
          </cell>
          <cell r="E739">
            <v>80</v>
          </cell>
          <cell r="F739" t="str">
            <v>N/A</v>
          </cell>
          <cell r="G739" t="str">
            <v>1/4" TAPCON</v>
          </cell>
          <cell r="H739">
            <v>2017</v>
          </cell>
          <cell r="I739"/>
        </row>
        <row r="740">
          <cell r="A740" t="str">
            <v>FL14605.6-R2#1</v>
          </cell>
          <cell r="B740" t="str">
            <v>FL14605.6-R2</v>
          </cell>
          <cell r="C740" t="str">
            <v>IMPACT</v>
          </cell>
          <cell r="D740">
            <v>60</v>
          </cell>
          <cell r="E740">
            <v>60</v>
          </cell>
          <cell r="F740" t="str">
            <v>TYPE 3</v>
          </cell>
          <cell r="G740" t="str">
            <v>1/4" ITW TAPCON</v>
          </cell>
          <cell r="H740">
            <v>2010</v>
          </cell>
          <cell r="I740"/>
        </row>
        <row r="741">
          <cell r="A741" t="str">
            <v>FL14605.6-R2#2</v>
          </cell>
          <cell r="B741" t="str">
            <v>FL14605.6-R2</v>
          </cell>
          <cell r="C741" t="str">
            <v>IMPACT</v>
          </cell>
          <cell r="D741">
            <v>50</v>
          </cell>
          <cell r="E741">
            <v>50</v>
          </cell>
          <cell r="F741" t="str">
            <v>TYPE 1</v>
          </cell>
          <cell r="G741" t="str">
            <v>1/4" ITW TAPCON</v>
          </cell>
          <cell r="H741">
            <v>2010</v>
          </cell>
          <cell r="I741"/>
        </row>
        <row r="742">
          <cell r="A742" t="str">
            <v>FL14605.7-R2#1</v>
          </cell>
          <cell r="B742" t="str">
            <v>FL14605.7-R2</v>
          </cell>
          <cell r="C742" t="str">
            <v>2.675" RISER, IMPACT</v>
          </cell>
          <cell r="D742">
            <v>70</v>
          </cell>
          <cell r="E742">
            <v>110</v>
          </cell>
          <cell r="F742" t="str">
            <v>ALL TYPES</v>
          </cell>
          <cell r="G742" t="str">
            <v>1/4" ITW TAPCON</v>
          </cell>
          <cell r="H742">
            <v>2010</v>
          </cell>
          <cell r="I742"/>
        </row>
        <row r="743">
          <cell r="A743" t="str">
            <v>FL14605.7-R4#1</v>
          </cell>
          <cell r="B743" t="str">
            <v>FL14605.7-R4</v>
          </cell>
          <cell r="C743" t="str">
            <v>3.675" RISER, IMPACT</v>
          </cell>
          <cell r="D743">
            <v>100</v>
          </cell>
          <cell r="E743">
            <v>110</v>
          </cell>
          <cell r="F743" t="str">
            <v>ALL TYPES</v>
          </cell>
          <cell r="G743" t="str">
            <v>1/4" ITW TAPCON</v>
          </cell>
          <cell r="H743">
            <v>2014</v>
          </cell>
          <cell r="I743"/>
        </row>
        <row r="744">
          <cell r="A744" t="str">
            <v>FL14605.8-R2#1</v>
          </cell>
          <cell r="B744" t="str">
            <v>FL14605.8-R2</v>
          </cell>
          <cell r="C744" t="str">
            <v>IMPACT</v>
          </cell>
          <cell r="D744">
            <v>90</v>
          </cell>
          <cell r="E744">
            <v>90</v>
          </cell>
          <cell r="F744" t="str">
            <v>ALL TYPES</v>
          </cell>
          <cell r="G744" t="str">
            <v>1/4" ITW TAPCON</v>
          </cell>
          <cell r="H744">
            <v>2010</v>
          </cell>
          <cell r="I744"/>
        </row>
        <row r="745">
          <cell r="A745" t="str">
            <v>FL14605.8-R4#1</v>
          </cell>
          <cell r="B745" t="str">
            <v>FL14605.8-R4</v>
          </cell>
          <cell r="C745" t="str">
            <v>W/ 3.675" SILL RISER</v>
          </cell>
          <cell r="D745">
            <v>90</v>
          </cell>
          <cell r="E745">
            <v>90</v>
          </cell>
          <cell r="F745" t="str">
            <v>ALL TYPES</v>
          </cell>
          <cell r="G745" t="str">
            <v>1/4" ITW TAPCON</v>
          </cell>
          <cell r="H745">
            <v>2014</v>
          </cell>
          <cell r="I745"/>
        </row>
        <row r="746">
          <cell r="A746" t="str">
            <v>FL14605.9-R1#1</v>
          </cell>
          <cell r="B746" t="str">
            <v>FL14605.9-R1</v>
          </cell>
          <cell r="C746"/>
          <cell r="D746">
            <v>80</v>
          </cell>
          <cell r="E746">
            <v>80</v>
          </cell>
          <cell r="F746" t="str">
            <v>TYPE A</v>
          </cell>
          <cell r="G746" t="str">
            <v>1/4" ITW TAPCON</v>
          </cell>
          <cell r="H746">
            <v>2010</v>
          </cell>
          <cell r="I746"/>
        </row>
        <row r="747">
          <cell r="A747" t="str">
            <v>FL14608.3-R4#1</v>
          </cell>
          <cell r="B747" t="str">
            <v>FL14608.3-R4</v>
          </cell>
          <cell r="C747" t="str">
            <v>ALUMIUNM</v>
          </cell>
          <cell r="D747">
            <v>90</v>
          </cell>
          <cell r="E747">
            <v>90</v>
          </cell>
          <cell r="F747" t="str">
            <v>ALL TYPES</v>
          </cell>
          <cell r="G747" t="str">
            <v>1/4" TAPCON</v>
          </cell>
          <cell r="H747">
            <v>2014</v>
          </cell>
          <cell r="I747"/>
        </row>
        <row r="748">
          <cell r="A748" t="str">
            <v>FL14608.3-R5#1</v>
          </cell>
          <cell r="B748" t="str">
            <v>FL14608.3-R5</v>
          </cell>
          <cell r="C748" t="str">
            <v>ALUMIUNM</v>
          </cell>
          <cell r="D748">
            <v>90</v>
          </cell>
          <cell r="E748">
            <v>90</v>
          </cell>
          <cell r="F748" t="str">
            <v>ALL TYPES</v>
          </cell>
          <cell r="G748" t="str">
            <v>1/4" TAPCON</v>
          </cell>
          <cell r="H748">
            <v>2017</v>
          </cell>
          <cell r="I748"/>
        </row>
        <row r="749">
          <cell r="A749" t="str">
            <v>FL14610.6-R3#1</v>
          </cell>
          <cell r="B749" t="str">
            <v>FL14610.6-R3</v>
          </cell>
          <cell r="C749" t="str">
            <v>ALUMINUM</v>
          </cell>
          <cell r="D749">
            <v>100</v>
          </cell>
          <cell r="E749">
            <v>120</v>
          </cell>
          <cell r="F749"/>
          <cell r="G749" t="str">
            <v>1/4" TAPCON</v>
          </cell>
          <cell r="H749">
            <v>2014</v>
          </cell>
          <cell r="I749">
            <v>43282</v>
          </cell>
        </row>
        <row r="750">
          <cell r="A750" t="str">
            <v>FL14704-R1#1</v>
          </cell>
          <cell r="B750" t="str">
            <v>FL14704-R1</v>
          </cell>
          <cell r="C750" t="str">
            <v>ANCHOR ALL AROUND</v>
          </cell>
          <cell r="D750">
            <v>80</v>
          </cell>
          <cell r="E750">
            <v>80</v>
          </cell>
          <cell r="F750" t="str">
            <v>TYPE A</v>
          </cell>
          <cell r="G750" t="str">
            <v>3/16" ITW TAPCON</v>
          </cell>
          <cell r="H750">
            <v>2010</v>
          </cell>
          <cell r="I750"/>
        </row>
        <row r="751">
          <cell r="A751" t="str">
            <v>FL14758.1-R1#1</v>
          </cell>
          <cell r="B751" t="str">
            <v>FL14758.1-R1</v>
          </cell>
          <cell r="C751"/>
          <cell r="D751">
            <v>160</v>
          </cell>
          <cell r="E751">
            <v>160</v>
          </cell>
          <cell r="F751" t="str">
            <v>N/A</v>
          </cell>
          <cell r="G751" t="str">
            <v>1/4" ITW TAPCON</v>
          </cell>
          <cell r="H751">
            <v>2010</v>
          </cell>
          <cell r="I751"/>
        </row>
        <row r="752">
          <cell r="A752" t="str">
            <v>FL14803.4-R1#1</v>
          </cell>
          <cell r="B752" t="str">
            <v>FL14803.4-R1</v>
          </cell>
          <cell r="C752" t="str">
            <v>BUCK ANCHORING</v>
          </cell>
          <cell r="D752">
            <v>50</v>
          </cell>
          <cell r="E752">
            <v>50</v>
          </cell>
          <cell r="F752" t="str">
            <v>N/A</v>
          </cell>
          <cell r="G752" t="str">
            <v>1/4" ELCO CONCRETE SCREW</v>
          </cell>
          <cell r="H752">
            <v>2010</v>
          </cell>
          <cell r="I752"/>
        </row>
        <row r="753">
          <cell r="A753" t="str">
            <v>FL14803.4-R1#2</v>
          </cell>
          <cell r="B753" t="str">
            <v>FL14803.4-R1</v>
          </cell>
          <cell r="C753" t="str">
            <v>BUCK ANCHORING</v>
          </cell>
          <cell r="D753">
            <v>50</v>
          </cell>
          <cell r="E753">
            <v>55</v>
          </cell>
          <cell r="F753" t="str">
            <v>N/A</v>
          </cell>
          <cell r="G753" t="str">
            <v>1/4" ELCO CONCRETE SCREW</v>
          </cell>
          <cell r="H753">
            <v>2010</v>
          </cell>
          <cell r="I753"/>
        </row>
        <row r="754">
          <cell r="A754" t="str">
            <v>FL14848.2#1</v>
          </cell>
          <cell r="B754" t="str">
            <v>FL14848.2</v>
          </cell>
          <cell r="C754"/>
          <cell r="D754">
            <v>70</v>
          </cell>
          <cell r="E754">
            <v>70</v>
          </cell>
          <cell r="F754" t="str">
            <v>ALL TYPES</v>
          </cell>
          <cell r="G754" t="str">
            <v>3/16" ITW TAPCON</v>
          </cell>
          <cell r="H754">
            <v>2014</v>
          </cell>
          <cell r="I754"/>
        </row>
        <row r="755">
          <cell r="A755" t="str">
            <v>FL14850.1-R1#1</v>
          </cell>
          <cell r="B755" t="str">
            <v>FL14850.1-R1</v>
          </cell>
          <cell r="C755"/>
          <cell r="D755">
            <v>70</v>
          </cell>
          <cell r="E755">
            <v>70</v>
          </cell>
          <cell r="F755" t="str">
            <v>B</v>
          </cell>
          <cell r="G755" t="str">
            <v>1/4" TAPCON</v>
          </cell>
          <cell r="H755">
            <v>2010</v>
          </cell>
          <cell r="I755">
            <v>42004</v>
          </cell>
        </row>
        <row r="756">
          <cell r="A756" t="str">
            <v>FL14911.20-R7#1</v>
          </cell>
          <cell r="B756" t="str">
            <v>FL14911.20-R7</v>
          </cell>
          <cell r="C756"/>
          <cell r="D756">
            <v>62.8</v>
          </cell>
          <cell r="E756">
            <v>65</v>
          </cell>
          <cell r="F756" t="str">
            <v>ALL TYPES</v>
          </cell>
          <cell r="G756" t="str">
            <v>1/4" ITW TAPCON</v>
          </cell>
          <cell r="H756">
            <v>2014</v>
          </cell>
          <cell r="I756"/>
        </row>
        <row r="757">
          <cell r="A757" t="str">
            <v>FL14911.20-R7#2</v>
          </cell>
          <cell r="B757" t="str">
            <v>FL14911.20-R7</v>
          </cell>
          <cell r="C757"/>
          <cell r="D757">
            <v>55</v>
          </cell>
          <cell r="E757">
            <v>60</v>
          </cell>
          <cell r="F757" t="str">
            <v>ALL TYPES</v>
          </cell>
          <cell r="G757" t="str">
            <v>1/4" ITW TAPCON</v>
          </cell>
          <cell r="H757">
            <v>2014</v>
          </cell>
          <cell r="I757"/>
        </row>
        <row r="758">
          <cell r="A758" t="str">
            <v>FL14991.11-R0#1</v>
          </cell>
          <cell r="B758" t="str">
            <v>FL14991.11-R0</v>
          </cell>
          <cell r="C758" t="str">
            <v>OUTSWING</v>
          </cell>
          <cell r="D758">
            <v>60</v>
          </cell>
          <cell r="E758">
            <v>60</v>
          </cell>
          <cell r="F758" t="str">
            <v>N/A</v>
          </cell>
          <cell r="G758" t="str">
            <v>1/4" ITW CONCRETE SCREW</v>
          </cell>
          <cell r="H758">
            <v>2010</v>
          </cell>
          <cell r="I758"/>
        </row>
        <row r="759">
          <cell r="A759" t="str">
            <v>FL15054.16-R6#1</v>
          </cell>
          <cell r="B759" t="str">
            <v>FL15054.16-R6</v>
          </cell>
          <cell r="C759"/>
          <cell r="D759">
            <v>60</v>
          </cell>
          <cell r="E759">
            <v>60</v>
          </cell>
          <cell r="F759"/>
          <cell r="G759"/>
          <cell r="H759">
            <v>2017</v>
          </cell>
          <cell r="I759"/>
        </row>
        <row r="760">
          <cell r="A760" t="str">
            <v>FL15180.11#1</v>
          </cell>
          <cell r="B760" t="str">
            <v>FL15180.11</v>
          </cell>
          <cell r="C760" t="str">
            <v>INSWING/OUTSWING</v>
          </cell>
          <cell r="D760">
            <v>50</v>
          </cell>
          <cell r="E760">
            <v>50</v>
          </cell>
          <cell r="F760" t="str">
            <v>N/A</v>
          </cell>
          <cell r="G760" t="str">
            <v>1/4" TAPCON</v>
          </cell>
          <cell r="H760">
            <v>2010</v>
          </cell>
          <cell r="I760">
            <v>42004</v>
          </cell>
        </row>
        <row r="761">
          <cell r="A761" t="str">
            <v>FL15180.16-R0#1</v>
          </cell>
          <cell r="B761" t="str">
            <v>FL15180.16-R0</v>
          </cell>
          <cell r="C761" t="str">
            <v>IMPACT, FRAME ANCHORING</v>
          </cell>
          <cell r="D761">
            <v>50</v>
          </cell>
          <cell r="E761">
            <v>50</v>
          </cell>
          <cell r="F761" t="str">
            <v>N/A</v>
          </cell>
          <cell r="G761" t="str">
            <v>1/4" ELCO CONCRETE SCREW</v>
          </cell>
          <cell r="H761">
            <v>2010</v>
          </cell>
          <cell r="I761"/>
        </row>
        <row r="762">
          <cell r="A762" t="str">
            <v>FL15180.6-R0#1</v>
          </cell>
          <cell r="B762" t="str">
            <v>FL15180.6-R0</v>
          </cell>
          <cell r="C762" t="str">
            <v>OUTSWING</v>
          </cell>
          <cell r="D762">
            <v>50</v>
          </cell>
          <cell r="E762">
            <v>50</v>
          </cell>
          <cell r="F762" t="str">
            <v>G1</v>
          </cell>
          <cell r="G762" t="str">
            <v>1/4" TAPCON</v>
          </cell>
          <cell r="H762">
            <v>2010</v>
          </cell>
          <cell r="I762">
            <v>42004</v>
          </cell>
        </row>
        <row r="763">
          <cell r="A763" t="str">
            <v>FL15208.1-R0#1</v>
          </cell>
          <cell r="B763" t="str">
            <v>FL15208.1-R0</v>
          </cell>
          <cell r="C763" t="str">
            <v>HURRICANE FABRIC PROTECTION</v>
          </cell>
          <cell r="D763">
            <v>60</v>
          </cell>
          <cell r="E763">
            <v>60</v>
          </cell>
          <cell r="F763"/>
          <cell r="G763"/>
          <cell r="H763">
            <v>2010</v>
          </cell>
          <cell r="I763"/>
        </row>
        <row r="764">
          <cell r="A764" t="str">
            <v>FL15210.1#1</v>
          </cell>
          <cell r="B764" t="str">
            <v>FL15210.1</v>
          </cell>
          <cell r="C764" t="str">
            <v>INSWING/OUTSWING</v>
          </cell>
          <cell r="D764">
            <v>75</v>
          </cell>
          <cell r="E764">
            <v>75</v>
          </cell>
          <cell r="F764" t="str">
            <v>N/A</v>
          </cell>
          <cell r="G764" t="str">
            <v>1/4" ITW TAPCON</v>
          </cell>
          <cell r="H764">
            <v>2014</v>
          </cell>
          <cell r="I764"/>
        </row>
        <row r="765">
          <cell r="A765" t="str">
            <v>FL15210.10-R5#1</v>
          </cell>
          <cell r="B765" t="str">
            <v>FL15210.10-R5</v>
          </cell>
          <cell r="C765" t="str">
            <v>OUTSWING</v>
          </cell>
          <cell r="D765">
            <v>60</v>
          </cell>
          <cell r="E765">
            <v>60</v>
          </cell>
          <cell r="F765" t="str">
            <v>N/A</v>
          </cell>
          <cell r="G765" t="str">
            <v>1/4" ITW TAPCON</v>
          </cell>
          <cell r="H765">
            <v>2014</v>
          </cell>
          <cell r="I765"/>
        </row>
        <row r="766">
          <cell r="A766" t="str">
            <v>FL15210.13#1</v>
          </cell>
          <cell r="B766" t="str">
            <v>FL15210.13</v>
          </cell>
          <cell r="C766" t="str">
            <v>OPAQUE OUTSWING</v>
          </cell>
          <cell r="D766">
            <v>90</v>
          </cell>
          <cell r="E766">
            <v>90</v>
          </cell>
          <cell r="F766" t="str">
            <v>N/A</v>
          </cell>
          <cell r="G766" t="str">
            <v>1/4" ITW TAPCON</v>
          </cell>
          <cell r="H766">
            <v>2014</v>
          </cell>
          <cell r="I766"/>
        </row>
        <row r="767">
          <cell r="A767" t="str">
            <v>FL15210.15#1</v>
          </cell>
          <cell r="B767" t="str">
            <v>FL15210.15</v>
          </cell>
          <cell r="C767" t="str">
            <v>WINDOW INSERT, KWIKSET LOCK</v>
          </cell>
          <cell r="D767">
            <v>50</v>
          </cell>
          <cell r="E767">
            <v>50</v>
          </cell>
          <cell r="F767"/>
          <cell r="G767" t="str">
            <v>1/4" ITW TAPCON</v>
          </cell>
          <cell r="H767">
            <v>2014</v>
          </cell>
          <cell r="I767"/>
        </row>
        <row r="768">
          <cell r="A768" t="str">
            <v>FL15210.15#2</v>
          </cell>
          <cell r="B768" t="str">
            <v>FL15210.15</v>
          </cell>
          <cell r="C768" t="str">
            <v>WINDOW INSERT, YALE LOCK</v>
          </cell>
          <cell r="D768">
            <v>45</v>
          </cell>
          <cell r="E768">
            <v>45</v>
          </cell>
          <cell r="F768"/>
          <cell r="G768" t="str">
            <v>1/4" ITW TAPCON</v>
          </cell>
          <cell r="H768">
            <v>2014</v>
          </cell>
          <cell r="I768"/>
        </row>
        <row r="769">
          <cell r="A769" t="str">
            <v>FL15210.1-R0#1</v>
          </cell>
          <cell r="B769" t="str">
            <v>FL15210.1-R0</v>
          </cell>
          <cell r="C769" t="str">
            <v>IN/OUTSWING, IMPACT, FRAME ANCHORING</v>
          </cell>
          <cell r="D769">
            <v>75</v>
          </cell>
          <cell r="E769">
            <v>75</v>
          </cell>
          <cell r="F769" t="str">
            <v>N/A</v>
          </cell>
          <cell r="G769" t="str">
            <v>1/4" ELCO CONCRETE SCREW</v>
          </cell>
          <cell r="H769">
            <v>2014</v>
          </cell>
          <cell r="I769"/>
        </row>
        <row r="770">
          <cell r="A770" t="str">
            <v>FL15210.1-R0#2</v>
          </cell>
          <cell r="B770" t="str">
            <v>FL15210.1-R0</v>
          </cell>
          <cell r="C770" t="str">
            <v>IN/OUTSWING, IMPACT, BUCK ANCHORING</v>
          </cell>
          <cell r="D770">
            <v>75</v>
          </cell>
          <cell r="E770">
            <v>75</v>
          </cell>
          <cell r="F770" t="str">
            <v>N/A</v>
          </cell>
          <cell r="G770" t="str">
            <v>1/4" ELCO CONCRETE SCREW</v>
          </cell>
          <cell r="H770">
            <v>2010</v>
          </cell>
          <cell r="I770"/>
        </row>
        <row r="771">
          <cell r="A771" t="str">
            <v>FL15210.1-R3#1</v>
          </cell>
          <cell r="B771" t="str">
            <v>FL15210.1-R3</v>
          </cell>
          <cell r="C771" t="str">
            <v>IN/OUTSWING, IMPACT, FRAME ANCHORING</v>
          </cell>
          <cell r="D771">
            <v>75</v>
          </cell>
          <cell r="E771">
            <v>75</v>
          </cell>
          <cell r="F771" t="str">
            <v>N/A</v>
          </cell>
          <cell r="G771" t="str">
            <v>1/4" ELCO CONCRETE SCREW</v>
          </cell>
          <cell r="H771">
            <v>2010</v>
          </cell>
          <cell r="I771"/>
        </row>
        <row r="772">
          <cell r="A772" t="str">
            <v>FL15210.4#1</v>
          </cell>
          <cell r="B772" t="str">
            <v>FL15210.4</v>
          </cell>
          <cell r="C772" t="str">
            <v>INSWING/OUTSWING</v>
          </cell>
          <cell r="D772">
            <v>75</v>
          </cell>
          <cell r="E772">
            <v>75</v>
          </cell>
          <cell r="F772" t="str">
            <v>N/A</v>
          </cell>
          <cell r="G772" t="str">
            <v>1/4" ELCO CONCRETE SCREW</v>
          </cell>
          <cell r="H772">
            <v>2017</v>
          </cell>
          <cell r="I772"/>
        </row>
        <row r="773">
          <cell r="A773" t="str">
            <v>FL15210.4-R3#1</v>
          </cell>
          <cell r="B773" t="str">
            <v>FL15210.4-R3</v>
          </cell>
          <cell r="C773" t="str">
            <v>IN/OUTSWING, IMPACT, FRAME ANCHORING</v>
          </cell>
          <cell r="D773">
            <v>75</v>
          </cell>
          <cell r="E773">
            <v>75</v>
          </cell>
          <cell r="F773" t="str">
            <v>N/A</v>
          </cell>
          <cell r="G773" t="str">
            <v>1/4" ELCO CONCRETE SCREW</v>
          </cell>
          <cell r="H773">
            <v>2010</v>
          </cell>
          <cell r="I773"/>
        </row>
        <row r="774">
          <cell r="A774" t="str">
            <v>FL15210.4-R3#2</v>
          </cell>
          <cell r="B774" t="str">
            <v>FL15210.4-R3</v>
          </cell>
          <cell r="C774" t="str">
            <v>IN/OUTSWING, IMPACT, BUCK ANCHORING</v>
          </cell>
          <cell r="D774">
            <v>75</v>
          </cell>
          <cell r="E774">
            <v>75</v>
          </cell>
          <cell r="F774" t="str">
            <v>N/A</v>
          </cell>
          <cell r="G774" t="str">
            <v>1/4" ELCO CONCRETE SCREW</v>
          </cell>
          <cell r="H774">
            <v>2010</v>
          </cell>
          <cell r="I774"/>
        </row>
        <row r="775">
          <cell r="A775" t="str">
            <v>FL15210.4-R3#3</v>
          </cell>
          <cell r="B775" t="str">
            <v>FL15210.4-R3</v>
          </cell>
          <cell r="C775" t="str">
            <v>IN/OUTSWING, IMPACT, FRAME ANCHORING</v>
          </cell>
          <cell r="D775">
            <v>75</v>
          </cell>
          <cell r="E775">
            <v>75</v>
          </cell>
          <cell r="F775" t="str">
            <v>N/A</v>
          </cell>
          <cell r="G775" t="str">
            <v>1/4" ELCO CONCRETE SCREW</v>
          </cell>
          <cell r="H775">
            <v>2014</v>
          </cell>
          <cell r="I775"/>
        </row>
        <row r="776">
          <cell r="A776" t="str">
            <v>FL15210.6#1</v>
          </cell>
          <cell r="B776" t="str">
            <v>FL15210.6</v>
          </cell>
          <cell r="C776" t="str">
            <v>OUTSWING</v>
          </cell>
          <cell r="D776">
            <v>75</v>
          </cell>
          <cell r="E776">
            <v>75</v>
          </cell>
          <cell r="F776"/>
          <cell r="G776"/>
          <cell r="H776">
            <v>2017</v>
          </cell>
          <cell r="I776"/>
        </row>
        <row r="777">
          <cell r="A777" t="str">
            <v>FL15213.14-R2#1</v>
          </cell>
          <cell r="B777" t="str">
            <v>FL15213.14-R2</v>
          </cell>
          <cell r="C777" t="str">
            <v>INSWING</v>
          </cell>
          <cell r="D777">
            <v>47</v>
          </cell>
          <cell r="E777">
            <v>50</v>
          </cell>
          <cell r="F777" t="str">
            <v>ALL TYPES</v>
          </cell>
          <cell r="G777" t="str">
            <v>1/4" ITW TAPCON</v>
          </cell>
          <cell r="H777">
            <v>2014</v>
          </cell>
          <cell r="I777"/>
        </row>
        <row r="778">
          <cell r="A778" t="str">
            <v>FL15213.9-R1#1</v>
          </cell>
          <cell r="B778" t="str">
            <v>FL15213.9-R1</v>
          </cell>
          <cell r="C778" t="str">
            <v>FRAME ANCHORING</v>
          </cell>
          <cell r="D778">
            <v>50</v>
          </cell>
          <cell r="E778">
            <v>50</v>
          </cell>
          <cell r="F778" t="str">
            <v>N/A</v>
          </cell>
          <cell r="G778" t="str">
            <v>1/4" ELCO ULTRACON</v>
          </cell>
          <cell r="H778">
            <v>2010</v>
          </cell>
          <cell r="I778"/>
        </row>
        <row r="779">
          <cell r="A779" t="str">
            <v>FL15213.9-R1#2</v>
          </cell>
          <cell r="B779" t="str">
            <v>FL15213.9-R1</v>
          </cell>
          <cell r="C779" t="str">
            <v>FRAME ANCHORING</v>
          </cell>
          <cell r="D779">
            <v>60</v>
          </cell>
          <cell r="E779">
            <v>60</v>
          </cell>
          <cell r="F779" t="str">
            <v>N/A</v>
          </cell>
          <cell r="G779" t="str">
            <v>1/4" ELCO ULTRACON</v>
          </cell>
          <cell r="H779">
            <v>2010</v>
          </cell>
          <cell r="I779"/>
        </row>
        <row r="780">
          <cell r="A780" t="str">
            <v>FL15220.1-R0#1</v>
          </cell>
          <cell r="B780" t="str">
            <v>FL15220.1-R0</v>
          </cell>
          <cell r="C780" t="str">
            <v>INSWING/OUTSWING</v>
          </cell>
          <cell r="D780">
            <v>50</v>
          </cell>
          <cell r="E780">
            <v>50</v>
          </cell>
          <cell r="F780" t="str">
            <v>TYPE G1</v>
          </cell>
          <cell r="G780" t="str">
            <v>1/4" ITW CONCRETE SCREW</v>
          </cell>
          <cell r="H780">
            <v>2010</v>
          </cell>
          <cell r="I780"/>
        </row>
        <row r="781">
          <cell r="A781" t="str">
            <v>FL15227.2-R0#1</v>
          </cell>
          <cell r="B781" t="str">
            <v>FL15227.2-R0</v>
          </cell>
          <cell r="C781"/>
          <cell r="D781">
            <v>65</v>
          </cell>
          <cell r="E781">
            <v>65</v>
          </cell>
          <cell r="F781" t="str">
            <v>N/A</v>
          </cell>
          <cell r="G781" t="str">
            <v>1/4" ITW TAPCON</v>
          </cell>
          <cell r="H781">
            <v>2010</v>
          </cell>
          <cell r="I781">
            <v>42369</v>
          </cell>
        </row>
        <row r="782">
          <cell r="A782" t="str">
            <v>FL15227.2-R0#2</v>
          </cell>
          <cell r="B782" t="str">
            <v>FL15227.2-R0</v>
          </cell>
          <cell r="C782"/>
          <cell r="D782">
            <v>67</v>
          </cell>
          <cell r="E782">
            <v>67</v>
          </cell>
          <cell r="F782" t="str">
            <v>N/A</v>
          </cell>
          <cell r="G782" t="str">
            <v>1/4" ITW TAPCON</v>
          </cell>
          <cell r="H782">
            <v>2010</v>
          </cell>
          <cell r="I782">
            <v>42369</v>
          </cell>
        </row>
        <row r="783">
          <cell r="A783" t="str">
            <v>FL15227.5-R0#1</v>
          </cell>
          <cell r="B783" t="str">
            <v>FL15227.5-R0</v>
          </cell>
          <cell r="C783"/>
          <cell r="D783">
            <v>47</v>
          </cell>
          <cell r="E783">
            <v>47</v>
          </cell>
          <cell r="F783" t="str">
            <v>N/A</v>
          </cell>
          <cell r="G783" t="str">
            <v>1/4" ELCO CONCRETE SCREW</v>
          </cell>
          <cell r="H783">
            <v>2010</v>
          </cell>
          <cell r="I783">
            <v>42369</v>
          </cell>
        </row>
        <row r="784">
          <cell r="A784" t="str">
            <v>FL15428.4-R2#1</v>
          </cell>
          <cell r="B784" t="str">
            <v>FL15428.4-R2</v>
          </cell>
          <cell r="C784" t="str">
            <v xml:space="preserve">ALUMINUM </v>
          </cell>
          <cell r="D784">
            <v>60</v>
          </cell>
          <cell r="E784">
            <v>60</v>
          </cell>
          <cell r="F784" t="str">
            <v>TYPE B/C</v>
          </cell>
          <cell r="G784" t="str">
            <v>#12 SMS</v>
          </cell>
          <cell r="H784">
            <v>2014</v>
          </cell>
          <cell r="I784">
            <v>43382</v>
          </cell>
        </row>
        <row r="785">
          <cell r="A785" t="str">
            <v>FL15441.4-R2#1</v>
          </cell>
          <cell r="B785" t="str">
            <v>FL15441.4-R2</v>
          </cell>
          <cell r="C785" t="str">
            <v>ALUMINUM</v>
          </cell>
          <cell r="D785">
            <v>56.7</v>
          </cell>
          <cell r="E785">
            <v>95</v>
          </cell>
          <cell r="F785" t="str">
            <v xml:space="preserve">TYPE A </v>
          </cell>
          <cell r="G785" t="str">
            <v>1/4" ELCO ULTRACON</v>
          </cell>
          <cell r="H785">
            <v>2014</v>
          </cell>
          <cell r="I785">
            <v>43144</v>
          </cell>
        </row>
        <row r="786">
          <cell r="A786" t="str">
            <v>FL15441.4-R2#2</v>
          </cell>
          <cell r="B786" t="str">
            <v>FL15441.4-R2</v>
          </cell>
          <cell r="C786" t="str">
            <v>ALUMINUM</v>
          </cell>
          <cell r="D786">
            <v>56.7</v>
          </cell>
          <cell r="E786">
            <v>65</v>
          </cell>
          <cell r="F786" t="str">
            <v>TYPE B</v>
          </cell>
          <cell r="G786" t="str">
            <v>1/4" ELCO ULTRACON</v>
          </cell>
          <cell r="H786">
            <v>2014</v>
          </cell>
          <cell r="I786">
            <v>43144</v>
          </cell>
        </row>
        <row r="787">
          <cell r="A787" t="str">
            <v>FL15443.1-R2#1</v>
          </cell>
          <cell r="B787" t="str">
            <v>FL15443.1-R2</v>
          </cell>
          <cell r="C787" t="str">
            <v>W/ SIDELITES</v>
          </cell>
          <cell r="D787">
            <v>60</v>
          </cell>
          <cell r="E787">
            <v>71.099999999999994</v>
          </cell>
          <cell r="F787" t="str">
            <v xml:space="preserve">TYPE A </v>
          </cell>
          <cell r="G787" t="str">
            <v>5/16" TAPCON</v>
          </cell>
          <cell r="H787">
            <v>2014</v>
          </cell>
          <cell r="I787">
            <v>42991</v>
          </cell>
        </row>
        <row r="788">
          <cell r="A788" t="str">
            <v>FL15444.1-R0#1</v>
          </cell>
          <cell r="B788" t="str">
            <v>FL15444.1-R0</v>
          </cell>
          <cell r="C788" t="str">
            <v>X CONFIGURATION</v>
          </cell>
          <cell r="D788">
            <v>60</v>
          </cell>
          <cell r="E788">
            <v>80</v>
          </cell>
          <cell r="F788" t="str">
            <v>N/A</v>
          </cell>
          <cell r="G788" t="str">
            <v>1/4" ITW TAPCON</v>
          </cell>
          <cell r="H788">
            <v>2010</v>
          </cell>
          <cell r="I788"/>
        </row>
        <row r="789">
          <cell r="A789" t="str">
            <v>FL15444.1-R0#2</v>
          </cell>
          <cell r="B789" t="str">
            <v>FL15444.1-R0</v>
          </cell>
          <cell r="C789" t="str">
            <v>XX CONFIGURATION</v>
          </cell>
          <cell r="D789">
            <v>60</v>
          </cell>
          <cell r="E789">
            <v>80</v>
          </cell>
          <cell r="F789" t="str">
            <v>N/A</v>
          </cell>
          <cell r="G789" t="str">
            <v>1/4" ITW TAPCON</v>
          </cell>
          <cell r="H789">
            <v>2010</v>
          </cell>
          <cell r="I789"/>
        </row>
        <row r="790">
          <cell r="A790" t="str">
            <v>FL15454.1-R0#1</v>
          </cell>
          <cell r="B790" t="str">
            <v>FL15454.1-R0</v>
          </cell>
          <cell r="C790"/>
          <cell r="D790">
            <v>90</v>
          </cell>
          <cell r="E790">
            <v>90</v>
          </cell>
          <cell r="F790" t="str">
            <v>STEEL</v>
          </cell>
          <cell r="G790" t="str">
            <v>3/16" TAPCON</v>
          </cell>
          <cell r="H790">
            <v>2010</v>
          </cell>
          <cell r="I790"/>
        </row>
        <row r="791">
          <cell r="A791" t="str">
            <v>FL15454.1-R1#1</v>
          </cell>
          <cell r="B791" t="str">
            <v>FL15454.1-R1</v>
          </cell>
          <cell r="C791"/>
          <cell r="D791">
            <v>90</v>
          </cell>
          <cell r="E791">
            <v>90</v>
          </cell>
          <cell r="F791" t="str">
            <v>STEEL</v>
          </cell>
          <cell r="G791" t="str">
            <v>3/16" TAPCON</v>
          </cell>
          <cell r="H791">
            <v>2014</v>
          </cell>
          <cell r="I791"/>
        </row>
        <row r="792">
          <cell r="A792" t="str">
            <v>FL15505.1-R0#1</v>
          </cell>
          <cell r="B792" t="str">
            <v>FL15505.1-R0</v>
          </cell>
          <cell r="C792" t="str">
            <v>(X, OXO, XO, OX) WOOD EDGE 12-0x6-8 OUTSWING</v>
          </cell>
          <cell r="D792">
            <v>65</v>
          </cell>
          <cell r="E792">
            <v>65</v>
          </cell>
          <cell r="F792" t="str">
            <v>STEEL</v>
          </cell>
          <cell r="G792" t="str">
            <v>3/16" ITW TAPCON</v>
          </cell>
          <cell r="H792">
            <v>2010</v>
          </cell>
          <cell r="I792"/>
        </row>
        <row r="793">
          <cell r="A793" t="str">
            <v>FL15505.1-R0#2</v>
          </cell>
          <cell r="B793" t="str">
            <v>FL15505.1-R0</v>
          </cell>
          <cell r="C793" t="str">
            <v>(XX, XXO, OXXO) WOOD EDGE 12-0x6-8 OUTSWING</v>
          </cell>
          <cell r="D793">
            <v>60</v>
          </cell>
          <cell r="E793">
            <v>60</v>
          </cell>
          <cell r="F793" t="str">
            <v>STEEL</v>
          </cell>
          <cell r="G793" t="str">
            <v>3/16" ITW TAPCON</v>
          </cell>
          <cell r="H793">
            <v>2010</v>
          </cell>
          <cell r="I793"/>
        </row>
        <row r="794">
          <cell r="A794" t="str">
            <v>FL15558.1-R0#1</v>
          </cell>
          <cell r="B794" t="str">
            <v>FL15558.1-R0</v>
          </cell>
          <cell r="C794" t="str">
            <v>(X, OXO, XO, OX) WOOD EDGE 12-0x6-8 OUTSWING</v>
          </cell>
          <cell r="D794">
            <v>66</v>
          </cell>
          <cell r="E794">
            <v>70</v>
          </cell>
          <cell r="F794" t="str">
            <v>STEEL</v>
          </cell>
          <cell r="G794" t="str">
            <v>#10 WOOD SCREW</v>
          </cell>
          <cell r="H794">
            <v>2010</v>
          </cell>
          <cell r="I794"/>
        </row>
        <row r="795">
          <cell r="A795" t="str">
            <v>FL15558.1-R0#2</v>
          </cell>
          <cell r="B795" t="str">
            <v>FL15558.1-R0</v>
          </cell>
          <cell r="C795" t="str">
            <v>(XX, XXO, OXXO) WOOD EDGE 12-0x6-8 OUTSWING</v>
          </cell>
          <cell r="D795">
            <v>57</v>
          </cell>
          <cell r="E795">
            <v>57</v>
          </cell>
          <cell r="F795" t="str">
            <v>STEEL</v>
          </cell>
          <cell r="G795" t="str">
            <v>#10 WOOD SCREW</v>
          </cell>
          <cell r="H795">
            <v>2010</v>
          </cell>
          <cell r="I795"/>
        </row>
        <row r="796">
          <cell r="A796" t="str">
            <v>FL15558-R0#1</v>
          </cell>
          <cell r="B796" t="str">
            <v>FL15558-R0</v>
          </cell>
          <cell r="C796" t="str">
            <v>OPAQUE OUTSWING W/WO SIDELITES</v>
          </cell>
          <cell r="D796">
            <v>66</v>
          </cell>
          <cell r="E796">
            <v>70</v>
          </cell>
          <cell r="F796" t="str">
            <v>N/A</v>
          </cell>
          <cell r="G796" t="str">
            <v>#10 WOOD SCREW</v>
          </cell>
          <cell r="H796">
            <v>2010</v>
          </cell>
          <cell r="I796"/>
        </row>
        <row r="797">
          <cell r="A797" t="str">
            <v>FL15699.1-R0#1</v>
          </cell>
          <cell r="B797" t="str">
            <v>FL15699.1-R0</v>
          </cell>
          <cell r="C797"/>
          <cell r="D797">
            <v>80</v>
          </cell>
          <cell r="E797">
            <v>80</v>
          </cell>
          <cell r="F797" t="str">
            <v xml:space="preserve">TYPE A </v>
          </cell>
          <cell r="G797" t="str">
            <v>3/16" ELCO ULTRACON</v>
          </cell>
          <cell r="H797">
            <v>2010</v>
          </cell>
          <cell r="I797"/>
        </row>
        <row r="798">
          <cell r="A798" t="str">
            <v>FL15726.1-R1#1</v>
          </cell>
          <cell r="B798" t="str">
            <v>FL15726.1-R1</v>
          </cell>
          <cell r="C798"/>
          <cell r="D798">
            <v>60</v>
          </cell>
          <cell r="E798">
            <v>60</v>
          </cell>
          <cell r="F798" t="str">
            <v>TYPE G1/G2/G4</v>
          </cell>
          <cell r="G798" t="str">
            <v>1/4" ELCO ULTRACON</v>
          </cell>
          <cell r="H798">
            <v>2014</v>
          </cell>
          <cell r="I798"/>
        </row>
        <row r="799">
          <cell r="A799" t="str">
            <v>FL15726.1-R1#2</v>
          </cell>
          <cell r="B799" t="str">
            <v>FL15726.1-R1</v>
          </cell>
          <cell r="C799" t="str">
            <v xml:space="preserve">HEAVY REINFORCING </v>
          </cell>
          <cell r="D799">
            <v>80</v>
          </cell>
          <cell r="E799">
            <v>95</v>
          </cell>
          <cell r="F799" t="str">
            <v>TYPE G3/G5</v>
          </cell>
          <cell r="G799" t="str">
            <v>1/4" ELCO ULTRACON</v>
          </cell>
          <cell r="H799">
            <v>2014</v>
          </cell>
          <cell r="I799"/>
        </row>
        <row r="800">
          <cell r="A800" t="str">
            <v>FL15810.2-R0#1</v>
          </cell>
          <cell r="B800" t="str">
            <v>FL15810.2-R0</v>
          </cell>
          <cell r="C800" t="str">
            <v>LARGER VERSION</v>
          </cell>
          <cell r="D800">
            <v>65</v>
          </cell>
          <cell r="E800">
            <v>65</v>
          </cell>
          <cell r="F800" t="str">
            <v>TYPE A/B</v>
          </cell>
          <cell r="G800" t="str">
            <v>3/16" ELCO ULTRACON</v>
          </cell>
          <cell r="H800">
            <v>2010</v>
          </cell>
          <cell r="I800"/>
        </row>
        <row r="801">
          <cell r="A801" t="str">
            <v>FL15814.1-R0#1</v>
          </cell>
          <cell r="B801" t="str">
            <v>FL15814.1-R0</v>
          </cell>
          <cell r="C801"/>
          <cell r="D801">
            <v>50</v>
          </cell>
          <cell r="E801">
            <v>50</v>
          </cell>
          <cell r="F801" t="str">
            <v>TYPE A/B</v>
          </cell>
          <cell r="G801" t="str">
            <v>3/16" ELCO ULTRACON</v>
          </cell>
          <cell r="H801">
            <v>2010</v>
          </cell>
          <cell r="I801"/>
        </row>
        <row r="802">
          <cell r="A802" t="str">
            <v>FL15920.1-R0#1</v>
          </cell>
          <cell r="B802" t="str">
            <v>FL15920.1-R0</v>
          </cell>
          <cell r="C802"/>
          <cell r="D802">
            <v>80</v>
          </cell>
          <cell r="E802">
            <v>130</v>
          </cell>
          <cell r="F802" t="str">
            <v>TYPE M6</v>
          </cell>
          <cell r="G802" t="str">
            <v>1/4" ELCO ULTRACON</v>
          </cell>
          <cell r="H802">
            <v>2010</v>
          </cell>
          <cell r="I802"/>
        </row>
        <row r="803">
          <cell r="A803" t="str">
            <v>FL15920.1-R0#1</v>
          </cell>
          <cell r="B803" t="str">
            <v>FL15920.1-R0</v>
          </cell>
          <cell r="C803"/>
          <cell r="D803">
            <v>80</v>
          </cell>
          <cell r="E803">
            <v>80</v>
          </cell>
          <cell r="F803" t="str">
            <v>TYPE M4</v>
          </cell>
          <cell r="G803" t="str">
            <v>1/4" ELCO ULTRACON</v>
          </cell>
          <cell r="H803">
            <v>2010</v>
          </cell>
          <cell r="I803"/>
        </row>
        <row r="804">
          <cell r="A804" t="str">
            <v>FL15920.1-R0#2</v>
          </cell>
          <cell r="B804" t="str">
            <v>FL15920.1-R0</v>
          </cell>
          <cell r="C804"/>
          <cell r="D804">
            <v>70</v>
          </cell>
          <cell r="E804">
            <v>70</v>
          </cell>
          <cell r="F804" t="str">
            <v>TYPE M2</v>
          </cell>
          <cell r="G804" t="str">
            <v>1/4" ELCO ULTRACON</v>
          </cell>
          <cell r="H804">
            <v>2010</v>
          </cell>
          <cell r="I804"/>
        </row>
        <row r="805">
          <cell r="A805" t="str">
            <v>FL15920.1-R0#3</v>
          </cell>
          <cell r="B805" t="str">
            <v>FL15920.1-R0</v>
          </cell>
          <cell r="C805"/>
          <cell r="D805">
            <v>80</v>
          </cell>
          <cell r="E805">
            <v>80</v>
          </cell>
          <cell r="F805" t="str">
            <v>TYPE M5</v>
          </cell>
          <cell r="G805" t="str">
            <v>1/4" ELCO ULTRACON</v>
          </cell>
          <cell r="H805">
            <v>2010</v>
          </cell>
          <cell r="I805"/>
        </row>
        <row r="806">
          <cell r="A806" t="str">
            <v>FL15920.1-R0#4</v>
          </cell>
          <cell r="B806" t="str">
            <v>FL15920.1-R0</v>
          </cell>
          <cell r="C806"/>
          <cell r="D806">
            <v>80</v>
          </cell>
          <cell r="E806">
            <v>80</v>
          </cell>
          <cell r="F806" t="str">
            <v>TYPE M4/M5</v>
          </cell>
          <cell r="G806" t="str">
            <v>1/4" ELCO ULTRACON</v>
          </cell>
          <cell r="H806">
            <v>2010</v>
          </cell>
          <cell r="I806"/>
        </row>
        <row r="807">
          <cell r="A807" t="str">
            <v>FL15970.1-R0#1</v>
          </cell>
          <cell r="B807" t="str">
            <v>FL15970.1-R0</v>
          </cell>
          <cell r="C807"/>
          <cell r="D807">
            <v>60</v>
          </cell>
          <cell r="E807">
            <v>60</v>
          </cell>
          <cell r="F807" t="str">
            <v>TYPE I/II</v>
          </cell>
          <cell r="G807" t="str">
            <v>3/16" ITW TAPCON</v>
          </cell>
          <cell r="H807">
            <v>2010</v>
          </cell>
          <cell r="I807"/>
        </row>
        <row r="808">
          <cell r="A808" t="str">
            <v>FL15970.1-R0#2</v>
          </cell>
          <cell r="B808" t="str">
            <v>FL15970.1-R0</v>
          </cell>
          <cell r="C808"/>
          <cell r="D808">
            <v>60</v>
          </cell>
          <cell r="E808">
            <v>60</v>
          </cell>
          <cell r="F808" t="str">
            <v>TYPE I/II</v>
          </cell>
          <cell r="G808" t="str">
            <v>3/16" ITW TAPCON</v>
          </cell>
          <cell r="H808">
            <v>2014</v>
          </cell>
          <cell r="I808"/>
        </row>
        <row r="809">
          <cell r="A809" t="str">
            <v>FL16132.1-R0#1</v>
          </cell>
          <cell r="B809" t="str">
            <v>FL16132.1-R0</v>
          </cell>
          <cell r="C809"/>
          <cell r="D809">
            <v>70</v>
          </cell>
          <cell r="E809">
            <v>75</v>
          </cell>
          <cell r="F809" t="str">
            <v>TYPE M1/M2/IG</v>
          </cell>
          <cell r="G809" t="str">
            <v>1/4" ELCO ULTRACON</v>
          </cell>
          <cell r="H809">
            <v>2014</v>
          </cell>
          <cell r="I809"/>
        </row>
        <row r="810">
          <cell r="A810" t="str">
            <v>FL16177.1-R1#1</v>
          </cell>
          <cell r="B810" t="str">
            <v>FL16177.1-R1</v>
          </cell>
          <cell r="C810"/>
          <cell r="D810">
            <v>70</v>
          </cell>
          <cell r="E810">
            <v>70</v>
          </cell>
          <cell r="F810" t="str">
            <v>5/16 LAMINATED</v>
          </cell>
          <cell r="G810" t="str">
            <v>3/16 ELCO ULTRACON</v>
          </cell>
          <cell r="H810">
            <v>2014</v>
          </cell>
          <cell r="I810"/>
        </row>
        <row r="811">
          <cell r="A811" t="str">
            <v>FL16220.1-R0#1</v>
          </cell>
          <cell r="B811" t="str">
            <v>FL16220.1-R0</v>
          </cell>
          <cell r="C811"/>
          <cell r="D811">
            <v>70</v>
          </cell>
          <cell r="E811">
            <v>75</v>
          </cell>
          <cell r="F811" t="str">
            <v>TYPE M2</v>
          </cell>
          <cell r="G811" t="str">
            <v>1/4" ELCO ULTRACON</v>
          </cell>
          <cell r="H811">
            <v>2010</v>
          </cell>
          <cell r="I811"/>
        </row>
        <row r="812">
          <cell r="A812" t="str">
            <v>FL16220.1-R0#2</v>
          </cell>
          <cell r="B812" t="str">
            <v>FL16220.1-R0</v>
          </cell>
          <cell r="C812"/>
          <cell r="D812">
            <v>70</v>
          </cell>
          <cell r="E812">
            <v>75</v>
          </cell>
          <cell r="F812" t="str">
            <v>TYPE M1/M2/IG</v>
          </cell>
          <cell r="G812" t="str">
            <v>1/4" ELCO ULTRACON</v>
          </cell>
          <cell r="H812">
            <v>2014</v>
          </cell>
          <cell r="I812"/>
        </row>
        <row r="813">
          <cell r="A813" t="str">
            <v>FL16257.1-R0#1</v>
          </cell>
          <cell r="B813" t="str">
            <v>FL16257.1-R0</v>
          </cell>
          <cell r="C813"/>
          <cell r="D813">
            <v>60.7</v>
          </cell>
          <cell r="E813">
            <v>76.8</v>
          </cell>
          <cell r="F813" t="str">
            <v>TYPE I/II</v>
          </cell>
          <cell r="G813" t="str">
            <v>1/4" ELCO CONCRETE SCREW</v>
          </cell>
          <cell r="H813">
            <v>2010</v>
          </cell>
          <cell r="I813"/>
        </row>
        <row r="814">
          <cell r="A814" t="str">
            <v>FL16273.1-R0#1</v>
          </cell>
          <cell r="B814" t="str">
            <v>FL16273.1-R0</v>
          </cell>
          <cell r="C814"/>
          <cell r="D814">
            <v>60.7</v>
          </cell>
          <cell r="E814">
            <v>76.8</v>
          </cell>
          <cell r="F814" t="str">
            <v>TYPE I/II</v>
          </cell>
          <cell r="G814" t="str">
            <v>1/4" ELCO CONCRETE SCREW</v>
          </cell>
          <cell r="H814">
            <v>2010</v>
          </cell>
          <cell r="I814"/>
        </row>
        <row r="815">
          <cell r="A815" t="str">
            <v>FL16708.1-R1#1</v>
          </cell>
          <cell r="B815" t="str">
            <v>FL16708.1-R1</v>
          </cell>
          <cell r="C815" t="str">
            <v>INSWING/OUTSWING</v>
          </cell>
          <cell r="D815">
            <v>65</v>
          </cell>
          <cell r="E815">
            <v>65</v>
          </cell>
          <cell r="F815" t="str">
            <v>N/A</v>
          </cell>
          <cell r="G815" t="str">
            <v>1/4" ELCO ULTRACON</v>
          </cell>
          <cell r="H815">
            <v>2010</v>
          </cell>
          <cell r="I815"/>
        </row>
        <row r="816">
          <cell r="A816" t="str">
            <v>FL16708.4#1</v>
          </cell>
          <cell r="B816" t="str">
            <v>FL16708.4</v>
          </cell>
          <cell r="C816" t="str">
            <v>INSWING/OUTSWING</v>
          </cell>
          <cell r="D816">
            <v>60</v>
          </cell>
          <cell r="E816">
            <v>60</v>
          </cell>
          <cell r="F816"/>
          <cell r="G816"/>
          <cell r="H816">
            <v>2014</v>
          </cell>
          <cell r="I816"/>
        </row>
        <row r="817">
          <cell r="A817" t="str">
            <v>FL16735.1-R0#1</v>
          </cell>
          <cell r="B817" t="str">
            <v>FL16735.1-R0</v>
          </cell>
          <cell r="C817"/>
          <cell r="D817">
            <v>50</v>
          </cell>
          <cell r="E817">
            <v>50</v>
          </cell>
          <cell r="F817"/>
          <cell r="G817" t="str">
            <v>3/16" ITW TAPCON</v>
          </cell>
          <cell r="H817">
            <v>2010</v>
          </cell>
          <cell r="I817"/>
        </row>
        <row r="818">
          <cell r="A818" t="str">
            <v>FL16736.1-R1#1</v>
          </cell>
          <cell r="B818" t="str">
            <v>FL16736.1-R1</v>
          </cell>
          <cell r="C818"/>
          <cell r="D818">
            <v>60</v>
          </cell>
          <cell r="E818">
            <v>60</v>
          </cell>
          <cell r="F818" t="str">
            <v>TYPE A</v>
          </cell>
          <cell r="G818" t="str">
            <v>3/16" ITW TAPCON</v>
          </cell>
          <cell r="H818">
            <v>2014</v>
          </cell>
          <cell r="I818"/>
        </row>
        <row r="819">
          <cell r="A819" t="str">
            <v>FL16804.3-R1#1</v>
          </cell>
          <cell r="B819" t="str">
            <v>FL16804.3-R1</v>
          </cell>
          <cell r="C819"/>
          <cell r="D819">
            <v>70</v>
          </cell>
          <cell r="E819">
            <v>85</v>
          </cell>
          <cell r="F819" t="str">
            <v>ALL TYPES</v>
          </cell>
          <cell r="G819" t="str">
            <v>3/16" TAPCON</v>
          </cell>
          <cell r="H819">
            <v>2014</v>
          </cell>
          <cell r="I819"/>
        </row>
        <row r="820">
          <cell r="A820" t="str">
            <v>FL16842.6-R4#1</v>
          </cell>
          <cell r="B820" t="str">
            <v>FL16842.6-R4</v>
          </cell>
          <cell r="C820"/>
          <cell r="D820">
            <v>55</v>
          </cell>
          <cell r="E820">
            <v>60</v>
          </cell>
          <cell r="F820"/>
          <cell r="G820"/>
          <cell r="H820">
            <v>2017</v>
          </cell>
          <cell r="I820"/>
        </row>
        <row r="821">
          <cell r="A821" t="str">
            <v>FL17000.1-R2#1</v>
          </cell>
          <cell r="B821" t="str">
            <v>FL17000.1-R2</v>
          </cell>
          <cell r="C821" t="str">
            <v>TRACK MOUNT 162" MAX WIDTH</v>
          </cell>
          <cell r="D821">
            <v>50</v>
          </cell>
          <cell r="E821">
            <v>50</v>
          </cell>
          <cell r="F821" t="str">
            <v>N/A</v>
          </cell>
          <cell r="G821" t="str">
            <v>5/16" TAPCON</v>
          </cell>
          <cell r="H821">
            <v>2017</v>
          </cell>
          <cell r="I821"/>
        </row>
        <row r="822">
          <cell r="A822" t="str">
            <v>FL17000.1-R2#2</v>
          </cell>
          <cell r="B822" t="str">
            <v>FL17000.1-R2</v>
          </cell>
          <cell r="C822" t="str">
            <v>TRACK MOUNT 144" MAX WIDTH</v>
          </cell>
          <cell r="D822">
            <v>50</v>
          </cell>
          <cell r="E822">
            <v>50</v>
          </cell>
          <cell r="F822" t="str">
            <v>N/A</v>
          </cell>
          <cell r="G822" t="str">
            <v>5/16" TAPCON</v>
          </cell>
          <cell r="H822">
            <v>2017</v>
          </cell>
          <cell r="I822"/>
        </row>
        <row r="823">
          <cell r="A823" t="str">
            <v>FL17000.1-R2#3</v>
          </cell>
          <cell r="B823" t="str">
            <v>FL17000.1-R2</v>
          </cell>
          <cell r="C823" t="str">
            <v>162" MAX WIDTH, WALL MOUNT, 5" O.C.</v>
          </cell>
          <cell r="D823">
            <v>70</v>
          </cell>
          <cell r="E823">
            <v>70</v>
          </cell>
          <cell r="F823" t="str">
            <v xml:space="preserve">15.625" </v>
          </cell>
          <cell r="G823" t="str">
            <v>5/16" TAPCON</v>
          </cell>
          <cell r="H823">
            <v>2017</v>
          </cell>
          <cell r="I823"/>
        </row>
        <row r="824">
          <cell r="A824" t="str">
            <v>FL17000.1-R2#4</v>
          </cell>
          <cell r="B824" t="str">
            <v>FL17000.1-R2</v>
          </cell>
          <cell r="C824" t="str">
            <v>204" MAX WIDTH INTO CONCRETE</v>
          </cell>
          <cell r="D824">
            <v>60</v>
          </cell>
          <cell r="E824">
            <v>60</v>
          </cell>
          <cell r="F824" t="str">
            <v>N/A</v>
          </cell>
          <cell r="G824" t="str">
            <v>5/16" ITW TAPCON</v>
          </cell>
          <cell r="H824">
            <v>2017</v>
          </cell>
          <cell r="I824"/>
        </row>
        <row r="825">
          <cell r="A825" t="str">
            <v>FL17030.1#1</v>
          </cell>
          <cell r="B825" t="str">
            <v>FL17030.1</v>
          </cell>
          <cell r="C825" t="str">
            <v>OUTSWING</v>
          </cell>
          <cell r="D825">
            <v>65</v>
          </cell>
          <cell r="E825">
            <v>65</v>
          </cell>
          <cell r="F825" t="str">
            <v>ALL TYPES</v>
          </cell>
          <cell r="G825" t="str">
            <v>1/4" ELCO ULTRACON</v>
          </cell>
          <cell r="H825">
            <v>2014</v>
          </cell>
          <cell r="I825"/>
        </row>
        <row r="826">
          <cell r="A826" t="str">
            <v>FL17162.1-R2#1</v>
          </cell>
          <cell r="B826" t="str">
            <v>FL17162.1-R2</v>
          </cell>
          <cell r="C826" t="str">
            <v>FLANGE FRAME</v>
          </cell>
          <cell r="D826">
            <v>85</v>
          </cell>
          <cell r="E826">
            <v>90</v>
          </cell>
          <cell r="F826" t="str">
            <v>ALL TYPES</v>
          </cell>
          <cell r="G826"/>
          <cell r="H826">
            <v>2014</v>
          </cell>
          <cell r="I826"/>
        </row>
        <row r="827">
          <cell r="A827" t="str">
            <v>FL17184.09#1</v>
          </cell>
          <cell r="B827" t="str">
            <v>FL17184.09</v>
          </cell>
          <cell r="C827" t="str">
            <v>INSWING/OUTSWING</v>
          </cell>
          <cell r="D827">
            <v>50</v>
          </cell>
          <cell r="E827">
            <v>50</v>
          </cell>
          <cell r="F827"/>
          <cell r="G827"/>
          <cell r="H827">
            <v>2017</v>
          </cell>
          <cell r="I827"/>
        </row>
        <row r="828">
          <cell r="A828" t="str">
            <v>FL17328.1-R1#1</v>
          </cell>
          <cell r="B828" t="str">
            <v>FL17328.1-R1</v>
          </cell>
          <cell r="C828"/>
          <cell r="D828">
            <v>90</v>
          </cell>
          <cell r="E828">
            <v>140</v>
          </cell>
          <cell r="F828" t="str">
            <v>ALL TYPES</v>
          </cell>
          <cell r="G828" t="str">
            <v>1/4" ELCO ULTRACON</v>
          </cell>
          <cell r="H828">
            <v>2014</v>
          </cell>
          <cell r="I828"/>
        </row>
        <row r="829">
          <cell r="A829" t="str">
            <v>FL17379.3-R3#1</v>
          </cell>
          <cell r="B829" t="str">
            <v>FL17379.3-R3</v>
          </cell>
          <cell r="C829" t="str">
            <v>INSWING/OUTSWING</v>
          </cell>
          <cell r="D829">
            <v>100</v>
          </cell>
          <cell r="E829">
            <v>100</v>
          </cell>
          <cell r="F829" t="str">
            <v>ALL TYPES</v>
          </cell>
          <cell r="G829" t="str">
            <v>1/4" ITW TAPCONS</v>
          </cell>
          <cell r="H829">
            <v>2017</v>
          </cell>
          <cell r="I829"/>
        </row>
        <row r="830">
          <cell r="A830" t="str">
            <v>FL17424.1#1</v>
          </cell>
          <cell r="B830" t="str">
            <v>FL17424.1</v>
          </cell>
          <cell r="C830"/>
          <cell r="D830"/>
          <cell r="E830"/>
          <cell r="F830"/>
          <cell r="G830"/>
          <cell r="H830"/>
          <cell r="I830"/>
        </row>
        <row r="831">
          <cell r="A831" t="str">
            <v>FL17552.1-R0#1</v>
          </cell>
          <cell r="B831" t="str">
            <v>FL17552.1-R0</v>
          </cell>
          <cell r="C831"/>
          <cell r="D831">
            <v>60</v>
          </cell>
          <cell r="E831">
            <v>60</v>
          </cell>
          <cell r="F831" t="str">
            <v>N/A</v>
          </cell>
          <cell r="G831" t="str">
            <v>1/4" ITW TAPCON</v>
          </cell>
          <cell r="H831">
            <v>2014</v>
          </cell>
          <cell r="I831"/>
        </row>
        <row r="832">
          <cell r="A832" t="str">
            <v>FL17552.1-R1#1</v>
          </cell>
          <cell r="B832" t="str">
            <v>FL17552.1-R1</v>
          </cell>
          <cell r="C832" t="str">
            <v>-</v>
          </cell>
          <cell r="D832">
            <v>96</v>
          </cell>
          <cell r="E832">
            <v>105</v>
          </cell>
          <cell r="F832"/>
          <cell r="G832"/>
          <cell r="H832"/>
          <cell r="I832"/>
        </row>
        <row r="833">
          <cell r="A833" t="str">
            <v>FL17767.1#1</v>
          </cell>
          <cell r="B833" t="str">
            <v>FL17767.1</v>
          </cell>
          <cell r="C833" t="str">
            <v>FINLESS</v>
          </cell>
          <cell r="D833">
            <v>55</v>
          </cell>
          <cell r="E833">
            <v>55</v>
          </cell>
          <cell r="F833" t="str">
            <v>ALL TYPES</v>
          </cell>
          <cell r="G833" t="str">
            <v>3/16" ITW TAPCON</v>
          </cell>
          <cell r="H833">
            <v>2014</v>
          </cell>
          <cell r="I833"/>
        </row>
        <row r="834">
          <cell r="A834" t="str">
            <v>FL17838.1-R1#1</v>
          </cell>
          <cell r="B834" t="str">
            <v>FL17838.1-R1</v>
          </cell>
          <cell r="C834" t="str">
            <v>36" MAX PANEL WIDTH</v>
          </cell>
          <cell r="D834">
            <v>60</v>
          </cell>
          <cell r="E834">
            <v>65</v>
          </cell>
          <cell r="F834" t="str">
            <v>ALL TYPES</v>
          </cell>
          <cell r="G834" t="str">
            <v>1/4" TAPCON</v>
          </cell>
          <cell r="H834">
            <v>2014</v>
          </cell>
          <cell r="I834"/>
        </row>
        <row r="835">
          <cell r="A835" t="str">
            <v>FL17838.1-R1#2</v>
          </cell>
          <cell r="B835" t="str">
            <v>FL17838.1-R1</v>
          </cell>
          <cell r="C835" t="str">
            <v>40" MAX PANEL WIDTH</v>
          </cell>
          <cell r="D835">
            <v>60</v>
          </cell>
          <cell r="E835">
            <v>61.6</v>
          </cell>
          <cell r="F835" t="str">
            <v>ALL TYPES</v>
          </cell>
          <cell r="G835" t="str">
            <v>1/4" TAPCON</v>
          </cell>
          <cell r="H835">
            <v>2014</v>
          </cell>
          <cell r="I835"/>
        </row>
        <row r="836">
          <cell r="A836" t="str">
            <v>FL17857.1#1</v>
          </cell>
          <cell r="B836" t="str">
            <v>FL17857.1</v>
          </cell>
          <cell r="C836"/>
          <cell r="D836">
            <v>80</v>
          </cell>
          <cell r="E836">
            <v>80</v>
          </cell>
          <cell r="F836" t="str">
            <v>F,G,H,I,J</v>
          </cell>
          <cell r="G836" t="str">
            <v>1/4" ELCO ULTRACON</v>
          </cell>
          <cell r="H836">
            <v>2014</v>
          </cell>
          <cell r="I836">
            <v>45837</v>
          </cell>
        </row>
        <row r="837">
          <cell r="A837" t="str">
            <v>FL17857.2-R0#1</v>
          </cell>
          <cell r="B837" t="str">
            <v>FL17857.2-R0</v>
          </cell>
          <cell r="C837"/>
          <cell r="D837">
            <v>90</v>
          </cell>
          <cell r="E837">
            <v>90</v>
          </cell>
          <cell r="F837" t="str">
            <v>TYPE A/B</v>
          </cell>
          <cell r="G837" t="str">
            <v xml:space="preserve">1/4" ELCO ULTRACON </v>
          </cell>
          <cell r="H837">
            <v>2014</v>
          </cell>
          <cell r="I837"/>
        </row>
        <row r="838">
          <cell r="A838" t="str">
            <v>FL17857.2-R0#2</v>
          </cell>
          <cell r="B838" t="str">
            <v>FL17857.2-R0</v>
          </cell>
          <cell r="C838"/>
          <cell r="D838">
            <v>90</v>
          </cell>
          <cell r="E838">
            <v>130</v>
          </cell>
          <cell r="F838" t="str">
            <v>TYPE D</v>
          </cell>
          <cell r="G838" t="str">
            <v xml:space="preserve">1/4" ELCO ULTRACON </v>
          </cell>
          <cell r="H838">
            <v>2014</v>
          </cell>
          <cell r="I838"/>
        </row>
        <row r="839">
          <cell r="A839" t="str">
            <v>FL17860.3-R3#1</v>
          </cell>
          <cell r="B839" t="str">
            <v>FL17860.3-R3</v>
          </cell>
          <cell r="C839" t="str">
            <v>W/ SIDELITES</v>
          </cell>
          <cell r="D839">
            <v>80</v>
          </cell>
          <cell r="E839">
            <v>80</v>
          </cell>
          <cell r="F839" t="str">
            <v>TYPE A/A1</v>
          </cell>
          <cell r="G839" t="str">
            <v>1/4" ELCO ULTRACON</v>
          </cell>
          <cell r="H839">
            <v>2014</v>
          </cell>
          <cell r="I839"/>
        </row>
        <row r="840">
          <cell r="A840" t="str">
            <v>FL17860.3-R3#2</v>
          </cell>
          <cell r="B840" t="str">
            <v>FL17860.3-R3</v>
          </cell>
          <cell r="C840" t="str">
            <v>W/ SIDELITES</v>
          </cell>
          <cell r="D840">
            <v>80</v>
          </cell>
          <cell r="E840">
            <v>79.599999999999994</v>
          </cell>
          <cell r="F840" t="str">
            <v>TYPE B/B1</v>
          </cell>
          <cell r="G840" t="str">
            <v>1/4" ELCO ULTRACON</v>
          </cell>
          <cell r="H840">
            <v>2014</v>
          </cell>
          <cell r="I840"/>
        </row>
        <row r="841">
          <cell r="A841" t="str">
            <v>FL17860.3-R3#3</v>
          </cell>
          <cell r="B841" t="str">
            <v>FL17860.3-R3</v>
          </cell>
          <cell r="C841" t="str">
            <v>W/OUT SIDELITES</v>
          </cell>
          <cell r="D841">
            <v>80</v>
          </cell>
          <cell r="E841">
            <v>80</v>
          </cell>
          <cell r="F841" t="str">
            <v>TYPE A/A1</v>
          </cell>
          <cell r="G841" t="str">
            <v>1/4" ELCO ULTRACON</v>
          </cell>
          <cell r="H841">
            <v>2014</v>
          </cell>
          <cell r="I841"/>
        </row>
        <row r="842">
          <cell r="A842" t="str">
            <v>FL17860.3-R3#4</v>
          </cell>
          <cell r="B842" t="str">
            <v>FL17860.3-R3</v>
          </cell>
          <cell r="C842" t="str">
            <v>W/OUT SIDELITES</v>
          </cell>
          <cell r="D842">
            <v>100</v>
          </cell>
          <cell r="E842">
            <v>141</v>
          </cell>
          <cell r="F842" t="str">
            <v>TYPE B/B1</v>
          </cell>
          <cell r="G842" t="str">
            <v>1/4" ELCO ULTRACON</v>
          </cell>
          <cell r="H842">
            <v>2014</v>
          </cell>
          <cell r="I842"/>
        </row>
        <row r="843">
          <cell r="A843" t="str">
            <v>FL17861.1-R0#1</v>
          </cell>
          <cell r="B843" t="str">
            <v>FL17861.1-R0</v>
          </cell>
          <cell r="C843" t="str">
            <v>XO OR OX</v>
          </cell>
          <cell r="D843">
            <v>90</v>
          </cell>
          <cell r="E843">
            <v>130</v>
          </cell>
          <cell r="F843" t="str">
            <v>TYPE B</v>
          </cell>
          <cell r="G843" t="str">
            <v>1/4" ELCO ULTRACON</v>
          </cell>
          <cell r="H843">
            <v>2014</v>
          </cell>
          <cell r="I843">
            <v>45837</v>
          </cell>
        </row>
        <row r="844">
          <cell r="A844" t="str">
            <v>FL1850.3-R10#1</v>
          </cell>
          <cell r="B844" t="str">
            <v>FL1850.3-R10</v>
          </cell>
          <cell r="C844" t="str">
            <v>SCHEDULE 1 WALL MOUNT</v>
          </cell>
          <cell r="D844">
            <v>120</v>
          </cell>
          <cell r="E844">
            <v>120</v>
          </cell>
          <cell r="F844" t="str">
            <v>3"</v>
          </cell>
          <cell r="G844" t="str">
            <v>1/4" ITW TAPCON</v>
          </cell>
          <cell r="H844">
            <v>2014</v>
          </cell>
          <cell r="I844"/>
        </row>
        <row r="845">
          <cell r="A845" t="str">
            <v>FL1850.3-R7#1</v>
          </cell>
          <cell r="B845" t="str">
            <v>FL1850.3-R7</v>
          </cell>
          <cell r="C845" t="str">
            <v>SCHEDULE 1 WALL MOUNT</v>
          </cell>
          <cell r="D845">
            <v>70</v>
          </cell>
          <cell r="E845">
            <v>70</v>
          </cell>
          <cell r="F845" t="str">
            <v>N/A</v>
          </cell>
          <cell r="G845" t="str">
            <v>1/4" TAPCON</v>
          </cell>
          <cell r="H845">
            <v>2010</v>
          </cell>
          <cell r="I845"/>
        </row>
        <row r="846">
          <cell r="A846" t="str">
            <v>FL19053.1#1</v>
          </cell>
          <cell r="B846" t="str">
            <v>FL19053.1</v>
          </cell>
          <cell r="C846" t="str">
            <v xml:space="preserve">102" X 54" MAX </v>
          </cell>
          <cell r="D846">
            <v>70</v>
          </cell>
          <cell r="E846">
            <v>70</v>
          </cell>
          <cell r="F846"/>
          <cell r="G846"/>
          <cell r="H846">
            <v>2014</v>
          </cell>
          <cell r="I846"/>
        </row>
        <row r="847">
          <cell r="A847" t="str">
            <v>FL19299#1</v>
          </cell>
          <cell r="B847" t="str">
            <v>FL19299</v>
          </cell>
          <cell r="C847" t="str">
            <v>INSWING</v>
          </cell>
          <cell r="D847">
            <v>55</v>
          </cell>
          <cell r="E847">
            <v>80</v>
          </cell>
          <cell r="F847"/>
          <cell r="G847"/>
          <cell r="H847">
            <v>2014</v>
          </cell>
          <cell r="I847"/>
        </row>
        <row r="848">
          <cell r="A848" t="str">
            <v>FL20470.1#1</v>
          </cell>
          <cell r="B848" t="str">
            <v>FL20470.1</v>
          </cell>
          <cell r="C848" t="str">
            <v>INSWING/OUTSWING</v>
          </cell>
          <cell r="D848">
            <v>75</v>
          </cell>
          <cell r="E848">
            <v>75</v>
          </cell>
          <cell r="F848"/>
          <cell r="G848"/>
          <cell r="H848">
            <v>2017</v>
          </cell>
          <cell r="I848"/>
        </row>
        <row r="849">
          <cell r="A849" t="str">
            <v>FL21461.1#1</v>
          </cell>
          <cell r="B849" t="str">
            <v>FL21461.1</v>
          </cell>
          <cell r="C849"/>
          <cell r="D849">
            <v>80</v>
          </cell>
          <cell r="E849">
            <v>80</v>
          </cell>
          <cell r="F849"/>
          <cell r="G849"/>
          <cell r="H849">
            <v>2017</v>
          </cell>
          <cell r="I849"/>
        </row>
        <row r="850">
          <cell r="A850" t="str">
            <v>FL21848.3#1</v>
          </cell>
          <cell r="B850" t="str">
            <v>FL21848.3</v>
          </cell>
          <cell r="C850" t="str">
            <v>96" HEIGHT 36" PANEL WIDTH MAX</v>
          </cell>
          <cell r="D850">
            <v>90</v>
          </cell>
          <cell r="E850">
            <v>140</v>
          </cell>
          <cell r="F850" t="str">
            <v>ALL TYPES</v>
          </cell>
          <cell r="G850" t="str">
            <v>1/4" ELCO ULTRACON</v>
          </cell>
          <cell r="H850">
            <v>2014</v>
          </cell>
          <cell r="I850"/>
        </row>
        <row r="851">
          <cell r="A851" t="str">
            <v>FL21848.3#2</v>
          </cell>
          <cell r="B851" t="str">
            <v>FL21848.3</v>
          </cell>
          <cell r="C851" t="str">
            <v>96" HEIGHT 48" PANEL WIDTH MAX</v>
          </cell>
          <cell r="D851">
            <v>90</v>
          </cell>
          <cell r="E851">
            <v>118</v>
          </cell>
          <cell r="F851" t="str">
            <v>ALL TYPES</v>
          </cell>
          <cell r="G851" t="str">
            <v>1/4" ELCO ULTRACON</v>
          </cell>
          <cell r="H851">
            <v>2014</v>
          </cell>
          <cell r="I851"/>
        </row>
        <row r="852">
          <cell r="A852" t="str">
            <v>FL21855.5#1</v>
          </cell>
          <cell r="B852" t="str">
            <v>FL21855.5</v>
          </cell>
          <cell r="C852"/>
          <cell r="D852">
            <v>100</v>
          </cell>
          <cell r="E852">
            <v>141</v>
          </cell>
          <cell r="F852"/>
          <cell r="G852"/>
          <cell r="H852">
            <v>2014</v>
          </cell>
          <cell r="I852"/>
        </row>
        <row r="853">
          <cell r="A853" t="str">
            <v>FL22250.1#1</v>
          </cell>
          <cell r="B853" t="str">
            <v>FL22250.1</v>
          </cell>
          <cell r="C853"/>
          <cell r="D853">
            <v>80</v>
          </cell>
          <cell r="E853">
            <v>80</v>
          </cell>
          <cell r="F853"/>
          <cell r="G853"/>
          <cell r="H853">
            <v>2017</v>
          </cell>
          <cell r="I853"/>
        </row>
        <row r="854">
          <cell r="A854" t="str">
            <v>FL22331.2#1</v>
          </cell>
          <cell r="B854" t="str">
            <v>FL22331.2</v>
          </cell>
          <cell r="C854" t="str">
            <v>INSWING</v>
          </cell>
          <cell r="D854">
            <v>50</v>
          </cell>
          <cell r="E854">
            <v>50</v>
          </cell>
          <cell r="F854" t="str">
            <v>ALL TYPES</v>
          </cell>
          <cell r="G854" t="str">
            <v>3/16" TAPCON</v>
          </cell>
          <cell r="H854">
            <v>2017</v>
          </cell>
          <cell r="I854"/>
        </row>
        <row r="855">
          <cell r="A855" t="str">
            <v>FL239.9#1</v>
          </cell>
          <cell r="B855" t="str">
            <v>FL239.9</v>
          </cell>
          <cell r="C855" t="str">
            <v xml:space="preserve"> </v>
          </cell>
          <cell r="D855">
            <v>50</v>
          </cell>
          <cell r="E855">
            <v>50</v>
          </cell>
          <cell r="F855"/>
          <cell r="G855" t="str">
            <v>3/16" STEEL ULTRACON</v>
          </cell>
          <cell r="H855">
            <v>2014</v>
          </cell>
          <cell r="I855"/>
        </row>
        <row r="856">
          <cell r="A856" t="str">
            <v>FL251.11#1</v>
          </cell>
          <cell r="B856" t="str">
            <v>FL251.11</v>
          </cell>
          <cell r="C856" t="str">
            <v xml:space="preserve">REINFORCED </v>
          </cell>
          <cell r="D856">
            <v>73.8</v>
          </cell>
          <cell r="E856">
            <v>73.8</v>
          </cell>
          <cell r="F856"/>
          <cell r="G856" t="str">
            <v>1/4" ELCO ULTRACON</v>
          </cell>
          <cell r="H856">
            <v>2014</v>
          </cell>
          <cell r="I856"/>
        </row>
        <row r="857">
          <cell r="A857" t="str">
            <v>FL4334.7-R6#1</v>
          </cell>
          <cell r="B857" t="str">
            <v>FL4334.7-R6</v>
          </cell>
          <cell r="C857"/>
          <cell r="D857">
            <v>50</v>
          </cell>
          <cell r="E857">
            <v>50</v>
          </cell>
          <cell r="F857" t="str">
            <v>N/A</v>
          </cell>
          <cell r="G857" t="str">
            <v>3/16" TAPCON</v>
          </cell>
          <cell r="H857">
            <v>2010</v>
          </cell>
          <cell r="I857"/>
        </row>
        <row r="858">
          <cell r="A858" t="str">
            <v>FL4334.8-R6#1</v>
          </cell>
          <cell r="B858" t="str">
            <v>FL4334.8-R6</v>
          </cell>
          <cell r="C858"/>
          <cell r="D858">
            <v>60</v>
          </cell>
          <cell r="E858">
            <v>60</v>
          </cell>
          <cell r="F858" t="str">
            <v>N/A</v>
          </cell>
          <cell r="G858" t="str">
            <v>3/16" TAPCON</v>
          </cell>
          <cell r="H858">
            <v>2010</v>
          </cell>
          <cell r="I858"/>
        </row>
        <row r="859">
          <cell r="A859" t="str">
            <v>FL4553.1-R7#1</v>
          </cell>
          <cell r="B859" t="str">
            <v>FL4553.1-R7</v>
          </cell>
          <cell r="C859" t="str">
            <v>INSWING/OUTSWING</v>
          </cell>
          <cell r="D859">
            <v>40</v>
          </cell>
          <cell r="E859">
            <v>80</v>
          </cell>
          <cell r="F859" t="str">
            <v>N/A</v>
          </cell>
          <cell r="G859" t="str">
            <v>3/8" X 6" LAG SCREW</v>
          </cell>
          <cell r="H859">
            <v>2010</v>
          </cell>
          <cell r="I859">
            <v>42004</v>
          </cell>
        </row>
        <row r="860">
          <cell r="A860" t="str">
            <v>FL462.1-R0#1</v>
          </cell>
          <cell r="B860" t="str">
            <v>FL462.1-R0</v>
          </cell>
          <cell r="C860" t="str">
            <v>ALUMINUM</v>
          </cell>
          <cell r="D860">
            <v>53.3</v>
          </cell>
          <cell r="E860">
            <v>61</v>
          </cell>
          <cell r="F860" t="str">
            <v>DSB ANN.</v>
          </cell>
          <cell r="G860" t="str">
            <v>3/16" TAPCON</v>
          </cell>
          <cell r="H860">
            <v>2001</v>
          </cell>
          <cell r="I860">
            <v>38928</v>
          </cell>
        </row>
        <row r="861">
          <cell r="A861" t="str">
            <v>FL4904.6-R5#1</v>
          </cell>
          <cell r="B861" t="str">
            <v>FL4904.6-R5</v>
          </cell>
          <cell r="C861" t="str">
            <v>6'-8" GLAZED DOUBLE DOOR W/WO SIDELITES</v>
          </cell>
          <cell r="D861">
            <v>50.5</v>
          </cell>
          <cell r="E861">
            <v>50.5</v>
          </cell>
          <cell r="F861" t="str">
            <v>N/A</v>
          </cell>
          <cell r="G861" t="str">
            <v>3/16" TAPCON</v>
          </cell>
          <cell r="H861">
            <v>2010</v>
          </cell>
          <cell r="I861"/>
        </row>
        <row r="862">
          <cell r="A862" t="str">
            <v>FL5684.5-R5#1</v>
          </cell>
          <cell r="B862" t="str">
            <v>FL5684.5-R5</v>
          </cell>
          <cell r="C862" t="str">
            <v>VERTICAL WOOD JAMB NOT INCLUDED IN THIS FASTENER SCHEDULE</v>
          </cell>
          <cell r="D862">
            <v>48</v>
          </cell>
          <cell r="E862">
            <v>60</v>
          </cell>
          <cell r="F862" t="str">
            <v>N/A</v>
          </cell>
          <cell r="G862" t="str">
            <v>5/16" WOOD LAG</v>
          </cell>
          <cell r="H862">
            <v>2010</v>
          </cell>
          <cell r="I862"/>
        </row>
        <row r="863">
          <cell r="A863" t="str">
            <v>FL5790.1-R9#1</v>
          </cell>
          <cell r="B863" t="str">
            <v>FL5790.1-R9</v>
          </cell>
          <cell r="C863" t="str">
            <v>4" BUILD-OUT END RETEN, TRACK MOUNT</v>
          </cell>
          <cell r="D863">
            <v>87</v>
          </cell>
          <cell r="E863">
            <v>87</v>
          </cell>
          <cell r="F863" t="str">
            <v>5.7"</v>
          </cell>
          <cell r="G863" t="str">
            <v>1/4"-14 ELCO DRIL-FLEX</v>
          </cell>
          <cell r="H863">
            <v>2010</v>
          </cell>
          <cell r="I863"/>
        </row>
        <row r="864">
          <cell r="A864" t="str">
            <v>FL5790-R9#1</v>
          </cell>
          <cell r="B864" t="str">
            <v>FL5790-R9</v>
          </cell>
          <cell r="C864" t="str">
            <v>4" BUILD-OUT END RETEN, TRACK MOUNT</v>
          </cell>
          <cell r="D864">
            <v>51</v>
          </cell>
          <cell r="E864">
            <v>51</v>
          </cell>
          <cell r="F864" t="str">
            <v>5.0"</v>
          </cell>
          <cell r="G864" t="str">
            <v>1/4"-14 ELCO DRIL-FLEX</v>
          </cell>
          <cell r="H864">
            <v>2010</v>
          </cell>
          <cell r="I864"/>
        </row>
        <row r="865">
          <cell r="A865" t="str">
            <v>FL5790-R9#2</v>
          </cell>
          <cell r="B865" t="str">
            <v>FL5790-R9</v>
          </cell>
          <cell r="C865" t="str">
            <v>4" BUILD-IN END RETEN, TRACK MOUNT</v>
          </cell>
          <cell r="D865">
            <v>48</v>
          </cell>
          <cell r="E865">
            <v>48</v>
          </cell>
          <cell r="F865" t="str">
            <v>6.9"</v>
          </cell>
          <cell r="G865" t="str">
            <v>1/4"-14 ELCO DRIL-FLEX</v>
          </cell>
          <cell r="H865">
            <v>2010</v>
          </cell>
          <cell r="I865"/>
        </row>
        <row r="866">
          <cell r="A866" t="str">
            <v>FL5790-R9#3</v>
          </cell>
          <cell r="B866" t="str">
            <v>FL5790-R9</v>
          </cell>
          <cell r="C866" t="str">
            <v>4" BUILD-IN END RETEN, TRACK MOUNT</v>
          </cell>
          <cell r="D866">
            <v>53</v>
          </cell>
          <cell r="E866">
            <v>53</v>
          </cell>
          <cell r="F866" t="str">
            <v>6.4"</v>
          </cell>
          <cell r="G866" t="str">
            <v>1/4"-14 ELCO DRIL-FLEX</v>
          </cell>
          <cell r="H866">
            <v>2010</v>
          </cell>
          <cell r="I866"/>
        </row>
        <row r="867">
          <cell r="A867" t="str">
            <v>FL5790-R9#4</v>
          </cell>
          <cell r="B867" t="str">
            <v>FL5790-R9</v>
          </cell>
          <cell r="C867" t="str">
            <v>4" BUILD-IN END RETEN, TRACK MOUNT</v>
          </cell>
          <cell r="D867">
            <v>97</v>
          </cell>
          <cell r="E867">
            <v>97</v>
          </cell>
          <cell r="F867" t="str">
            <v>6.4"</v>
          </cell>
          <cell r="G867" t="str">
            <v>1/4"-14 ELCO DRIL-FLEX</v>
          </cell>
          <cell r="H867">
            <v>2010</v>
          </cell>
          <cell r="I867"/>
        </row>
        <row r="868">
          <cell r="A868" t="str">
            <v>FL5790-R9#5</v>
          </cell>
          <cell r="B868" t="str">
            <v>FL5790-R9</v>
          </cell>
          <cell r="C868" t="str">
            <v>4" BUILD-IN END RETEN, TRACK MOUNT</v>
          </cell>
          <cell r="D868">
            <v>140</v>
          </cell>
          <cell r="E868">
            <v>140</v>
          </cell>
          <cell r="F868" t="str">
            <v>2.0"</v>
          </cell>
          <cell r="G868" t="str">
            <v>1/4"-14 ELCO DRIL-FLEX</v>
          </cell>
          <cell r="H868">
            <v>2010</v>
          </cell>
          <cell r="I868"/>
        </row>
        <row r="869">
          <cell r="A869" t="str">
            <v>FL5790-R9#6</v>
          </cell>
          <cell r="B869" t="str">
            <v>FL5790-R9</v>
          </cell>
          <cell r="C869" t="str">
            <v>4" BUILD-IN END RETEN, TRACK MOUNT</v>
          </cell>
          <cell r="D869">
            <v>74</v>
          </cell>
          <cell r="E869">
            <v>74</v>
          </cell>
          <cell r="F869" t="str">
            <v>5.0"</v>
          </cell>
          <cell r="G869" t="str">
            <v>1/4"-14 ELCO DRIL-FLEX</v>
          </cell>
          <cell r="H869">
            <v>2010</v>
          </cell>
          <cell r="I869"/>
        </row>
        <row r="870">
          <cell r="A870" t="str">
            <v>FL5790-R9#7</v>
          </cell>
          <cell r="B870" t="str">
            <v>FL5790-R9</v>
          </cell>
          <cell r="C870" t="str">
            <v>4" BUILD-OUT END RETEN, 4" BUILD OUT</v>
          </cell>
          <cell r="D870">
            <v>73</v>
          </cell>
          <cell r="E870">
            <v>73</v>
          </cell>
          <cell r="F870" t="str">
            <v>8.1"</v>
          </cell>
          <cell r="G870" t="str">
            <v>1/4"-14 ELCO DRIL-FLEX</v>
          </cell>
          <cell r="H870">
            <v>2010</v>
          </cell>
          <cell r="I870"/>
        </row>
        <row r="871">
          <cell r="A871" t="str">
            <v>FL5790-R9#8</v>
          </cell>
          <cell r="B871" t="str">
            <v>FL5790-R9</v>
          </cell>
          <cell r="C871" t="str">
            <v>4" BUILD-OUT END RETEN, 4" BUILD OUT</v>
          </cell>
          <cell r="D871">
            <v>65</v>
          </cell>
          <cell r="E871">
            <v>65</v>
          </cell>
          <cell r="F871" t="str">
            <v>8.7"</v>
          </cell>
          <cell r="G871" t="str">
            <v>1/4"-14 ELCO DRIL-FLEX</v>
          </cell>
          <cell r="H871">
            <v>2010</v>
          </cell>
          <cell r="I871"/>
        </row>
        <row r="872">
          <cell r="A872" t="str">
            <v>FL5790-R9#9</v>
          </cell>
          <cell r="B872" t="str">
            <v>FL5790-R9</v>
          </cell>
          <cell r="C872" t="str">
            <v>4" BUILD-IN END RETEN, TRACK MOUNT</v>
          </cell>
          <cell r="D872">
            <v>46</v>
          </cell>
          <cell r="E872">
            <v>46</v>
          </cell>
          <cell r="F872" t="str">
            <v>6.9"</v>
          </cell>
          <cell r="G872" t="str">
            <v>1/4"-14 ELCO DRIL-FLEX</v>
          </cell>
          <cell r="H872">
            <v>2010</v>
          </cell>
          <cell r="I872"/>
        </row>
        <row r="873">
          <cell r="A873" t="str">
            <v>FL5823.1-R5#1</v>
          </cell>
          <cell r="B873" t="str">
            <v>FL5823.1-R5</v>
          </cell>
          <cell r="C873" t="str">
            <v>FLANGE ANCHOR LAYOUT</v>
          </cell>
          <cell r="D873">
            <v>67.5</v>
          </cell>
          <cell r="E873">
            <v>67.5</v>
          </cell>
          <cell r="F873" t="str">
            <v>TYPE A/B</v>
          </cell>
          <cell r="G873" t="str">
            <v>3/16" ELCO ULTRACON</v>
          </cell>
          <cell r="H873">
            <v>2010</v>
          </cell>
          <cell r="I873"/>
        </row>
        <row r="874">
          <cell r="A874" t="str">
            <v>FL5823.1-R5#2</v>
          </cell>
          <cell r="B874" t="str">
            <v>FL5823.1-R5</v>
          </cell>
          <cell r="C874" t="str">
            <v>FLANGE ANCHOR LAYOUT</v>
          </cell>
          <cell r="D874">
            <v>67.5</v>
          </cell>
          <cell r="E874">
            <v>75</v>
          </cell>
          <cell r="F874" t="str">
            <v>TYPE A/B</v>
          </cell>
          <cell r="G874" t="str">
            <v>3/16" ELCO ULTRACON</v>
          </cell>
          <cell r="H874">
            <v>2010</v>
          </cell>
          <cell r="I874"/>
        </row>
        <row r="875">
          <cell r="A875" t="str">
            <v>FL5823.2-R4#1</v>
          </cell>
          <cell r="B875" t="str">
            <v>FL5823.2-R4</v>
          </cell>
          <cell r="C875"/>
          <cell r="D875">
            <v>75</v>
          </cell>
          <cell r="E875">
            <v>75</v>
          </cell>
          <cell r="F875" t="str">
            <v>TYPE A</v>
          </cell>
          <cell r="G875" t="str">
            <v>3/16" ELCO ULTRACON</v>
          </cell>
          <cell r="H875">
            <v>2010</v>
          </cell>
          <cell r="I875"/>
        </row>
        <row r="876">
          <cell r="A876" t="str">
            <v>FL5823.5-R5#1</v>
          </cell>
          <cell r="B876" t="str">
            <v>FL5823.5-R5</v>
          </cell>
          <cell r="C876"/>
          <cell r="D876">
            <v>67.5</v>
          </cell>
          <cell r="E876">
            <v>67.5</v>
          </cell>
          <cell r="F876" t="str">
            <v>FIXED/SASH LITE</v>
          </cell>
          <cell r="G876" t="str">
            <v>3/16" ELCO TAPCON</v>
          </cell>
          <cell r="H876">
            <v>2010</v>
          </cell>
          <cell r="I876"/>
        </row>
        <row r="877">
          <cell r="A877" t="str">
            <v>FL5891.2-R2#1</v>
          </cell>
          <cell r="B877" t="str">
            <v>FL5891.2-R2</v>
          </cell>
          <cell r="C877" t="str">
            <v>OUTSWING, FRAME ANCHORING</v>
          </cell>
          <cell r="D877">
            <v>67</v>
          </cell>
          <cell r="E877">
            <v>67</v>
          </cell>
          <cell r="F877" t="str">
            <v>N/A</v>
          </cell>
          <cell r="G877" t="str">
            <v>1/4" ELCO CONCRETE SCREW</v>
          </cell>
          <cell r="H877">
            <v>2010</v>
          </cell>
          <cell r="I877"/>
        </row>
        <row r="878">
          <cell r="A878" t="str">
            <v>FL5891.2-R6#1</v>
          </cell>
          <cell r="B878" t="str">
            <v>FL5891.2-R6</v>
          </cell>
          <cell r="C878" t="str">
            <v>INSWING/OUTSWING</v>
          </cell>
          <cell r="D878">
            <v>67</v>
          </cell>
          <cell r="E878">
            <v>67</v>
          </cell>
          <cell r="F878" t="str">
            <v>N/A</v>
          </cell>
          <cell r="G878" t="str">
            <v>1/4" ELCO CONCRETE SCREW</v>
          </cell>
          <cell r="H878">
            <v>2017</v>
          </cell>
          <cell r="I878"/>
        </row>
        <row r="879">
          <cell r="A879" t="str">
            <v>FL6890.1#1</v>
          </cell>
          <cell r="B879" t="str">
            <v>FL6890.1</v>
          </cell>
          <cell r="C879" t="str">
            <v>NON-HVHZ, FLANGE ANCHOR LAYOUT</v>
          </cell>
          <cell r="D879">
            <v>65</v>
          </cell>
          <cell r="E879">
            <v>65</v>
          </cell>
          <cell r="F879" t="str">
            <v>TYPE A</v>
          </cell>
          <cell r="G879" t="str">
            <v>3/16" ITW TAPCON</v>
          </cell>
          <cell r="H879">
            <v>2014</v>
          </cell>
          <cell r="I879"/>
        </row>
        <row r="880">
          <cell r="A880" t="str">
            <v>FL6890.1#2</v>
          </cell>
          <cell r="B880" t="str">
            <v>FL6890.1</v>
          </cell>
          <cell r="C880" t="str">
            <v>HVHZ, FLANGE ANCHOR LAYOUT</v>
          </cell>
          <cell r="D880">
            <v>67.5</v>
          </cell>
          <cell r="E880">
            <v>67.5</v>
          </cell>
          <cell r="F880" t="str">
            <v>TYPE A</v>
          </cell>
          <cell r="G880" t="str">
            <v>3/16" ITW TAPCON</v>
          </cell>
          <cell r="H880">
            <v>2014</v>
          </cell>
          <cell r="I880"/>
        </row>
        <row r="881">
          <cell r="A881" t="str">
            <v>FL6890.1#3</v>
          </cell>
          <cell r="B881" t="str">
            <v>FL6890.1</v>
          </cell>
          <cell r="C881" t="str">
            <v>NON-HVHZ, FLANGE ANCHOR LAYOUT</v>
          </cell>
          <cell r="D881">
            <v>65</v>
          </cell>
          <cell r="E881">
            <v>65</v>
          </cell>
          <cell r="F881" t="str">
            <v>TYPE A</v>
          </cell>
          <cell r="G881" t="str">
            <v>3/16" ITW TAPCON</v>
          </cell>
          <cell r="H881">
            <v>2014</v>
          </cell>
          <cell r="I881"/>
        </row>
        <row r="882">
          <cell r="A882" t="str">
            <v>FL6890.1#4</v>
          </cell>
          <cell r="B882" t="str">
            <v>FL6890.1</v>
          </cell>
          <cell r="C882" t="str">
            <v>HVHZ, FLANGE ANCHOR LAYOUT</v>
          </cell>
          <cell r="D882">
            <v>67.5</v>
          </cell>
          <cell r="E882">
            <v>67.5</v>
          </cell>
          <cell r="F882" t="str">
            <v>TYPE A</v>
          </cell>
          <cell r="G882" t="str">
            <v>3/16" ITW TAPCON</v>
          </cell>
          <cell r="H882">
            <v>2014</v>
          </cell>
          <cell r="I882"/>
        </row>
        <row r="883">
          <cell r="A883" t="str">
            <v>FL6890.1-R4#1</v>
          </cell>
          <cell r="B883" t="str">
            <v>FL6890.1-R4</v>
          </cell>
          <cell r="C883"/>
          <cell r="D883">
            <v>67.5</v>
          </cell>
          <cell r="E883">
            <v>67.5</v>
          </cell>
          <cell r="F883" t="str">
            <v>TYPE A/B</v>
          </cell>
          <cell r="G883" t="str">
            <v>3/16" ITW TAPCON</v>
          </cell>
          <cell r="H883">
            <v>2010</v>
          </cell>
          <cell r="I883"/>
        </row>
        <row r="884">
          <cell r="A884" t="str">
            <v>FL7067.1-R4#1</v>
          </cell>
          <cell r="B884" t="str">
            <v>FL7067.1-R4</v>
          </cell>
          <cell r="C884" t="str">
            <v>FLANGE ANCHOR LAYOUT</v>
          </cell>
          <cell r="D884">
            <v>60</v>
          </cell>
          <cell r="E884">
            <v>60</v>
          </cell>
          <cell r="F884" t="str">
            <v>TYPE A</v>
          </cell>
          <cell r="G884" t="str">
            <v>3/16" ELCO ULTRACON</v>
          </cell>
          <cell r="H884">
            <v>2010</v>
          </cell>
          <cell r="I884"/>
        </row>
        <row r="885">
          <cell r="A885" t="str">
            <v>FL7067.2-R4#1</v>
          </cell>
          <cell r="B885" t="str">
            <v>FL7067.2-R4</v>
          </cell>
          <cell r="C885"/>
          <cell r="D885">
            <v>60</v>
          </cell>
          <cell r="E885">
            <v>60</v>
          </cell>
          <cell r="F885" t="str">
            <v>B</v>
          </cell>
          <cell r="G885" t="str">
            <v>3/16" ELCO ULTRACON</v>
          </cell>
          <cell r="H885">
            <v>2010</v>
          </cell>
          <cell r="I885">
            <v>42004</v>
          </cell>
        </row>
        <row r="886">
          <cell r="A886" t="str">
            <v>FL7067.4-R4#1</v>
          </cell>
          <cell r="B886" t="str">
            <v>FL7067.4-R4</v>
          </cell>
          <cell r="C886"/>
          <cell r="D886">
            <v>60</v>
          </cell>
          <cell r="E886">
            <v>60</v>
          </cell>
          <cell r="F886" t="str">
            <v>B</v>
          </cell>
          <cell r="G886" t="str">
            <v>3/16" ELCO ULTRACON</v>
          </cell>
          <cell r="H886">
            <v>2010</v>
          </cell>
          <cell r="I886">
            <v>42004</v>
          </cell>
        </row>
        <row r="887">
          <cell r="A887" t="str">
            <v>FL7091.1-R4#1</v>
          </cell>
          <cell r="B887" t="str">
            <v>FL7091.1-R4</v>
          </cell>
          <cell r="C887" t="str">
            <v>6'-8" OUTSWING WOOD SUBSTRATE</v>
          </cell>
          <cell r="D887">
            <v>80</v>
          </cell>
          <cell r="E887">
            <v>80</v>
          </cell>
          <cell r="F887" t="str">
            <v>N/A</v>
          </cell>
          <cell r="G887" t="str">
            <v>#8 WOOD SCREWS</v>
          </cell>
          <cell r="H887">
            <v>2010</v>
          </cell>
          <cell r="I887">
            <v>42369</v>
          </cell>
        </row>
        <row r="888">
          <cell r="A888" t="str">
            <v>FL7347.1-R3#1</v>
          </cell>
          <cell r="B888" t="str">
            <v>FL7347.1-R3</v>
          </cell>
          <cell r="C888" t="str">
            <v>OUTSWING, FRAME ANCHORING</v>
          </cell>
          <cell r="D888">
            <v>50</v>
          </cell>
          <cell r="E888">
            <v>50</v>
          </cell>
          <cell r="F888" t="str">
            <v>TYPE G1</v>
          </cell>
          <cell r="G888" t="str">
            <v>1/4" ITW CONCRETE SCREW</v>
          </cell>
          <cell r="H888">
            <v>2010</v>
          </cell>
          <cell r="I888"/>
        </row>
        <row r="889">
          <cell r="A889" t="str">
            <v>FL8228.3-R5#1</v>
          </cell>
          <cell r="B889" t="str">
            <v>FL8228.3-R5</v>
          </cell>
          <cell r="C889" t="str">
            <v>6'-8" OUTSWING WOOD SUBSTRATE</v>
          </cell>
          <cell r="D889">
            <v>55.5</v>
          </cell>
          <cell r="E889">
            <v>50.5</v>
          </cell>
          <cell r="F889" t="str">
            <v>N/A</v>
          </cell>
          <cell r="G889" t="str">
            <v>#10 WOOD SCREWS</v>
          </cell>
          <cell r="H889">
            <v>2010</v>
          </cell>
          <cell r="I889">
            <v>42369</v>
          </cell>
        </row>
      </sheetData>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Rect Tube"/>
      <sheetName val="Round Tube"/>
      <sheetName val="Sch. 40 Dims"/>
      <sheetName val="Flat Plate"/>
      <sheetName val="Angle"/>
      <sheetName val="C-Channel"/>
      <sheetName val="I-Beam (In Progress)"/>
      <sheetName val="Blank"/>
    </sheetNames>
    <sheetDataSet>
      <sheetData sheetId="0"/>
      <sheetData sheetId="1"/>
      <sheetData sheetId="2" refreshError="1">
        <row r="71">
          <cell r="L71">
            <v>0.9375</v>
          </cell>
        </row>
        <row r="72">
          <cell r="L72">
            <v>0.125</v>
          </cell>
        </row>
        <row r="112">
          <cell r="L112">
            <v>19.202025060399539</v>
          </cell>
        </row>
        <row r="113">
          <cell r="L113">
            <v>0.52861936803835063</v>
          </cell>
        </row>
        <row r="114">
          <cell r="L114">
            <v>280</v>
          </cell>
        </row>
        <row r="115">
          <cell r="L115">
            <v>28.80303759059931</v>
          </cell>
        </row>
        <row r="116">
          <cell r="L116">
            <v>1.5127952987076034</v>
          </cell>
        </row>
      </sheetData>
      <sheetData sheetId="3"/>
      <sheetData sheetId="4"/>
      <sheetData sheetId="5" refreshError="1">
        <row r="90">
          <cell r="I90">
            <v>6.6479229865102054</v>
          </cell>
        </row>
        <row r="91">
          <cell r="I91">
            <v>2.0451387048386729</v>
          </cell>
        </row>
      </sheetData>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YSTAL_PERSIST"/>
      <sheetName val="Start"/>
      <sheetName val="Reference"/>
      <sheetName val="Addendum_In_State"/>
      <sheetName val="Addendum_Out_of_State"/>
      <sheetName val="In_State_Notes"/>
      <sheetName val="In_State_Summary"/>
      <sheetName val="Out_of_State_Notes"/>
      <sheetName val="Out_of_State_Summary"/>
      <sheetName val="Snow_Load"/>
      <sheetName val="Loading"/>
      <sheetName val="Decking_7-10"/>
      <sheetName val="Decking_2x6x0.080_7-10"/>
      <sheetName val="Decking_7-05"/>
      <sheetName val="Decking_2x6x0.080_7-05"/>
      <sheetName val="Wet_Beams_7-10"/>
      <sheetName val="Wet_Beams_7-05"/>
      <sheetName val="Wet_Beams_Custom"/>
      <sheetName val="Composite Beam"/>
      <sheetName val="Open Beam Fb"/>
      <sheetName val="Closed Beam Fb"/>
      <sheetName val="Beam_to_Beam"/>
      <sheetName val="Arms_and_Anchors"/>
      <sheetName val="Hanger_Arm_Pipe"/>
      <sheetName val="Sch_40_Dims"/>
      <sheetName val="Hanger_Arm_Tube"/>
      <sheetName val="HILTI HIT-HY 70 0.5"/>
      <sheetName val="HILTI HIT-HY 70 0.625"/>
      <sheetName val="Mounting_Plate_Weld"/>
      <sheetName val="Base_Plate_7-10"/>
      <sheetName val="Flat_Plate_Calcs_7-10"/>
      <sheetName val="Base_Plate_7-05"/>
      <sheetName val="Flat_Plate_Calcs_7-05"/>
      <sheetName val="Bolt_to_Plate"/>
      <sheetName val="SMS Calc"/>
      <sheetName val="Steel Substrate SMS"/>
      <sheetName val="Aluminum Substrate SMS"/>
      <sheetName val="Bearing_Capacity"/>
      <sheetName val="Wood_Bearing"/>
      <sheetName val="HILTI HIT-HY 200"/>
      <sheetName val="HILTI HIT-HY 500"/>
      <sheetName val="0.25 ITW TAPCON"/>
      <sheetName val="Coredrill_ACI"/>
      <sheetName val="Footers"/>
      <sheetName val="Footers_Rebar"/>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refreshError="1"/>
      <sheetData sheetId="38">
        <row r="11">
          <cell r="C11">
            <v>45</v>
          </cell>
          <cell r="G11">
            <v>0.40600000000000003</v>
          </cell>
        </row>
        <row r="13">
          <cell r="G13">
            <v>3650</v>
          </cell>
        </row>
        <row r="14">
          <cell r="B14">
            <v>1.5</v>
          </cell>
          <cell r="G14">
            <v>4.5600000000000005</v>
          </cell>
        </row>
        <row r="15">
          <cell r="B15">
            <v>1.5</v>
          </cell>
        </row>
        <row r="19">
          <cell r="G19">
            <v>31</v>
          </cell>
        </row>
        <row r="20">
          <cell r="B20">
            <v>0.25</v>
          </cell>
        </row>
        <row r="23">
          <cell r="C23">
            <v>6</v>
          </cell>
          <cell r="G23">
            <v>0.11774193548387096</v>
          </cell>
        </row>
        <row r="25">
          <cell r="B25">
            <v>0.30931677042652989</v>
          </cell>
        </row>
        <row r="26">
          <cell r="B26">
            <v>0.7260993363185384</v>
          </cell>
        </row>
        <row r="27">
          <cell r="B27">
            <v>7.0556021967385512</v>
          </cell>
        </row>
        <row r="37">
          <cell r="I37">
            <v>1.6</v>
          </cell>
        </row>
        <row r="44">
          <cell r="I44">
            <v>1</v>
          </cell>
        </row>
        <row r="45">
          <cell r="I45">
            <v>1</v>
          </cell>
        </row>
        <row r="46">
          <cell r="I46">
            <v>1</v>
          </cell>
        </row>
        <row r="49">
          <cell r="E49" t="str">
            <v>N/A</v>
          </cell>
        </row>
        <row r="53">
          <cell r="E53">
            <v>216.28115958823921</v>
          </cell>
        </row>
      </sheetData>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engineeringexpress.com/files/Datum/Image.PN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V311"/>
  <sheetViews>
    <sheetView tabSelected="1" view="pageBreakPreview" topLeftCell="A175" zoomScale="130" zoomScaleNormal="100" zoomScaleSheetLayoutView="130" workbookViewId="0">
      <selection activeCell="DH200" sqref="DH200"/>
    </sheetView>
  </sheetViews>
  <sheetFormatPr defaultRowHeight="15" x14ac:dyDescent="0.25"/>
  <cols>
    <col min="1" max="26" width="4.7109375" style="4" customWidth="1"/>
    <col min="27" max="27" width="9.140625" style="4" hidden="1" customWidth="1"/>
    <col min="28" max="28" width="15.5703125" style="4" hidden="1" customWidth="1"/>
    <col min="29" max="100" width="9.140625" style="4" hidden="1" customWidth="1"/>
    <col min="101" max="110" width="0" style="4" hidden="1" customWidth="1"/>
    <col min="111" max="16384" width="9.140625" style="4"/>
  </cols>
  <sheetData>
    <row r="1" spans="1:28" ht="8.1" customHeight="1" x14ac:dyDescent="0.25">
      <c r="A1" s="451"/>
      <c r="B1" s="451"/>
      <c r="C1" s="451"/>
      <c r="D1" s="451"/>
      <c r="E1" s="451"/>
      <c r="F1" s="451"/>
      <c r="G1" s="451"/>
      <c r="H1" s="451"/>
      <c r="I1" s="451"/>
      <c r="J1" s="451"/>
      <c r="K1" s="451"/>
      <c r="L1" s="451"/>
      <c r="M1" s="451"/>
      <c r="N1" s="451"/>
      <c r="O1" s="451"/>
      <c r="P1" s="451"/>
      <c r="Q1" s="451"/>
      <c r="R1" s="451"/>
      <c r="S1" s="451"/>
      <c r="T1" s="451"/>
      <c r="U1" s="451"/>
      <c r="V1" s="451"/>
      <c r="W1" s="451"/>
      <c r="X1" s="451"/>
      <c r="Y1" s="451"/>
      <c r="Z1" s="451"/>
    </row>
    <row r="2" spans="1:28" ht="8.1" customHeight="1" x14ac:dyDescent="0.25">
      <c r="A2" s="451"/>
      <c r="B2" s="451"/>
      <c r="C2" s="451"/>
      <c r="D2" s="451"/>
      <c r="E2" s="451"/>
      <c r="F2" s="451"/>
      <c r="G2" s="451"/>
      <c r="H2" s="451"/>
      <c r="I2" s="451"/>
      <c r="J2" s="451"/>
      <c r="K2" s="451"/>
      <c r="L2" s="451"/>
      <c r="M2" s="451"/>
      <c r="N2" s="451"/>
      <c r="O2" s="451"/>
      <c r="P2" s="451"/>
      <c r="Q2" s="451"/>
      <c r="R2" s="451"/>
      <c r="S2" s="451"/>
      <c r="T2" s="451"/>
      <c r="U2" s="451"/>
      <c r="V2" s="451"/>
      <c r="W2" s="451"/>
      <c r="X2" s="451"/>
      <c r="Y2" s="451"/>
      <c r="Z2" s="451"/>
    </row>
    <row r="3" spans="1:28" ht="8.1" customHeight="1" x14ac:dyDescent="0.25">
      <c r="A3" s="451"/>
      <c r="B3" s="451"/>
      <c r="C3" s="451"/>
      <c r="D3" s="451"/>
      <c r="E3" s="451"/>
      <c r="F3" s="451"/>
      <c r="G3" s="451"/>
      <c r="H3" s="451"/>
      <c r="I3" s="451"/>
      <c r="J3" s="451"/>
      <c r="K3" s="451"/>
      <c r="L3" s="451"/>
      <c r="M3" s="451"/>
      <c r="N3" s="451"/>
      <c r="O3" s="451"/>
      <c r="P3" s="451"/>
      <c r="Q3" s="451"/>
      <c r="R3" s="451"/>
      <c r="S3" s="451"/>
      <c r="T3" s="451"/>
      <c r="U3" s="451"/>
      <c r="V3" s="451"/>
      <c r="W3" s="451"/>
      <c r="X3" s="451"/>
      <c r="Y3" s="451"/>
      <c r="Z3" s="451"/>
    </row>
    <row r="4" spans="1:28" ht="8.1" customHeight="1" x14ac:dyDescent="0.25">
      <c r="A4" s="452" t="s">
        <v>425</v>
      </c>
      <c r="B4" s="452"/>
      <c r="C4" s="452"/>
      <c r="D4" s="452"/>
      <c r="E4" s="452"/>
      <c r="F4" s="452"/>
      <c r="G4" s="452"/>
      <c r="H4" s="452"/>
      <c r="I4" s="452"/>
      <c r="J4" s="452"/>
      <c r="K4" s="452"/>
      <c r="L4" s="452"/>
      <c r="M4" s="452"/>
      <c r="N4" s="452"/>
      <c r="O4" s="452"/>
      <c r="P4" s="452"/>
      <c r="Q4" s="452"/>
      <c r="R4" s="452"/>
      <c r="S4" s="452"/>
      <c r="T4" s="452"/>
      <c r="U4" s="452"/>
      <c r="V4" s="452"/>
      <c r="W4" s="452"/>
      <c r="X4" s="452"/>
      <c r="Y4" s="452"/>
      <c r="Z4" s="452"/>
    </row>
    <row r="5" spans="1:28" ht="8.1" customHeight="1" x14ac:dyDescent="0.25">
      <c r="A5" s="452"/>
      <c r="B5" s="452"/>
      <c r="C5" s="452"/>
      <c r="D5" s="452"/>
      <c r="E5" s="452"/>
      <c r="F5" s="452"/>
      <c r="G5" s="452"/>
      <c r="H5" s="452"/>
      <c r="I5" s="452"/>
      <c r="J5" s="452"/>
      <c r="K5" s="452"/>
      <c r="L5" s="452"/>
      <c r="M5" s="452"/>
      <c r="N5" s="452"/>
      <c r="O5" s="452"/>
      <c r="P5" s="452"/>
      <c r="Q5" s="452"/>
      <c r="R5" s="452"/>
      <c r="S5" s="452"/>
      <c r="T5" s="452"/>
      <c r="U5" s="452"/>
      <c r="V5" s="452"/>
      <c r="W5" s="452"/>
      <c r="X5" s="452"/>
      <c r="Y5" s="452"/>
      <c r="Z5" s="452"/>
    </row>
    <row r="6" spans="1:28" ht="8.1" customHeight="1" x14ac:dyDescent="0.25">
      <c r="A6" s="453" t="s">
        <v>650</v>
      </c>
      <c r="B6" s="454"/>
      <c r="C6" s="454"/>
      <c r="D6" s="454"/>
      <c r="E6" s="454"/>
      <c r="F6" s="454"/>
      <c r="G6" s="454"/>
      <c r="H6" s="454"/>
      <c r="I6" s="454"/>
      <c r="J6" s="454"/>
      <c r="K6" s="454"/>
      <c r="L6" s="454"/>
      <c r="M6" s="454"/>
      <c r="N6" s="454"/>
      <c r="O6" s="454"/>
      <c r="P6" s="454"/>
      <c r="Q6" s="454"/>
      <c r="R6" s="454"/>
      <c r="S6" s="454"/>
      <c r="T6" s="454"/>
      <c r="U6" s="454"/>
      <c r="V6" s="454"/>
      <c r="W6" s="454"/>
      <c r="X6" s="454"/>
      <c r="Y6" s="454"/>
      <c r="Z6" s="454"/>
    </row>
    <row r="7" spans="1:28" ht="8.1" customHeight="1" x14ac:dyDescent="0.25">
      <c r="A7" s="454"/>
      <c r="B7" s="454"/>
      <c r="C7" s="454"/>
      <c r="D7" s="454"/>
      <c r="E7" s="454"/>
      <c r="F7" s="454"/>
      <c r="G7" s="454"/>
      <c r="H7" s="454"/>
      <c r="I7" s="454"/>
      <c r="J7" s="454"/>
      <c r="K7" s="454"/>
      <c r="L7" s="454"/>
      <c r="M7" s="454"/>
      <c r="N7" s="454"/>
      <c r="O7" s="454"/>
      <c r="P7" s="454"/>
      <c r="Q7" s="454"/>
      <c r="R7" s="454"/>
      <c r="S7" s="454"/>
      <c r="T7" s="454"/>
      <c r="U7" s="454"/>
      <c r="V7" s="454"/>
      <c r="W7" s="454"/>
      <c r="X7" s="454"/>
      <c r="Y7" s="454"/>
      <c r="Z7" s="454"/>
    </row>
    <row r="8" spans="1:28" ht="8.1" customHeight="1" x14ac:dyDescent="0.25">
      <c r="A8" s="455" t="s">
        <v>85</v>
      </c>
      <c r="B8" s="455"/>
      <c r="C8" s="455"/>
      <c r="D8" s="455"/>
      <c r="E8" s="455"/>
      <c r="F8" s="455"/>
      <c r="G8" s="455"/>
      <c r="H8" s="455"/>
      <c r="I8" s="455"/>
      <c r="J8" s="455"/>
      <c r="K8" s="455"/>
      <c r="L8" s="455"/>
      <c r="M8" s="455"/>
      <c r="N8" s="455"/>
      <c r="O8" s="455"/>
      <c r="P8" s="455"/>
      <c r="Q8" s="455"/>
      <c r="R8" s="455"/>
      <c r="S8" s="455"/>
      <c r="T8" s="455"/>
      <c r="U8" s="455"/>
      <c r="V8" s="455"/>
      <c r="W8" s="455"/>
      <c r="X8" s="455"/>
      <c r="Y8" s="455"/>
      <c r="Z8" s="455"/>
    </row>
    <row r="9" spans="1:28" ht="8.1" customHeight="1" x14ac:dyDescent="0.25">
      <c r="A9" s="456"/>
      <c r="B9" s="456"/>
      <c r="C9" s="456"/>
      <c r="D9" s="456"/>
      <c r="E9" s="456"/>
      <c r="F9" s="456"/>
      <c r="G9" s="456"/>
      <c r="H9" s="456"/>
      <c r="I9" s="456"/>
      <c r="J9" s="456"/>
      <c r="K9" s="456"/>
      <c r="L9" s="456"/>
      <c r="M9" s="456"/>
      <c r="N9" s="456"/>
      <c r="O9" s="456"/>
      <c r="P9" s="456"/>
      <c r="Q9" s="456"/>
      <c r="R9" s="456"/>
      <c r="S9" s="456"/>
      <c r="T9" s="456"/>
      <c r="U9" s="456"/>
      <c r="V9" s="456"/>
      <c r="W9" s="456"/>
      <c r="X9" s="456"/>
      <c r="Y9" s="456"/>
      <c r="Z9" s="456"/>
    </row>
    <row r="10" spans="1:28" ht="8.1" customHeight="1" x14ac:dyDescent="0.25">
      <c r="A10" s="460" t="s">
        <v>84</v>
      </c>
      <c r="B10" s="460"/>
      <c r="C10" s="460"/>
      <c r="D10" s="460"/>
      <c r="E10" s="460"/>
      <c r="F10" s="460"/>
      <c r="G10" s="460"/>
      <c r="H10" s="460"/>
      <c r="I10" s="460"/>
      <c r="J10" s="460"/>
      <c r="K10" s="460"/>
      <c r="L10" s="460"/>
      <c r="M10" s="460"/>
      <c r="N10" s="460"/>
      <c r="O10" s="460"/>
      <c r="P10" s="460"/>
      <c r="Q10" s="460"/>
      <c r="R10" s="460"/>
      <c r="S10" s="460"/>
      <c r="T10" s="460"/>
      <c r="U10" s="460"/>
      <c r="V10" s="460"/>
      <c r="W10" s="460"/>
      <c r="X10" s="460"/>
      <c r="Y10" s="460"/>
      <c r="Z10" s="460"/>
    </row>
    <row r="11" spans="1:28" ht="8.1" customHeight="1" x14ac:dyDescent="0.25">
      <c r="A11" s="461"/>
      <c r="B11" s="461"/>
      <c r="C11" s="461"/>
      <c r="D11" s="461"/>
      <c r="E11" s="461"/>
      <c r="F11" s="461"/>
      <c r="G11" s="461"/>
      <c r="H11" s="461"/>
      <c r="I11" s="461"/>
      <c r="J11" s="461"/>
      <c r="K11" s="461"/>
      <c r="L11" s="461"/>
      <c r="M11" s="461"/>
      <c r="N11" s="461"/>
      <c r="O11" s="461"/>
      <c r="P11" s="461"/>
      <c r="Q11" s="461"/>
      <c r="R11" s="461"/>
      <c r="S11" s="461"/>
      <c r="T11" s="461"/>
      <c r="U11" s="461"/>
      <c r="V11" s="461"/>
      <c r="W11" s="461"/>
      <c r="X11" s="461"/>
      <c r="Y11" s="461"/>
      <c r="Z11" s="461"/>
    </row>
    <row r="12" spans="1:28" ht="8.1" customHeight="1" x14ac:dyDescent="0.25">
      <c r="A12" s="180"/>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row>
    <row r="13" spans="1:28" ht="8.1" customHeight="1" x14ac:dyDescent="0.25">
      <c r="A13" s="439" t="s">
        <v>197</v>
      </c>
      <c r="B13" s="439"/>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row>
    <row r="14" spans="1:28" ht="8.1" customHeight="1" x14ac:dyDescent="0.25">
      <c r="A14" s="439"/>
      <c r="B14" s="439"/>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row>
    <row r="15" spans="1:28" ht="8.1" customHeight="1" x14ac:dyDescent="0.25">
      <c r="A15" s="457" t="s">
        <v>198</v>
      </c>
      <c r="B15" s="457"/>
      <c r="C15" s="457"/>
      <c r="D15" s="431">
        <v>175</v>
      </c>
      <c r="E15" s="431"/>
      <c r="F15" s="458" t="s">
        <v>5</v>
      </c>
      <c r="G15" s="458"/>
      <c r="H15" s="180"/>
      <c r="I15" s="180"/>
      <c r="J15" s="180"/>
      <c r="K15" s="180"/>
      <c r="L15" s="180"/>
      <c r="M15" s="180"/>
      <c r="N15" s="180"/>
      <c r="O15" s="180"/>
      <c r="P15" s="180"/>
      <c r="Q15" s="180"/>
      <c r="R15" s="180"/>
      <c r="S15" s="180"/>
      <c r="T15" s="180"/>
      <c r="U15" s="180"/>
      <c r="V15" s="180"/>
      <c r="W15" s="180"/>
      <c r="X15" s="180"/>
      <c r="Y15" s="180"/>
      <c r="Z15" s="180"/>
      <c r="AB15" s="395" t="s">
        <v>520</v>
      </c>
    </row>
    <row r="16" spans="1:28" ht="8.1" customHeight="1" x14ac:dyDescent="0.25">
      <c r="A16" s="457"/>
      <c r="B16" s="457"/>
      <c r="C16" s="457"/>
      <c r="D16" s="431"/>
      <c r="E16" s="431"/>
      <c r="F16" s="458"/>
      <c r="G16" s="458"/>
      <c r="H16" s="180"/>
      <c r="I16" s="180"/>
      <c r="J16" s="180"/>
      <c r="K16" s="180"/>
      <c r="L16" s="180"/>
      <c r="M16" s="180"/>
      <c r="N16" s="180"/>
      <c r="O16" s="180"/>
      <c r="P16" s="180"/>
      <c r="Q16" s="180"/>
      <c r="R16" s="180"/>
      <c r="S16" s="180"/>
      <c r="T16" s="180"/>
      <c r="U16" s="180"/>
      <c r="V16" s="180"/>
      <c r="W16" s="180"/>
      <c r="X16" s="180"/>
      <c r="Y16" s="180"/>
      <c r="Z16" s="180"/>
    </row>
    <row r="17" spans="1:26" ht="8.1" customHeight="1" x14ac:dyDescent="0.25">
      <c r="A17" s="459" t="s">
        <v>199</v>
      </c>
      <c r="B17" s="459"/>
      <c r="C17" s="459"/>
      <c r="D17" s="430" t="s">
        <v>2</v>
      </c>
      <c r="E17" s="430"/>
      <c r="F17" s="180"/>
      <c r="G17" s="180"/>
      <c r="H17" s="180"/>
      <c r="I17" s="180"/>
      <c r="J17" s="180"/>
      <c r="K17" s="180"/>
      <c r="L17" s="180"/>
      <c r="M17" s="180"/>
      <c r="N17" s="180"/>
      <c r="O17" s="180"/>
      <c r="P17" s="180"/>
      <c r="Q17" s="180"/>
      <c r="R17" s="180"/>
      <c r="S17" s="180"/>
      <c r="T17" s="180"/>
      <c r="U17" s="180"/>
      <c r="V17" s="180"/>
      <c r="W17" s="180"/>
      <c r="X17" s="180"/>
      <c r="Y17" s="180"/>
      <c r="Z17" s="180"/>
    </row>
    <row r="18" spans="1:26" ht="8.1" customHeight="1" x14ac:dyDescent="0.25">
      <c r="A18" s="459"/>
      <c r="B18" s="459"/>
      <c r="C18" s="459"/>
      <c r="D18" s="430"/>
      <c r="E18" s="430"/>
      <c r="F18" s="180"/>
      <c r="G18" s="180"/>
      <c r="H18" s="180"/>
      <c r="I18" s="180"/>
      <c r="J18" s="180"/>
      <c r="K18" s="180"/>
      <c r="L18" s="180"/>
      <c r="M18" s="180"/>
      <c r="N18" s="180"/>
      <c r="O18" s="180"/>
      <c r="P18" s="180"/>
      <c r="Q18" s="180"/>
      <c r="R18" s="180"/>
      <c r="S18" s="180"/>
      <c r="T18" s="180"/>
      <c r="U18" s="180"/>
      <c r="V18" s="180"/>
      <c r="W18" s="180"/>
      <c r="X18" s="180"/>
      <c r="Y18" s="180"/>
      <c r="Z18" s="180"/>
    </row>
    <row r="19" spans="1:26" ht="8.1" customHeight="1" x14ac:dyDescent="0.25">
      <c r="A19" s="459" t="s">
        <v>431</v>
      </c>
      <c r="B19" s="459"/>
      <c r="C19" s="459"/>
      <c r="D19" s="430" t="s">
        <v>200</v>
      </c>
      <c r="E19" s="430"/>
      <c r="F19" s="180"/>
      <c r="G19" s="180"/>
      <c r="H19" s="180"/>
      <c r="I19" s="180"/>
      <c r="J19" s="180"/>
      <c r="K19" s="180"/>
      <c r="L19" s="180"/>
      <c r="M19" s="180"/>
      <c r="N19" s="180"/>
      <c r="O19" s="180"/>
      <c r="P19" s="180"/>
      <c r="Q19" s="180"/>
      <c r="R19" s="180"/>
      <c r="S19" s="180"/>
      <c r="T19" s="180"/>
      <c r="U19" s="180"/>
      <c r="V19" s="180"/>
      <c r="W19" s="180"/>
      <c r="X19" s="180"/>
      <c r="Y19" s="180"/>
      <c r="Z19" s="180"/>
    </row>
    <row r="20" spans="1:26" ht="8.1" customHeight="1" x14ac:dyDescent="0.25">
      <c r="A20" s="459"/>
      <c r="B20" s="459"/>
      <c r="C20" s="459"/>
      <c r="D20" s="430"/>
      <c r="E20" s="430"/>
      <c r="F20" s="180"/>
      <c r="G20" s="180"/>
      <c r="H20" s="180"/>
      <c r="I20" s="180"/>
      <c r="J20" s="180"/>
      <c r="K20" s="180"/>
      <c r="L20" s="180"/>
      <c r="M20" s="180"/>
      <c r="N20" s="180"/>
      <c r="O20" s="180"/>
      <c r="P20" s="180"/>
      <c r="Q20" s="180"/>
      <c r="R20" s="180"/>
      <c r="S20" s="180"/>
      <c r="T20" s="180"/>
      <c r="U20" s="180"/>
      <c r="V20" s="180"/>
      <c r="W20" s="180"/>
      <c r="X20" s="180"/>
      <c r="Y20" s="180"/>
      <c r="Z20" s="180"/>
    </row>
    <row r="21" spans="1:26" ht="8.1" customHeight="1" x14ac:dyDescent="0.25">
      <c r="A21" s="459" t="s">
        <v>201</v>
      </c>
      <c r="B21" s="459"/>
      <c r="C21" s="459"/>
      <c r="D21" s="463">
        <v>20</v>
      </c>
      <c r="E21" s="463"/>
      <c r="F21" s="458" t="s">
        <v>16</v>
      </c>
      <c r="G21" s="458"/>
      <c r="H21" s="180"/>
      <c r="I21" s="180"/>
      <c r="J21" s="180"/>
      <c r="K21" s="180"/>
      <c r="L21" s="180"/>
      <c r="M21" s="180"/>
      <c r="N21" s="180"/>
      <c r="O21" s="180"/>
      <c r="P21" s="180"/>
      <c r="Q21" s="180"/>
      <c r="R21" s="180"/>
      <c r="S21" s="180"/>
      <c r="T21" s="180"/>
      <c r="U21" s="180"/>
      <c r="V21" s="180"/>
      <c r="W21" s="180"/>
      <c r="X21" s="180"/>
      <c r="Y21" s="180"/>
      <c r="Z21" s="180"/>
    </row>
    <row r="22" spans="1:26" ht="8.1" customHeight="1" x14ac:dyDescent="0.25">
      <c r="A22" s="459"/>
      <c r="B22" s="459"/>
      <c r="C22" s="459"/>
      <c r="D22" s="463"/>
      <c r="E22" s="463"/>
      <c r="F22" s="458"/>
      <c r="G22" s="458"/>
      <c r="H22" s="180"/>
      <c r="I22" s="180"/>
      <c r="J22" s="180"/>
      <c r="K22" s="180"/>
      <c r="L22" s="180"/>
      <c r="M22" s="180"/>
      <c r="N22" s="180"/>
      <c r="O22" s="180"/>
      <c r="P22" s="180"/>
      <c r="Q22" s="180"/>
      <c r="R22" s="180"/>
      <c r="S22" s="180"/>
      <c r="T22" s="180"/>
      <c r="U22" s="180"/>
      <c r="V22" s="180"/>
      <c r="W22" s="180"/>
      <c r="X22" s="180"/>
      <c r="Y22" s="180"/>
      <c r="Z22" s="180"/>
    </row>
    <row r="23" spans="1:26" ht="8.1" customHeight="1" x14ac:dyDescent="0.25">
      <c r="A23" s="459" t="s">
        <v>202</v>
      </c>
      <c r="B23" s="459"/>
      <c r="C23" s="459"/>
      <c r="D23" s="463">
        <v>2</v>
      </c>
      <c r="E23" s="463"/>
      <c r="F23" s="458" t="s">
        <v>16</v>
      </c>
      <c r="G23" s="458"/>
      <c r="H23" s="180"/>
      <c r="I23" s="180"/>
      <c r="J23" s="180"/>
      <c r="K23" s="180"/>
      <c r="L23" s="180"/>
      <c r="M23" s="180"/>
      <c r="N23" s="180"/>
      <c r="O23" s="180"/>
      <c r="P23" s="180"/>
      <c r="Q23" s="180"/>
      <c r="R23" s="180"/>
      <c r="S23" s="180"/>
      <c r="T23" s="180"/>
      <c r="U23" s="180"/>
      <c r="V23" s="180"/>
      <c r="W23" s="180"/>
      <c r="X23" s="180"/>
      <c r="Y23" s="180"/>
      <c r="Z23" s="180"/>
    </row>
    <row r="24" spans="1:26" ht="8.1" customHeight="1" x14ac:dyDescent="0.25">
      <c r="A24" s="459"/>
      <c r="B24" s="459"/>
      <c r="C24" s="459"/>
      <c r="D24" s="463"/>
      <c r="E24" s="463"/>
      <c r="F24" s="458"/>
      <c r="G24" s="458"/>
      <c r="H24" s="180"/>
      <c r="I24" s="180"/>
      <c r="J24" s="180"/>
      <c r="K24" s="180"/>
      <c r="L24" s="180"/>
      <c r="M24" s="180"/>
      <c r="N24" s="180"/>
      <c r="O24" s="180"/>
      <c r="P24" s="180"/>
      <c r="Q24" s="180"/>
      <c r="R24" s="180"/>
      <c r="S24" s="180"/>
      <c r="T24" s="180"/>
      <c r="U24" s="180"/>
      <c r="V24" s="180"/>
      <c r="W24" s="180"/>
      <c r="X24" s="180"/>
      <c r="Y24" s="180"/>
      <c r="Z24" s="180"/>
    </row>
    <row r="25" spans="1:26" ht="8.1" customHeight="1" x14ac:dyDescent="0.25">
      <c r="A25" s="462" t="s">
        <v>203</v>
      </c>
      <c r="B25" s="462"/>
      <c r="C25" s="462"/>
      <c r="D25" s="464">
        <v>0</v>
      </c>
      <c r="E25" s="464"/>
      <c r="F25" s="458" t="s">
        <v>16</v>
      </c>
      <c r="G25" s="458"/>
      <c r="H25" s="180"/>
      <c r="I25" s="180"/>
      <c r="J25" s="180"/>
      <c r="K25" s="180"/>
      <c r="L25" s="180"/>
      <c r="M25" s="180"/>
      <c r="N25" s="180"/>
      <c r="O25" s="180"/>
      <c r="P25" s="180"/>
      <c r="Q25" s="180"/>
      <c r="R25" s="180"/>
      <c r="S25" s="180"/>
      <c r="T25" s="180"/>
      <c r="U25" s="180"/>
      <c r="V25" s="180"/>
      <c r="W25" s="180"/>
      <c r="X25" s="180"/>
      <c r="Y25" s="180"/>
      <c r="Z25" s="180"/>
    </row>
    <row r="26" spans="1:26" ht="8.1" customHeight="1" x14ac:dyDescent="0.25">
      <c r="A26" s="462"/>
      <c r="B26" s="462"/>
      <c r="C26" s="462"/>
      <c r="D26" s="464"/>
      <c r="E26" s="464"/>
      <c r="F26" s="458"/>
      <c r="G26" s="458"/>
      <c r="H26" s="180"/>
      <c r="I26" s="180"/>
      <c r="J26" s="180"/>
      <c r="K26" s="180"/>
      <c r="L26" s="180"/>
      <c r="M26" s="180"/>
      <c r="N26" s="180"/>
      <c r="O26" s="180"/>
      <c r="P26" s="180"/>
      <c r="Q26" s="180"/>
      <c r="R26" s="180"/>
      <c r="S26" s="180"/>
      <c r="T26" s="180"/>
      <c r="U26" s="180"/>
      <c r="V26" s="180"/>
      <c r="W26" s="180"/>
      <c r="X26" s="180"/>
      <c r="Y26" s="180"/>
      <c r="Z26" s="180"/>
    </row>
    <row r="27" spans="1:26" ht="8.1" customHeight="1" x14ac:dyDescent="0.25">
      <c r="A27" s="180"/>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row>
    <row r="28" spans="1:26" ht="8.1" customHeight="1" x14ac:dyDescent="0.25">
      <c r="A28" s="439" t="s">
        <v>204</v>
      </c>
      <c r="B28" s="439"/>
      <c r="C28" s="439"/>
      <c r="D28" s="439"/>
      <c r="E28" s="180"/>
      <c r="F28" s="180"/>
      <c r="G28" s="180"/>
      <c r="H28" s="180"/>
      <c r="I28" s="180"/>
      <c r="J28" s="180"/>
      <c r="K28" s="180"/>
      <c r="L28" s="180"/>
      <c r="M28" s="180"/>
      <c r="N28" s="180"/>
      <c r="O28" s="180"/>
      <c r="P28" s="180"/>
      <c r="Q28" s="180"/>
      <c r="R28" s="180"/>
      <c r="S28" s="180"/>
      <c r="T28" s="180"/>
      <c r="U28" s="180"/>
      <c r="V28" s="180"/>
      <c r="W28" s="180"/>
      <c r="X28" s="180"/>
      <c r="Y28" s="180"/>
      <c r="Z28" s="180"/>
    </row>
    <row r="29" spans="1:26" ht="8.1" customHeight="1" x14ac:dyDescent="0.25">
      <c r="A29" s="439"/>
      <c r="B29" s="439"/>
      <c r="C29" s="439"/>
      <c r="D29" s="439"/>
      <c r="E29" s="180"/>
      <c r="F29" s="180"/>
      <c r="G29" s="180"/>
      <c r="H29" s="180"/>
      <c r="I29" s="180"/>
      <c r="J29" s="180"/>
      <c r="K29" s="180"/>
      <c r="L29" s="180"/>
      <c r="M29" s="180"/>
      <c r="N29" s="180"/>
      <c r="O29" s="180"/>
      <c r="P29" s="180"/>
      <c r="Q29" s="180"/>
      <c r="R29" s="180"/>
      <c r="S29" s="180"/>
      <c r="T29" s="180"/>
      <c r="U29" s="180"/>
      <c r="V29" s="180"/>
      <c r="W29" s="180"/>
      <c r="X29" s="180"/>
      <c r="Y29" s="180"/>
      <c r="Z29" s="180"/>
    </row>
    <row r="30" spans="1:26" ht="8.1" customHeight="1" x14ac:dyDescent="0.25">
      <c r="A30" s="459" t="s">
        <v>426</v>
      </c>
      <c r="B30" s="459"/>
      <c r="C30" s="459"/>
      <c r="D30" s="464">
        <v>15</v>
      </c>
      <c r="E30" s="464"/>
      <c r="F30" s="458" t="s">
        <v>6</v>
      </c>
      <c r="G30" s="458"/>
      <c r="H30" s="217"/>
      <c r="I30" s="217"/>
      <c r="J30" s="217"/>
      <c r="K30" s="217"/>
      <c r="L30" s="180"/>
      <c r="M30" s="180"/>
      <c r="N30" s="180"/>
      <c r="O30" s="180"/>
      <c r="P30" s="180"/>
      <c r="Q30" s="180"/>
      <c r="R30" s="180"/>
      <c r="S30" s="180"/>
      <c r="T30" s="180"/>
      <c r="U30" s="180"/>
      <c r="V30" s="180"/>
      <c r="W30" s="180"/>
      <c r="X30" s="180"/>
      <c r="Y30" s="180"/>
      <c r="Z30" s="180"/>
    </row>
    <row r="31" spans="1:26" ht="8.1" customHeight="1" x14ac:dyDescent="0.25">
      <c r="A31" s="459"/>
      <c r="B31" s="459"/>
      <c r="C31" s="459"/>
      <c r="D31" s="464"/>
      <c r="E31" s="464"/>
      <c r="F31" s="458"/>
      <c r="G31" s="458"/>
      <c r="H31" s="217"/>
      <c r="I31" s="217"/>
      <c r="J31" s="217"/>
      <c r="K31" s="217"/>
      <c r="L31" s="180"/>
      <c r="M31" s="180"/>
      <c r="N31" s="180"/>
      <c r="O31" s="180"/>
      <c r="P31" s="180"/>
      <c r="Q31" s="180"/>
      <c r="R31" s="180"/>
      <c r="S31" s="180"/>
      <c r="T31" s="180"/>
      <c r="U31" s="180"/>
      <c r="V31" s="180"/>
      <c r="W31" s="180"/>
      <c r="X31" s="180"/>
      <c r="Y31" s="180"/>
      <c r="Z31" s="180"/>
    </row>
    <row r="32" spans="1:26" ht="8.1" customHeight="1" x14ac:dyDescent="0.25">
      <c r="A32" s="466" t="s">
        <v>427</v>
      </c>
      <c r="B32" s="466"/>
      <c r="C32" s="466"/>
      <c r="D32" s="464">
        <v>60</v>
      </c>
      <c r="E32" s="464"/>
      <c r="F32" s="458" t="s">
        <v>6</v>
      </c>
      <c r="G32" s="458"/>
      <c r="H32" s="180"/>
      <c r="I32" s="180"/>
      <c r="J32" s="180"/>
      <c r="K32" s="180"/>
      <c r="L32" s="180"/>
      <c r="M32" s="180"/>
      <c r="N32" s="180"/>
      <c r="O32" s="180"/>
      <c r="P32" s="180"/>
      <c r="Q32" s="180"/>
      <c r="R32" s="180"/>
      <c r="S32" s="180"/>
      <c r="T32" s="180"/>
      <c r="U32" s="180"/>
      <c r="V32" s="180"/>
      <c r="W32" s="180"/>
      <c r="X32" s="180"/>
      <c r="Y32" s="180"/>
      <c r="Z32" s="180"/>
    </row>
    <row r="33" spans="1:29" ht="8.1" customHeight="1" x14ac:dyDescent="0.25">
      <c r="A33" s="466"/>
      <c r="B33" s="466"/>
      <c r="C33" s="466"/>
      <c r="D33" s="464"/>
      <c r="E33" s="464"/>
      <c r="F33" s="458"/>
      <c r="G33" s="458"/>
      <c r="H33" s="180"/>
      <c r="I33" s="180"/>
      <c r="J33" s="180"/>
      <c r="K33" s="180"/>
      <c r="L33" s="180"/>
      <c r="M33" s="180"/>
      <c r="N33" s="180"/>
      <c r="O33" s="180"/>
      <c r="P33" s="180"/>
      <c r="Q33" s="180"/>
      <c r="R33" s="180"/>
      <c r="S33" s="180"/>
      <c r="T33" s="180"/>
      <c r="U33" s="180"/>
      <c r="V33" s="180"/>
      <c r="W33" s="180"/>
      <c r="X33" s="180"/>
      <c r="Y33" s="180"/>
      <c r="Z33" s="180"/>
    </row>
    <row r="34" spans="1:29" ht="8.1" customHeight="1" x14ac:dyDescent="0.3">
      <c r="A34" s="180"/>
      <c r="B34" s="180"/>
      <c r="C34" s="180"/>
      <c r="D34" s="180"/>
      <c r="E34" s="180"/>
      <c r="F34" s="180"/>
      <c r="G34" s="180"/>
      <c r="H34" s="180"/>
      <c r="I34" s="180"/>
      <c r="J34" s="180"/>
      <c r="K34" s="180"/>
      <c r="L34" s="180"/>
      <c r="M34" s="180"/>
      <c r="N34" s="180"/>
      <c r="O34" s="180"/>
      <c r="P34" s="254"/>
      <c r="Q34" s="254"/>
      <c r="R34" s="254"/>
      <c r="S34" s="254"/>
      <c r="T34" s="254"/>
      <c r="U34" s="254"/>
      <c r="V34" s="254"/>
      <c r="W34" s="254"/>
      <c r="X34" s="254"/>
      <c r="Y34" s="254"/>
      <c r="Z34" s="254"/>
    </row>
    <row r="35" spans="1:29" ht="8.1" customHeight="1" x14ac:dyDescent="0.3">
      <c r="A35" s="465" t="s">
        <v>205</v>
      </c>
      <c r="B35" s="465"/>
      <c r="C35" s="180"/>
      <c r="D35" s="180"/>
      <c r="E35" s="180"/>
      <c r="F35" s="180"/>
      <c r="G35" s="180"/>
      <c r="H35" s="180"/>
      <c r="I35" s="180"/>
      <c r="J35" s="180"/>
      <c r="K35" s="180"/>
      <c r="L35" s="180"/>
      <c r="M35" s="180"/>
      <c r="N35" s="180"/>
      <c r="O35" s="180"/>
      <c r="P35" s="254"/>
      <c r="Q35" s="254"/>
      <c r="R35" s="254"/>
      <c r="S35" s="254"/>
      <c r="T35" s="254"/>
      <c r="U35" s="254"/>
      <c r="V35" s="254"/>
      <c r="W35" s="254"/>
      <c r="X35" s="254"/>
      <c r="Y35" s="254"/>
      <c r="Z35" s="254"/>
    </row>
    <row r="36" spans="1:29" ht="8.1" customHeight="1" x14ac:dyDescent="0.3">
      <c r="A36" s="465"/>
      <c r="B36" s="465"/>
      <c r="C36" s="180"/>
      <c r="D36" s="180"/>
      <c r="E36" s="180"/>
      <c r="F36" s="180"/>
      <c r="G36" s="180"/>
      <c r="H36" s="180"/>
      <c r="I36" s="180"/>
      <c r="J36" s="180"/>
      <c r="K36" s="180"/>
      <c r="L36" s="180"/>
      <c r="M36" s="180"/>
      <c r="N36" s="180"/>
      <c r="O36" s="180"/>
      <c r="P36" s="254"/>
      <c r="Q36" s="254"/>
      <c r="R36" s="254"/>
      <c r="S36" s="254"/>
      <c r="T36" s="254"/>
      <c r="U36" s="254"/>
      <c r="V36" s="254"/>
      <c r="W36" s="254"/>
      <c r="X36" s="254"/>
      <c r="Y36" s="254"/>
      <c r="Z36" s="254"/>
    </row>
    <row r="37" spans="1:29" ht="8.1" customHeight="1" x14ac:dyDescent="0.3">
      <c r="A37" s="459" t="s">
        <v>428</v>
      </c>
      <c r="B37" s="459"/>
      <c r="C37" s="459"/>
      <c r="D37" s="464">
        <v>8</v>
      </c>
      <c r="E37" s="464"/>
      <c r="F37" s="458" t="s">
        <v>6</v>
      </c>
      <c r="G37" s="458"/>
      <c r="H37" s="217"/>
      <c r="I37" s="217"/>
      <c r="J37" s="217"/>
      <c r="K37" s="217"/>
      <c r="L37" s="217"/>
      <c r="M37" s="217"/>
      <c r="N37" s="180"/>
      <c r="O37" s="180"/>
      <c r="P37" s="254"/>
      <c r="Q37" s="254"/>
      <c r="R37" s="254"/>
      <c r="S37" s="254"/>
      <c r="T37" s="254"/>
      <c r="U37" s="254"/>
      <c r="V37" s="254"/>
      <c r="W37" s="254"/>
      <c r="X37" s="254"/>
      <c r="Y37" s="254"/>
      <c r="Z37" s="254"/>
    </row>
    <row r="38" spans="1:29" ht="8.1" customHeight="1" x14ac:dyDescent="0.3">
      <c r="A38" s="459"/>
      <c r="B38" s="459"/>
      <c r="C38" s="459"/>
      <c r="D38" s="464"/>
      <c r="E38" s="464"/>
      <c r="F38" s="458"/>
      <c r="G38" s="458"/>
      <c r="H38" s="217"/>
      <c r="I38" s="217"/>
      <c r="J38" s="217"/>
      <c r="K38" s="217"/>
      <c r="L38" s="217"/>
      <c r="M38" s="217"/>
      <c r="N38" s="180"/>
      <c r="O38" s="180"/>
      <c r="P38" s="254"/>
      <c r="Q38" s="254"/>
      <c r="R38" s="254"/>
      <c r="S38" s="254"/>
      <c r="T38" s="254"/>
      <c r="U38" s="254"/>
      <c r="V38" s="254"/>
      <c r="W38" s="254"/>
      <c r="X38" s="254"/>
      <c r="Y38" s="254"/>
      <c r="Z38" s="254"/>
    </row>
    <row r="39" spans="1:29" ht="8.1" customHeight="1" x14ac:dyDescent="0.3">
      <c r="A39" s="459" t="s">
        <v>456</v>
      </c>
      <c r="B39" s="459"/>
      <c r="C39" s="459"/>
      <c r="D39" s="464">
        <v>2.66</v>
      </c>
      <c r="E39" s="464"/>
      <c r="F39" s="458" t="s">
        <v>6</v>
      </c>
      <c r="G39" s="458"/>
      <c r="H39" s="217"/>
      <c r="I39" s="217"/>
      <c r="J39" s="217"/>
      <c r="K39" s="217"/>
      <c r="L39" s="217"/>
      <c r="M39" s="217"/>
      <c r="N39" s="180"/>
      <c r="O39" s="180"/>
      <c r="P39" s="254"/>
      <c r="Q39" s="254"/>
      <c r="R39" s="254"/>
      <c r="S39" s="254"/>
      <c r="T39" s="254"/>
      <c r="U39" s="254"/>
      <c r="V39" s="254"/>
      <c r="W39" s="254"/>
      <c r="X39" s="254"/>
      <c r="Y39" s="254"/>
      <c r="Z39" s="254"/>
      <c r="AA39" s="4" t="s">
        <v>642</v>
      </c>
      <c r="AB39" s="4">
        <f>VLOOKUP(D49,AB40:AC42,2,0)</f>
        <v>1</v>
      </c>
    </row>
    <row r="40" spans="1:29" ht="8.1" customHeight="1" x14ac:dyDescent="0.3">
      <c r="A40" s="459"/>
      <c r="B40" s="459"/>
      <c r="C40" s="459"/>
      <c r="D40" s="464"/>
      <c r="E40" s="464"/>
      <c r="F40" s="458"/>
      <c r="G40" s="458"/>
      <c r="H40" s="217"/>
      <c r="I40" s="217"/>
      <c r="J40" s="217"/>
      <c r="K40" s="217"/>
      <c r="L40" s="217"/>
      <c r="M40" s="217"/>
      <c r="N40" s="180"/>
      <c r="O40" s="180"/>
      <c r="P40" s="254"/>
      <c r="Q40" s="254"/>
      <c r="R40" s="254"/>
      <c r="S40" s="254"/>
      <c r="T40" s="254"/>
      <c r="U40" s="254"/>
      <c r="V40" s="254"/>
      <c r="W40" s="254"/>
      <c r="X40" s="254"/>
      <c r="Y40" s="254"/>
      <c r="Z40" s="254"/>
      <c r="AB40" s="4" t="s">
        <v>320</v>
      </c>
      <c r="AC40" s="4">
        <v>1</v>
      </c>
    </row>
    <row r="41" spans="1:29" ht="8.1" customHeight="1" x14ac:dyDescent="0.3">
      <c r="A41" s="459" t="s">
        <v>429</v>
      </c>
      <c r="B41" s="459"/>
      <c r="C41" s="459"/>
      <c r="D41" s="464">
        <v>3</v>
      </c>
      <c r="E41" s="464"/>
      <c r="F41" s="458" t="s">
        <v>6</v>
      </c>
      <c r="G41" s="458"/>
      <c r="N41" s="180"/>
      <c r="O41" s="180"/>
      <c r="P41" s="254"/>
      <c r="Q41" s="254"/>
      <c r="R41" s="254"/>
      <c r="S41" s="254"/>
      <c r="T41" s="254"/>
      <c r="U41" s="254"/>
      <c r="V41" s="254"/>
      <c r="W41" s="254"/>
      <c r="X41" s="254"/>
      <c r="Y41" s="254"/>
      <c r="Z41" s="254"/>
      <c r="AB41" s="4" t="s">
        <v>319</v>
      </c>
      <c r="AC41" s="4">
        <v>2</v>
      </c>
    </row>
    <row r="42" spans="1:29" ht="8.1" customHeight="1" x14ac:dyDescent="0.3">
      <c r="A42" s="459"/>
      <c r="B42" s="459"/>
      <c r="C42" s="459"/>
      <c r="D42" s="464"/>
      <c r="E42" s="464"/>
      <c r="F42" s="458"/>
      <c r="G42" s="458"/>
      <c r="N42" s="180"/>
      <c r="O42" s="180"/>
      <c r="P42" s="254"/>
      <c r="Q42" s="254"/>
      <c r="R42" s="254"/>
      <c r="S42" s="254"/>
      <c r="T42" s="254"/>
      <c r="U42" s="254"/>
      <c r="V42" s="254"/>
      <c r="W42" s="254"/>
      <c r="X42" s="254"/>
      <c r="Y42" s="254"/>
      <c r="Z42" s="254"/>
      <c r="AB42" s="4" t="s">
        <v>322</v>
      </c>
      <c r="AC42" s="4">
        <v>3</v>
      </c>
    </row>
    <row r="43" spans="1:29" ht="8.1" customHeight="1" x14ac:dyDescent="0.3">
      <c r="A43" s="459" t="s">
        <v>418</v>
      </c>
      <c r="B43" s="459"/>
      <c r="C43" s="459"/>
      <c r="D43" s="471">
        <f>(DEGREES(ATAN((D41/(D37-D39)))))</f>
        <v>29.327179490456803</v>
      </c>
      <c r="E43" s="471"/>
      <c r="F43" s="458" t="s">
        <v>206</v>
      </c>
      <c r="G43" s="458"/>
      <c r="H43" s="352"/>
      <c r="I43" s="352"/>
      <c r="J43" s="352"/>
      <c r="K43" s="352"/>
      <c r="L43" s="352"/>
      <c r="M43" s="352"/>
      <c r="N43" s="180"/>
      <c r="O43" s="180"/>
      <c r="P43" s="254"/>
      <c r="Q43" s="254"/>
      <c r="R43" s="254"/>
      <c r="S43" s="254"/>
      <c r="T43" s="254"/>
      <c r="U43" s="254"/>
      <c r="V43" s="254"/>
      <c r="W43" s="254"/>
      <c r="X43" s="254"/>
      <c r="Y43" s="254"/>
      <c r="Z43" s="254"/>
    </row>
    <row r="44" spans="1:29" ht="7.5" customHeight="1" x14ac:dyDescent="0.3">
      <c r="A44" s="459"/>
      <c r="B44" s="459"/>
      <c r="C44" s="459"/>
      <c r="D44" s="471"/>
      <c r="E44" s="471"/>
      <c r="F44" s="458"/>
      <c r="G44" s="458"/>
      <c r="H44" s="352"/>
      <c r="I44" s="352"/>
      <c r="J44" s="352"/>
      <c r="K44" s="352"/>
      <c r="L44" s="352"/>
      <c r="M44" s="352"/>
      <c r="N44" s="180"/>
      <c r="O44" s="180"/>
      <c r="P44" s="254"/>
      <c r="Q44" s="254"/>
      <c r="R44" s="254"/>
      <c r="S44" s="254"/>
      <c r="T44" s="254"/>
      <c r="U44" s="254"/>
      <c r="V44" s="254"/>
      <c r="W44" s="254"/>
      <c r="X44" s="254"/>
      <c r="Y44" s="254"/>
      <c r="Z44" s="254"/>
      <c r="AA44" s="4" t="s">
        <v>643</v>
      </c>
      <c r="AB44" s="4">
        <f>VLOOKUP(D51,AB45:AC46,2,0)</f>
        <v>1</v>
      </c>
    </row>
    <row r="45" spans="1:29" ht="8.1" customHeight="1" x14ac:dyDescent="0.3">
      <c r="A45" s="459" t="s">
        <v>430</v>
      </c>
      <c r="B45" s="459"/>
      <c r="C45" s="459"/>
      <c r="D45" s="464">
        <v>10</v>
      </c>
      <c r="E45" s="464"/>
      <c r="F45" s="458" t="s">
        <v>6</v>
      </c>
      <c r="G45" s="458"/>
      <c r="O45" s="180"/>
      <c r="P45" s="254"/>
      <c r="Q45" s="254"/>
      <c r="R45" s="254"/>
      <c r="S45" s="254"/>
      <c r="T45" s="254"/>
      <c r="U45" s="254"/>
      <c r="V45" s="254"/>
      <c r="W45" s="254"/>
      <c r="X45" s="254"/>
      <c r="Y45" s="254"/>
      <c r="Z45" s="254"/>
      <c r="AB45" s="4" t="s">
        <v>325</v>
      </c>
      <c r="AC45" s="4">
        <v>1</v>
      </c>
    </row>
    <row r="46" spans="1:29" ht="8.1" customHeight="1" x14ac:dyDescent="0.3">
      <c r="A46" s="459"/>
      <c r="B46" s="459"/>
      <c r="C46" s="459"/>
      <c r="D46" s="464"/>
      <c r="E46" s="464"/>
      <c r="F46" s="458"/>
      <c r="G46" s="458"/>
      <c r="O46" s="180"/>
      <c r="P46" s="254"/>
      <c r="Q46" s="254"/>
      <c r="R46" s="254"/>
      <c r="S46" s="254"/>
      <c r="T46" s="254"/>
      <c r="U46" s="254"/>
      <c r="V46" s="254"/>
      <c r="W46" s="254"/>
      <c r="X46" s="254"/>
      <c r="Y46" s="254"/>
      <c r="Z46" s="254"/>
      <c r="AB46" s="4" t="s">
        <v>321</v>
      </c>
      <c r="AC46" s="4">
        <v>2</v>
      </c>
    </row>
    <row r="47" spans="1:29" ht="8.1" customHeight="1" x14ac:dyDescent="0.3">
      <c r="A47" s="472" t="str">
        <f>IF(D45&gt;D30,"ERROR: CANOPY HEIGHT &gt; MRH","")</f>
        <v/>
      </c>
      <c r="B47" s="472"/>
      <c r="C47" s="472"/>
      <c r="D47" s="472"/>
      <c r="E47" s="472"/>
      <c r="F47" s="472"/>
      <c r="G47" s="472"/>
      <c r="H47" s="472"/>
      <c r="I47" s="352"/>
      <c r="J47" s="352"/>
      <c r="K47" s="352"/>
      <c r="L47" s="352"/>
      <c r="M47" s="352"/>
      <c r="N47" s="352"/>
      <c r="O47" s="180"/>
      <c r="P47" s="254"/>
      <c r="Q47" s="254"/>
      <c r="R47" s="254"/>
      <c r="S47" s="254"/>
      <c r="T47" s="254"/>
      <c r="U47" s="254"/>
      <c r="V47" s="254"/>
      <c r="W47" s="254"/>
      <c r="X47" s="254"/>
      <c r="Y47" s="254"/>
      <c r="Z47" s="254"/>
    </row>
    <row r="48" spans="1:29" ht="8.1" customHeight="1" x14ac:dyDescent="0.3">
      <c r="A48" s="472"/>
      <c r="B48" s="472"/>
      <c r="C48" s="472"/>
      <c r="D48" s="472"/>
      <c r="E48" s="472"/>
      <c r="F48" s="472"/>
      <c r="G48" s="472"/>
      <c r="H48" s="472"/>
      <c r="I48" s="352"/>
      <c r="J48" s="352"/>
      <c r="K48" s="352"/>
      <c r="L48" s="352"/>
      <c r="M48" s="352"/>
      <c r="N48" s="352"/>
      <c r="O48" s="180"/>
      <c r="P48" s="254"/>
      <c r="Q48" s="254"/>
      <c r="R48" s="254"/>
      <c r="S48" s="254"/>
      <c r="T48" s="254"/>
      <c r="U48" s="254"/>
      <c r="V48" s="254"/>
      <c r="W48" s="254"/>
      <c r="X48" s="254"/>
      <c r="Y48" s="254"/>
      <c r="Z48" s="254"/>
      <c r="AA48" s="4" t="s">
        <v>644</v>
      </c>
      <c r="AB48" s="4">
        <f>VLOOKUP(D53,AB49:AC63,2,0)</f>
        <v>5</v>
      </c>
    </row>
    <row r="49" spans="1:29" ht="8.1" customHeight="1" x14ac:dyDescent="0.3">
      <c r="A49" s="459" t="s">
        <v>207</v>
      </c>
      <c r="B49" s="459"/>
      <c r="C49" s="459"/>
      <c r="D49" s="430" t="s">
        <v>320</v>
      </c>
      <c r="E49" s="430"/>
      <c r="F49" s="430"/>
      <c r="G49" s="430"/>
      <c r="H49" s="430"/>
      <c r="I49" s="217"/>
      <c r="J49" s="217"/>
      <c r="K49" s="217"/>
      <c r="L49" s="217"/>
      <c r="M49" s="217"/>
      <c r="N49" s="217"/>
      <c r="O49" s="180"/>
      <c r="P49" s="254"/>
      <c r="Q49" s="254"/>
      <c r="R49" s="254"/>
      <c r="S49" s="254"/>
      <c r="T49" s="254"/>
      <c r="U49" s="254"/>
      <c r="V49" s="254"/>
      <c r="W49" s="254"/>
      <c r="X49" s="254"/>
      <c r="Y49" s="254"/>
      <c r="Z49" s="254"/>
      <c r="AB49" s="4" t="s">
        <v>604</v>
      </c>
      <c r="AC49" s="4">
        <v>1</v>
      </c>
    </row>
    <row r="50" spans="1:29" ht="8.1" customHeight="1" x14ac:dyDescent="0.3">
      <c r="A50" s="459"/>
      <c r="B50" s="459"/>
      <c r="C50" s="459"/>
      <c r="D50" s="430"/>
      <c r="E50" s="430"/>
      <c r="F50" s="430"/>
      <c r="G50" s="430"/>
      <c r="H50" s="430"/>
      <c r="I50" s="217"/>
      <c r="J50" s="217"/>
      <c r="K50" s="217"/>
      <c r="L50" s="217"/>
      <c r="M50" s="217"/>
      <c r="N50" s="217"/>
      <c r="O50" s="180"/>
      <c r="P50" s="254"/>
      <c r="Q50" s="254"/>
      <c r="R50" s="254"/>
      <c r="S50" s="254"/>
      <c r="T50" s="254"/>
      <c r="U50" s="254"/>
      <c r="V50" s="254"/>
      <c r="W50" s="254"/>
      <c r="X50" s="254"/>
      <c r="Y50" s="254"/>
      <c r="Z50" s="254"/>
      <c r="AB50" s="4" t="s">
        <v>605</v>
      </c>
      <c r="AC50" s="4">
        <v>2</v>
      </c>
    </row>
    <row r="51" spans="1:29" ht="8.1" customHeight="1" x14ac:dyDescent="0.25">
      <c r="A51" s="459" t="s">
        <v>208</v>
      </c>
      <c r="B51" s="459"/>
      <c r="C51" s="459"/>
      <c r="D51" s="430" t="s">
        <v>325</v>
      </c>
      <c r="E51" s="430"/>
      <c r="F51" s="430"/>
      <c r="G51" s="430"/>
      <c r="H51" s="430"/>
      <c r="I51" s="217"/>
      <c r="J51" s="217"/>
      <c r="K51" s="217"/>
      <c r="L51" s="217"/>
      <c r="M51" s="217"/>
      <c r="N51" s="217"/>
      <c r="O51" s="217"/>
      <c r="P51" s="180"/>
      <c r="Q51" s="180"/>
      <c r="R51" s="180"/>
      <c r="S51" s="180"/>
      <c r="T51" s="180"/>
      <c r="U51" s="180"/>
      <c r="V51" s="180"/>
      <c r="W51" s="180"/>
      <c r="X51" s="180"/>
      <c r="Y51" s="180"/>
      <c r="Z51" s="180"/>
      <c r="AB51" s="4" t="s">
        <v>606</v>
      </c>
      <c r="AC51" s="4">
        <v>3</v>
      </c>
    </row>
    <row r="52" spans="1:29" ht="8.1" customHeight="1" x14ac:dyDescent="0.25">
      <c r="A52" s="459"/>
      <c r="B52" s="459"/>
      <c r="C52" s="459"/>
      <c r="D52" s="430"/>
      <c r="E52" s="430"/>
      <c r="F52" s="430"/>
      <c r="G52" s="430"/>
      <c r="H52" s="430"/>
      <c r="I52" s="217"/>
      <c r="J52" s="217"/>
      <c r="K52" s="217"/>
      <c r="L52" s="217"/>
      <c r="M52" s="217"/>
      <c r="N52" s="217"/>
      <c r="O52" s="217"/>
      <c r="P52" s="180"/>
      <c r="Q52" s="180"/>
      <c r="R52" s="180"/>
      <c r="S52" s="180"/>
      <c r="T52" s="180"/>
      <c r="U52" s="180"/>
      <c r="V52" s="180"/>
      <c r="W52" s="180"/>
      <c r="X52" s="180"/>
      <c r="Y52" s="180"/>
      <c r="Z52" s="180"/>
      <c r="AB52" s="4" t="s">
        <v>607</v>
      </c>
      <c r="AC52" s="4">
        <v>4</v>
      </c>
    </row>
    <row r="53" spans="1:29" ht="8.1" customHeight="1" x14ac:dyDescent="0.25">
      <c r="A53" s="459" t="s">
        <v>277</v>
      </c>
      <c r="B53" s="459"/>
      <c r="C53" s="459"/>
      <c r="D53" s="430" t="s">
        <v>608</v>
      </c>
      <c r="E53" s="430"/>
      <c r="F53" s="430"/>
      <c r="G53" s="430"/>
      <c r="H53" s="430"/>
      <c r="I53" s="217"/>
      <c r="J53" s="217"/>
      <c r="K53" s="217"/>
      <c r="L53" s="217"/>
      <c r="M53" s="217"/>
      <c r="N53" s="180"/>
      <c r="O53" s="180"/>
      <c r="P53" s="180"/>
      <c r="Q53" s="180"/>
      <c r="R53" s="180"/>
      <c r="S53" s="180"/>
      <c r="T53" s="180"/>
      <c r="U53" s="180"/>
      <c r="V53" s="180"/>
      <c r="W53" s="180"/>
      <c r="X53" s="180"/>
      <c r="Y53" s="180"/>
      <c r="Z53" s="180"/>
      <c r="AB53" s="4" t="s">
        <v>608</v>
      </c>
      <c r="AC53" s="4">
        <v>5</v>
      </c>
    </row>
    <row r="54" spans="1:29" ht="8.1" customHeight="1" x14ac:dyDescent="0.25">
      <c r="A54" s="459"/>
      <c r="B54" s="459"/>
      <c r="C54" s="459"/>
      <c r="D54" s="430"/>
      <c r="E54" s="430"/>
      <c r="F54" s="430"/>
      <c r="G54" s="430"/>
      <c r="H54" s="430"/>
      <c r="I54" s="217"/>
      <c r="J54" s="217"/>
      <c r="K54" s="217"/>
      <c r="L54" s="217"/>
      <c r="M54" s="217"/>
      <c r="N54" s="180"/>
      <c r="O54" s="180"/>
      <c r="P54" s="180"/>
      <c r="Q54" s="180"/>
      <c r="R54" s="180"/>
      <c r="S54" s="180"/>
      <c r="T54" s="180"/>
      <c r="U54" s="180"/>
      <c r="V54" s="180"/>
      <c r="W54" s="180"/>
      <c r="X54" s="180"/>
      <c r="Y54" s="180"/>
      <c r="Z54" s="180"/>
      <c r="AB54" s="4" t="s">
        <v>609</v>
      </c>
      <c r="AC54" s="4">
        <v>6</v>
      </c>
    </row>
    <row r="55" spans="1:29" ht="8.1" customHeight="1" x14ac:dyDescent="0.25">
      <c r="A55" s="466" t="s">
        <v>278</v>
      </c>
      <c r="B55" s="466"/>
      <c r="C55" s="466"/>
      <c r="D55" s="431" t="s">
        <v>613</v>
      </c>
      <c r="E55" s="431"/>
      <c r="F55" s="431"/>
      <c r="G55" s="431"/>
      <c r="H55" s="431"/>
      <c r="I55" s="217"/>
      <c r="J55" s="217"/>
      <c r="K55" s="217"/>
      <c r="R55" s="180"/>
      <c r="S55" s="180"/>
      <c r="T55" s="180"/>
      <c r="U55" s="180"/>
      <c r="V55" s="180"/>
      <c r="W55" s="180"/>
      <c r="X55" s="180"/>
      <c r="Y55" s="180"/>
      <c r="Z55" s="180"/>
      <c r="AB55" s="4" t="s">
        <v>610</v>
      </c>
      <c r="AC55" s="4">
        <v>7</v>
      </c>
    </row>
    <row r="56" spans="1:29" ht="8.1" customHeight="1" x14ac:dyDescent="0.25">
      <c r="A56" s="466"/>
      <c r="B56" s="466"/>
      <c r="C56" s="466"/>
      <c r="D56" s="431"/>
      <c r="E56" s="431"/>
      <c r="F56" s="431"/>
      <c r="G56" s="431"/>
      <c r="H56" s="431"/>
      <c r="I56" s="217"/>
      <c r="J56" s="217"/>
      <c r="K56" s="217"/>
      <c r="R56" s="180"/>
      <c r="S56" s="180"/>
      <c r="T56" s="180"/>
      <c r="U56" s="180"/>
      <c r="V56" s="180"/>
      <c r="W56" s="180"/>
      <c r="X56" s="180"/>
      <c r="Y56" s="180"/>
      <c r="Z56" s="180"/>
      <c r="AB56" s="4" t="s">
        <v>611</v>
      </c>
      <c r="AC56" s="4">
        <v>8</v>
      </c>
    </row>
    <row r="57" spans="1:29" ht="8.1" customHeight="1" x14ac:dyDescent="0.25">
      <c r="A57" s="398"/>
      <c r="B57" s="398"/>
      <c r="C57" s="398"/>
      <c r="D57" s="401"/>
      <c r="E57" s="401"/>
      <c r="F57" s="401"/>
      <c r="G57" s="401"/>
      <c r="H57" s="401"/>
      <c r="I57" s="217"/>
      <c r="J57" s="217"/>
      <c r="K57" s="217"/>
      <c r="L57" s="400"/>
      <c r="M57" s="400"/>
      <c r="N57" s="400"/>
      <c r="O57" s="400"/>
      <c r="P57" s="400"/>
      <c r="Q57" s="400"/>
      <c r="R57" s="180"/>
      <c r="S57" s="180"/>
      <c r="T57" s="180"/>
      <c r="U57" s="180"/>
      <c r="V57" s="180"/>
      <c r="W57" s="180"/>
      <c r="X57" s="180"/>
      <c r="Y57" s="180"/>
      <c r="Z57" s="180"/>
      <c r="AB57" s="4" t="s">
        <v>615</v>
      </c>
      <c r="AC57" s="4">
        <v>9</v>
      </c>
    </row>
    <row r="58" spans="1:29" ht="8.1" customHeight="1" x14ac:dyDescent="0.25">
      <c r="A58" s="473" t="s">
        <v>288</v>
      </c>
      <c r="B58" s="473"/>
      <c r="C58" s="473"/>
      <c r="D58" s="473"/>
      <c r="E58" s="473"/>
      <c r="F58" s="473"/>
      <c r="G58" s="401"/>
      <c r="H58" s="401"/>
      <c r="I58" s="217"/>
      <c r="J58" s="217"/>
      <c r="K58" s="217"/>
      <c r="L58" s="400"/>
      <c r="M58" s="400"/>
      <c r="N58" s="400"/>
      <c r="O58" s="400"/>
      <c r="P58" s="400"/>
      <c r="Q58" s="400"/>
      <c r="R58" s="180"/>
      <c r="S58" s="180"/>
      <c r="T58" s="180"/>
      <c r="U58" s="180"/>
      <c r="V58" s="180"/>
      <c r="W58" s="180"/>
      <c r="X58" s="180"/>
      <c r="Y58" s="180"/>
      <c r="Z58" s="180"/>
      <c r="AB58" s="4" t="s">
        <v>616</v>
      </c>
      <c r="AC58" s="4">
        <v>10</v>
      </c>
    </row>
    <row r="59" spans="1:29" ht="8.1" customHeight="1" x14ac:dyDescent="0.25">
      <c r="A59" s="473"/>
      <c r="B59" s="473"/>
      <c r="C59" s="473"/>
      <c r="D59" s="473"/>
      <c r="E59" s="473"/>
      <c r="F59" s="473"/>
      <c r="G59" s="401"/>
      <c r="H59" s="401"/>
      <c r="I59" s="217"/>
      <c r="J59" s="217"/>
      <c r="K59" s="217"/>
      <c r="L59" s="400"/>
      <c r="M59" s="400"/>
      <c r="N59" s="400"/>
      <c r="O59" s="400"/>
      <c r="P59" s="400"/>
      <c r="Q59" s="400"/>
      <c r="R59" s="180"/>
      <c r="S59" s="180"/>
      <c r="T59" s="180"/>
      <c r="U59" s="180"/>
      <c r="V59" s="180"/>
      <c r="W59" s="180"/>
      <c r="X59" s="180"/>
      <c r="Y59" s="180"/>
      <c r="Z59" s="180"/>
      <c r="AB59" s="4" t="s">
        <v>617</v>
      </c>
      <c r="AC59" s="4">
        <v>11</v>
      </c>
    </row>
    <row r="60" spans="1:29" ht="8.1" customHeight="1" x14ac:dyDescent="0.25">
      <c r="A60" s="344"/>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c r="AB60" s="4" t="s">
        <v>618</v>
      </c>
      <c r="AC60" s="4">
        <v>12</v>
      </c>
    </row>
    <row r="61" spans="1:29" ht="8.1" customHeight="1" x14ac:dyDescent="0.25">
      <c r="A61" s="482" t="s">
        <v>300</v>
      </c>
      <c r="B61" s="483"/>
      <c r="C61" s="483"/>
      <c r="D61" s="483"/>
      <c r="E61" s="483"/>
      <c r="F61" s="399"/>
      <c r="G61" s="396"/>
      <c r="H61" s="396"/>
      <c r="I61" s="478" t="s">
        <v>284</v>
      </c>
      <c r="J61" s="478"/>
      <c r="K61" s="402"/>
      <c r="L61" s="402"/>
      <c r="M61" s="396"/>
      <c r="N61" s="396"/>
      <c r="O61" s="396"/>
      <c r="P61" s="5"/>
      <c r="Q61" s="5"/>
      <c r="R61" s="5"/>
      <c r="S61" s="478" t="s">
        <v>285</v>
      </c>
      <c r="T61" s="478"/>
      <c r="U61" s="402"/>
      <c r="V61" s="402"/>
      <c r="W61" s="402"/>
      <c r="X61" s="402"/>
      <c r="Y61" s="5"/>
      <c r="Z61" s="11"/>
      <c r="AB61" s="4" t="s">
        <v>212</v>
      </c>
      <c r="AC61" s="4">
        <v>13</v>
      </c>
    </row>
    <row r="62" spans="1:29" ht="8.1" customHeight="1" x14ac:dyDescent="0.25">
      <c r="A62" s="417"/>
      <c r="B62" s="418"/>
      <c r="C62" s="418"/>
      <c r="D62" s="418"/>
      <c r="E62" s="418"/>
      <c r="F62" s="400"/>
      <c r="G62" s="397"/>
      <c r="H62" s="397"/>
      <c r="I62" s="421"/>
      <c r="J62" s="421"/>
      <c r="K62" s="354"/>
      <c r="L62" s="354"/>
      <c r="M62" s="397"/>
      <c r="N62" s="397"/>
      <c r="O62" s="397"/>
      <c r="P62" s="1"/>
      <c r="Q62" s="1"/>
      <c r="R62" s="1"/>
      <c r="S62" s="421"/>
      <c r="T62" s="421"/>
      <c r="U62" s="354"/>
      <c r="V62" s="354"/>
      <c r="W62" s="354"/>
      <c r="X62" s="354"/>
      <c r="Y62" s="1"/>
      <c r="Z62" s="10"/>
      <c r="AB62" s="4" t="s">
        <v>213</v>
      </c>
      <c r="AC62" s="4">
        <v>14</v>
      </c>
    </row>
    <row r="63" spans="1:29" ht="8.1" customHeight="1" x14ac:dyDescent="0.25">
      <c r="A63" s="467" t="s">
        <v>293</v>
      </c>
      <c r="B63" s="468" t="str">
        <f>Control!C11</f>
        <v>D</v>
      </c>
      <c r="C63" s="468"/>
      <c r="D63" s="468"/>
      <c r="E63" s="468"/>
      <c r="F63" s="468"/>
      <c r="G63" s="354"/>
      <c r="H63" s="354"/>
      <c r="I63" s="440">
        <f>Control!F11</f>
        <v>2</v>
      </c>
      <c r="J63" s="440"/>
      <c r="K63" s="421" t="str">
        <f>"psf"</f>
        <v>psf</v>
      </c>
      <c r="L63" s="421"/>
      <c r="M63" s="421" t="str">
        <f>IF(I63=MAX($I$63:$J$80),"&lt;------ CONTROLS","")</f>
        <v/>
      </c>
      <c r="N63" s="421"/>
      <c r="O63" s="421"/>
      <c r="P63" s="421"/>
      <c r="Q63" s="1"/>
      <c r="R63" s="1"/>
      <c r="S63" s="440">
        <f>Control!H11</f>
        <v>2</v>
      </c>
      <c r="T63" s="440"/>
      <c r="U63" s="421" t="str">
        <f>"psf"</f>
        <v>psf</v>
      </c>
      <c r="V63" s="421"/>
      <c r="W63" s="421" t="str">
        <f>IF(S63=MIN($S$63:$T$80),"&lt;------ CONTROLS","")</f>
        <v/>
      </c>
      <c r="X63" s="421"/>
      <c r="Y63" s="421"/>
      <c r="Z63" s="475"/>
      <c r="AB63" s="4" t="s">
        <v>214</v>
      </c>
      <c r="AC63" s="4">
        <v>15</v>
      </c>
    </row>
    <row r="64" spans="1:29" ht="8.1" customHeight="1" x14ac:dyDescent="0.25">
      <c r="A64" s="467"/>
      <c r="B64" s="468"/>
      <c r="C64" s="468"/>
      <c r="D64" s="468"/>
      <c r="E64" s="468"/>
      <c r="F64" s="468"/>
      <c r="G64" s="354"/>
      <c r="H64" s="354"/>
      <c r="I64" s="440"/>
      <c r="J64" s="440"/>
      <c r="K64" s="421"/>
      <c r="L64" s="421"/>
      <c r="M64" s="421"/>
      <c r="N64" s="421"/>
      <c r="O64" s="421"/>
      <c r="P64" s="421"/>
      <c r="Q64" s="1"/>
      <c r="R64" s="1"/>
      <c r="S64" s="440"/>
      <c r="T64" s="440"/>
      <c r="U64" s="421"/>
      <c r="V64" s="421"/>
      <c r="W64" s="421"/>
      <c r="X64" s="421"/>
      <c r="Y64" s="421"/>
      <c r="Z64" s="475"/>
    </row>
    <row r="65" spans="1:29" ht="8.1" customHeight="1" x14ac:dyDescent="0.25">
      <c r="A65" s="467" t="s">
        <v>294</v>
      </c>
      <c r="B65" s="468" t="str">
        <f>Control!C12</f>
        <v>D</v>
      </c>
      <c r="C65" s="468"/>
      <c r="D65" s="468"/>
      <c r="E65" s="468"/>
      <c r="F65" s="468"/>
      <c r="G65" s="354"/>
      <c r="H65" s="354"/>
      <c r="I65" s="440">
        <f>Control!F12</f>
        <v>2</v>
      </c>
      <c r="J65" s="440"/>
      <c r="K65" s="421" t="str">
        <f>"psf"</f>
        <v>psf</v>
      </c>
      <c r="L65" s="421"/>
      <c r="M65" s="421" t="str">
        <f>IF(I65=MAX($I$63:$J$80),"&lt;------ CONTROLS","")</f>
        <v/>
      </c>
      <c r="N65" s="421"/>
      <c r="O65" s="421"/>
      <c r="P65" s="421"/>
      <c r="Q65" s="1"/>
      <c r="R65" s="1"/>
      <c r="S65" s="440">
        <f>Control!H12</f>
        <v>2</v>
      </c>
      <c r="T65" s="440"/>
      <c r="U65" s="421" t="str">
        <f>"psf"</f>
        <v>psf</v>
      </c>
      <c r="V65" s="421"/>
      <c r="W65" s="421" t="str">
        <f>IF(S65=MIN($S$63:$T$80),"&lt;------ CONTROLS","")</f>
        <v/>
      </c>
      <c r="X65" s="421"/>
      <c r="Y65" s="421"/>
      <c r="Z65" s="475"/>
      <c r="AA65" s="4" t="s">
        <v>645</v>
      </c>
      <c r="AB65" s="4">
        <f>VLOOKUP(D55,AB66:AC74,2,0)</f>
        <v>1</v>
      </c>
    </row>
    <row r="66" spans="1:29" ht="8.1" customHeight="1" x14ac:dyDescent="0.25">
      <c r="A66" s="467"/>
      <c r="B66" s="468"/>
      <c r="C66" s="468"/>
      <c r="D66" s="468"/>
      <c r="E66" s="468"/>
      <c r="F66" s="468"/>
      <c r="G66" s="354"/>
      <c r="H66" s="354"/>
      <c r="I66" s="440"/>
      <c r="J66" s="440"/>
      <c r="K66" s="421"/>
      <c r="L66" s="421"/>
      <c r="M66" s="421"/>
      <c r="N66" s="421"/>
      <c r="O66" s="421"/>
      <c r="P66" s="421"/>
      <c r="Q66" s="1"/>
      <c r="R66" s="1"/>
      <c r="S66" s="440"/>
      <c r="T66" s="440"/>
      <c r="U66" s="421"/>
      <c r="V66" s="421"/>
      <c r="W66" s="421"/>
      <c r="X66" s="421"/>
      <c r="Y66" s="421"/>
      <c r="Z66" s="475"/>
      <c r="AB66" s="4" t="s">
        <v>613</v>
      </c>
      <c r="AC66" s="4">
        <v>1</v>
      </c>
    </row>
    <row r="67" spans="1:29" ht="8.1" customHeight="1" x14ac:dyDescent="0.25">
      <c r="A67" s="467" t="s">
        <v>295</v>
      </c>
      <c r="B67" s="469" t="str">
        <f>Control!C13</f>
        <v>D+Lr</v>
      </c>
      <c r="C67" s="469"/>
      <c r="D67" s="469"/>
      <c r="E67" s="469"/>
      <c r="F67" s="469"/>
      <c r="G67" s="371"/>
      <c r="H67" s="371"/>
      <c r="I67" s="440">
        <f>Control!F13</f>
        <v>22</v>
      </c>
      <c r="J67" s="440"/>
      <c r="K67" s="421" t="str">
        <f>"psf"</f>
        <v>psf</v>
      </c>
      <c r="L67" s="421"/>
      <c r="M67" s="421" t="str">
        <f>IF(I67=MAX($I$63:$J$80),"&lt;------ CONTROLS","")</f>
        <v/>
      </c>
      <c r="N67" s="421"/>
      <c r="O67" s="421"/>
      <c r="P67" s="421"/>
      <c r="Q67" s="1"/>
      <c r="R67" s="1"/>
      <c r="S67" s="440">
        <f>Control!H13</f>
        <v>22</v>
      </c>
      <c r="T67" s="440"/>
      <c r="U67" s="421" t="str">
        <f>"psf"</f>
        <v>psf</v>
      </c>
      <c r="V67" s="421"/>
      <c r="W67" s="421" t="str">
        <f>IF(S67=MIN($S$63:$T$80),"&lt;------ CONTROLS","")</f>
        <v/>
      </c>
      <c r="X67" s="421"/>
      <c r="Y67" s="421"/>
      <c r="Z67" s="475"/>
      <c r="AB67" s="4" t="s">
        <v>614</v>
      </c>
      <c r="AC67" s="4">
        <v>2</v>
      </c>
    </row>
    <row r="68" spans="1:29" ht="8.1" customHeight="1" x14ac:dyDescent="0.25">
      <c r="A68" s="467"/>
      <c r="B68" s="469"/>
      <c r="C68" s="469"/>
      <c r="D68" s="469"/>
      <c r="E68" s="469"/>
      <c r="F68" s="469"/>
      <c r="G68" s="371"/>
      <c r="H68" s="371"/>
      <c r="I68" s="440"/>
      <c r="J68" s="440"/>
      <c r="K68" s="421"/>
      <c r="L68" s="421"/>
      <c r="M68" s="421"/>
      <c r="N68" s="421"/>
      <c r="O68" s="421"/>
      <c r="P68" s="421"/>
      <c r="Q68" s="1"/>
      <c r="R68" s="1"/>
      <c r="S68" s="440"/>
      <c r="T68" s="440"/>
      <c r="U68" s="421"/>
      <c r="V68" s="421"/>
      <c r="W68" s="421"/>
      <c r="X68" s="421"/>
      <c r="Y68" s="421"/>
      <c r="Z68" s="475"/>
      <c r="AB68" s="4" t="s">
        <v>615</v>
      </c>
      <c r="AC68" s="4">
        <v>3</v>
      </c>
    </row>
    <row r="69" spans="1:29" ht="8.1" customHeight="1" x14ac:dyDescent="0.25">
      <c r="A69" s="467" t="s">
        <v>296</v>
      </c>
      <c r="B69" s="418" t="str">
        <f>Control!C14</f>
        <v>D+0.75Lr</v>
      </c>
      <c r="C69" s="418"/>
      <c r="D69" s="418"/>
      <c r="E69" s="418"/>
      <c r="F69" s="418"/>
      <c r="G69" s="354"/>
      <c r="H69" s="354"/>
      <c r="I69" s="440">
        <f>Control!F14</f>
        <v>17</v>
      </c>
      <c r="J69" s="440"/>
      <c r="K69" s="421" t="str">
        <f>"psf"</f>
        <v>psf</v>
      </c>
      <c r="L69" s="421"/>
      <c r="M69" s="421" t="str">
        <f>IF(I69=MAX($I$63:$J$80),"&lt;------ CONTROLS","")</f>
        <v/>
      </c>
      <c r="N69" s="421"/>
      <c r="O69" s="421"/>
      <c r="P69" s="421"/>
      <c r="Q69" s="1"/>
      <c r="R69" s="1"/>
      <c r="S69" s="440">
        <f>Control!H14</f>
        <v>17</v>
      </c>
      <c r="T69" s="440"/>
      <c r="U69" s="421" t="str">
        <f>"psf"</f>
        <v>psf</v>
      </c>
      <c r="V69" s="421"/>
      <c r="W69" s="421" t="str">
        <f>IF(S69=MIN($S$63:$T$80),"&lt;------ CONTROLS","")</f>
        <v/>
      </c>
      <c r="X69" s="421"/>
      <c r="Y69" s="421"/>
      <c r="Z69" s="475"/>
      <c r="AB69" s="4" t="s">
        <v>616</v>
      </c>
      <c r="AC69" s="4">
        <v>4</v>
      </c>
    </row>
    <row r="70" spans="1:29" ht="8.1" customHeight="1" x14ac:dyDescent="0.25">
      <c r="A70" s="467"/>
      <c r="B70" s="418"/>
      <c r="C70" s="418"/>
      <c r="D70" s="418"/>
      <c r="E70" s="418"/>
      <c r="F70" s="418"/>
      <c r="G70" s="354"/>
      <c r="H70" s="354"/>
      <c r="I70" s="440"/>
      <c r="J70" s="440"/>
      <c r="K70" s="421"/>
      <c r="L70" s="421"/>
      <c r="M70" s="421"/>
      <c r="N70" s="421"/>
      <c r="O70" s="421"/>
      <c r="P70" s="421"/>
      <c r="Q70" s="1"/>
      <c r="R70" s="1"/>
      <c r="S70" s="440"/>
      <c r="T70" s="440"/>
      <c r="U70" s="421"/>
      <c r="V70" s="421"/>
      <c r="W70" s="421"/>
      <c r="X70" s="421"/>
      <c r="Y70" s="421"/>
      <c r="Z70" s="475"/>
      <c r="AB70" s="4" t="s">
        <v>617</v>
      </c>
      <c r="AC70" s="4">
        <v>5</v>
      </c>
    </row>
    <row r="71" spans="1:29" ht="8.1" customHeight="1" x14ac:dyDescent="0.25">
      <c r="A71" s="467" t="s">
        <v>297</v>
      </c>
      <c r="B71" s="418" t="str">
        <f>Control!C15</f>
        <v>D+0.6W</v>
      </c>
      <c r="C71" s="418"/>
      <c r="D71" s="418"/>
      <c r="E71" s="418"/>
      <c r="F71" s="418"/>
      <c r="G71" s="354"/>
      <c r="H71" s="354"/>
      <c r="I71" s="440">
        <f>Control!F15</f>
        <v>31.880963213369704</v>
      </c>
      <c r="J71" s="440"/>
      <c r="K71" s="421" t="str">
        <f>"psf"</f>
        <v>psf</v>
      </c>
      <c r="L71" s="421"/>
      <c r="M71" s="421" t="str">
        <f>IF(I71=MAX($I$63:$J$80),"&lt;------ CONTROLS","")</f>
        <v/>
      </c>
      <c r="N71" s="421"/>
      <c r="O71" s="421"/>
      <c r="P71" s="421"/>
      <c r="Q71" s="1"/>
      <c r="R71" s="1"/>
      <c r="S71" s="440">
        <f>Control!H15</f>
        <v>-27.836508294816902</v>
      </c>
      <c r="T71" s="440"/>
      <c r="U71" s="421" t="str">
        <f>"psf"</f>
        <v>psf</v>
      </c>
      <c r="V71" s="421"/>
      <c r="W71" s="421" t="str">
        <f>IF(S71=MIN($S$63:$T$80),"&lt;------ CONTROLS","")</f>
        <v/>
      </c>
      <c r="X71" s="421"/>
      <c r="Y71" s="421"/>
      <c r="Z71" s="475"/>
      <c r="AB71" s="4" t="s">
        <v>618</v>
      </c>
      <c r="AC71" s="4">
        <v>6</v>
      </c>
    </row>
    <row r="72" spans="1:29" ht="8.1" customHeight="1" x14ac:dyDescent="0.25">
      <c r="A72" s="467"/>
      <c r="B72" s="418"/>
      <c r="C72" s="418"/>
      <c r="D72" s="418"/>
      <c r="E72" s="418"/>
      <c r="F72" s="418"/>
      <c r="G72" s="354"/>
      <c r="H72" s="354"/>
      <c r="I72" s="440"/>
      <c r="J72" s="440"/>
      <c r="K72" s="421"/>
      <c r="L72" s="421"/>
      <c r="M72" s="421"/>
      <c r="N72" s="421"/>
      <c r="O72" s="421"/>
      <c r="P72" s="421"/>
      <c r="Q72" s="1"/>
      <c r="R72" s="1"/>
      <c r="S72" s="440"/>
      <c r="T72" s="440"/>
      <c r="U72" s="421"/>
      <c r="V72" s="421"/>
      <c r="W72" s="421"/>
      <c r="X72" s="421"/>
      <c r="Y72" s="421"/>
      <c r="Z72" s="475"/>
      <c r="AB72" s="4" t="s">
        <v>212</v>
      </c>
      <c r="AC72" s="4">
        <v>7</v>
      </c>
    </row>
    <row r="73" spans="1:29" ht="8.1" customHeight="1" x14ac:dyDescent="0.25">
      <c r="A73" s="467" t="s">
        <v>291</v>
      </c>
      <c r="B73" s="418" t="str">
        <f>Control!C16</f>
        <v>D+0.75(0.6W)+0.75Lr</v>
      </c>
      <c r="C73" s="418"/>
      <c r="D73" s="418"/>
      <c r="E73" s="418"/>
      <c r="F73" s="418"/>
      <c r="G73" s="354"/>
      <c r="H73" s="354"/>
      <c r="I73" s="440">
        <f>Control!F16</f>
        <v>39.410722410027276</v>
      </c>
      <c r="J73" s="440"/>
      <c r="K73" s="421" t="str">
        <f>"psf"</f>
        <v>psf</v>
      </c>
      <c r="L73" s="421"/>
      <c r="M73" s="421" t="str">
        <f>IF(I73=MAX($I$63:$J$80),"&lt;------ CONTROLS","")</f>
        <v>&lt;------ CONTROLS</v>
      </c>
      <c r="N73" s="421"/>
      <c r="O73" s="421"/>
      <c r="P73" s="421"/>
      <c r="Q73" s="1"/>
      <c r="R73" s="1"/>
      <c r="S73" s="440">
        <f>Control!H16</f>
        <v>-5.3773812211126746</v>
      </c>
      <c r="T73" s="440"/>
      <c r="U73" s="421" t="str">
        <f>"psf"</f>
        <v>psf</v>
      </c>
      <c r="V73" s="421"/>
      <c r="W73" s="421" t="str">
        <f>IF(S73=MIN($S$63:$T$80),"&lt;------ CONTROLS","")</f>
        <v/>
      </c>
      <c r="X73" s="421"/>
      <c r="Y73" s="421"/>
      <c r="Z73" s="475"/>
      <c r="AB73" s="4" t="s">
        <v>213</v>
      </c>
      <c r="AC73" s="4">
        <v>8</v>
      </c>
    </row>
    <row r="74" spans="1:29" ht="8.1" customHeight="1" x14ac:dyDescent="0.25">
      <c r="A74" s="467"/>
      <c r="B74" s="418"/>
      <c r="C74" s="418"/>
      <c r="D74" s="418"/>
      <c r="E74" s="418"/>
      <c r="F74" s="418"/>
      <c r="G74" s="354"/>
      <c r="H74" s="354"/>
      <c r="I74" s="440"/>
      <c r="J74" s="440"/>
      <c r="K74" s="421"/>
      <c r="L74" s="421"/>
      <c r="M74" s="421"/>
      <c r="N74" s="421"/>
      <c r="O74" s="421"/>
      <c r="P74" s="421"/>
      <c r="Q74" s="1"/>
      <c r="R74" s="1"/>
      <c r="S74" s="440"/>
      <c r="T74" s="440"/>
      <c r="U74" s="421"/>
      <c r="V74" s="421"/>
      <c r="W74" s="421"/>
      <c r="X74" s="421"/>
      <c r="Y74" s="421"/>
      <c r="Z74" s="475"/>
      <c r="AB74" s="4" t="s">
        <v>214</v>
      </c>
      <c r="AC74" s="4">
        <v>9</v>
      </c>
    </row>
    <row r="75" spans="1:29" ht="8.1" customHeight="1" x14ac:dyDescent="0.25">
      <c r="A75" s="467" t="s">
        <v>292</v>
      </c>
      <c r="B75" s="418" t="str">
        <f>Control!C17</f>
        <v>D</v>
      </c>
      <c r="C75" s="418"/>
      <c r="D75" s="418"/>
      <c r="E75" s="418"/>
      <c r="F75" s="418"/>
      <c r="G75" s="354"/>
      <c r="H75" s="354"/>
      <c r="I75" s="440">
        <f>Control!F17</f>
        <v>2</v>
      </c>
      <c r="J75" s="440"/>
      <c r="K75" s="421" t="str">
        <f>"psf"</f>
        <v>psf</v>
      </c>
      <c r="L75" s="421"/>
      <c r="M75" s="421" t="str">
        <f>IF(I75=MAX($I$63:$J$80),"&lt;------ CONTROLS","")</f>
        <v/>
      </c>
      <c r="N75" s="421"/>
      <c r="O75" s="421"/>
      <c r="P75" s="421"/>
      <c r="Q75" s="1"/>
      <c r="R75" s="1"/>
      <c r="S75" s="440">
        <f>Control!H17</f>
        <v>2</v>
      </c>
      <c r="T75" s="440"/>
      <c r="U75" s="421" t="str">
        <f>"psf"</f>
        <v>psf</v>
      </c>
      <c r="V75" s="421"/>
      <c r="W75" s="421" t="str">
        <f>IF(S75=MIN($S$63:$T$80),"&lt;------ CONTROLS","")</f>
        <v/>
      </c>
      <c r="X75" s="421"/>
      <c r="Y75" s="421"/>
      <c r="Z75" s="475"/>
    </row>
    <row r="76" spans="1:29" ht="8.1" customHeight="1" x14ac:dyDescent="0.25">
      <c r="A76" s="467"/>
      <c r="B76" s="418"/>
      <c r="C76" s="418"/>
      <c r="D76" s="418"/>
      <c r="E76" s="418"/>
      <c r="F76" s="418"/>
      <c r="G76" s="354"/>
      <c r="H76" s="354"/>
      <c r="I76" s="440"/>
      <c r="J76" s="440"/>
      <c r="K76" s="421"/>
      <c r="L76" s="421"/>
      <c r="M76" s="421"/>
      <c r="N76" s="421"/>
      <c r="O76" s="421"/>
      <c r="P76" s="421"/>
      <c r="Q76" s="1"/>
      <c r="R76" s="1"/>
      <c r="S76" s="440"/>
      <c r="T76" s="440"/>
      <c r="U76" s="421"/>
      <c r="V76" s="421"/>
      <c r="W76" s="421"/>
      <c r="X76" s="421"/>
      <c r="Y76" s="421"/>
      <c r="Z76" s="475"/>
    </row>
    <row r="77" spans="1:29" ht="8.1" customHeight="1" x14ac:dyDescent="0.25">
      <c r="A77" s="467" t="s">
        <v>298</v>
      </c>
      <c r="B77" s="418" t="str">
        <f>Control!C18</f>
        <v>0.6D+0.6W</v>
      </c>
      <c r="C77" s="418"/>
      <c r="D77" s="418"/>
      <c r="E77" s="418"/>
      <c r="F77" s="418"/>
      <c r="G77" s="354"/>
      <c r="H77" s="354"/>
      <c r="I77" s="440">
        <f>Control!F18</f>
        <v>31.080963213369703</v>
      </c>
      <c r="J77" s="440"/>
      <c r="K77" s="421" t="str">
        <f>"psf"</f>
        <v>psf</v>
      </c>
      <c r="L77" s="421"/>
      <c r="M77" s="421" t="str">
        <f>IF(I77=MAX($I$63:$J$80),"&lt;------ CONTROLS","")</f>
        <v/>
      </c>
      <c r="N77" s="421"/>
      <c r="O77" s="421"/>
      <c r="P77" s="421"/>
      <c r="Q77" s="1"/>
      <c r="R77" s="1"/>
      <c r="S77" s="440">
        <f>Control!H18</f>
        <v>-28.636508294816903</v>
      </c>
      <c r="T77" s="440"/>
      <c r="U77" s="421" t="str">
        <f>"psf"</f>
        <v>psf</v>
      </c>
      <c r="V77" s="421"/>
      <c r="W77" s="421" t="str">
        <f>IF(S77=MIN($S$63:$T$80),"&lt;------ CONTROLS","")</f>
        <v>&lt;------ CONTROLS</v>
      </c>
      <c r="X77" s="421"/>
      <c r="Y77" s="421"/>
      <c r="Z77" s="475"/>
    </row>
    <row r="78" spans="1:29" ht="8.1" customHeight="1" x14ac:dyDescent="0.25">
      <c r="A78" s="467"/>
      <c r="B78" s="418"/>
      <c r="C78" s="418"/>
      <c r="D78" s="418"/>
      <c r="E78" s="418"/>
      <c r="F78" s="418"/>
      <c r="G78" s="354"/>
      <c r="H78" s="354"/>
      <c r="I78" s="440"/>
      <c r="J78" s="440"/>
      <c r="K78" s="421"/>
      <c r="L78" s="421"/>
      <c r="M78" s="421"/>
      <c r="N78" s="421"/>
      <c r="O78" s="421"/>
      <c r="P78" s="421"/>
      <c r="Q78" s="1"/>
      <c r="R78" s="1"/>
      <c r="S78" s="440"/>
      <c r="T78" s="440"/>
      <c r="U78" s="421"/>
      <c r="V78" s="421"/>
      <c r="W78" s="421"/>
      <c r="X78" s="421"/>
      <c r="Y78" s="421"/>
      <c r="Z78" s="475"/>
    </row>
    <row r="79" spans="1:29" ht="8.1" customHeight="1" x14ac:dyDescent="0.25">
      <c r="A79" s="467" t="s">
        <v>299</v>
      </c>
      <c r="B79" s="418" t="str">
        <f>Control!C19</f>
        <v>0.6D</v>
      </c>
      <c r="C79" s="418"/>
      <c r="D79" s="418"/>
      <c r="E79" s="418"/>
      <c r="F79" s="418"/>
      <c r="G79" s="354"/>
      <c r="H79" s="354"/>
      <c r="I79" s="440">
        <f>Control!F19</f>
        <v>1.2</v>
      </c>
      <c r="J79" s="440"/>
      <c r="K79" s="421" t="str">
        <f>"psf"</f>
        <v>psf</v>
      </c>
      <c r="L79" s="421"/>
      <c r="M79" s="421" t="str">
        <f>IF(I79=MAX($I$63:$J$80),"&lt;------ CONTROLS","")</f>
        <v/>
      </c>
      <c r="N79" s="421"/>
      <c r="O79" s="421"/>
      <c r="P79" s="421"/>
      <c r="Q79" s="1"/>
      <c r="R79" s="1"/>
      <c r="S79" s="440">
        <f>Control!H19</f>
        <v>1.2</v>
      </c>
      <c r="T79" s="440"/>
      <c r="U79" s="421" t="str">
        <f>"psf"</f>
        <v>psf</v>
      </c>
      <c r="V79" s="421"/>
      <c r="W79" s="421" t="str">
        <f>IF(S79=MIN($S$63:$T$80),"&lt;------ CONTROLS","")</f>
        <v/>
      </c>
      <c r="X79" s="421"/>
      <c r="Y79" s="421"/>
      <c r="Z79" s="475"/>
    </row>
    <row r="80" spans="1:29" ht="8.1" customHeight="1" x14ac:dyDescent="0.25">
      <c r="A80" s="467"/>
      <c r="B80" s="418"/>
      <c r="C80" s="418"/>
      <c r="D80" s="418"/>
      <c r="E80" s="418"/>
      <c r="F80" s="418"/>
      <c r="G80" s="354"/>
      <c r="H80" s="354"/>
      <c r="I80" s="440"/>
      <c r="J80" s="440"/>
      <c r="K80" s="421"/>
      <c r="L80" s="421"/>
      <c r="M80" s="421"/>
      <c r="N80" s="421"/>
      <c r="O80" s="421"/>
      <c r="P80" s="421"/>
      <c r="Q80" s="1"/>
      <c r="R80" s="1"/>
      <c r="S80" s="440"/>
      <c r="T80" s="440"/>
      <c r="U80" s="421"/>
      <c r="V80" s="421"/>
      <c r="W80" s="421"/>
      <c r="X80" s="421"/>
      <c r="Y80" s="421"/>
      <c r="Z80" s="475"/>
    </row>
    <row r="81" spans="1:26" ht="8.1" customHeight="1" x14ac:dyDescent="0.25">
      <c r="A81" s="393"/>
      <c r="B81" s="339"/>
      <c r="C81" s="339"/>
      <c r="D81" s="339"/>
      <c r="E81" s="339"/>
      <c r="F81" s="339"/>
      <c r="G81" s="339"/>
      <c r="H81" s="339"/>
      <c r="I81" s="339"/>
      <c r="J81" s="339"/>
      <c r="K81" s="339"/>
      <c r="L81" s="339"/>
      <c r="M81" s="339"/>
      <c r="N81" s="339"/>
      <c r="O81" s="339"/>
      <c r="P81" s="339"/>
      <c r="Q81" s="1"/>
      <c r="R81" s="1"/>
      <c r="S81" s="1"/>
      <c r="T81" s="1"/>
      <c r="U81" s="339"/>
      <c r="V81" s="339"/>
      <c r="W81" s="339"/>
      <c r="X81" s="339"/>
      <c r="Y81" s="339"/>
      <c r="Z81" s="340"/>
    </row>
    <row r="82" spans="1:26" ht="8.1" customHeight="1" x14ac:dyDescent="0.25">
      <c r="A82" s="417" t="s">
        <v>403</v>
      </c>
      <c r="B82" s="418"/>
      <c r="C82" s="339"/>
      <c r="D82" s="418" t="s">
        <v>404</v>
      </c>
      <c r="E82" s="418"/>
      <c r="F82" s="418"/>
      <c r="G82" s="418"/>
      <c r="H82" s="418" t="s">
        <v>405</v>
      </c>
      <c r="I82" s="418"/>
      <c r="J82" s="418"/>
      <c r="K82" s="418"/>
      <c r="L82" s="418"/>
      <c r="M82" s="418" t="s">
        <v>406</v>
      </c>
      <c r="N82" s="418"/>
      <c r="O82" s="418"/>
      <c r="P82" s="418"/>
      <c r="Q82" s="418" t="s">
        <v>407</v>
      </c>
      <c r="R82" s="418"/>
      <c r="S82" s="418"/>
      <c r="T82" s="418"/>
      <c r="U82" s="1"/>
      <c r="V82" s="1"/>
      <c r="W82" s="1"/>
      <c r="X82" s="1"/>
      <c r="Y82" s="1"/>
      <c r="Z82" s="340"/>
    </row>
    <row r="83" spans="1:26" ht="8.1" customHeight="1" x14ac:dyDescent="0.25">
      <c r="A83" s="480"/>
      <c r="B83" s="445"/>
      <c r="C83" s="344"/>
      <c r="D83" s="445"/>
      <c r="E83" s="445"/>
      <c r="F83" s="445"/>
      <c r="G83" s="445"/>
      <c r="H83" s="445"/>
      <c r="I83" s="445"/>
      <c r="J83" s="445"/>
      <c r="K83" s="445"/>
      <c r="L83" s="445"/>
      <c r="M83" s="445"/>
      <c r="N83" s="445"/>
      <c r="O83" s="445"/>
      <c r="P83" s="445"/>
      <c r="Q83" s="445"/>
      <c r="R83" s="445"/>
      <c r="S83" s="445"/>
      <c r="T83" s="445"/>
      <c r="U83" s="2"/>
      <c r="V83" s="2"/>
      <c r="W83" s="2"/>
      <c r="X83" s="2"/>
      <c r="Y83" s="2"/>
      <c r="Z83" s="390"/>
    </row>
    <row r="84" spans="1:26" ht="8.1" customHeight="1" x14ac:dyDescent="0.25">
      <c r="A84" s="335"/>
      <c r="B84" s="335"/>
      <c r="C84" s="335"/>
      <c r="D84" s="335"/>
      <c r="E84" s="335"/>
      <c r="F84" s="335"/>
      <c r="G84" s="335"/>
      <c r="H84" s="335"/>
      <c r="I84" s="335"/>
      <c r="J84" s="335"/>
      <c r="K84" s="335"/>
      <c r="L84" s="335"/>
      <c r="M84" s="335"/>
      <c r="N84" s="335"/>
      <c r="O84" s="335"/>
      <c r="P84" s="335"/>
      <c r="Q84" s="335"/>
      <c r="R84" s="335"/>
      <c r="S84" s="335"/>
      <c r="T84" s="335"/>
      <c r="U84" s="335"/>
      <c r="V84" s="335"/>
      <c r="W84" s="335"/>
      <c r="X84" s="335"/>
      <c r="Y84" s="335"/>
      <c r="Z84" s="335"/>
    </row>
    <row r="85" spans="1:26" ht="8.1" customHeight="1" x14ac:dyDescent="0.25">
      <c r="A85" s="477" t="s">
        <v>452</v>
      </c>
      <c r="B85" s="477"/>
      <c r="C85" s="477"/>
      <c r="D85" s="477"/>
      <c r="E85" s="339"/>
      <c r="F85" s="339"/>
      <c r="G85" s="339"/>
      <c r="H85" s="339"/>
      <c r="I85" s="339"/>
      <c r="J85" s="339"/>
      <c r="K85" s="339"/>
      <c r="L85" s="339"/>
      <c r="M85" s="339"/>
      <c r="N85" s="339"/>
      <c r="O85" s="339"/>
      <c r="P85" s="339"/>
      <c r="Q85" s="339"/>
      <c r="R85" s="339"/>
      <c r="S85" s="339"/>
      <c r="T85" s="339"/>
      <c r="U85" s="339"/>
      <c r="V85" s="339"/>
      <c r="W85" s="339"/>
      <c r="X85" s="339"/>
      <c r="Y85" s="339"/>
      <c r="Z85" s="339"/>
    </row>
    <row r="86" spans="1:26" ht="8.1" customHeight="1" x14ac:dyDescent="0.25">
      <c r="A86" s="477"/>
      <c r="B86" s="477"/>
      <c r="C86" s="477"/>
      <c r="D86" s="477"/>
      <c r="E86" s="339"/>
      <c r="F86" s="339"/>
      <c r="G86" s="339"/>
      <c r="H86" s="339"/>
      <c r="I86" s="339"/>
      <c r="J86" s="339"/>
      <c r="K86" s="339"/>
      <c r="L86" s="339"/>
      <c r="M86" s="339"/>
      <c r="N86" s="339"/>
      <c r="O86" s="339"/>
      <c r="P86" s="339"/>
      <c r="Q86" s="339"/>
      <c r="R86" s="339"/>
      <c r="S86" s="339"/>
      <c r="T86" s="339"/>
      <c r="U86" s="339"/>
      <c r="V86" s="339"/>
      <c r="W86" s="339"/>
      <c r="X86" s="339"/>
      <c r="Y86" s="339"/>
      <c r="Z86" s="339"/>
    </row>
    <row r="87" spans="1:26" ht="8.1" customHeight="1" x14ac:dyDescent="0.25">
      <c r="A87" s="339"/>
      <c r="B87" s="339"/>
      <c r="C87" s="339"/>
      <c r="D87" s="339"/>
      <c r="E87" s="339"/>
      <c r="F87" s="339"/>
      <c r="G87" s="339"/>
      <c r="H87" s="339"/>
      <c r="I87" s="339"/>
      <c r="J87" s="339"/>
      <c r="K87" s="339"/>
      <c r="L87" s="339"/>
      <c r="M87" s="339"/>
      <c r="N87" s="339"/>
      <c r="O87" s="339"/>
      <c r="P87" s="339"/>
      <c r="Q87" s="339"/>
      <c r="R87" s="339"/>
      <c r="S87" s="339"/>
      <c r="T87" s="339"/>
      <c r="U87" s="339"/>
      <c r="V87" s="339"/>
      <c r="W87" s="339"/>
      <c r="X87" s="339"/>
      <c r="Y87" s="339"/>
      <c r="Z87" s="339"/>
    </row>
    <row r="88" spans="1:26" ht="8.1" customHeight="1" x14ac:dyDescent="0.25">
      <c r="A88" s="413" t="s">
        <v>408</v>
      </c>
      <c r="B88" s="414"/>
      <c r="C88" s="414"/>
      <c r="D88" s="414"/>
      <c r="E88" s="335"/>
      <c r="F88" s="335"/>
      <c r="G88" s="335"/>
      <c r="H88" s="335"/>
      <c r="I88" s="335"/>
      <c r="J88" s="335"/>
      <c r="K88" s="335"/>
      <c r="L88" s="335"/>
      <c r="M88" s="335"/>
      <c r="N88" s="335"/>
      <c r="O88" s="335"/>
      <c r="P88" s="335"/>
      <c r="Q88" s="335"/>
      <c r="R88" s="335"/>
      <c r="S88" s="335"/>
      <c r="T88" s="335"/>
      <c r="U88" s="335"/>
      <c r="V88" s="335"/>
      <c r="W88" s="335"/>
      <c r="X88" s="335"/>
      <c r="Y88" s="335"/>
      <c r="Z88" s="337"/>
    </row>
    <row r="89" spans="1:26" ht="8.1" customHeight="1" x14ac:dyDescent="0.25">
      <c r="A89" s="415"/>
      <c r="B89" s="416"/>
      <c r="C89" s="416"/>
      <c r="D89" s="416"/>
      <c r="E89" s="339"/>
      <c r="F89" s="339"/>
      <c r="G89" s="339"/>
      <c r="H89" s="339"/>
      <c r="I89" s="339"/>
      <c r="J89" s="339"/>
      <c r="K89" s="339"/>
      <c r="L89" s="339"/>
      <c r="M89" s="339"/>
      <c r="N89" s="339"/>
      <c r="O89" s="339"/>
      <c r="P89" s="339"/>
      <c r="Q89" s="339"/>
      <c r="R89" s="339"/>
      <c r="S89" s="339"/>
      <c r="T89" s="339"/>
      <c r="U89" s="339"/>
      <c r="V89" s="339"/>
      <c r="W89" s="339"/>
      <c r="X89" s="339"/>
      <c r="Y89" s="339"/>
      <c r="Z89" s="340"/>
    </row>
    <row r="90" spans="1:26" ht="8.1" customHeight="1" x14ac:dyDescent="0.25">
      <c r="A90" s="420" t="str">
        <f>"3""x6""x0.065"" Pan"</f>
        <v>3"x6"x0.065" Pan</v>
      </c>
      <c r="B90" s="421"/>
      <c r="C90" s="421"/>
      <c r="D90" s="421"/>
      <c r="E90" s="447">
        <f>MAX(Control!E26:F26)</f>
        <v>0.42798490417106355</v>
      </c>
      <c r="F90" s="447"/>
      <c r="G90" s="449" t="str">
        <f>IF(E90&gt;1,"NOT OK","OK")</f>
        <v>OK</v>
      </c>
      <c r="H90" s="449"/>
      <c r="I90" s="357"/>
      <c r="J90" s="339"/>
      <c r="K90" s="339"/>
      <c r="L90" s="339"/>
      <c r="M90" s="339"/>
      <c r="N90" s="339"/>
      <c r="O90" s="339"/>
      <c r="P90" s="339"/>
      <c r="Q90" s="339"/>
      <c r="R90" s="339"/>
      <c r="S90" s="339"/>
      <c r="T90" s="339"/>
      <c r="U90" s="339"/>
      <c r="V90" s="339"/>
      <c r="W90" s="339"/>
      <c r="X90" s="339"/>
      <c r="Y90" s="339"/>
      <c r="Z90" s="340"/>
    </row>
    <row r="91" spans="1:26" ht="8.1" customHeight="1" x14ac:dyDescent="0.25">
      <c r="A91" s="426"/>
      <c r="B91" s="423"/>
      <c r="C91" s="423"/>
      <c r="D91" s="423"/>
      <c r="E91" s="448"/>
      <c r="F91" s="448"/>
      <c r="G91" s="450"/>
      <c r="H91" s="450"/>
      <c r="I91" s="389"/>
      <c r="J91" s="344"/>
      <c r="K91" s="344"/>
      <c r="L91" s="344"/>
      <c r="M91" s="344"/>
      <c r="N91" s="344"/>
      <c r="O91" s="344"/>
      <c r="P91" s="344"/>
      <c r="Q91" s="344"/>
      <c r="R91" s="344"/>
      <c r="S91" s="344"/>
      <c r="T91" s="344"/>
      <c r="U91" s="344"/>
      <c r="V91" s="344"/>
      <c r="W91" s="344"/>
      <c r="X91" s="344"/>
      <c r="Y91" s="344"/>
      <c r="Z91" s="390"/>
    </row>
    <row r="92" spans="1:26" ht="8.1" customHeight="1" x14ac:dyDescent="0.25">
      <c r="A92" s="335"/>
      <c r="B92" s="335"/>
      <c r="C92" s="335"/>
      <c r="D92" s="335"/>
      <c r="E92" s="335"/>
      <c r="F92" s="335"/>
      <c r="G92" s="335"/>
      <c r="H92" s="335"/>
      <c r="I92" s="335"/>
      <c r="J92" s="335"/>
      <c r="K92" s="335"/>
      <c r="L92" s="335"/>
      <c r="M92" s="335"/>
      <c r="N92" s="335"/>
      <c r="O92" s="335"/>
      <c r="P92" s="335"/>
      <c r="Q92" s="335"/>
      <c r="R92" s="335"/>
      <c r="S92" s="335"/>
      <c r="T92" s="335"/>
      <c r="U92" s="335"/>
      <c r="V92" s="335"/>
      <c r="W92" s="335"/>
      <c r="X92" s="335"/>
      <c r="Y92" s="335"/>
      <c r="Z92" s="335"/>
    </row>
    <row r="93" spans="1:26" ht="8.1" customHeight="1" x14ac:dyDescent="0.25">
      <c r="A93" s="439" t="s">
        <v>419</v>
      </c>
      <c r="B93" s="439"/>
      <c r="C93" s="439"/>
      <c r="D93" s="439"/>
      <c r="E93" s="439"/>
      <c r="F93" s="439"/>
      <c r="G93" s="180"/>
      <c r="H93" s="180"/>
      <c r="I93" s="180"/>
      <c r="J93" s="180"/>
      <c r="K93" s="180"/>
      <c r="L93" s="180"/>
      <c r="U93" s="180"/>
      <c r="V93" s="180"/>
      <c r="W93" s="180"/>
      <c r="X93" s="180"/>
      <c r="Y93" s="180"/>
      <c r="Z93" s="180"/>
    </row>
    <row r="94" spans="1:26" ht="8.1" customHeight="1" x14ac:dyDescent="0.25">
      <c r="A94" s="439"/>
      <c r="B94" s="439"/>
      <c r="C94" s="439"/>
      <c r="D94" s="439"/>
      <c r="E94" s="439"/>
      <c r="F94" s="439"/>
      <c r="G94" s="180"/>
      <c r="H94" s="180"/>
      <c r="I94" s="180"/>
      <c r="J94" s="180"/>
      <c r="K94" s="180"/>
      <c r="L94" s="180"/>
      <c r="U94" s="180"/>
      <c r="V94" s="180"/>
      <c r="W94" s="180"/>
      <c r="X94" s="180"/>
      <c r="Y94" s="180"/>
      <c r="Z94" s="180"/>
    </row>
    <row r="95" spans="1:26" ht="8.1" customHeight="1" x14ac:dyDescent="0.25">
      <c r="A95" s="253"/>
      <c r="B95" s="253"/>
      <c r="C95" s="253"/>
      <c r="D95" s="253"/>
      <c r="E95" s="253"/>
      <c r="F95" s="180"/>
      <c r="G95" s="180"/>
      <c r="H95" s="180"/>
      <c r="I95" s="180"/>
      <c r="J95" s="180"/>
      <c r="K95" s="180"/>
      <c r="L95" s="180"/>
      <c r="M95" s="180"/>
      <c r="N95" s="180"/>
      <c r="O95" s="180"/>
      <c r="P95" s="180"/>
      <c r="Q95" s="180"/>
      <c r="R95" s="180"/>
      <c r="S95" s="180"/>
      <c r="T95" s="180"/>
      <c r="U95" s="180"/>
      <c r="V95" s="180"/>
      <c r="W95" s="180"/>
      <c r="X95" s="180"/>
      <c r="Y95" s="180"/>
      <c r="Z95" s="180"/>
    </row>
    <row r="96" spans="1:26" ht="8.1" customHeight="1" x14ac:dyDescent="0.25">
      <c r="A96" s="413" t="s">
        <v>409</v>
      </c>
      <c r="B96" s="414"/>
      <c r="C96" s="414"/>
      <c r="D96" s="414"/>
      <c r="E96" s="336"/>
      <c r="F96" s="335"/>
      <c r="G96" s="335"/>
      <c r="H96" s="335"/>
      <c r="I96" s="335"/>
      <c r="J96" s="335"/>
      <c r="K96" s="335"/>
      <c r="L96" s="335"/>
      <c r="M96" s="335"/>
      <c r="N96" s="335"/>
      <c r="O96" s="335"/>
      <c r="P96" s="335"/>
      <c r="Q96" s="335"/>
      <c r="R96" s="335"/>
      <c r="S96" s="335"/>
      <c r="T96" s="335"/>
      <c r="U96" s="335"/>
      <c r="V96" s="335"/>
      <c r="W96" s="335"/>
      <c r="X96" s="335"/>
      <c r="Y96" s="335"/>
      <c r="Z96" s="337"/>
    </row>
    <row r="97" spans="1:26" ht="8.1" customHeight="1" x14ac:dyDescent="0.25">
      <c r="A97" s="415"/>
      <c r="B97" s="416"/>
      <c r="C97" s="416"/>
      <c r="D97" s="416"/>
      <c r="E97" s="338"/>
      <c r="F97" s="339"/>
      <c r="G97" s="339"/>
      <c r="H97" s="339"/>
      <c r="I97" s="339"/>
      <c r="J97" s="339"/>
      <c r="K97" s="339"/>
      <c r="L97" s="339"/>
      <c r="M97" s="339"/>
      <c r="N97" s="339"/>
      <c r="O97" s="339"/>
      <c r="P97" s="339"/>
      <c r="Q97" s="339"/>
      <c r="R97" s="339"/>
      <c r="S97" s="339"/>
      <c r="T97" s="339"/>
      <c r="U97" s="339"/>
      <c r="V97" s="339"/>
      <c r="W97" s="339"/>
      <c r="X97" s="339"/>
      <c r="Y97" s="339"/>
      <c r="Z97" s="340"/>
    </row>
    <row r="98" spans="1:26" ht="8.1" customHeight="1" x14ac:dyDescent="0.25">
      <c r="A98" s="417" t="s">
        <v>275</v>
      </c>
      <c r="B98" s="418"/>
      <c r="C98" s="418"/>
      <c r="D98" s="418"/>
      <c r="E98" s="338"/>
      <c r="F98" s="339"/>
      <c r="G98" s="339"/>
      <c r="H98" s="339"/>
      <c r="I98" s="354"/>
      <c r="J98" s="354"/>
      <c r="K98" s="354"/>
      <c r="L98" s="354"/>
      <c r="M98" s="354"/>
      <c r="N98" s="354"/>
      <c r="O98" s="354"/>
      <c r="P98" s="339"/>
      <c r="Q98" s="339"/>
      <c r="R98" s="339"/>
      <c r="S98" s="339"/>
      <c r="T98" s="339"/>
      <c r="U98" s="339"/>
      <c r="V98" s="339"/>
      <c r="W98" s="339"/>
      <c r="X98" s="339"/>
      <c r="Y98" s="339"/>
      <c r="Z98" s="340"/>
    </row>
    <row r="99" spans="1:26" ht="8.1" customHeight="1" x14ac:dyDescent="0.25">
      <c r="A99" s="417"/>
      <c r="B99" s="418"/>
      <c r="C99" s="418"/>
      <c r="D99" s="418"/>
      <c r="E99" s="338"/>
      <c r="F99" s="339"/>
      <c r="G99" s="339"/>
      <c r="H99" s="339"/>
      <c r="I99" s="354"/>
      <c r="J99" s="354"/>
      <c r="K99" s="354"/>
      <c r="L99" s="354"/>
      <c r="M99" s="354"/>
      <c r="N99" s="354"/>
      <c r="O99" s="354"/>
      <c r="P99" s="339"/>
      <c r="Q99" s="339"/>
      <c r="R99" s="339"/>
      <c r="S99" s="339"/>
      <c r="T99" s="339"/>
      <c r="U99" s="339"/>
      <c r="V99" s="339"/>
      <c r="W99" s="339"/>
      <c r="X99" s="339"/>
      <c r="Y99" s="339"/>
      <c r="Z99" s="340"/>
    </row>
    <row r="100" spans="1:26" ht="8.1" customHeight="1" x14ac:dyDescent="0.25">
      <c r="A100" s="420" t="str">
        <f>"1.5"" SCH 40 Pipe"</f>
        <v>1.5" SCH 40 Pipe</v>
      </c>
      <c r="B100" s="421"/>
      <c r="C100" s="421"/>
      <c r="D100" s="421"/>
      <c r="E100" s="422">
        <f>Control!E30</f>
        <v>8</v>
      </c>
      <c r="F100" s="422"/>
      <c r="G100" s="421" t="str">
        <f>"ft. O.C."</f>
        <v>ft. O.C.</v>
      </c>
      <c r="H100" s="421"/>
      <c r="I100" s="419" t="str">
        <f>IF(Control!F92=2,"&lt;------ CONTROLS","")</f>
        <v/>
      </c>
      <c r="J100" s="419"/>
      <c r="K100" s="419"/>
      <c r="L100" s="419"/>
      <c r="M100" s="354"/>
      <c r="N100" s="354"/>
      <c r="O100" s="354"/>
      <c r="P100" s="354"/>
      <c r="Q100" s="355"/>
      <c r="R100" s="355"/>
      <c r="S100" s="354"/>
      <c r="T100" s="354"/>
      <c r="Y100" s="339"/>
      <c r="Z100" s="340"/>
    </row>
    <row r="101" spans="1:26" ht="8.1" customHeight="1" x14ac:dyDescent="0.25">
      <c r="A101" s="420"/>
      <c r="B101" s="421"/>
      <c r="C101" s="421"/>
      <c r="D101" s="421"/>
      <c r="E101" s="422"/>
      <c r="F101" s="422"/>
      <c r="G101" s="421"/>
      <c r="H101" s="421"/>
      <c r="I101" s="419"/>
      <c r="J101" s="419"/>
      <c r="K101" s="419"/>
      <c r="L101" s="419"/>
      <c r="M101" s="354"/>
      <c r="N101" s="354"/>
      <c r="O101" s="354"/>
      <c r="P101" s="354"/>
      <c r="Q101" s="355"/>
      <c r="R101" s="355"/>
      <c r="S101" s="354"/>
      <c r="T101" s="354"/>
      <c r="Y101" s="339"/>
      <c r="Z101" s="340"/>
    </row>
    <row r="102" spans="1:26" ht="8.1" customHeight="1" x14ac:dyDescent="0.25">
      <c r="A102" s="420" t="str">
        <f>"2"" SCH 80 Pipe"</f>
        <v>2" SCH 80 Pipe</v>
      </c>
      <c r="B102" s="421"/>
      <c r="C102" s="421"/>
      <c r="D102" s="421"/>
      <c r="E102" s="422">
        <f>Control!E31</f>
        <v>23</v>
      </c>
      <c r="F102" s="422"/>
      <c r="G102" s="421" t="str">
        <f>"ft. O.C."</f>
        <v>ft. O.C.</v>
      </c>
      <c r="H102" s="421"/>
      <c r="I102" s="419" t="str">
        <f>IF(Control!F93=2,"&lt;------ CONTROLS","")</f>
        <v/>
      </c>
      <c r="J102" s="419"/>
      <c r="K102" s="419"/>
      <c r="L102" s="419"/>
      <c r="M102" s="354"/>
      <c r="N102" s="354"/>
      <c r="O102" s="354"/>
      <c r="P102" s="354"/>
      <c r="Q102" s="355"/>
      <c r="R102" s="355"/>
      <c r="S102" s="354"/>
      <c r="T102" s="354"/>
      <c r="Y102" s="339"/>
      <c r="Z102" s="340"/>
    </row>
    <row r="103" spans="1:26" ht="8.1" customHeight="1" x14ac:dyDescent="0.25">
      <c r="A103" s="420"/>
      <c r="B103" s="421"/>
      <c r="C103" s="421"/>
      <c r="D103" s="421"/>
      <c r="E103" s="422"/>
      <c r="F103" s="422"/>
      <c r="G103" s="421"/>
      <c r="H103" s="421"/>
      <c r="I103" s="419"/>
      <c r="J103" s="419"/>
      <c r="K103" s="419"/>
      <c r="L103" s="419"/>
      <c r="M103" s="354"/>
      <c r="N103" s="354"/>
      <c r="O103" s="354"/>
      <c r="P103" s="354"/>
      <c r="Q103" s="355"/>
      <c r="R103" s="355"/>
      <c r="S103" s="354"/>
      <c r="T103" s="354"/>
      <c r="Y103" s="339"/>
      <c r="Z103" s="340"/>
    </row>
    <row r="104" spans="1:26" ht="8.1" customHeight="1" x14ac:dyDescent="0.25">
      <c r="A104" s="420" t="str">
        <f>"2""x2""x1/4"" Tube"</f>
        <v>2"x2"x1/4" Tube</v>
      </c>
      <c r="B104" s="421"/>
      <c r="C104" s="421"/>
      <c r="D104" s="421"/>
      <c r="E104" s="422">
        <f>Control!E32</f>
        <v>24</v>
      </c>
      <c r="F104" s="422"/>
      <c r="G104" s="421" t="str">
        <f>"ft. O.C."</f>
        <v>ft. O.C.</v>
      </c>
      <c r="H104" s="421"/>
      <c r="I104" s="419" t="str">
        <f>IF(Control!F94=2,"&lt;------ CONTROLS","")</f>
        <v/>
      </c>
      <c r="J104" s="419"/>
      <c r="K104" s="419"/>
      <c r="L104" s="419"/>
      <c r="M104" s="354"/>
      <c r="N104" s="354"/>
      <c r="O104" s="354"/>
      <c r="P104" s="354"/>
      <c r="Q104" s="355"/>
      <c r="R104" s="355"/>
      <c r="S104" s="354"/>
      <c r="T104" s="354"/>
      <c r="Y104" s="339"/>
      <c r="Z104" s="340"/>
    </row>
    <row r="105" spans="1:26" ht="8.1" customHeight="1" x14ac:dyDescent="0.25">
      <c r="A105" s="420"/>
      <c r="B105" s="421"/>
      <c r="C105" s="421"/>
      <c r="D105" s="421"/>
      <c r="E105" s="422"/>
      <c r="F105" s="422"/>
      <c r="G105" s="421"/>
      <c r="H105" s="421"/>
      <c r="I105" s="419"/>
      <c r="J105" s="419"/>
      <c r="K105" s="419"/>
      <c r="L105" s="419"/>
      <c r="M105" s="354"/>
      <c r="N105" s="354"/>
      <c r="O105" s="354"/>
      <c r="P105" s="354"/>
      <c r="Q105" s="355"/>
      <c r="R105" s="355"/>
      <c r="S105" s="354"/>
      <c r="T105" s="354"/>
      <c r="Y105" s="339"/>
      <c r="Z105" s="340"/>
    </row>
    <row r="106" spans="1:26" ht="8.1" customHeight="1" x14ac:dyDescent="0.25">
      <c r="A106" s="359"/>
      <c r="B106" s="359"/>
      <c r="C106" s="359"/>
      <c r="D106" s="359"/>
      <c r="E106" s="359"/>
      <c r="F106" s="359"/>
      <c r="G106" s="359"/>
      <c r="H106" s="359"/>
      <c r="I106" s="359"/>
      <c r="J106" s="359"/>
      <c r="K106" s="359"/>
      <c r="L106" s="359"/>
      <c r="M106" s="359"/>
      <c r="N106" s="359"/>
      <c r="O106" s="359"/>
      <c r="P106" s="359"/>
      <c r="Q106" s="359"/>
      <c r="R106" s="359"/>
      <c r="S106" s="359"/>
      <c r="T106" s="359"/>
      <c r="U106" s="360"/>
      <c r="V106" s="360"/>
      <c r="W106" s="360"/>
      <c r="X106" s="360"/>
      <c r="Y106" s="359"/>
      <c r="Z106" s="359"/>
    </row>
    <row r="107" spans="1:26" ht="8.1" customHeight="1" x14ac:dyDescent="0.25">
      <c r="A107" s="413" t="s">
        <v>410</v>
      </c>
      <c r="B107" s="414"/>
      <c r="C107" s="414"/>
      <c r="D107" s="414"/>
      <c r="E107" s="335"/>
      <c r="F107" s="335"/>
      <c r="G107" s="335"/>
      <c r="H107" s="335"/>
      <c r="I107" s="335"/>
      <c r="J107" s="335"/>
      <c r="K107" s="335"/>
      <c r="L107" s="335"/>
      <c r="M107" s="335"/>
      <c r="N107" s="335"/>
      <c r="O107" s="335"/>
      <c r="P107" s="335"/>
      <c r="Q107" s="335"/>
      <c r="R107" s="335"/>
      <c r="S107" s="335"/>
      <c r="T107" s="335"/>
      <c r="U107" s="345"/>
      <c r="V107" s="345"/>
      <c r="W107" s="345"/>
      <c r="X107" s="345"/>
      <c r="Y107" s="335"/>
      <c r="Z107" s="337"/>
    </row>
    <row r="108" spans="1:26" ht="8.1" customHeight="1" x14ac:dyDescent="0.25">
      <c r="A108" s="415"/>
      <c r="B108" s="416"/>
      <c r="C108" s="416"/>
      <c r="D108" s="416"/>
      <c r="E108" s="339"/>
      <c r="F108" s="339"/>
      <c r="G108" s="339"/>
      <c r="H108" s="339"/>
      <c r="I108" s="339"/>
      <c r="J108" s="339"/>
      <c r="K108" s="339"/>
      <c r="L108" s="339"/>
      <c r="M108" s="339"/>
      <c r="N108" s="339"/>
      <c r="O108" s="339"/>
      <c r="P108" s="339"/>
      <c r="Q108" s="339"/>
      <c r="R108" s="339"/>
      <c r="S108" s="339"/>
      <c r="T108" s="339"/>
      <c r="U108" s="346"/>
      <c r="V108" s="346"/>
      <c r="W108" s="346"/>
      <c r="X108" s="346"/>
      <c r="Y108" s="339"/>
      <c r="Z108" s="340"/>
    </row>
    <row r="109" spans="1:26" ht="8.1" customHeight="1" x14ac:dyDescent="0.25">
      <c r="A109" s="417" t="s">
        <v>281</v>
      </c>
      <c r="B109" s="418"/>
      <c r="C109" s="418"/>
      <c r="D109" s="418"/>
      <c r="E109" s="338"/>
      <c r="F109" s="339"/>
      <c r="G109" s="339"/>
      <c r="H109" s="339"/>
      <c r="I109" s="354"/>
      <c r="J109" s="354"/>
      <c r="K109" s="354"/>
      <c r="L109" s="354"/>
      <c r="M109" s="354"/>
      <c r="N109" s="354"/>
      <c r="O109" s="354"/>
      <c r="P109" s="339"/>
      <c r="Q109" s="339"/>
      <c r="R109" s="339"/>
      <c r="S109" s="339"/>
      <c r="T109" s="339"/>
      <c r="U109" s="346"/>
      <c r="V109" s="346"/>
      <c r="W109" s="346"/>
      <c r="X109" s="346"/>
      <c r="Y109" s="339"/>
      <c r="Z109" s="340"/>
    </row>
    <row r="110" spans="1:26" ht="8.1" customHeight="1" x14ac:dyDescent="0.25">
      <c r="A110" s="417"/>
      <c r="B110" s="418"/>
      <c r="C110" s="418"/>
      <c r="D110" s="418"/>
      <c r="E110" s="338"/>
      <c r="F110" s="339"/>
      <c r="G110" s="339"/>
      <c r="H110" s="339"/>
      <c r="I110" s="354"/>
      <c r="J110" s="354"/>
      <c r="K110" s="354"/>
      <c r="L110" s="354"/>
      <c r="M110" s="354"/>
      <c r="N110" s="354"/>
      <c r="O110" s="354"/>
      <c r="P110" s="339"/>
      <c r="Q110" s="339"/>
      <c r="R110" s="339"/>
      <c r="S110" s="339"/>
      <c r="T110" s="339"/>
      <c r="U110" s="346"/>
      <c r="V110" s="346"/>
      <c r="W110" s="346"/>
      <c r="X110" s="346"/>
      <c r="Y110" s="339"/>
      <c r="Z110" s="340"/>
    </row>
    <row r="111" spans="1:26" ht="8.1" customHeight="1" x14ac:dyDescent="0.25">
      <c r="A111" s="420" t="str">
        <f>"1.5"" SCH 40 Pipe"</f>
        <v>1.5" SCH 40 Pipe</v>
      </c>
      <c r="B111" s="421"/>
      <c r="C111" s="421"/>
      <c r="D111" s="421"/>
      <c r="E111" s="422">
        <f>Control!E34</f>
        <v>6</v>
      </c>
      <c r="F111" s="422"/>
      <c r="G111" s="421" t="str">
        <f>"ft. O.C."</f>
        <v>ft. O.C.</v>
      </c>
      <c r="H111" s="421"/>
      <c r="I111" s="419" t="str">
        <f>IF(Control!F96=2,"&lt;------ CONTROLS","")</f>
        <v>&lt;------ CONTROLS</v>
      </c>
      <c r="J111" s="419"/>
      <c r="K111" s="419"/>
      <c r="L111" s="419"/>
      <c r="M111" s="354"/>
      <c r="N111" s="354"/>
      <c r="O111" s="354"/>
      <c r="P111" s="354"/>
      <c r="Q111" s="355"/>
      <c r="R111" s="355"/>
      <c r="S111" s="354"/>
      <c r="T111" s="354"/>
      <c r="Y111" s="339"/>
      <c r="Z111" s="340"/>
    </row>
    <row r="112" spans="1:26" ht="8.1" customHeight="1" x14ac:dyDescent="0.25">
      <c r="A112" s="420"/>
      <c r="B112" s="421"/>
      <c r="C112" s="421"/>
      <c r="D112" s="421"/>
      <c r="E112" s="422"/>
      <c r="F112" s="422"/>
      <c r="G112" s="421"/>
      <c r="H112" s="421"/>
      <c r="I112" s="419"/>
      <c r="J112" s="419"/>
      <c r="K112" s="419"/>
      <c r="L112" s="419"/>
      <c r="M112" s="354"/>
      <c r="N112" s="354"/>
      <c r="O112" s="354"/>
      <c r="P112" s="354"/>
      <c r="Q112" s="355"/>
      <c r="R112" s="355"/>
      <c r="S112" s="354"/>
      <c r="T112" s="354"/>
      <c r="Y112" s="339"/>
      <c r="Z112" s="340"/>
    </row>
    <row r="113" spans="1:26" ht="8.1" customHeight="1" x14ac:dyDescent="0.25">
      <c r="A113" s="420" t="str">
        <f>"2"" SCH 80 Pipe"</f>
        <v>2" SCH 80 Pipe</v>
      </c>
      <c r="B113" s="421"/>
      <c r="C113" s="421"/>
      <c r="D113" s="421"/>
      <c r="E113" s="422">
        <f>Control!E35</f>
        <v>8.5</v>
      </c>
      <c r="F113" s="422"/>
      <c r="G113" s="421" t="str">
        <f>"ft. O.C."</f>
        <v>ft. O.C.</v>
      </c>
      <c r="H113" s="421"/>
      <c r="I113" s="419" t="str">
        <f>IF(Control!F97=2,"&lt;------ CONTROLS","")</f>
        <v/>
      </c>
      <c r="J113" s="419"/>
      <c r="K113" s="419"/>
      <c r="L113" s="419"/>
      <c r="M113" s="354"/>
      <c r="N113" s="354"/>
      <c r="O113" s="354"/>
      <c r="P113" s="354"/>
      <c r="Q113" s="355"/>
      <c r="R113" s="355"/>
      <c r="S113" s="354"/>
      <c r="T113" s="354"/>
      <c r="Y113" s="339"/>
      <c r="Z113" s="340"/>
    </row>
    <row r="114" spans="1:26" ht="8.1" customHeight="1" x14ac:dyDescent="0.25">
      <c r="A114" s="420"/>
      <c r="B114" s="421"/>
      <c r="C114" s="421"/>
      <c r="D114" s="421"/>
      <c r="E114" s="422"/>
      <c r="F114" s="422"/>
      <c r="G114" s="421"/>
      <c r="H114" s="421"/>
      <c r="I114" s="419"/>
      <c r="J114" s="419"/>
      <c r="K114" s="419"/>
      <c r="L114" s="419"/>
      <c r="M114" s="354"/>
      <c r="N114" s="354"/>
      <c r="O114" s="354"/>
      <c r="P114" s="354"/>
      <c r="Q114" s="355"/>
      <c r="R114" s="355"/>
      <c r="S114" s="354"/>
      <c r="T114" s="354"/>
      <c r="Y114" s="339"/>
      <c r="Z114" s="340"/>
    </row>
    <row r="115" spans="1:26" ht="8.1" customHeight="1" x14ac:dyDescent="0.25">
      <c r="A115" s="335"/>
      <c r="B115" s="335"/>
      <c r="C115" s="335"/>
      <c r="D115" s="335"/>
      <c r="E115" s="335"/>
      <c r="F115" s="335"/>
      <c r="G115" s="335"/>
      <c r="H115" s="335"/>
      <c r="I115" s="335"/>
      <c r="J115" s="335"/>
      <c r="K115" s="335"/>
      <c r="L115" s="335"/>
      <c r="M115" s="335"/>
      <c r="N115" s="335"/>
      <c r="O115" s="335"/>
      <c r="P115" s="335"/>
      <c r="Q115" s="335"/>
      <c r="R115" s="335"/>
      <c r="S115" s="335"/>
      <c r="T115" s="335"/>
      <c r="U115" s="345"/>
      <c r="V115" s="345"/>
      <c r="W115" s="345"/>
      <c r="X115" s="345"/>
      <c r="Y115" s="335"/>
      <c r="Z115" s="335"/>
    </row>
    <row r="116" spans="1:26" ht="8.1" customHeight="1" x14ac:dyDescent="0.25">
      <c r="A116" s="413" t="s">
        <v>411</v>
      </c>
      <c r="B116" s="414"/>
      <c r="C116" s="414"/>
      <c r="D116" s="414"/>
      <c r="E116" s="335"/>
      <c r="F116" s="335"/>
      <c r="G116" s="335"/>
      <c r="H116" s="335"/>
      <c r="I116" s="335"/>
      <c r="J116" s="335"/>
      <c r="K116" s="335"/>
      <c r="L116" s="335"/>
      <c r="M116" s="335"/>
      <c r="N116" s="335"/>
      <c r="O116" s="335"/>
      <c r="P116" s="335"/>
      <c r="Q116" s="335"/>
      <c r="R116" s="335"/>
      <c r="S116" s="335"/>
      <c r="T116" s="335"/>
      <c r="U116" s="345"/>
      <c r="V116" s="345"/>
      <c r="W116" s="345"/>
      <c r="X116" s="345"/>
      <c r="Y116" s="335"/>
      <c r="Z116" s="337"/>
    </row>
    <row r="117" spans="1:26" ht="8.1" customHeight="1" x14ac:dyDescent="0.25">
      <c r="A117" s="415"/>
      <c r="B117" s="416"/>
      <c r="C117" s="416"/>
      <c r="D117" s="416"/>
      <c r="E117" s="339"/>
      <c r="F117" s="339"/>
      <c r="G117" s="339"/>
      <c r="H117" s="339"/>
      <c r="I117" s="339"/>
      <c r="J117" s="339"/>
      <c r="K117" s="339"/>
      <c r="L117" s="339"/>
      <c r="M117" s="339"/>
      <c r="N117" s="339"/>
      <c r="O117" s="339"/>
      <c r="P117" s="339"/>
      <c r="Q117" s="339"/>
      <c r="R117" s="339"/>
      <c r="S117" s="339"/>
      <c r="T117" s="339"/>
      <c r="U117" s="346"/>
      <c r="V117" s="346"/>
      <c r="W117" s="346"/>
      <c r="X117" s="346"/>
      <c r="Y117" s="339"/>
      <c r="Z117" s="340"/>
    </row>
    <row r="118" spans="1:26" ht="8.1" customHeight="1" x14ac:dyDescent="0.25">
      <c r="A118" s="420" t="str">
        <f>"1/2"" Clevis Pin"</f>
        <v>1/2" Clevis Pin</v>
      </c>
      <c r="B118" s="421"/>
      <c r="C118" s="421"/>
      <c r="D118" s="421"/>
      <c r="E118" s="438">
        <f>Control!E37</f>
        <v>8</v>
      </c>
      <c r="F118" s="438"/>
      <c r="G118" s="421" t="str">
        <f>"ft. O.C."</f>
        <v>ft. O.C.</v>
      </c>
      <c r="H118" s="421"/>
      <c r="I118" s="421" t="str">
        <f>IF(Control!F100=2,"&lt;------ CONTROLS","")</f>
        <v/>
      </c>
      <c r="J118" s="421"/>
      <c r="K118" s="421"/>
      <c r="L118" s="421"/>
      <c r="M118" s="339"/>
      <c r="N118" s="339"/>
      <c r="O118" s="339"/>
      <c r="P118" s="339"/>
      <c r="Q118" s="339"/>
      <c r="R118" s="339"/>
      <c r="S118" s="339"/>
      <c r="T118" s="339"/>
      <c r="U118" s="346"/>
      <c r="V118" s="346"/>
      <c r="W118" s="346"/>
      <c r="X118" s="346"/>
      <c r="Y118" s="339"/>
      <c r="Z118" s="340"/>
    </row>
    <row r="119" spans="1:26" ht="8.1" customHeight="1" x14ac:dyDescent="0.25">
      <c r="A119" s="426"/>
      <c r="B119" s="423"/>
      <c r="C119" s="423"/>
      <c r="D119" s="423"/>
      <c r="E119" s="476"/>
      <c r="F119" s="476"/>
      <c r="G119" s="423"/>
      <c r="H119" s="423"/>
      <c r="I119" s="423"/>
      <c r="J119" s="423"/>
      <c r="K119" s="423"/>
      <c r="L119" s="423"/>
      <c r="M119" s="344"/>
      <c r="N119" s="344"/>
      <c r="O119" s="344"/>
      <c r="P119" s="344"/>
      <c r="Q119" s="344"/>
      <c r="R119" s="344"/>
      <c r="S119" s="344"/>
      <c r="T119" s="344"/>
      <c r="U119" s="391"/>
      <c r="V119" s="391"/>
      <c r="W119" s="391"/>
      <c r="X119" s="391"/>
      <c r="Y119" s="344"/>
      <c r="Z119" s="390"/>
    </row>
    <row r="120" spans="1:26" ht="8.1" customHeight="1" x14ac:dyDescent="0.25">
      <c r="A120" s="359"/>
      <c r="B120" s="359"/>
      <c r="C120" s="359"/>
      <c r="D120" s="359"/>
      <c r="E120" s="359"/>
      <c r="F120" s="359"/>
      <c r="G120" s="359"/>
      <c r="H120" s="359"/>
      <c r="I120" s="359"/>
      <c r="J120" s="359"/>
      <c r="K120" s="359"/>
      <c r="L120" s="359"/>
      <c r="M120" s="359"/>
      <c r="N120" s="359"/>
      <c r="O120" s="359"/>
      <c r="P120" s="359"/>
      <c r="Q120" s="359"/>
      <c r="R120" s="359"/>
      <c r="S120" s="359"/>
      <c r="T120" s="359"/>
      <c r="U120" s="360"/>
      <c r="V120" s="360"/>
      <c r="W120" s="360"/>
      <c r="X120" s="360"/>
      <c r="Y120" s="359"/>
      <c r="Z120" s="359"/>
    </row>
    <row r="121" spans="1:26" ht="8.1" customHeight="1" x14ac:dyDescent="0.25">
      <c r="A121" s="415" t="s">
        <v>412</v>
      </c>
      <c r="B121" s="416"/>
      <c r="C121" s="416"/>
      <c r="D121" s="416"/>
      <c r="E121" s="339"/>
      <c r="F121" s="339"/>
      <c r="G121" s="339"/>
      <c r="H121" s="339"/>
      <c r="I121" s="339"/>
      <c r="J121" s="339"/>
      <c r="K121" s="339"/>
      <c r="L121" s="339"/>
      <c r="M121" s="339"/>
      <c r="N121" s="339"/>
      <c r="O121" s="339"/>
      <c r="P121" s="339"/>
      <c r="Q121" s="339"/>
      <c r="R121" s="339"/>
      <c r="S121" s="339"/>
      <c r="T121" s="339"/>
      <c r="U121" s="346"/>
      <c r="V121" s="346"/>
      <c r="W121" s="346"/>
      <c r="X121" s="346"/>
      <c r="Y121" s="339"/>
      <c r="Z121" s="340"/>
    </row>
    <row r="122" spans="1:26" ht="8.1" customHeight="1" x14ac:dyDescent="0.25">
      <c r="A122" s="415"/>
      <c r="B122" s="416"/>
      <c r="C122" s="416"/>
      <c r="D122" s="416"/>
      <c r="E122" s="339"/>
      <c r="F122" s="339"/>
      <c r="G122" s="339"/>
      <c r="H122" s="339"/>
      <c r="I122" s="339"/>
      <c r="J122" s="339"/>
      <c r="K122" s="339"/>
      <c r="L122" s="339"/>
      <c r="M122" s="339"/>
      <c r="N122" s="339"/>
      <c r="O122" s="339"/>
      <c r="P122" s="339"/>
      <c r="Q122" s="339"/>
      <c r="R122" s="339"/>
      <c r="S122" s="339"/>
      <c r="T122" s="339"/>
      <c r="U122" s="346"/>
      <c r="V122" s="346"/>
      <c r="W122" s="346"/>
      <c r="X122" s="346"/>
      <c r="Y122" s="339"/>
      <c r="Z122" s="340"/>
    </row>
    <row r="123" spans="1:26" ht="8.1" customHeight="1" x14ac:dyDescent="0.25">
      <c r="A123" s="417" t="s">
        <v>282</v>
      </c>
      <c r="B123" s="418"/>
      <c r="C123" s="418"/>
      <c r="D123" s="418"/>
      <c r="E123" s="338"/>
      <c r="F123" s="339"/>
      <c r="G123" s="339"/>
      <c r="H123" s="339"/>
      <c r="I123" s="354"/>
      <c r="J123" s="354"/>
      <c r="K123" s="354"/>
      <c r="L123" s="354"/>
      <c r="M123" s="354"/>
      <c r="N123" s="354"/>
      <c r="O123" s="354"/>
      <c r="P123" s="339"/>
      <c r="Q123" s="339"/>
      <c r="R123" s="339"/>
      <c r="S123" s="339"/>
      <c r="T123" s="339"/>
      <c r="U123" s="346"/>
      <c r="V123" s="346"/>
      <c r="W123" s="346"/>
      <c r="X123" s="346"/>
      <c r="Y123" s="339"/>
      <c r="Z123" s="340"/>
    </row>
    <row r="124" spans="1:26" ht="8.1" customHeight="1" x14ac:dyDescent="0.25">
      <c r="A124" s="417"/>
      <c r="B124" s="418"/>
      <c r="C124" s="418"/>
      <c r="D124" s="418"/>
      <c r="E124" s="338"/>
      <c r="F124" s="339"/>
      <c r="G124" s="339"/>
      <c r="H124" s="339"/>
      <c r="I124" s="354"/>
      <c r="J124" s="354"/>
      <c r="K124" s="354"/>
      <c r="L124" s="354"/>
      <c r="M124" s="354"/>
      <c r="N124" s="354"/>
      <c r="O124" s="354"/>
      <c r="P124" s="339"/>
      <c r="Q124" s="339"/>
      <c r="R124" s="339"/>
      <c r="S124" s="339"/>
      <c r="T124" s="339"/>
      <c r="U124" s="346"/>
      <c r="V124" s="346"/>
      <c r="W124" s="346"/>
      <c r="X124" s="346"/>
      <c r="Y124" s="339"/>
      <c r="Z124" s="340"/>
    </row>
    <row r="125" spans="1:26" ht="8.1" customHeight="1" x14ac:dyDescent="0.25">
      <c r="A125" s="474" t="str">
        <f>"4""x5-1/4"" Tee"</f>
        <v>4"x5-1/4" Tee</v>
      </c>
      <c r="B125" s="419"/>
      <c r="C125" s="419"/>
      <c r="D125" s="419"/>
      <c r="E125" s="422">
        <f>MIN(Control!E39,Control!G39)</f>
        <v>17.5</v>
      </c>
      <c r="F125" s="422"/>
      <c r="G125" s="421" t="str">
        <f>"ft. O.C."</f>
        <v>ft. O.C.</v>
      </c>
      <c r="H125" s="421"/>
      <c r="I125" s="419" t="str">
        <f>IF(Control!F102=2,"&lt;------ CONTROLS","")</f>
        <v/>
      </c>
      <c r="J125" s="419"/>
      <c r="K125" s="419"/>
      <c r="L125" s="419"/>
      <c r="M125" s="354"/>
      <c r="N125" s="354"/>
      <c r="O125" s="354"/>
      <c r="P125" s="354"/>
      <c r="Q125" s="355"/>
      <c r="R125" s="355"/>
      <c r="S125" s="354"/>
      <c r="T125" s="354"/>
      <c r="Y125" s="339"/>
      <c r="Z125" s="340"/>
    </row>
    <row r="126" spans="1:26" ht="8.1" customHeight="1" x14ac:dyDescent="0.25">
      <c r="A126" s="474"/>
      <c r="B126" s="419"/>
      <c r="C126" s="419"/>
      <c r="D126" s="419"/>
      <c r="E126" s="422"/>
      <c r="F126" s="422"/>
      <c r="G126" s="421"/>
      <c r="H126" s="421"/>
      <c r="I126" s="419"/>
      <c r="J126" s="419"/>
      <c r="K126" s="419"/>
      <c r="L126" s="419"/>
      <c r="M126" s="354"/>
      <c r="N126" s="354"/>
      <c r="O126" s="354"/>
      <c r="P126" s="354"/>
      <c r="Q126" s="355"/>
      <c r="R126" s="355"/>
      <c r="S126" s="354"/>
      <c r="T126" s="354"/>
      <c r="Y126" s="339"/>
      <c r="Z126" s="340"/>
    </row>
    <row r="127" spans="1:26" ht="8.1" customHeight="1" x14ac:dyDescent="0.25">
      <c r="A127" s="359"/>
      <c r="B127" s="359"/>
      <c r="C127" s="359"/>
      <c r="D127" s="359"/>
      <c r="E127" s="359"/>
      <c r="F127" s="359"/>
      <c r="G127" s="359"/>
      <c r="H127" s="359"/>
      <c r="I127" s="359"/>
      <c r="J127" s="359"/>
      <c r="K127" s="359"/>
      <c r="L127" s="359"/>
      <c r="M127" s="359"/>
      <c r="N127" s="359"/>
      <c r="O127" s="359"/>
      <c r="P127" s="359"/>
      <c r="Q127" s="359"/>
      <c r="R127" s="359"/>
      <c r="S127" s="359"/>
      <c r="T127" s="359"/>
      <c r="U127" s="360"/>
      <c r="V127" s="360"/>
      <c r="W127" s="360"/>
      <c r="X127" s="360"/>
      <c r="Y127" s="359"/>
      <c r="Z127" s="359"/>
    </row>
    <row r="128" spans="1:26" ht="8.1" customHeight="1" x14ac:dyDescent="0.25">
      <c r="A128" s="413" t="s">
        <v>413</v>
      </c>
      <c r="B128" s="414"/>
      <c r="C128" s="414"/>
      <c r="D128" s="414"/>
      <c r="E128" s="335"/>
      <c r="F128" s="335"/>
      <c r="G128" s="335"/>
      <c r="H128" s="335"/>
      <c r="I128" s="335"/>
      <c r="J128" s="335"/>
      <c r="K128" s="335"/>
      <c r="L128" s="335"/>
      <c r="M128" s="335"/>
      <c r="N128" s="335"/>
      <c r="O128" s="335"/>
      <c r="P128" s="335"/>
      <c r="Q128" s="335"/>
      <c r="R128" s="335"/>
      <c r="S128" s="335"/>
      <c r="T128" s="335"/>
      <c r="U128" s="345"/>
      <c r="V128" s="345"/>
      <c r="W128" s="345"/>
      <c r="X128" s="345"/>
      <c r="Y128" s="335"/>
      <c r="Z128" s="337"/>
    </row>
    <row r="129" spans="1:26" ht="8.1" customHeight="1" x14ac:dyDescent="0.25">
      <c r="A129" s="415"/>
      <c r="B129" s="416"/>
      <c r="C129" s="416"/>
      <c r="D129" s="416"/>
      <c r="E129" s="339"/>
      <c r="F129" s="339"/>
      <c r="G129" s="339"/>
      <c r="H129" s="339"/>
      <c r="I129" s="339"/>
      <c r="J129" s="339"/>
      <c r="K129" s="339"/>
      <c r="L129" s="339"/>
      <c r="M129" s="339"/>
      <c r="N129" s="339"/>
      <c r="O129" s="339"/>
      <c r="P129" s="339"/>
      <c r="Q129" s="339"/>
      <c r="R129" s="339"/>
      <c r="S129" s="339"/>
      <c r="T129" s="339"/>
      <c r="U129" s="346"/>
      <c r="V129" s="346"/>
      <c r="W129" s="346"/>
      <c r="X129" s="346"/>
      <c r="Y129" s="339"/>
      <c r="Z129" s="340"/>
    </row>
    <row r="130" spans="1:26" ht="8.1" customHeight="1" x14ac:dyDescent="0.25">
      <c r="A130" s="417" t="s">
        <v>342</v>
      </c>
      <c r="B130" s="418"/>
      <c r="C130" s="418"/>
      <c r="D130" s="418"/>
      <c r="E130" s="418"/>
      <c r="F130" s="339"/>
      <c r="G130" s="339"/>
      <c r="H130" s="339"/>
      <c r="I130" s="354"/>
      <c r="J130" s="354"/>
      <c r="K130" s="354"/>
      <c r="L130" s="354"/>
      <c r="M130" s="354"/>
      <c r="N130" s="354"/>
      <c r="O130" s="354"/>
      <c r="P130" s="339"/>
      <c r="Q130" s="339"/>
      <c r="R130" s="339"/>
      <c r="S130" s="339"/>
      <c r="T130" s="339"/>
      <c r="U130" s="346"/>
      <c r="V130" s="346"/>
      <c r="W130" s="346"/>
      <c r="X130" s="346"/>
      <c r="Y130" s="339"/>
      <c r="Z130" s="340"/>
    </row>
    <row r="131" spans="1:26" ht="8.1" customHeight="1" x14ac:dyDescent="0.25">
      <c r="A131" s="417"/>
      <c r="B131" s="418"/>
      <c r="C131" s="418"/>
      <c r="D131" s="418"/>
      <c r="E131" s="418"/>
      <c r="F131" s="339"/>
      <c r="G131" s="339"/>
      <c r="H131" s="339"/>
      <c r="I131" s="354"/>
      <c r="J131" s="354"/>
      <c r="K131" s="354"/>
      <c r="L131" s="354"/>
      <c r="M131" s="354"/>
      <c r="N131" s="354"/>
      <c r="O131" s="354"/>
      <c r="P131" s="339"/>
      <c r="Q131" s="339"/>
      <c r="R131" s="339"/>
      <c r="S131" s="339"/>
      <c r="T131" s="339"/>
      <c r="U131" s="346"/>
      <c r="V131" s="346"/>
      <c r="W131" s="346"/>
      <c r="X131" s="346"/>
      <c r="Y131" s="339"/>
      <c r="Z131" s="340"/>
    </row>
    <row r="132" spans="1:26" ht="8.1" customHeight="1" x14ac:dyDescent="0.25">
      <c r="A132" s="470" t="str">
        <f>"@ Edge to 4""x8"""</f>
        <v>@ Edge to 4"x8"</v>
      </c>
      <c r="B132" s="421"/>
      <c r="C132" s="421"/>
      <c r="D132" s="421"/>
      <c r="E132" s="422">
        <f>Control!E41</f>
        <v>10.5</v>
      </c>
      <c r="F132" s="422"/>
      <c r="G132" s="421" t="str">
        <f>"ft. O.C."</f>
        <v>ft. O.C.</v>
      </c>
      <c r="H132" s="421"/>
      <c r="I132" s="419" t="str">
        <f>IF(Control!F104=2,"&lt;------ CONTROLS","")</f>
        <v/>
      </c>
      <c r="J132" s="419"/>
      <c r="K132" s="419"/>
      <c r="L132" s="419"/>
      <c r="M132" s="354"/>
      <c r="N132" s="354"/>
      <c r="O132" s="354"/>
      <c r="P132" s="354"/>
      <c r="Q132" s="355"/>
      <c r="R132" s="355"/>
      <c r="S132" s="354"/>
      <c r="T132" s="354"/>
      <c r="Y132" s="339"/>
      <c r="Z132" s="340"/>
    </row>
    <row r="133" spans="1:26" ht="8.1" customHeight="1" x14ac:dyDescent="0.25">
      <c r="A133" s="420"/>
      <c r="B133" s="421"/>
      <c r="C133" s="421"/>
      <c r="D133" s="421"/>
      <c r="E133" s="422"/>
      <c r="F133" s="422"/>
      <c r="G133" s="421"/>
      <c r="H133" s="421"/>
      <c r="I133" s="419"/>
      <c r="J133" s="419"/>
      <c r="K133" s="419"/>
      <c r="L133" s="419"/>
      <c r="M133" s="354"/>
      <c r="N133" s="354"/>
      <c r="O133" s="354"/>
      <c r="P133" s="354"/>
      <c r="Q133" s="355"/>
      <c r="R133" s="355"/>
      <c r="S133" s="354"/>
      <c r="T133" s="354"/>
      <c r="Y133" s="339"/>
      <c r="Z133" s="340"/>
    </row>
    <row r="134" spans="1:26" ht="8.1" customHeight="1" x14ac:dyDescent="0.25">
      <c r="A134" s="470" t="str">
        <f>"@ Host to 4""x8"""</f>
        <v>@ Host to 4"x8"</v>
      </c>
      <c r="B134" s="421"/>
      <c r="C134" s="421"/>
      <c r="D134" s="421"/>
      <c r="E134" s="422">
        <f>MIN(Control!E42,Control!G42)</f>
        <v>10</v>
      </c>
      <c r="F134" s="422"/>
      <c r="G134" s="421" t="str">
        <f>"ft. O.C."</f>
        <v>ft. O.C.</v>
      </c>
      <c r="H134" s="421"/>
      <c r="I134" s="419" t="str">
        <f>IF(Control!F105=2,"&lt;------ CONTROLS","")</f>
        <v/>
      </c>
      <c r="J134" s="419"/>
      <c r="K134" s="419"/>
      <c r="L134" s="419"/>
      <c r="M134" s="354"/>
      <c r="N134" s="354"/>
      <c r="O134" s="354"/>
      <c r="P134" s="354"/>
      <c r="Q134" s="355"/>
      <c r="R134" s="355"/>
      <c r="S134" s="354"/>
      <c r="T134" s="354"/>
      <c r="Y134" s="339"/>
      <c r="Z134" s="340"/>
    </row>
    <row r="135" spans="1:26" ht="8.1" customHeight="1" x14ac:dyDescent="0.25">
      <c r="A135" s="420"/>
      <c r="B135" s="421"/>
      <c r="C135" s="421"/>
      <c r="D135" s="421"/>
      <c r="E135" s="422"/>
      <c r="F135" s="422"/>
      <c r="G135" s="421"/>
      <c r="H135" s="421"/>
      <c r="I135" s="419"/>
      <c r="J135" s="419"/>
      <c r="K135" s="419"/>
      <c r="L135" s="419"/>
      <c r="M135" s="354"/>
      <c r="N135" s="354"/>
      <c r="O135" s="354"/>
      <c r="P135" s="354"/>
      <c r="Q135" s="355"/>
      <c r="R135" s="355"/>
      <c r="S135" s="354"/>
      <c r="T135" s="354"/>
      <c r="Y135" s="339"/>
      <c r="Z135" s="340"/>
    </row>
    <row r="136" spans="1:26" ht="8.1" customHeight="1" x14ac:dyDescent="0.25">
      <c r="A136" s="470" t="str">
        <f>"@ Edge to 4""x12"""</f>
        <v>@ Edge to 4"x12"</v>
      </c>
      <c r="B136" s="421"/>
      <c r="C136" s="421"/>
      <c r="D136" s="421"/>
      <c r="E136" s="422">
        <f>Control!E43</f>
        <v>10.5</v>
      </c>
      <c r="F136" s="422"/>
      <c r="G136" s="421" t="str">
        <f>"ft. O.C."</f>
        <v>ft. O.C.</v>
      </c>
      <c r="H136" s="421"/>
      <c r="I136" s="419" t="str">
        <f>IF(Control!F106=2,"&lt;------ CONTROLS","")</f>
        <v/>
      </c>
      <c r="J136" s="419"/>
      <c r="K136" s="419"/>
      <c r="L136" s="419"/>
      <c r="M136" s="354"/>
      <c r="N136" s="354"/>
      <c r="O136" s="354"/>
      <c r="P136" s="354"/>
      <c r="Q136" s="355"/>
      <c r="R136" s="355"/>
      <c r="S136" s="354"/>
      <c r="T136" s="354"/>
      <c r="Y136" s="339"/>
      <c r="Z136" s="340"/>
    </row>
    <row r="137" spans="1:26" ht="8.1" customHeight="1" x14ac:dyDescent="0.25">
      <c r="A137" s="420"/>
      <c r="B137" s="421"/>
      <c r="C137" s="421"/>
      <c r="D137" s="421"/>
      <c r="E137" s="422"/>
      <c r="F137" s="422"/>
      <c r="G137" s="421"/>
      <c r="H137" s="421"/>
      <c r="I137" s="419"/>
      <c r="J137" s="419"/>
      <c r="K137" s="419"/>
      <c r="L137" s="419"/>
      <c r="M137" s="354"/>
      <c r="N137" s="354"/>
      <c r="O137" s="354"/>
      <c r="P137" s="354"/>
      <c r="Q137" s="355"/>
      <c r="R137" s="355"/>
      <c r="S137" s="354"/>
      <c r="T137" s="354"/>
      <c r="Y137" s="339"/>
      <c r="Z137" s="340"/>
    </row>
    <row r="138" spans="1:26" ht="8.1" customHeight="1" x14ac:dyDescent="0.25">
      <c r="A138" s="470" t="str">
        <f>"@ Host to 4""x12"""</f>
        <v>@ Host to 4"x12"</v>
      </c>
      <c r="B138" s="421"/>
      <c r="C138" s="421"/>
      <c r="D138" s="421"/>
      <c r="E138" s="422">
        <f>MIN(Control!E44,Control!G44)</f>
        <v>7.5</v>
      </c>
      <c r="F138" s="422"/>
      <c r="G138" s="421" t="str">
        <f>"ft. O.C."</f>
        <v>ft. O.C.</v>
      </c>
      <c r="H138" s="421"/>
      <c r="I138" s="419" t="str">
        <f>IF(Control!F107=2,"&lt;------ CONTROLS","")</f>
        <v/>
      </c>
      <c r="J138" s="419"/>
      <c r="K138" s="419"/>
      <c r="L138" s="419"/>
      <c r="M138" s="354"/>
      <c r="N138" s="354"/>
      <c r="O138" s="354"/>
      <c r="P138" s="354"/>
      <c r="Q138" s="355"/>
      <c r="R138" s="355"/>
      <c r="S138" s="354"/>
      <c r="T138" s="354"/>
      <c r="Y138" s="339"/>
      <c r="Z138" s="340"/>
    </row>
    <row r="139" spans="1:26" ht="8.1" customHeight="1" x14ac:dyDescent="0.25">
      <c r="A139" s="420"/>
      <c r="B139" s="421"/>
      <c r="C139" s="421"/>
      <c r="D139" s="421"/>
      <c r="E139" s="422"/>
      <c r="F139" s="422"/>
      <c r="G139" s="421"/>
      <c r="H139" s="421"/>
      <c r="I139" s="419"/>
      <c r="J139" s="419"/>
      <c r="K139" s="419"/>
      <c r="L139" s="419"/>
      <c r="M139" s="354"/>
      <c r="N139" s="354"/>
      <c r="O139" s="354"/>
      <c r="P139" s="354"/>
      <c r="Q139" s="355"/>
      <c r="R139" s="355"/>
      <c r="S139" s="354"/>
      <c r="T139" s="354"/>
      <c r="Y139" s="339"/>
      <c r="Z139" s="340"/>
    </row>
    <row r="140" spans="1:26" ht="8.1" customHeight="1" x14ac:dyDescent="0.25">
      <c r="A140" s="359"/>
      <c r="B140" s="359"/>
      <c r="C140" s="359"/>
      <c r="D140" s="359"/>
      <c r="E140" s="359"/>
      <c r="F140" s="359"/>
      <c r="G140" s="359"/>
      <c r="H140" s="359"/>
      <c r="I140" s="361"/>
      <c r="J140" s="361"/>
      <c r="K140" s="361"/>
      <c r="L140" s="361"/>
      <c r="M140" s="361"/>
      <c r="N140" s="361"/>
      <c r="O140" s="361"/>
      <c r="P140" s="361"/>
      <c r="Q140" s="361"/>
      <c r="R140" s="361"/>
      <c r="S140" s="361"/>
      <c r="T140" s="361"/>
      <c r="U140" s="361"/>
      <c r="V140" s="361"/>
      <c r="W140" s="361"/>
      <c r="X140" s="361"/>
      <c r="Y140" s="361"/>
      <c r="Z140" s="361"/>
    </row>
    <row r="141" spans="1:26" ht="8.1" customHeight="1" x14ac:dyDescent="0.25">
      <c r="A141" s="413" t="s">
        <v>414</v>
      </c>
      <c r="B141" s="414"/>
      <c r="C141" s="414"/>
      <c r="D141" s="414"/>
      <c r="E141" s="335"/>
      <c r="F141" s="335"/>
      <c r="G141" s="335"/>
      <c r="H141" s="335"/>
      <c r="I141" s="5"/>
      <c r="J141" s="5"/>
      <c r="K141" s="5"/>
      <c r="L141" s="5"/>
      <c r="M141" s="5"/>
      <c r="N141" s="5"/>
      <c r="O141" s="5"/>
      <c r="P141" s="5"/>
      <c r="Q141" s="5"/>
      <c r="R141" s="5"/>
      <c r="S141" s="5"/>
      <c r="T141" s="5"/>
      <c r="U141" s="5"/>
      <c r="V141" s="5"/>
      <c r="W141" s="5"/>
      <c r="X141" s="5"/>
      <c r="Y141" s="5"/>
      <c r="Z141" s="11"/>
    </row>
    <row r="142" spans="1:26" ht="8.1" customHeight="1" x14ac:dyDescent="0.25">
      <c r="A142" s="415"/>
      <c r="B142" s="416"/>
      <c r="C142" s="416"/>
      <c r="D142" s="416"/>
      <c r="E142" s="339"/>
      <c r="F142" s="339"/>
      <c r="G142" s="339"/>
      <c r="H142" s="339"/>
      <c r="I142" s="1"/>
      <c r="J142" s="1"/>
      <c r="K142" s="1"/>
      <c r="L142" s="1"/>
      <c r="M142" s="1"/>
      <c r="N142" s="1"/>
      <c r="O142" s="1"/>
      <c r="P142" s="1"/>
      <c r="Q142" s="1"/>
      <c r="R142" s="1"/>
      <c r="S142" s="1"/>
      <c r="T142" s="1"/>
      <c r="U142" s="1"/>
      <c r="V142" s="1"/>
      <c r="W142" s="1"/>
      <c r="X142" s="1"/>
      <c r="Y142" s="1"/>
      <c r="Z142" s="10"/>
    </row>
    <row r="143" spans="1:26" ht="8.1" customHeight="1" x14ac:dyDescent="0.25">
      <c r="A143" s="417" t="s">
        <v>280</v>
      </c>
      <c r="B143" s="418"/>
      <c r="C143" s="418"/>
      <c r="D143" s="418"/>
      <c r="E143" s="418"/>
      <c r="F143" s="418"/>
      <c r="G143" s="339"/>
      <c r="H143" s="339"/>
      <c r="I143" s="354"/>
      <c r="J143" s="354"/>
      <c r="K143" s="354"/>
      <c r="L143" s="354"/>
      <c r="M143" s="354"/>
      <c r="N143" s="354"/>
      <c r="O143" s="354"/>
      <c r="P143" s="339"/>
      <c r="Q143" s="339"/>
      <c r="R143" s="339"/>
      <c r="S143" s="339"/>
      <c r="T143" s="339"/>
      <c r="U143" s="346"/>
      <c r="V143" s="346"/>
      <c r="W143" s="346"/>
      <c r="X143" s="346"/>
      <c r="Y143" s="339"/>
      <c r="Z143" s="340"/>
    </row>
    <row r="144" spans="1:26" ht="8.1" customHeight="1" x14ac:dyDescent="0.25">
      <c r="A144" s="417"/>
      <c r="B144" s="418"/>
      <c r="C144" s="418"/>
      <c r="D144" s="418"/>
      <c r="E144" s="418"/>
      <c r="F144" s="418"/>
      <c r="G144" s="339"/>
      <c r="H144" s="339"/>
      <c r="I144" s="354"/>
      <c r="J144" s="354"/>
      <c r="K144" s="354"/>
      <c r="L144" s="354"/>
      <c r="M144" s="354"/>
      <c r="N144" s="354"/>
      <c r="O144" s="354"/>
      <c r="P144" s="339"/>
      <c r="Q144" s="339"/>
      <c r="R144" s="339"/>
      <c r="S144" s="339"/>
      <c r="T144" s="339"/>
      <c r="U144" s="346"/>
      <c r="V144" s="346"/>
      <c r="W144" s="346"/>
      <c r="X144" s="346"/>
      <c r="Y144" s="339"/>
      <c r="Z144" s="340"/>
    </row>
    <row r="145" spans="1:26" ht="8.1" customHeight="1" x14ac:dyDescent="0.25">
      <c r="A145" s="420" t="str">
        <f>"Con. 4"" S, 12"" ED"</f>
        <v>Con. 4" S, 12" ED</v>
      </c>
      <c r="B145" s="421"/>
      <c r="C145" s="421"/>
      <c r="D145" s="421"/>
      <c r="E145" s="422">
        <f>MIN(Control!E46,Control!G46)</f>
        <v>11</v>
      </c>
      <c r="F145" s="422"/>
      <c r="G145" s="421" t="str">
        <f>"ft. O.C."</f>
        <v>ft. O.C.</v>
      </c>
      <c r="H145" s="421"/>
      <c r="I145" s="419" t="str">
        <f>IF(Control!F109=2,"&lt;------ CONTROLS","")</f>
        <v/>
      </c>
      <c r="J145" s="419"/>
      <c r="K145" s="419"/>
      <c r="L145" s="419"/>
      <c r="M145" s="354"/>
      <c r="N145" s="371"/>
      <c r="O145" s="354"/>
      <c r="P145" s="354"/>
      <c r="Q145" s="355"/>
      <c r="R145" s="355"/>
      <c r="S145" s="354"/>
      <c r="T145" s="354"/>
      <c r="Y145" s="339"/>
      <c r="Z145" s="340"/>
    </row>
    <row r="146" spans="1:26" ht="8.1" customHeight="1" x14ac:dyDescent="0.25">
      <c r="A146" s="420"/>
      <c r="B146" s="421"/>
      <c r="C146" s="421"/>
      <c r="D146" s="421"/>
      <c r="E146" s="422"/>
      <c r="F146" s="422"/>
      <c r="G146" s="421"/>
      <c r="H146" s="421"/>
      <c r="I146" s="419"/>
      <c r="J146" s="419"/>
      <c r="K146" s="419"/>
      <c r="L146" s="419"/>
      <c r="M146" s="354"/>
      <c r="N146" s="371"/>
      <c r="O146" s="354"/>
      <c r="P146" s="354"/>
      <c r="Q146" s="355"/>
      <c r="R146" s="355"/>
      <c r="S146" s="354"/>
      <c r="T146" s="354"/>
      <c r="Y146" s="339"/>
      <c r="Z146" s="340"/>
    </row>
    <row r="147" spans="1:26" ht="8.1" customHeight="1" x14ac:dyDescent="0.25">
      <c r="A147" s="420" t="str">
        <f>"Con. 4"" S, 4"" ED"</f>
        <v>Con. 4" S, 4" ED</v>
      </c>
      <c r="B147" s="421"/>
      <c r="C147" s="421"/>
      <c r="D147" s="421"/>
      <c r="E147" s="438">
        <f>MIN(Control!E47,Control!G47)</f>
        <v>5</v>
      </c>
      <c r="F147" s="438"/>
      <c r="G147" s="421" t="str">
        <f>"ft. O.C."</f>
        <v>ft. O.C.</v>
      </c>
      <c r="H147" s="421"/>
      <c r="I147" s="419" t="str">
        <f>IF(Control!F110=2,"&lt;------ CONTROLS","")</f>
        <v/>
      </c>
      <c r="J147" s="419"/>
      <c r="K147" s="419"/>
      <c r="L147" s="419"/>
      <c r="M147" s="354"/>
      <c r="N147" s="371"/>
      <c r="O147" s="354"/>
      <c r="P147" s="354"/>
      <c r="Q147" s="355"/>
      <c r="R147" s="355"/>
      <c r="S147" s="354"/>
      <c r="T147" s="354"/>
      <c r="Y147" s="339"/>
      <c r="Z147" s="340"/>
    </row>
    <row r="148" spans="1:26" ht="8.1" customHeight="1" x14ac:dyDescent="0.25">
      <c r="A148" s="420"/>
      <c r="B148" s="421"/>
      <c r="C148" s="421"/>
      <c r="D148" s="421"/>
      <c r="E148" s="438"/>
      <c r="F148" s="438"/>
      <c r="G148" s="421"/>
      <c r="H148" s="421"/>
      <c r="I148" s="419"/>
      <c r="J148" s="419"/>
      <c r="K148" s="419"/>
      <c r="L148" s="419"/>
      <c r="M148" s="354"/>
      <c r="N148" s="371"/>
      <c r="O148" s="354"/>
      <c r="P148" s="354"/>
      <c r="Q148" s="355"/>
      <c r="R148" s="355"/>
      <c r="S148" s="354"/>
      <c r="T148" s="354"/>
      <c r="Y148" s="339"/>
      <c r="Z148" s="340"/>
    </row>
    <row r="149" spans="1:26" ht="8.1" customHeight="1" x14ac:dyDescent="0.25">
      <c r="A149" s="420" t="str">
        <f>"Con. 6"" S, 12"" ED"</f>
        <v>Con. 6" S, 12" ED</v>
      </c>
      <c r="B149" s="421"/>
      <c r="C149" s="421"/>
      <c r="D149" s="421"/>
      <c r="E149" s="422">
        <f>MIN(Control!E48,Control!G48)</f>
        <v>13</v>
      </c>
      <c r="F149" s="422"/>
      <c r="G149" s="421" t="str">
        <f>"ft. O.C."</f>
        <v>ft. O.C.</v>
      </c>
      <c r="H149" s="421"/>
      <c r="I149" s="419" t="str">
        <f>IF(Control!F111=2,"&lt;------ CONTROLS","")</f>
        <v/>
      </c>
      <c r="J149" s="419"/>
      <c r="K149" s="419"/>
      <c r="L149" s="419"/>
      <c r="M149" s="354"/>
      <c r="N149" s="371"/>
      <c r="O149" s="354"/>
      <c r="P149" s="354"/>
      <c r="Q149" s="355"/>
      <c r="R149" s="355"/>
      <c r="S149" s="354"/>
      <c r="T149" s="354"/>
      <c r="Y149" s="339"/>
      <c r="Z149" s="340"/>
    </row>
    <row r="150" spans="1:26" ht="8.1" customHeight="1" x14ac:dyDescent="0.25">
      <c r="A150" s="420"/>
      <c r="B150" s="421"/>
      <c r="C150" s="421"/>
      <c r="D150" s="421"/>
      <c r="E150" s="422"/>
      <c r="F150" s="422"/>
      <c r="G150" s="421"/>
      <c r="H150" s="421"/>
      <c r="I150" s="419"/>
      <c r="J150" s="419"/>
      <c r="K150" s="419"/>
      <c r="L150" s="419"/>
      <c r="M150" s="354"/>
      <c r="N150" s="371"/>
      <c r="O150" s="354"/>
      <c r="P150" s="354"/>
      <c r="Q150" s="355"/>
      <c r="R150" s="355"/>
      <c r="S150" s="354"/>
      <c r="T150" s="354"/>
      <c r="Y150" s="339"/>
      <c r="Z150" s="340"/>
    </row>
    <row r="151" spans="1:26" ht="8.1" customHeight="1" x14ac:dyDescent="0.25">
      <c r="A151" s="420" t="str">
        <f>"Con. 6"" S, 4"" ED"</f>
        <v>Con. 6" S, 4" ED</v>
      </c>
      <c r="B151" s="421"/>
      <c r="C151" s="421"/>
      <c r="D151" s="421"/>
      <c r="E151" s="422">
        <f>MIN(Control!E49,Control!G49)</f>
        <v>6</v>
      </c>
      <c r="F151" s="422"/>
      <c r="G151" s="421" t="str">
        <f>"ft. O.C."</f>
        <v>ft. O.C.</v>
      </c>
      <c r="H151" s="421"/>
      <c r="I151" s="419" t="str">
        <f>IF(Control!F112=2,"&lt;------ CONTROLS","")</f>
        <v/>
      </c>
      <c r="J151" s="419"/>
      <c r="K151" s="419"/>
      <c r="L151" s="419"/>
      <c r="M151" s="354"/>
      <c r="N151" s="371"/>
      <c r="O151" s="354"/>
      <c r="P151" s="354"/>
      <c r="Q151" s="355"/>
      <c r="R151" s="355"/>
      <c r="S151" s="354"/>
      <c r="T151" s="354"/>
      <c r="Y151" s="339"/>
      <c r="Z151" s="340"/>
    </row>
    <row r="152" spans="1:26" ht="8.1" customHeight="1" x14ac:dyDescent="0.25">
      <c r="A152" s="420"/>
      <c r="B152" s="421"/>
      <c r="C152" s="421"/>
      <c r="D152" s="421"/>
      <c r="E152" s="422"/>
      <c r="F152" s="422"/>
      <c r="G152" s="421"/>
      <c r="H152" s="421"/>
      <c r="I152" s="419"/>
      <c r="J152" s="419"/>
      <c r="K152" s="419"/>
      <c r="L152" s="419"/>
      <c r="M152" s="354"/>
      <c r="N152" s="371"/>
      <c r="O152" s="354"/>
      <c r="P152" s="354"/>
      <c r="Q152" s="355"/>
      <c r="R152" s="355"/>
      <c r="S152" s="354"/>
      <c r="T152" s="354"/>
      <c r="Y152" s="339"/>
      <c r="Z152" s="340"/>
    </row>
    <row r="153" spans="1:26" ht="8.1" customHeight="1" x14ac:dyDescent="0.25">
      <c r="A153" s="420" t="str">
        <f>"Con. 8"" S, 12"" ED"</f>
        <v>Con. 8" S, 12" ED</v>
      </c>
      <c r="B153" s="421"/>
      <c r="C153" s="421"/>
      <c r="D153" s="421"/>
      <c r="E153" s="422">
        <f>MIN(Control!E50,Control!G50)</f>
        <v>15.5</v>
      </c>
      <c r="F153" s="422"/>
      <c r="G153" s="421" t="str">
        <f>"ft. O.C."</f>
        <v>ft. O.C.</v>
      </c>
      <c r="H153" s="421"/>
      <c r="I153" s="419" t="str">
        <f>IF(Control!F113=2,"&lt;------ CONTROLS","")</f>
        <v/>
      </c>
      <c r="J153" s="419"/>
      <c r="K153" s="419"/>
      <c r="L153" s="419"/>
      <c r="M153" s="354"/>
      <c r="N153" s="371"/>
      <c r="O153" s="354"/>
      <c r="P153" s="354"/>
      <c r="Q153" s="355"/>
      <c r="R153" s="355"/>
      <c r="S153" s="354"/>
      <c r="T153" s="354"/>
      <c r="Y153" s="339"/>
      <c r="Z153" s="340"/>
    </row>
    <row r="154" spans="1:26" ht="8.1" customHeight="1" x14ac:dyDescent="0.25">
      <c r="A154" s="420"/>
      <c r="B154" s="421"/>
      <c r="C154" s="421"/>
      <c r="D154" s="421"/>
      <c r="E154" s="422"/>
      <c r="F154" s="422"/>
      <c r="G154" s="421"/>
      <c r="H154" s="421"/>
      <c r="I154" s="419"/>
      <c r="J154" s="419"/>
      <c r="K154" s="419"/>
      <c r="L154" s="419"/>
      <c r="M154" s="354"/>
      <c r="N154" s="371"/>
      <c r="O154" s="354"/>
      <c r="P154" s="354"/>
      <c r="Q154" s="355"/>
      <c r="R154" s="355"/>
      <c r="S154" s="354"/>
      <c r="T154" s="354"/>
      <c r="Y154" s="339"/>
      <c r="Z154" s="340"/>
    </row>
    <row r="155" spans="1:26" ht="8.1" customHeight="1" x14ac:dyDescent="0.25">
      <c r="A155" s="420" t="str">
        <f>"Con. 8"" S, 4"" ED"</f>
        <v>Con. 8" S, 4" ED</v>
      </c>
      <c r="B155" s="421"/>
      <c r="C155" s="421"/>
      <c r="D155" s="421"/>
      <c r="E155" s="422">
        <f>MIN(Control!E51,Control!G51)</f>
        <v>7.5</v>
      </c>
      <c r="F155" s="422"/>
      <c r="G155" s="421" t="str">
        <f>"ft. O.C."</f>
        <v>ft. O.C.</v>
      </c>
      <c r="H155" s="421"/>
      <c r="I155" s="419" t="str">
        <f>IF(Control!F114=2,"&lt;------ CONTROLS","")</f>
        <v/>
      </c>
      <c r="J155" s="419"/>
      <c r="K155" s="419"/>
      <c r="L155" s="419"/>
      <c r="M155" s="354"/>
      <c r="N155" s="371"/>
      <c r="O155" s="354"/>
      <c r="P155" s="354"/>
      <c r="Q155" s="355"/>
      <c r="R155" s="355"/>
      <c r="S155" s="354"/>
      <c r="T155" s="354"/>
      <c r="Y155" s="339"/>
      <c r="Z155" s="340"/>
    </row>
    <row r="156" spans="1:26" ht="8.1" customHeight="1" x14ac:dyDescent="0.25">
      <c r="A156" s="420"/>
      <c r="B156" s="421"/>
      <c r="C156" s="421"/>
      <c r="D156" s="421"/>
      <c r="E156" s="422"/>
      <c r="F156" s="422"/>
      <c r="G156" s="421"/>
      <c r="H156" s="421"/>
      <c r="I156" s="419"/>
      <c r="J156" s="419"/>
      <c r="K156" s="419"/>
      <c r="L156" s="419"/>
      <c r="M156" s="354"/>
      <c r="N156" s="371"/>
      <c r="O156" s="354"/>
      <c r="P156" s="354"/>
      <c r="Q156" s="355"/>
      <c r="R156" s="355"/>
      <c r="S156" s="354"/>
      <c r="T156" s="354"/>
      <c r="Y156" s="339"/>
      <c r="Z156" s="340"/>
    </row>
    <row r="157" spans="1:26" ht="8.1" customHeight="1" x14ac:dyDescent="0.25">
      <c r="A157" s="420" t="str">
        <f>"Con. 10"" S, 12"" ED"</f>
        <v>Con. 10" S, 12" ED</v>
      </c>
      <c r="B157" s="421"/>
      <c r="C157" s="421"/>
      <c r="D157" s="421"/>
      <c r="E157" s="422">
        <f>MIN(Control!E52,Control!G52)</f>
        <v>17.5</v>
      </c>
      <c r="F157" s="422"/>
      <c r="G157" s="421" t="str">
        <f>"ft. O.C."</f>
        <v>ft. O.C.</v>
      </c>
      <c r="H157" s="421"/>
      <c r="I157" s="419" t="str">
        <f>IF(Control!F115=2,"&lt;------ CONTROLS","")</f>
        <v/>
      </c>
      <c r="J157" s="419"/>
      <c r="K157" s="419"/>
      <c r="L157" s="419"/>
      <c r="M157" s="354"/>
      <c r="N157" s="371"/>
      <c r="O157" s="354"/>
      <c r="P157" s="354"/>
      <c r="Q157" s="355"/>
      <c r="R157" s="355"/>
      <c r="S157" s="354"/>
      <c r="T157" s="354"/>
      <c r="Y157" s="339"/>
      <c r="Z157" s="340"/>
    </row>
    <row r="158" spans="1:26" ht="8.1" customHeight="1" x14ac:dyDescent="0.25">
      <c r="A158" s="420"/>
      <c r="B158" s="421"/>
      <c r="C158" s="421"/>
      <c r="D158" s="421"/>
      <c r="E158" s="422"/>
      <c r="F158" s="422"/>
      <c r="G158" s="421"/>
      <c r="H158" s="421"/>
      <c r="I158" s="419"/>
      <c r="J158" s="419"/>
      <c r="K158" s="419"/>
      <c r="L158" s="419"/>
      <c r="M158" s="354"/>
      <c r="N158" s="371"/>
      <c r="O158" s="354"/>
      <c r="P158" s="354"/>
      <c r="Q158" s="355"/>
      <c r="R158" s="355"/>
      <c r="S158" s="354"/>
      <c r="T158" s="354"/>
      <c r="Y158" s="339"/>
      <c r="Z158" s="340"/>
    </row>
    <row r="159" spans="1:26" ht="8.1" customHeight="1" x14ac:dyDescent="0.25">
      <c r="A159" s="420" t="str">
        <f>"Con. 10"" S, 4"" ED"</f>
        <v>Con. 10" S, 4" ED</v>
      </c>
      <c r="B159" s="421"/>
      <c r="C159" s="421"/>
      <c r="D159" s="421"/>
      <c r="E159" s="422">
        <f>MIN(Control!E53,Control!G53)</f>
        <v>8</v>
      </c>
      <c r="F159" s="422"/>
      <c r="G159" s="421" t="str">
        <f>"ft. O.C."</f>
        <v>ft. O.C.</v>
      </c>
      <c r="H159" s="421"/>
      <c r="I159" s="419" t="str">
        <f>IF(Control!F116=2,"&lt;------ CONTROLS","")</f>
        <v/>
      </c>
      <c r="J159" s="419"/>
      <c r="K159" s="419"/>
      <c r="L159" s="419"/>
      <c r="M159" s="354"/>
      <c r="N159" s="371"/>
      <c r="O159" s="354"/>
      <c r="P159" s="354"/>
      <c r="Q159" s="355"/>
      <c r="R159" s="355"/>
      <c r="S159" s="354"/>
      <c r="T159" s="354"/>
      <c r="Y159" s="339"/>
      <c r="Z159" s="340"/>
    </row>
    <row r="160" spans="1:26" ht="8.1" customHeight="1" x14ac:dyDescent="0.25">
      <c r="A160" s="420"/>
      <c r="B160" s="421"/>
      <c r="C160" s="421"/>
      <c r="D160" s="421"/>
      <c r="E160" s="422"/>
      <c r="F160" s="422"/>
      <c r="G160" s="421"/>
      <c r="H160" s="421"/>
      <c r="I160" s="419"/>
      <c r="J160" s="419"/>
      <c r="K160" s="419"/>
      <c r="L160" s="419"/>
      <c r="M160" s="354"/>
      <c r="N160" s="371"/>
      <c r="O160" s="354"/>
      <c r="P160" s="354"/>
      <c r="Q160" s="355"/>
      <c r="R160" s="355"/>
      <c r="S160" s="354"/>
      <c r="T160" s="354"/>
      <c r="Y160" s="339"/>
      <c r="Z160" s="340"/>
    </row>
    <row r="161" spans="1:26" ht="8.1" customHeight="1" x14ac:dyDescent="0.25">
      <c r="A161" s="420" t="str">
        <f>"GFB 12"" ED"</f>
        <v>GFB 12" ED</v>
      </c>
      <c r="B161" s="421"/>
      <c r="C161" s="421"/>
      <c r="D161" s="421"/>
      <c r="E161" s="422">
        <f>MIN(Control!E54,Control!G54)</f>
        <v>7</v>
      </c>
      <c r="F161" s="422"/>
      <c r="G161" s="421" t="str">
        <f>"ft. O.C."</f>
        <v>ft. O.C.</v>
      </c>
      <c r="H161" s="421"/>
      <c r="I161" s="419" t="str">
        <f>IF(Control!F117=2,"&lt;------ CONTROLS","")</f>
        <v/>
      </c>
      <c r="J161" s="419"/>
      <c r="K161" s="419"/>
      <c r="L161" s="419"/>
      <c r="M161" s="354"/>
      <c r="N161" s="354"/>
      <c r="O161" s="354"/>
      <c r="P161" s="354"/>
      <c r="Q161" s="355"/>
      <c r="R161" s="355"/>
      <c r="S161" s="354"/>
      <c r="T161" s="354"/>
      <c r="Y161" s="339"/>
      <c r="Z161" s="340"/>
    </row>
    <row r="162" spans="1:26" ht="8.1" customHeight="1" x14ac:dyDescent="0.25">
      <c r="A162" s="420"/>
      <c r="B162" s="421"/>
      <c r="C162" s="421"/>
      <c r="D162" s="421"/>
      <c r="E162" s="422"/>
      <c r="F162" s="422"/>
      <c r="G162" s="421"/>
      <c r="H162" s="421"/>
      <c r="I162" s="419"/>
      <c r="J162" s="419"/>
      <c r="K162" s="419"/>
      <c r="L162" s="419"/>
      <c r="M162" s="354"/>
      <c r="N162" s="354"/>
      <c r="O162" s="354"/>
      <c r="P162" s="354"/>
      <c r="Q162" s="355"/>
      <c r="R162" s="355"/>
      <c r="S162" s="354"/>
      <c r="T162" s="354"/>
      <c r="Y162" s="339"/>
      <c r="Z162" s="340"/>
    </row>
    <row r="163" spans="1:26" ht="8.1" customHeight="1" x14ac:dyDescent="0.25">
      <c r="A163" s="420" t="str">
        <f>"GFB 4"" ED"</f>
        <v>GFB 4" ED</v>
      </c>
      <c r="B163" s="421"/>
      <c r="C163" s="421"/>
      <c r="D163" s="421"/>
      <c r="E163" s="438">
        <f>MIN(Control!E55,Control!G55)</f>
        <v>5.5</v>
      </c>
      <c r="F163" s="438"/>
      <c r="G163" s="421" t="str">
        <f>"ft. O.C."</f>
        <v>ft. O.C.</v>
      </c>
      <c r="H163" s="421"/>
      <c r="I163" s="419" t="str">
        <f>IF(Control!F118=2,"&lt;------ CONTROLS","")</f>
        <v/>
      </c>
      <c r="J163" s="419"/>
      <c r="K163" s="419"/>
      <c r="L163" s="419"/>
      <c r="M163" s="354"/>
      <c r="N163" s="354"/>
      <c r="O163" s="354"/>
      <c r="P163" s="354"/>
      <c r="Q163" s="355"/>
      <c r="R163" s="355"/>
      <c r="S163" s="354"/>
      <c r="T163" s="354"/>
      <c r="Y163" s="339"/>
      <c r="Z163" s="340"/>
    </row>
    <row r="164" spans="1:26" ht="8.1" customHeight="1" x14ac:dyDescent="0.25">
      <c r="A164" s="420"/>
      <c r="B164" s="421"/>
      <c r="C164" s="421"/>
      <c r="D164" s="421"/>
      <c r="E164" s="438"/>
      <c r="F164" s="438"/>
      <c r="G164" s="421"/>
      <c r="H164" s="421"/>
      <c r="I164" s="419"/>
      <c r="J164" s="419"/>
      <c r="K164" s="419"/>
      <c r="L164" s="419"/>
      <c r="M164" s="354"/>
      <c r="N164" s="354"/>
      <c r="O164" s="354"/>
      <c r="P164" s="354"/>
      <c r="Q164" s="355"/>
      <c r="R164" s="355"/>
      <c r="S164" s="354"/>
      <c r="T164" s="354"/>
      <c r="Y164" s="339"/>
      <c r="Z164" s="340"/>
    </row>
    <row r="165" spans="1:26" ht="8.1" customHeight="1" x14ac:dyDescent="0.25">
      <c r="A165" s="420" t="str">
        <f>"HB 12"" ED"</f>
        <v>HB 12" ED</v>
      </c>
      <c r="B165" s="421"/>
      <c r="C165" s="421"/>
      <c r="D165" s="421"/>
      <c r="E165" s="422">
        <f>MIN(Control!E56,Control!G56)</f>
        <v>2.5</v>
      </c>
      <c r="F165" s="422"/>
      <c r="G165" s="421" t="str">
        <f>"ft. O.C."</f>
        <v>ft. O.C.</v>
      </c>
      <c r="H165" s="421"/>
      <c r="I165" s="419" t="str">
        <f>IF(Control!F119=2,"&lt;------ CONTROLS","")</f>
        <v/>
      </c>
      <c r="J165" s="419"/>
      <c r="K165" s="419"/>
      <c r="L165" s="419"/>
      <c r="M165" s="354"/>
      <c r="N165" s="354"/>
      <c r="O165" s="354"/>
      <c r="P165" s="354"/>
      <c r="Q165" s="355"/>
      <c r="R165" s="355"/>
      <c r="S165" s="354"/>
      <c r="T165" s="354"/>
      <c r="Y165" s="339"/>
      <c r="Z165" s="340"/>
    </row>
    <row r="166" spans="1:26" ht="8.1" customHeight="1" x14ac:dyDescent="0.25">
      <c r="A166" s="420"/>
      <c r="B166" s="421"/>
      <c r="C166" s="421"/>
      <c r="D166" s="421"/>
      <c r="E166" s="422"/>
      <c r="F166" s="422"/>
      <c r="G166" s="421"/>
      <c r="H166" s="421"/>
      <c r="I166" s="419"/>
      <c r="J166" s="419"/>
      <c r="K166" s="419"/>
      <c r="L166" s="419"/>
      <c r="M166" s="354"/>
      <c r="N166" s="354"/>
      <c r="O166" s="354"/>
      <c r="P166" s="354"/>
      <c r="Q166" s="355"/>
      <c r="R166" s="355"/>
      <c r="S166" s="354"/>
      <c r="T166" s="354"/>
      <c r="Y166" s="339"/>
      <c r="Z166" s="340"/>
    </row>
    <row r="167" spans="1:26" ht="8.1" customHeight="1" x14ac:dyDescent="0.25">
      <c r="A167" s="420" t="str">
        <f>"HB 4"" ED"</f>
        <v>HB 4" ED</v>
      </c>
      <c r="B167" s="421"/>
      <c r="C167" s="421"/>
      <c r="D167" s="421"/>
      <c r="E167" s="438">
        <f>MIN(Control!E57,Control!G57)</f>
        <v>2.5</v>
      </c>
      <c r="F167" s="438"/>
      <c r="G167" s="421" t="str">
        <f>"ft. O.C."</f>
        <v>ft. O.C.</v>
      </c>
      <c r="H167" s="421"/>
      <c r="I167" s="419" t="str">
        <f>IF(Control!F120=2,"&lt;------ CONTROLS","")</f>
        <v/>
      </c>
      <c r="J167" s="419"/>
      <c r="K167" s="419"/>
      <c r="L167" s="419"/>
      <c r="M167" s="354"/>
      <c r="N167" s="354"/>
      <c r="O167" s="354"/>
      <c r="P167" s="354"/>
      <c r="Q167" s="355"/>
      <c r="R167" s="355"/>
      <c r="S167" s="354"/>
      <c r="T167" s="354"/>
      <c r="Y167" s="339"/>
      <c r="Z167" s="340"/>
    </row>
    <row r="168" spans="1:26" ht="8.1" customHeight="1" x14ac:dyDescent="0.25">
      <c r="A168" s="420"/>
      <c r="B168" s="421"/>
      <c r="C168" s="421"/>
      <c r="D168" s="421"/>
      <c r="E168" s="438"/>
      <c r="F168" s="438"/>
      <c r="G168" s="421"/>
      <c r="H168" s="421"/>
      <c r="I168" s="419"/>
      <c r="J168" s="419"/>
      <c r="K168" s="419"/>
      <c r="L168" s="419"/>
      <c r="M168" s="354"/>
      <c r="N168" s="354"/>
      <c r="O168" s="354"/>
      <c r="P168" s="354"/>
      <c r="Q168" s="355"/>
      <c r="R168" s="355"/>
      <c r="S168" s="354"/>
      <c r="T168" s="354"/>
      <c r="Y168" s="339"/>
      <c r="Z168" s="340"/>
    </row>
    <row r="169" spans="1:26" ht="8.1" customHeight="1" x14ac:dyDescent="0.25">
      <c r="A169" s="420" t="str">
        <f>"Wood"</f>
        <v>Wood</v>
      </c>
      <c r="B169" s="421"/>
      <c r="C169" s="421"/>
      <c r="D169" s="421"/>
      <c r="E169" s="422">
        <f>MIN(Control!E58,Control!G58)</f>
        <v>5.5</v>
      </c>
      <c r="F169" s="422"/>
      <c r="G169" s="421" t="str">
        <f>"ft. O.C."</f>
        <v>ft. O.C.</v>
      </c>
      <c r="H169" s="421"/>
      <c r="I169" s="419" t="str">
        <f>IF(Control!F121=2,"&lt;------ CONTROLS","")</f>
        <v/>
      </c>
      <c r="J169" s="419"/>
      <c r="K169" s="419"/>
      <c r="L169" s="419"/>
      <c r="M169" s="354"/>
      <c r="N169" s="354"/>
      <c r="O169" s="354"/>
      <c r="P169" s="354"/>
      <c r="Q169" s="355"/>
      <c r="R169" s="355"/>
      <c r="S169" s="354"/>
      <c r="T169" s="354"/>
      <c r="Y169" s="339"/>
      <c r="Z169" s="340"/>
    </row>
    <row r="170" spans="1:26" ht="8.1" customHeight="1" x14ac:dyDescent="0.25">
      <c r="A170" s="420"/>
      <c r="B170" s="421"/>
      <c r="C170" s="421"/>
      <c r="D170" s="421"/>
      <c r="E170" s="422"/>
      <c r="F170" s="422"/>
      <c r="G170" s="421"/>
      <c r="H170" s="421"/>
      <c r="I170" s="419"/>
      <c r="J170" s="419"/>
      <c r="K170" s="419"/>
      <c r="L170" s="419"/>
      <c r="M170" s="354"/>
      <c r="N170" s="354"/>
      <c r="O170" s="354"/>
      <c r="P170" s="354"/>
      <c r="Q170" s="355"/>
      <c r="R170" s="355"/>
      <c r="S170" s="354"/>
      <c r="T170" s="354"/>
      <c r="Y170" s="339"/>
      <c r="Z170" s="340"/>
    </row>
    <row r="171" spans="1:26" ht="8.1" customHeight="1" x14ac:dyDescent="0.25">
      <c r="A171" s="420" t="str">
        <f>"Steel"</f>
        <v>Steel</v>
      </c>
      <c r="B171" s="421"/>
      <c r="C171" s="421"/>
      <c r="D171" s="421"/>
      <c r="E171" s="422">
        <f>MIN(Control!E59,Control!G59)</f>
        <v>11</v>
      </c>
      <c r="F171" s="422"/>
      <c r="G171" s="421" t="str">
        <f>"ft. O.C."</f>
        <v>ft. O.C.</v>
      </c>
      <c r="H171" s="421"/>
      <c r="I171" s="419" t="str">
        <f>IF(Control!F122=2,"&lt;------ CONTROLS","")</f>
        <v/>
      </c>
      <c r="J171" s="419"/>
      <c r="K171" s="419"/>
      <c r="L171" s="419"/>
      <c r="M171" s="354"/>
      <c r="N171" s="354"/>
      <c r="O171" s="354"/>
      <c r="P171" s="354"/>
      <c r="Q171" s="355"/>
      <c r="R171" s="355"/>
      <c r="S171" s="354"/>
      <c r="T171" s="354"/>
      <c r="Y171" s="339"/>
      <c r="Z171" s="340"/>
    </row>
    <row r="172" spans="1:26" ht="8.1" customHeight="1" x14ac:dyDescent="0.25">
      <c r="A172" s="420"/>
      <c r="B172" s="421"/>
      <c r="C172" s="421"/>
      <c r="D172" s="421"/>
      <c r="E172" s="422"/>
      <c r="F172" s="422"/>
      <c r="G172" s="421"/>
      <c r="H172" s="421"/>
      <c r="I172" s="419"/>
      <c r="J172" s="419"/>
      <c r="K172" s="419"/>
      <c r="L172" s="419"/>
      <c r="M172" s="354"/>
      <c r="N172" s="354"/>
      <c r="O172" s="354"/>
      <c r="P172" s="354"/>
      <c r="Q172" s="355"/>
      <c r="R172" s="355"/>
      <c r="S172" s="354"/>
      <c r="T172" s="354"/>
      <c r="Y172" s="339"/>
      <c r="Z172" s="340"/>
    </row>
    <row r="173" spans="1:26" ht="8.1" customHeight="1" x14ac:dyDescent="0.25">
      <c r="A173" s="420" t="str">
        <f>"Thru Bolt"</f>
        <v>Thru Bolt</v>
      </c>
      <c r="B173" s="421"/>
      <c r="C173" s="421"/>
      <c r="D173" s="421"/>
      <c r="E173" s="422">
        <f>MIN(Control!E60,Control!G60)</f>
        <v>10.5</v>
      </c>
      <c r="F173" s="422"/>
      <c r="G173" s="421" t="str">
        <f>"ft. O.C."</f>
        <v>ft. O.C.</v>
      </c>
      <c r="H173" s="421"/>
      <c r="I173" s="419" t="str">
        <f>IF(Control!F123=2,"&lt;------ CONTROLS","")</f>
        <v/>
      </c>
      <c r="J173" s="419"/>
      <c r="K173" s="419"/>
      <c r="L173" s="419"/>
      <c r="M173" s="354"/>
      <c r="N173" s="354"/>
      <c r="O173" s="354"/>
      <c r="P173" s="354"/>
      <c r="Q173" s="355"/>
      <c r="R173" s="355"/>
      <c r="S173" s="354"/>
      <c r="T173" s="354"/>
      <c r="Y173" s="339"/>
      <c r="Z173" s="340"/>
    </row>
    <row r="174" spans="1:26" ht="8.1" customHeight="1" x14ac:dyDescent="0.25">
      <c r="A174" s="420"/>
      <c r="B174" s="421"/>
      <c r="C174" s="421"/>
      <c r="D174" s="421"/>
      <c r="E174" s="422"/>
      <c r="F174" s="422"/>
      <c r="G174" s="421"/>
      <c r="H174" s="421"/>
      <c r="I174" s="419"/>
      <c r="J174" s="419"/>
      <c r="K174" s="419"/>
      <c r="L174" s="419"/>
      <c r="M174" s="354"/>
      <c r="N174" s="354"/>
      <c r="O174" s="354"/>
      <c r="P174" s="354"/>
      <c r="Q174" s="355"/>
      <c r="R174" s="355"/>
      <c r="S174" s="354"/>
      <c r="T174" s="354"/>
      <c r="Y174" s="339"/>
      <c r="Z174" s="340"/>
    </row>
    <row r="175" spans="1:26" ht="8.1" customHeight="1" x14ac:dyDescent="0.25">
      <c r="A175" s="362"/>
      <c r="B175" s="362"/>
      <c r="C175" s="362"/>
      <c r="D175" s="362"/>
      <c r="E175" s="363"/>
      <c r="F175" s="363"/>
      <c r="G175" s="362"/>
      <c r="H175" s="362"/>
      <c r="I175" s="362"/>
      <c r="J175" s="362"/>
      <c r="K175" s="365"/>
      <c r="L175" s="365"/>
      <c r="M175" s="362"/>
      <c r="N175" s="362"/>
      <c r="O175" s="362"/>
      <c r="P175" s="362"/>
      <c r="Q175" s="365"/>
      <c r="R175" s="365"/>
      <c r="S175" s="362"/>
      <c r="T175" s="362"/>
      <c r="U175" s="364"/>
      <c r="V175" s="364"/>
      <c r="W175" s="364"/>
      <c r="X175" s="364"/>
      <c r="Y175" s="359"/>
      <c r="Z175" s="359"/>
    </row>
    <row r="176" spans="1:26" ht="8.1" customHeight="1" x14ac:dyDescent="0.25">
      <c r="A176" s="413" t="s">
        <v>415</v>
      </c>
      <c r="B176" s="414"/>
      <c r="C176" s="414"/>
      <c r="D176" s="414"/>
      <c r="E176" s="347"/>
      <c r="F176" s="347"/>
      <c r="G176" s="348"/>
      <c r="H176" s="348"/>
      <c r="I176" s="348"/>
      <c r="J176" s="348"/>
      <c r="K176" s="349"/>
      <c r="L176" s="349"/>
      <c r="M176" s="348"/>
      <c r="N176" s="348"/>
      <c r="O176" s="348"/>
      <c r="P176" s="348"/>
      <c r="Q176" s="349"/>
      <c r="R176" s="349"/>
      <c r="S176" s="348"/>
      <c r="T176" s="348"/>
      <c r="U176" s="350"/>
      <c r="V176" s="350"/>
      <c r="W176" s="350"/>
      <c r="X176" s="350"/>
      <c r="Y176" s="335"/>
      <c r="Z176" s="337"/>
    </row>
    <row r="177" spans="1:26" ht="8.1" customHeight="1" x14ac:dyDescent="0.25">
      <c r="A177" s="415"/>
      <c r="B177" s="416"/>
      <c r="C177" s="416"/>
      <c r="D177" s="416"/>
      <c r="E177" s="342"/>
      <c r="F177" s="342"/>
      <c r="G177" s="341"/>
      <c r="H177" s="341"/>
      <c r="I177" s="341"/>
      <c r="J177" s="341"/>
      <c r="K177" s="351"/>
      <c r="L177" s="351"/>
      <c r="M177" s="341"/>
      <c r="N177" s="341"/>
      <c r="O177" s="341"/>
      <c r="P177" s="341"/>
      <c r="Q177" s="351"/>
      <c r="R177" s="351"/>
      <c r="S177" s="341"/>
      <c r="T177" s="341"/>
      <c r="U177" s="343"/>
      <c r="V177" s="343"/>
      <c r="W177" s="343"/>
      <c r="X177" s="343"/>
      <c r="Y177" s="339"/>
      <c r="Z177" s="340"/>
    </row>
    <row r="178" spans="1:26" ht="8.1" customHeight="1" x14ac:dyDescent="0.25">
      <c r="A178" s="417" t="s">
        <v>276</v>
      </c>
      <c r="B178" s="418"/>
      <c r="C178" s="418"/>
      <c r="D178" s="418"/>
      <c r="E178" s="339"/>
      <c r="F178" s="339"/>
      <c r="G178" s="339"/>
      <c r="H178" s="339"/>
      <c r="I178" s="354"/>
      <c r="J178" s="354"/>
      <c r="K178" s="354"/>
      <c r="L178" s="354"/>
      <c r="M178" s="354"/>
      <c r="N178" s="354"/>
      <c r="O178" s="354"/>
      <c r="P178" s="339"/>
      <c r="Q178" s="339"/>
      <c r="R178" s="339"/>
      <c r="S178" s="339"/>
      <c r="T178" s="339"/>
      <c r="U178" s="346"/>
      <c r="V178" s="346"/>
      <c r="W178" s="346"/>
      <c r="X178" s="346"/>
      <c r="Y178" s="339"/>
      <c r="Z178" s="340"/>
    </row>
    <row r="179" spans="1:26" ht="8.1" customHeight="1" x14ac:dyDescent="0.25">
      <c r="A179" s="417"/>
      <c r="B179" s="418"/>
      <c r="C179" s="418"/>
      <c r="D179" s="418"/>
      <c r="E179" s="339"/>
      <c r="F179" s="339"/>
      <c r="G179" s="339"/>
      <c r="H179" s="339"/>
      <c r="I179" s="354"/>
      <c r="J179" s="354"/>
      <c r="K179" s="354"/>
      <c r="L179" s="354"/>
      <c r="M179" s="354"/>
      <c r="N179" s="354"/>
      <c r="O179" s="354"/>
      <c r="P179" s="339"/>
      <c r="Q179" s="339"/>
      <c r="R179" s="339"/>
      <c r="S179" s="339"/>
      <c r="T179" s="339"/>
      <c r="U179" s="346"/>
      <c r="V179" s="346"/>
      <c r="W179" s="346"/>
      <c r="X179" s="346"/>
      <c r="Y179" s="339"/>
      <c r="Z179" s="340"/>
    </row>
    <row r="180" spans="1:26" ht="8.1" customHeight="1" x14ac:dyDescent="0.25">
      <c r="A180" s="420" t="str">
        <f>"4""x8"" Gutter"</f>
        <v>4"x8" Gutter</v>
      </c>
      <c r="B180" s="421"/>
      <c r="C180" s="421"/>
      <c r="D180" s="421"/>
      <c r="E180" s="422">
        <f>MIN(Control!E62,Control!G62)</f>
        <v>10</v>
      </c>
      <c r="F180" s="422"/>
      <c r="G180" s="421" t="str">
        <f>"ft. O.C."</f>
        <v>ft. O.C.</v>
      </c>
      <c r="H180" s="421"/>
      <c r="I180" s="419" t="str">
        <f>IF(Control!F125=2,"&lt;------ CONTROLS","")</f>
        <v/>
      </c>
      <c r="J180" s="419"/>
      <c r="K180" s="419"/>
      <c r="L180" s="419"/>
      <c r="M180" s="354"/>
      <c r="N180" s="354"/>
      <c r="O180" s="354"/>
      <c r="P180" s="354"/>
      <c r="Q180" s="355"/>
      <c r="R180" s="355"/>
      <c r="S180" s="354"/>
      <c r="T180" s="354"/>
      <c r="Y180" s="339"/>
      <c r="Z180" s="340"/>
    </row>
    <row r="181" spans="1:26" ht="8.1" customHeight="1" x14ac:dyDescent="0.25">
      <c r="A181" s="420"/>
      <c r="B181" s="421"/>
      <c r="C181" s="421"/>
      <c r="D181" s="421"/>
      <c r="E181" s="422"/>
      <c r="F181" s="422"/>
      <c r="G181" s="421"/>
      <c r="H181" s="421"/>
      <c r="I181" s="419"/>
      <c r="J181" s="419"/>
      <c r="K181" s="419"/>
      <c r="L181" s="419"/>
      <c r="M181" s="354"/>
      <c r="N181" s="354"/>
      <c r="O181" s="354"/>
      <c r="P181" s="354"/>
      <c r="Q181" s="355"/>
      <c r="R181" s="355"/>
      <c r="S181" s="354"/>
      <c r="T181" s="354"/>
      <c r="Y181" s="339"/>
      <c r="Z181" s="340"/>
    </row>
    <row r="182" spans="1:26" ht="8.1" customHeight="1" x14ac:dyDescent="0.25">
      <c r="A182" s="420" t="str">
        <f>"4""x12"" Gutter"</f>
        <v>4"x12" Gutter</v>
      </c>
      <c r="B182" s="421"/>
      <c r="C182" s="421"/>
      <c r="D182" s="421"/>
      <c r="E182" s="422">
        <f>MIN(Control!E63,Control!G63)</f>
        <v>11</v>
      </c>
      <c r="F182" s="422"/>
      <c r="G182" s="421" t="str">
        <f>"ft. O.C."</f>
        <v>ft. O.C.</v>
      </c>
      <c r="H182" s="421"/>
      <c r="I182" s="419" t="str">
        <f>IF(Control!F126=2,"&lt;------ CONTROLS","")</f>
        <v/>
      </c>
      <c r="J182" s="419"/>
      <c r="K182" s="419"/>
      <c r="L182" s="419"/>
      <c r="M182" s="354"/>
      <c r="N182" s="354"/>
      <c r="O182" s="354"/>
      <c r="P182" s="354"/>
      <c r="Q182" s="355"/>
      <c r="R182" s="355"/>
      <c r="S182" s="354"/>
      <c r="T182" s="354"/>
      <c r="Y182" s="339"/>
      <c r="Z182" s="340"/>
    </row>
    <row r="183" spans="1:26" ht="8.1" customHeight="1" x14ac:dyDescent="0.25">
      <c r="A183" s="420"/>
      <c r="B183" s="421"/>
      <c r="C183" s="421"/>
      <c r="D183" s="421"/>
      <c r="E183" s="422"/>
      <c r="F183" s="422"/>
      <c r="G183" s="421"/>
      <c r="H183" s="421"/>
      <c r="I183" s="419"/>
      <c r="J183" s="419"/>
      <c r="K183" s="419"/>
      <c r="L183" s="419"/>
      <c r="M183" s="354"/>
      <c r="N183" s="354"/>
      <c r="O183" s="354"/>
      <c r="P183" s="354"/>
      <c r="Q183" s="355"/>
      <c r="R183" s="355"/>
      <c r="S183" s="354"/>
      <c r="T183" s="354"/>
      <c r="Y183" s="339"/>
      <c r="Z183" s="340"/>
    </row>
    <row r="184" spans="1:26" ht="8.1" customHeight="1" x14ac:dyDescent="0.25">
      <c r="A184" s="335"/>
      <c r="B184" s="335"/>
      <c r="C184" s="335"/>
      <c r="D184" s="335"/>
      <c r="E184" s="335"/>
      <c r="F184" s="335"/>
      <c r="G184" s="335"/>
      <c r="H184" s="335"/>
      <c r="I184" s="335"/>
      <c r="J184" s="335"/>
      <c r="K184" s="335"/>
      <c r="L184" s="335"/>
      <c r="M184" s="335"/>
      <c r="N184" s="335"/>
      <c r="O184" s="335"/>
      <c r="P184" s="335"/>
      <c r="Q184" s="335"/>
      <c r="R184" s="335"/>
      <c r="S184" s="335"/>
      <c r="T184" s="335"/>
      <c r="U184" s="345"/>
      <c r="V184" s="345"/>
      <c r="W184" s="345"/>
      <c r="X184" s="345"/>
      <c r="Y184" s="335"/>
      <c r="Z184" s="335"/>
    </row>
    <row r="185" spans="1:26" ht="8.1" customHeight="1" x14ac:dyDescent="0.25">
      <c r="A185" s="439" t="s">
        <v>216</v>
      </c>
      <c r="B185" s="439"/>
      <c r="C185" s="439"/>
      <c r="D185" s="180"/>
      <c r="E185" s="180"/>
      <c r="F185" s="180"/>
      <c r="G185" s="180"/>
      <c r="H185" s="180"/>
      <c r="I185" s="180"/>
      <c r="J185" s="180"/>
      <c r="K185" s="180"/>
      <c r="L185" s="180"/>
      <c r="M185" s="180"/>
      <c r="N185" s="180"/>
      <c r="O185" s="180"/>
      <c r="P185" s="180"/>
      <c r="Q185" s="180"/>
      <c r="R185" s="180"/>
      <c r="S185" s="180"/>
      <c r="T185" s="180"/>
      <c r="U185" s="218"/>
      <c r="V185" s="218"/>
      <c r="W185" s="218"/>
      <c r="X185" s="218"/>
      <c r="Y185" s="180"/>
      <c r="Z185" s="180"/>
    </row>
    <row r="186" spans="1:26" ht="8.1" customHeight="1" x14ac:dyDescent="0.25">
      <c r="A186" s="439"/>
      <c r="B186" s="439"/>
      <c r="C186" s="439"/>
      <c r="D186" s="180"/>
      <c r="E186" s="180"/>
      <c r="F186" s="180"/>
      <c r="G186" s="180"/>
      <c r="H186" s="180"/>
      <c r="I186" s="180"/>
      <c r="J186" s="180"/>
      <c r="K186" s="180"/>
      <c r="L186" s="180"/>
      <c r="M186" s="180"/>
      <c r="N186" s="180"/>
      <c r="O186" s="180"/>
      <c r="P186" s="180"/>
      <c r="Q186" s="180"/>
      <c r="R186" s="180"/>
      <c r="S186" s="180"/>
      <c r="T186" s="180"/>
      <c r="U186" s="218"/>
      <c r="V186" s="218"/>
      <c r="W186" s="218"/>
      <c r="X186" s="218"/>
      <c r="Y186" s="180"/>
      <c r="Z186" s="180"/>
    </row>
    <row r="187" spans="1:26" ht="8.1" customHeight="1" x14ac:dyDescent="0.25">
      <c r="A187" s="253"/>
      <c r="B187" s="253"/>
      <c r="C187" s="253"/>
      <c r="D187" s="180"/>
      <c r="E187" s="180"/>
      <c r="F187" s="180"/>
      <c r="G187" s="180"/>
      <c r="H187" s="180"/>
      <c r="I187" s="180"/>
      <c r="J187" s="180"/>
      <c r="K187" s="180"/>
      <c r="L187" s="180"/>
      <c r="M187" s="180"/>
      <c r="N187" s="180"/>
      <c r="O187" s="180"/>
      <c r="P187" s="180"/>
      <c r="Q187" s="180"/>
      <c r="R187" s="180"/>
      <c r="S187" s="180"/>
      <c r="T187" s="180"/>
      <c r="U187" s="218"/>
      <c r="V187" s="218"/>
      <c r="W187" s="218"/>
      <c r="X187" s="218"/>
      <c r="Y187" s="180"/>
      <c r="Z187" s="180"/>
    </row>
    <row r="188" spans="1:26" ht="8.1" customHeight="1" x14ac:dyDescent="0.25">
      <c r="A188" s="413" t="s">
        <v>416</v>
      </c>
      <c r="B188" s="414"/>
      <c r="C188" s="414"/>
      <c r="D188" s="414"/>
      <c r="E188" s="345"/>
      <c r="F188" s="335"/>
      <c r="G188" s="335"/>
      <c r="H188" s="335"/>
      <c r="I188" s="335"/>
      <c r="J188" s="335"/>
      <c r="K188" s="335"/>
      <c r="L188" s="335"/>
      <c r="M188" s="335"/>
      <c r="N188" s="335"/>
      <c r="O188" s="335"/>
      <c r="P188" s="335"/>
      <c r="Q188" s="335"/>
      <c r="R188" s="335"/>
      <c r="S188" s="335"/>
      <c r="T188" s="335"/>
      <c r="U188" s="345"/>
      <c r="V188" s="345"/>
      <c r="W188" s="345"/>
      <c r="X188" s="345"/>
      <c r="Y188" s="335"/>
      <c r="Z188" s="337"/>
    </row>
    <row r="189" spans="1:26" ht="8.1" customHeight="1" x14ac:dyDescent="0.25">
      <c r="A189" s="415"/>
      <c r="B189" s="416"/>
      <c r="C189" s="416"/>
      <c r="D189" s="416"/>
      <c r="E189" s="339"/>
      <c r="F189" s="339"/>
      <c r="G189" s="339"/>
      <c r="H189" s="339"/>
      <c r="I189" s="339"/>
      <c r="J189" s="339"/>
      <c r="K189" s="339"/>
      <c r="L189" s="339"/>
      <c r="M189" s="339"/>
      <c r="N189" s="339"/>
      <c r="O189" s="339"/>
      <c r="P189" s="339"/>
      <c r="Q189" s="339"/>
      <c r="R189" s="339"/>
      <c r="S189" s="339"/>
      <c r="T189" s="339"/>
      <c r="U189" s="346"/>
      <c r="V189" s="346"/>
      <c r="W189" s="346"/>
      <c r="X189" s="346"/>
      <c r="Y189" s="339"/>
      <c r="Z189" s="340"/>
    </row>
    <row r="190" spans="1:26" ht="8.1" customHeight="1" x14ac:dyDescent="0.25">
      <c r="A190" s="417" t="s">
        <v>276</v>
      </c>
      <c r="B190" s="418"/>
      <c r="C190" s="418"/>
      <c r="D190" s="418"/>
      <c r="E190" s="339"/>
      <c r="F190" s="339"/>
      <c r="G190" s="339"/>
      <c r="H190" s="339"/>
      <c r="I190" s="354"/>
      <c r="J190" s="354"/>
      <c r="K190" s="354"/>
      <c r="L190" s="354"/>
      <c r="M190" s="354"/>
      <c r="N190" s="354"/>
      <c r="O190" s="354"/>
      <c r="P190" s="339"/>
      <c r="Q190" s="339"/>
      <c r="R190" s="339"/>
      <c r="S190" s="339"/>
      <c r="T190" s="339"/>
      <c r="U190" s="346"/>
      <c r="V190" s="346"/>
      <c r="W190" s="346"/>
      <c r="X190" s="346"/>
      <c r="Y190" s="339"/>
      <c r="Z190" s="340"/>
    </row>
    <row r="191" spans="1:26" ht="8.1" customHeight="1" x14ac:dyDescent="0.25">
      <c r="A191" s="417"/>
      <c r="B191" s="418"/>
      <c r="C191" s="418"/>
      <c r="D191" s="418"/>
      <c r="E191" s="339"/>
      <c r="F191" s="339"/>
      <c r="G191" s="339"/>
      <c r="H191" s="339"/>
      <c r="I191" s="354"/>
      <c r="J191" s="354"/>
      <c r="K191" s="354"/>
      <c r="L191" s="354"/>
      <c r="M191" s="354"/>
      <c r="N191" s="354"/>
      <c r="O191" s="354"/>
      <c r="P191" s="339"/>
      <c r="Q191" s="339"/>
      <c r="R191" s="339"/>
      <c r="S191" s="339"/>
      <c r="T191" s="339"/>
      <c r="U191" s="346"/>
      <c r="V191" s="346"/>
      <c r="W191" s="346"/>
      <c r="X191" s="346"/>
      <c r="Y191" s="339"/>
      <c r="Z191" s="340"/>
    </row>
    <row r="192" spans="1:26" ht="8.1" customHeight="1" x14ac:dyDescent="0.25">
      <c r="A192" s="420" t="str">
        <f>"4""x8"" Gutter"</f>
        <v>4"x8" Gutter</v>
      </c>
      <c r="B192" s="421"/>
      <c r="C192" s="421"/>
      <c r="D192" s="421"/>
      <c r="E192" s="422">
        <f>MIN(Control!D67,Control!E67)</f>
        <v>54.245116388308688</v>
      </c>
      <c r="F192" s="422"/>
      <c r="G192" s="421" t="str">
        <f>"in. O.C."</f>
        <v>in. O.C.</v>
      </c>
      <c r="H192" s="421"/>
      <c r="I192" s="419" t="str">
        <f>IF(Control!F131=2,"&lt;------ CONTROLS","")</f>
        <v/>
      </c>
      <c r="J192" s="419"/>
      <c r="K192" s="419"/>
      <c r="L192" s="419"/>
      <c r="M192" s="405"/>
      <c r="N192" s="354"/>
      <c r="O192" s="354"/>
      <c r="P192" s="354"/>
      <c r="Q192" s="355"/>
      <c r="R192" s="355"/>
      <c r="S192" s="354"/>
      <c r="T192" s="354"/>
      <c r="Y192" s="339"/>
      <c r="Z192" s="340"/>
    </row>
    <row r="193" spans="1:29" ht="8.1" customHeight="1" x14ac:dyDescent="0.25">
      <c r="A193" s="420"/>
      <c r="B193" s="421"/>
      <c r="C193" s="421"/>
      <c r="D193" s="421"/>
      <c r="E193" s="422"/>
      <c r="F193" s="422"/>
      <c r="G193" s="421"/>
      <c r="H193" s="421"/>
      <c r="I193" s="419"/>
      <c r="J193" s="419"/>
      <c r="K193" s="419"/>
      <c r="L193" s="419"/>
      <c r="M193" s="405"/>
      <c r="N193" s="354"/>
      <c r="O193" s="354"/>
      <c r="P193" s="354"/>
      <c r="Q193" s="355"/>
      <c r="R193" s="355"/>
      <c r="S193" s="354"/>
      <c r="T193" s="354"/>
      <c r="Y193" s="339"/>
      <c r="Z193" s="340"/>
    </row>
    <row r="194" spans="1:29" ht="8.1" customHeight="1" x14ac:dyDescent="0.25">
      <c r="A194" s="420" t="str">
        <f>"4""x12"" Gutter"</f>
        <v>4"x12" Gutter</v>
      </c>
      <c r="B194" s="421"/>
      <c r="C194" s="421"/>
      <c r="D194" s="421"/>
      <c r="E194" s="422">
        <f>MIN(Control!D68,Control!E68)</f>
        <v>59.014243156422182</v>
      </c>
      <c r="F194" s="422"/>
      <c r="G194" s="421" t="str">
        <f>"in. O.C."</f>
        <v>in. O.C.</v>
      </c>
      <c r="H194" s="421"/>
      <c r="I194" s="419" t="str">
        <f>IF(Control!F132=2,"&lt;------ CONTROLS","")</f>
        <v/>
      </c>
      <c r="J194" s="419"/>
      <c r="K194" s="419"/>
      <c r="L194" s="419"/>
      <c r="M194" s="405"/>
      <c r="N194" s="354"/>
      <c r="O194" s="354"/>
      <c r="P194" s="354"/>
      <c r="Q194" s="355"/>
      <c r="R194" s="355"/>
      <c r="S194" s="354"/>
      <c r="T194" s="354"/>
      <c r="Y194" s="339"/>
      <c r="Z194" s="340"/>
    </row>
    <row r="195" spans="1:29" ht="8.1" customHeight="1" x14ac:dyDescent="0.25">
      <c r="A195" s="420"/>
      <c r="B195" s="421"/>
      <c r="C195" s="421"/>
      <c r="D195" s="421"/>
      <c r="E195" s="422"/>
      <c r="F195" s="422"/>
      <c r="G195" s="421"/>
      <c r="H195" s="421"/>
      <c r="I195" s="419"/>
      <c r="J195" s="419"/>
      <c r="K195" s="419"/>
      <c r="L195" s="419"/>
      <c r="M195" s="405"/>
      <c r="N195" s="354"/>
      <c r="O195" s="354"/>
      <c r="P195" s="354"/>
      <c r="Q195" s="355"/>
      <c r="R195" s="355"/>
      <c r="S195" s="354"/>
      <c r="T195" s="354"/>
      <c r="Y195" s="339"/>
      <c r="Z195" s="340"/>
      <c r="AB195" s="4" t="str">
        <f>A192</f>
        <v>4"x8" Gutter</v>
      </c>
      <c r="AC195" s="4" t="b">
        <f>IF(Control!F131=2,TRUE,FALSE)</f>
        <v>0</v>
      </c>
    </row>
    <row r="196" spans="1:29" ht="8.1" customHeight="1" x14ac:dyDescent="0.25">
      <c r="A196" s="359"/>
      <c r="B196" s="359"/>
      <c r="C196" s="359"/>
      <c r="D196" s="359"/>
      <c r="E196" s="359"/>
      <c r="F196" s="359"/>
      <c r="G196" s="359"/>
      <c r="H196" s="359"/>
      <c r="I196" s="359"/>
      <c r="J196" s="359"/>
      <c r="K196" s="359"/>
      <c r="L196" s="359"/>
      <c r="M196" s="359"/>
      <c r="N196" s="359"/>
      <c r="O196" s="359"/>
      <c r="P196" s="359"/>
      <c r="Q196" s="359"/>
      <c r="R196" s="359"/>
      <c r="S196" s="359"/>
      <c r="T196" s="359"/>
      <c r="U196" s="360"/>
      <c r="V196" s="360"/>
      <c r="W196" s="360"/>
      <c r="X196" s="360"/>
      <c r="Y196" s="359"/>
      <c r="Z196" s="359"/>
      <c r="AB196" s="4" t="str">
        <f>A194</f>
        <v>4"x12" Gutter</v>
      </c>
      <c r="AC196" s="4" t="b">
        <f>IF(Control!F132=2,TRUE)</f>
        <v>0</v>
      </c>
    </row>
    <row r="197" spans="1:29" ht="8.1" customHeight="1" x14ac:dyDescent="0.25">
      <c r="A197" s="413" t="s">
        <v>417</v>
      </c>
      <c r="B197" s="414"/>
      <c r="C197" s="414"/>
      <c r="D197" s="414"/>
      <c r="E197" s="335"/>
      <c r="F197" s="335"/>
      <c r="G197" s="335"/>
      <c r="H197" s="335"/>
      <c r="I197" s="335"/>
      <c r="J197" s="335"/>
      <c r="K197" s="335"/>
      <c r="L197" s="335"/>
      <c r="M197" s="335"/>
      <c r="N197" s="335"/>
      <c r="O197" s="335"/>
      <c r="P197" s="335"/>
      <c r="Q197" s="335"/>
      <c r="R197" s="335"/>
      <c r="S197" s="335"/>
      <c r="T197" s="335"/>
      <c r="U197" s="345"/>
      <c r="V197" s="345"/>
      <c r="W197" s="345"/>
      <c r="X197" s="345"/>
      <c r="Y197" s="335"/>
      <c r="Z197" s="337"/>
      <c r="AB197" s="4" t="str">
        <f>A201</f>
        <v>Concrete 12" ED</v>
      </c>
      <c r="AC197" s="4" t="b">
        <f>IF(Control!F134=2,TRUE)</f>
        <v>1</v>
      </c>
    </row>
    <row r="198" spans="1:29" ht="8.1" customHeight="1" x14ac:dyDescent="0.25">
      <c r="A198" s="415"/>
      <c r="B198" s="416"/>
      <c r="C198" s="416"/>
      <c r="D198" s="416"/>
      <c r="E198" s="339"/>
      <c r="F198" s="339"/>
      <c r="G198" s="339"/>
      <c r="H198" s="339"/>
      <c r="I198" s="339"/>
      <c r="J198" s="339"/>
      <c r="K198" s="339"/>
      <c r="L198" s="339"/>
      <c r="M198" s="339"/>
      <c r="N198" s="339"/>
      <c r="O198" s="339"/>
      <c r="P198" s="339"/>
      <c r="Q198" s="339"/>
      <c r="R198" s="339"/>
      <c r="S198" s="339"/>
      <c r="T198" s="339"/>
      <c r="U198" s="346"/>
      <c r="V198" s="346"/>
      <c r="W198" s="346"/>
      <c r="X198" s="346"/>
      <c r="Y198" s="339"/>
      <c r="Z198" s="340"/>
      <c r="AB198" s="4" t="str">
        <f>A203</f>
        <v>Concrete 4" ED</v>
      </c>
      <c r="AC198" s="4" t="b">
        <f>IF(Control!F135=2,TRUE)</f>
        <v>0</v>
      </c>
    </row>
    <row r="199" spans="1:29" ht="8.1" customHeight="1" x14ac:dyDescent="0.25">
      <c r="A199" s="417" t="s">
        <v>279</v>
      </c>
      <c r="B199" s="418"/>
      <c r="C199" s="418"/>
      <c r="D199" s="418"/>
      <c r="E199" s="418"/>
      <c r="F199" s="418"/>
      <c r="G199" s="339"/>
      <c r="H199" s="339"/>
      <c r="I199" s="354"/>
      <c r="J199" s="354"/>
      <c r="K199" s="354"/>
      <c r="L199" s="354"/>
      <c r="M199" s="354"/>
      <c r="N199" s="354"/>
      <c r="O199" s="354"/>
      <c r="P199" s="339"/>
      <c r="Q199" s="339"/>
      <c r="R199" s="339"/>
      <c r="S199" s="339"/>
      <c r="T199" s="339"/>
      <c r="U199" s="346"/>
      <c r="V199" s="346"/>
      <c r="W199" s="346"/>
      <c r="X199" s="346"/>
      <c r="Y199" s="339"/>
      <c r="Z199" s="340"/>
      <c r="AB199" s="4" t="str">
        <f>A205</f>
        <v>GFB 12" ED</v>
      </c>
      <c r="AC199" s="4" t="b">
        <f>IF(Control!F136=2,TRUE)</f>
        <v>0</v>
      </c>
    </row>
    <row r="200" spans="1:29" ht="8.1" customHeight="1" x14ac:dyDescent="0.25">
      <c r="A200" s="417"/>
      <c r="B200" s="418"/>
      <c r="C200" s="418"/>
      <c r="D200" s="418"/>
      <c r="E200" s="418"/>
      <c r="F200" s="418"/>
      <c r="G200" s="339"/>
      <c r="H200" s="339"/>
      <c r="I200" s="354"/>
      <c r="J200" s="354"/>
      <c r="K200" s="354"/>
      <c r="L200" s="354"/>
      <c r="M200" s="354"/>
      <c r="N200" s="354"/>
      <c r="O200" s="354"/>
      <c r="P200" s="339"/>
      <c r="Q200" s="339"/>
      <c r="R200" s="339"/>
      <c r="S200" s="339"/>
      <c r="T200" s="339"/>
      <c r="U200" s="346"/>
      <c r="V200" s="346"/>
      <c r="W200" s="346"/>
      <c r="X200" s="346"/>
      <c r="Y200" s="339"/>
      <c r="Z200" s="340"/>
      <c r="AB200" s="4" t="str">
        <f>A207</f>
        <v>GFB 4" ED</v>
      </c>
      <c r="AC200" s="4" t="b">
        <f>IF(Control!F137=2,TRUE)</f>
        <v>0</v>
      </c>
    </row>
    <row r="201" spans="1:29" ht="8.1" customHeight="1" x14ac:dyDescent="0.25">
      <c r="A201" s="420" t="str">
        <f>"Concrete 12"" ED"</f>
        <v>Concrete 12" ED</v>
      </c>
      <c r="B201" s="421"/>
      <c r="C201" s="421"/>
      <c r="D201" s="421"/>
      <c r="E201" s="422">
        <f>Control!D70</f>
        <v>25.131568557290741</v>
      </c>
      <c r="F201" s="422"/>
      <c r="G201" s="421" t="str">
        <f>"in. O.C."</f>
        <v>in. O.C.</v>
      </c>
      <c r="H201" s="421"/>
      <c r="I201" s="419" t="str">
        <f>IF(Control!F134=2,"&lt;------ CONTROLS","")</f>
        <v>&lt;------ CONTROLS</v>
      </c>
      <c r="J201" s="419"/>
      <c r="K201" s="419"/>
      <c r="L201" s="419"/>
      <c r="M201" s="405"/>
      <c r="N201" s="354"/>
      <c r="O201" s="354"/>
      <c r="P201" s="354"/>
      <c r="Q201" s="355"/>
      <c r="R201" s="355"/>
      <c r="S201" s="354"/>
      <c r="T201" s="354"/>
      <c r="Y201" s="339"/>
      <c r="Z201" s="340"/>
      <c r="AB201" s="4" t="str">
        <f>A209</f>
        <v>HB 12" ED</v>
      </c>
      <c r="AC201" s="4" t="b">
        <f>IF(Control!F138=2,TRUE)</f>
        <v>0</v>
      </c>
    </row>
    <row r="202" spans="1:29" ht="8.1" customHeight="1" x14ac:dyDescent="0.25">
      <c r="A202" s="420"/>
      <c r="B202" s="421"/>
      <c r="C202" s="421"/>
      <c r="D202" s="421"/>
      <c r="E202" s="422"/>
      <c r="F202" s="422"/>
      <c r="G202" s="421"/>
      <c r="H202" s="421"/>
      <c r="I202" s="419"/>
      <c r="J202" s="419"/>
      <c r="K202" s="419"/>
      <c r="L202" s="419"/>
      <c r="M202" s="405"/>
      <c r="N202" s="354"/>
      <c r="O202" s="354"/>
      <c r="P202" s="354"/>
      <c r="Q202" s="355"/>
      <c r="R202" s="355"/>
      <c r="S202" s="354"/>
      <c r="T202" s="354"/>
      <c r="Y202" s="339"/>
      <c r="Z202" s="340"/>
      <c r="AB202" s="4" t="str">
        <f>A211</f>
        <v>HB 4" ED</v>
      </c>
      <c r="AC202" s="4" t="b">
        <f>IF(Control!F139=2,TRUE)</f>
        <v>0</v>
      </c>
    </row>
    <row r="203" spans="1:29" ht="8.1" customHeight="1" x14ac:dyDescent="0.25">
      <c r="A203" s="420" t="str">
        <f>"Concrete 4"" ED"</f>
        <v>Concrete 4" ED</v>
      </c>
      <c r="B203" s="421"/>
      <c r="C203" s="421"/>
      <c r="D203" s="421"/>
      <c r="E203" s="422">
        <f>Control!D71</f>
        <v>15.928406885734137</v>
      </c>
      <c r="F203" s="422"/>
      <c r="G203" s="421" t="str">
        <f>"in. O.C."</f>
        <v>in. O.C.</v>
      </c>
      <c r="H203" s="421"/>
      <c r="I203" s="419" t="str">
        <f>IF(Control!F135=2,"&lt;------ CONTROLS","")</f>
        <v/>
      </c>
      <c r="J203" s="419"/>
      <c r="K203" s="419"/>
      <c r="L203" s="419"/>
      <c r="M203" s="405"/>
      <c r="N203" s="354"/>
      <c r="O203" s="354"/>
      <c r="P203" s="354"/>
      <c r="Q203" s="355"/>
      <c r="R203" s="355"/>
      <c r="S203" s="354"/>
      <c r="T203" s="354"/>
      <c r="Y203" s="339"/>
      <c r="Z203" s="340"/>
      <c r="AB203" s="4" t="str">
        <f>A213</f>
        <v>Wood</v>
      </c>
      <c r="AC203" s="4" t="b">
        <f>IF(Control!F140=2,TRUE)</f>
        <v>0</v>
      </c>
    </row>
    <row r="204" spans="1:29" ht="8.1" customHeight="1" x14ac:dyDescent="0.25">
      <c r="A204" s="420"/>
      <c r="B204" s="421"/>
      <c r="C204" s="421"/>
      <c r="D204" s="421"/>
      <c r="E204" s="422"/>
      <c r="F204" s="422"/>
      <c r="G204" s="421"/>
      <c r="H204" s="421"/>
      <c r="I204" s="419"/>
      <c r="J204" s="419"/>
      <c r="K204" s="419"/>
      <c r="L204" s="419"/>
      <c r="M204" s="405"/>
      <c r="N204" s="354"/>
      <c r="O204" s="354"/>
      <c r="P204" s="354"/>
      <c r="Q204" s="355"/>
      <c r="R204" s="355"/>
      <c r="S204" s="354"/>
      <c r="T204" s="354"/>
      <c r="Y204" s="339"/>
      <c r="Z204" s="340"/>
      <c r="AB204" s="4" t="str">
        <f>A215</f>
        <v>Steel</v>
      </c>
      <c r="AC204" s="4" t="b">
        <f>IF(Control!F141=2,TRUE)</f>
        <v>0</v>
      </c>
    </row>
    <row r="205" spans="1:29" ht="8.1" customHeight="1" x14ac:dyDescent="0.25">
      <c r="A205" s="420" t="str">
        <f>"GFB 12"" ED"</f>
        <v>GFB 12" ED</v>
      </c>
      <c r="B205" s="421"/>
      <c r="C205" s="421"/>
      <c r="D205" s="421"/>
      <c r="E205" s="422">
        <f>Control!D72</f>
        <v>33.174297914683656</v>
      </c>
      <c r="F205" s="422"/>
      <c r="G205" s="421" t="str">
        <f>"in. O.C."</f>
        <v>in. O.C.</v>
      </c>
      <c r="H205" s="421"/>
      <c r="I205" s="419" t="str">
        <f>IF(Control!F136=2,"&lt;------ CONTROLS","")</f>
        <v/>
      </c>
      <c r="J205" s="419"/>
      <c r="K205" s="419"/>
      <c r="L205" s="419"/>
      <c r="M205" s="405"/>
      <c r="N205" s="354"/>
      <c r="O205" s="354"/>
      <c r="P205" s="354"/>
      <c r="Q205" s="355"/>
      <c r="R205" s="355"/>
      <c r="S205" s="354"/>
      <c r="T205" s="354"/>
      <c r="Y205" s="339"/>
      <c r="Z205" s="340"/>
      <c r="AB205" s="4" t="str">
        <f>A217</f>
        <v>Thru Bolt</v>
      </c>
      <c r="AC205" s="4" t="b">
        <f>IF(Control!F142=2,TRUE)</f>
        <v>0</v>
      </c>
    </row>
    <row r="206" spans="1:29" ht="8.1" customHeight="1" x14ac:dyDescent="0.25">
      <c r="A206" s="420"/>
      <c r="B206" s="421"/>
      <c r="C206" s="421"/>
      <c r="D206" s="421"/>
      <c r="E206" s="422"/>
      <c r="F206" s="422"/>
      <c r="G206" s="421"/>
      <c r="H206" s="421"/>
      <c r="I206" s="419"/>
      <c r="J206" s="419"/>
      <c r="K206" s="419"/>
      <c r="L206" s="419"/>
      <c r="M206" s="405"/>
      <c r="N206" s="354"/>
      <c r="O206" s="354"/>
      <c r="P206" s="354"/>
      <c r="Q206" s="355"/>
      <c r="R206" s="355"/>
      <c r="S206" s="354"/>
      <c r="T206" s="354"/>
      <c r="Y206" s="339"/>
      <c r="Z206" s="340"/>
    </row>
    <row r="207" spans="1:29" ht="8.1" customHeight="1" x14ac:dyDescent="0.25">
      <c r="A207" s="420" t="str">
        <f>"GFB 4"" ED"</f>
        <v>GFB 4" ED</v>
      </c>
      <c r="B207" s="421"/>
      <c r="C207" s="421"/>
      <c r="D207" s="421"/>
      <c r="E207" s="422">
        <f>Control!D73</f>
        <v>30.71019346961792</v>
      </c>
      <c r="F207" s="422"/>
      <c r="G207" s="421" t="str">
        <f>"in. O.C."</f>
        <v>in. O.C.</v>
      </c>
      <c r="H207" s="421"/>
      <c r="I207" s="419" t="str">
        <f>IF(Control!F137=2,"&lt;------ CONTROLS","")</f>
        <v/>
      </c>
      <c r="J207" s="419"/>
      <c r="K207" s="419"/>
      <c r="L207" s="419"/>
      <c r="M207" s="405"/>
      <c r="N207" s="354"/>
      <c r="O207" s="354"/>
      <c r="P207" s="354"/>
      <c r="Q207" s="355"/>
      <c r="R207" s="355"/>
      <c r="S207" s="354"/>
      <c r="T207" s="354"/>
      <c r="Y207" s="339"/>
      <c r="Z207" s="340"/>
    </row>
    <row r="208" spans="1:29" ht="8.1" customHeight="1" x14ac:dyDescent="0.25">
      <c r="A208" s="420"/>
      <c r="B208" s="421"/>
      <c r="C208" s="421"/>
      <c r="D208" s="421"/>
      <c r="E208" s="422"/>
      <c r="F208" s="422"/>
      <c r="G208" s="421"/>
      <c r="H208" s="421"/>
      <c r="I208" s="419"/>
      <c r="J208" s="419"/>
      <c r="K208" s="419"/>
      <c r="L208" s="419"/>
      <c r="M208" s="405"/>
      <c r="N208" s="354"/>
      <c r="O208" s="354"/>
      <c r="P208" s="354"/>
      <c r="Q208" s="355"/>
      <c r="R208" s="355"/>
      <c r="S208" s="354"/>
      <c r="T208" s="354"/>
      <c r="Y208" s="339"/>
      <c r="Z208" s="340"/>
    </row>
    <row r="209" spans="1:26" ht="8.1" customHeight="1" x14ac:dyDescent="0.25">
      <c r="A209" s="420" t="str">
        <f>"HB 12"" ED"</f>
        <v>HB 12" ED</v>
      </c>
      <c r="B209" s="421"/>
      <c r="C209" s="421"/>
      <c r="D209" s="421"/>
      <c r="E209" s="422">
        <f>Control!D74</f>
        <v>13.80860993541361</v>
      </c>
      <c r="F209" s="422"/>
      <c r="G209" s="421" t="str">
        <f>"in. O.C."</f>
        <v>in. O.C.</v>
      </c>
      <c r="H209" s="421"/>
      <c r="I209" s="419" t="str">
        <f>IF(Control!F138=2,"&lt;------ CONTROLS","")</f>
        <v/>
      </c>
      <c r="J209" s="419"/>
      <c r="K209" s="419"/>
      <c r="L209" s="419"/>
      <c r="M209" s="405"/>
      <c r="N209" s="354"/>
      <c r="O209" s="354"/>
      <c r="P209" s="354"/>
      <c r="Q209" s="355"/>
      <c r="R209" s="355"/>
      <c r="S209" s="354"/>
      <c r="T209" s="354"/>
      <c r="Y209" s="339"/>
      <c r="Z209" s="340"/>
    </row>
    <row r="210" spans="1:26" ht="8.1" customHeight="1" x14ac:dyDescent="0.25">
      <c r="A210" s="420"/>
      <c r="B210" s="421"/>
      <c r="C210" s="421"/>
      <c r="D210" s="421"/>
      <c r="E210" s="422"/>
      <c r="F210" s="422"/>
      <c r="G210" s="421"/>
      <c r="H210" s="421"/>
      <c r="I210" s="419"/>
      <c r="J210" s="419"/>
      <c r="K210" s="419"/>
      <c r="L210" s="419"/>
      <c r="M210" s="405"/>
      <c r="N210" s="354"/>
      <c r="O210" s="354"/>
      <c r="P210" s="354"/>
      <c r="Q210" s="355"/>
      <c r="R210" s="355"/>
      <c r="S210" s="354"/>
      <c r="T210" s="354"/>
      <c r="Y210" s="339"/>
      <c r="Z210" s="340"/>
    </row>
    <row r="211" spans="1:26" ht="8.1" customHeight="1" x14ac:dyDescent="0.25">
      <c r="A211" s="420" t="str">
        <f>"HB 4"" ED"</f>
        <v>HB 4" ED</v>
      </c>
      <c r="B211" s="421"/>
      <c r="C211" s="421"/>
      <c r="D211" s="421"/>
      <c r="E211" s="422">
        <f>Control!D75</f>
        <v>13.322111392143011</v>
      </c>
      <c r="F211" s="422"/>
      <c r="G211" s="421" t="str">
        <f>"in. O.C."</f>
        <v>in. O.C.</v>
      </c>
      <c r="H211" s="421"/>
      <c r="I211" s="419" t="str">
        <f>IF(Control!F139=2,"&lt;------ CONTROLS","")</f>
        <v/>
      </c>
      <c r="J211" s="419"/>
      <c r="K211" s="419"/>
      <c r="L211" s="419"/>
      <c r="M211" s="405"/>
      <c r="N211" s="354"/>
      <c r="O211" s="354"/>
      <c r="P211" s="354"/>
      <c r="Q211" s="355"/>
      <c r="R211" s="355"/>
      <c r="S211" s="354"/>
      <c r="T211" s="354"/>
      <c r="Y211" s="339"/>
      <c r="Z211" s="340"/>
    </row>
    <row r="212" spans="1:26" ht="8.1" customHeight="1" x14ac:dyDescent="0.25">
      <c r="A212" s="420"/>
      <c r="B212" s="421"/>
      <c r="C212" s="421"/>
      <c r="D212" s="421"/>
      <c r="E212" s="422"/>
      <c r="F212" s="422"/>
      <c r="G212" s="421"/>
      <c r="H212" s="421"/>
      <c r="I212" s="419"/>
      <c r="J212" s="419"/>
      <c r="K212" s="419"/>
      <c r="L212" s="419"/>
      <c r="M212" s="405"/>
      <c r="N212" s="354"/>
      <c r="O212" s="354"/>
      <c r="P212" s="354"/>
      <c r="Q212" s="355"/>
      <c r="R212" s="355"/>
      <c r="S212" s="354"/>
      <c r="T212" s="354"/>
      <c r="Y212" s="339"/>
      <c r="Z212" s="340"/>
    </row>
    <row r="213" spans="1:26" ht="8.1" customHeight="1" x14ac:dyDescent="0.25">
      <c r="A213" s="420" t="str">
        <f>"Wood"</f>
        <v>Wood</v>
      </c>
      <c r="B213" s="421"/>
      <c r="C213" s="421"/>
      <c r="D213" s="421"/>
      <c r="E213" s="422">
        <f>Control!D76</f>
        <v>39.393473060767576</v>
      </c>
      <c r="F213" s="422"/>
      <c r="G213" s="421" t="str">
        <f>"in. O.C."</f>
        <v>in. O.C.</v>
      </c>
      <c r="H213" s="421"/>
      <c r="I213" s="419" t="str">
        <f>IF(Control!F140=2,"&lt;------ CONTROLS","")</f>
        <v/>
      </c>
      <c r="J213" s="419"/>
      <c r="K213" s="419"/>
      <c r="L213" s="419"/>
      <c r="M213" s="405"/>
      <c r="N213" s="354"/>
      <c r="O213" s="354"/>
      <c r="P213" s="354"/>
      <c r="Q213" s="355"/>
      <c r="R213" s="355"/>
      <c r="S213" s="354"/>
      <c r="T213" s="354"/>
      <c r="Y213" s="339"/>
      <c r="Z213" s="340"/>
    </row>
    <row r="214" spans="1:26" ht="8.1" customHeight="1" x14ac:dyDescent="0.25">
      <c r="A214" s="420"/>
      <c r="B214" s="421"/>
      <c r="C214" s="421"/>
      <c r="D214" s="421"/>
      <c r="E214" s="422"/>
      <c r="F214" s="422"/>
      <c r="G214" s="421"/>
      <c r="H214" s="421"/>
      <c r="I214" s="419"/>
      <c r="J214" s="419"/>
      <c r="K214" s="419"/>
      <c r="L214" s="419"/>
      <c r="M214" s="405"/>
      <c r="N214" s="354"/>
      <c r="O214" s="354"/>
      <c r="P214" s="354"/>
      <c r="Q214" s="355"/>
      <c r="R214" s="355"/>
      <c r="S214" s="354"/>
      <c r="T214" s="354"/>
      <c r="Y214" s="339"/>
      <c r="Z214" s="340"/>
    </row>
    <row r="215" spans="1:26" ht="8.1" customHeight="1" x14ac:dyDescent="0.25">
      <c r="A215" s="420" t="str">
        <f>"Steel"</f>
        <v>Steel</v>
      </c>
      <c r="B215" s="421"/>
      <c r="C215" s="421"/>
      <c r="D215" s="421"/>
      <c r="E215" s="422">
        <f>Control!D77</f>
        <v>55.142034574505161</v>
      </c>
      <c r="F215" s="422"/>
      <c r="G215" s="421" t="str">
        <f>"in. O.C."</f>
        <v>in. O.C.</v>
      </c>
      <c r="H215" s="421"/>
      <c r="I215" s="419" t="str">
        <f>IF(Control!F141=2,"&lt;------ CONTROLS","")</f>
        <v/>
      </c>
      <c r="J215" s="419"/>
      <c r="K215" s="419"/>
      <c r="L215" s="419"/>
      <c r="M215" s="405"/>
      <c r="N215" s="354"/>
      <c r="O215" s="354"/>
      <c r="P215" s="354"/>
      <c r="Q215" s="355"/>
      <c r="R215" s="355"/>
      <c r="S215" s="354"/>
      <c r="T215" s="354"/>
      <c r="Y215" s="339"/>
      <c r="Z215" s="340"/>
    </row>
    <row r="216" spans="1:26" ht="8.1" customHeight="1" x14ac:dyDescent="0.25">
      <c r="A216" s="420"/>
      <c r="B216" s="421"/>
      <c r="C216" s="421"/>
      <c r="D216" s="421"/>
      <c r="E216" s="422"/>
      <c r="F216" s="422"/>
      <c r="G216" s="421"/>
      <c r="H216" s="421"/>
      <c r="I216" s="419"/>
      <c r="J216" s="419"/>
      <c r="K216" s="419"/>
      <c r="L216" s="419"/>
      <c r="M216" s="405"/>
      <c r="N216" s="354"/>
      <c r="O216" s="354"/>
      <c r="P216" s="354"/>
      <c r="Q216" s="355"/>
      <c r="R216" s="355"/>
      <c r="S216" s="354"/>
      <c r="T216" s="354"/>
      <c r="Y216" s="339"/>
      <c r="Z216" s="340"/>
    </row>
    <row r="217" spans="1:26" ht="8.1" customHeight="1" x14ac:dyDescent="0.25">
      <c r="A217" s="420" t="str">
        <f>"Thru Bolt"</f>
        <v>Thru Bolt</v>
      </c>
      <c r="B217" s="421"/>
      <c r="C217" s="421"/>
      <c r="D217" s="421"/>
      <c r="E217" s="422">
        <f>Control!D78</f>
        <v>143.58909897926043</v>
      </c>
      <c r="F217" s="422"/>
      <c r="G217" s="421" t="str">
        <f>"in. O.C."</f>
        <v>in. O.C.</v>
      </c>
      <c r="H217" s="421"/>
      <c r="I217" s="419" t="str">
        <f>IF(Control!F142=2,"&lt;------ CONTROLS","")</f>
        <v/>
      </c>
      <c r="J217" s="419"/>
      <c r="K217" s="419"/>
      <c r="L217" s="419"/>
      <c r="M217" s="405"/>
      <c r="N217" s="354"/>
      <c r="O217" s="354"/>
      <c r="P217" s="354"/>
      <c r="Q217" s="355"/>
      <c r="R217" s="355"/>
      <c r="S217" s="354"/>
      <c r="T217" s="354"/>
      <c r="Y217" s="339"/>
      <c r="Z217" s="340"/>
    </row>
    <row r="218" spans="1:26" ht="8.1" customHeight="1" x14ac:dyDescent="0.25">
      <c r="A218" s="420"/>
      <c r="B218" s="421"/>
      <c r="C218" s="421"/>
      <c r="D218" s="421"/>
      <c r="E218" s="481"/>
      <c r="F218" s="481"/>
      <c r="G218" s="421"/>
      <c r="H218" s="421"/>
      <c r="I218" s="419"/>
      <c r="J218" s="419"/>
      <c r="K218" s="419"/>
      <c r="L218" s="419"/>
      <c r="M218" s="405"/>
      <c r="N218" s="354"/>
      <c r="O218" s="354"/>
      <c r="P218" s="354"/>
      <c r="Q218" s="355"/>
      <c r="R218" s="355"/>
      <c r="S218" s="354"/>
      <c r="T218" s="354"/>
      <c r="Y218" s="339"/>
      <c r="Z218" s="340"/>
    </row>
    <row r="219" spans="1:26" ht="8.1" customHeight="1" x14ac:dyDescent="0.25">
      <c r="A219" s="348"/>
      <c r="B219" s="348"/>
      <c r="C219" s="348"/>
      <c r="D219" s="348"/>
      <c r="E219" s="335"/>
      <c r="F219" s="335"/>
      <c r="G219" s="335"/>
      <c r="H219" s="335"/>
      <c r="I219" s="335"/>
      <c r="J219" s="335"/>
      <c r="K219" s="335"/>
      <c r="L219" s="335"/>
      <c r="M219" s="335"/>
      <c r="N219" s="335"/>
      <c r="O219" s="335"/>
      <c r="P219" s="335"/>
      <c r="Q219" s="335"/>
      <c r="R219" s="335"/>
      <c r="S219" s="335"/>
      <c r="T219" s="335"/>
      <c r="U219" s="335"/>
      <c r="V219" s="335"/>
      <c r="W219" s="335"/>
      <c r="X219" s="335"/>
      <c r="Y219" s="335"/>
      <c r="Z219" s="335"/>
    </row>
    <row r="220" spans="1:26" ht="8.1" customHeight="1" x14ac:dyDescent="0.25">
      <c r="A220" s="479" t="s">
        <v>420</v>
      </c>
      <c r="B220" s="479"/>
      <c r="C220" s="479"/>
      <c r="D220" s="479"/>
      <c r="E220" s="479"/>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spans="1:26" ht="8.1" customHeight="1" x14ac:dyDescent="0.25">
      <c r="A221" s="479"/>
      <c r="B221" s="479"/>
      <c r="C221" s="479"/>
      <c r="D221" s="479"/>
      <c r="E221" s="479"/>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spans="1:26" ht="8.1" customHeight="1" x14ac:dyDescent="0.25">
      <c r="A222" s="338"/>
      <c r="B222" s="338"/>
      <c r="C222" s="338"/>
      <c r="D222" s="338"/>
      <c r="E222" s="339"/>
      <c r="F222" s="339"/>
      <c r="G222" s="339"/>
      <c r="H222" s="339"/>
      <c r="I222" s="339"/>
      <c r="J222" s="339"/>
      <c r="K222" s="339"/>
      <c r="L222" s="339"/>
      <c r="M222" s="339"/>
      <c r="N222" s="339"/>
      <c r="O222" s="339"/>
      <c r="P222" s="339"/>
      <c r="Q222" s="339"/>
      <c r="R222" s="339"/>
      <c r="S222" s="339"/>
      <c r="T222" s="339"/>
      <c r="U222" s="339"/>
      <c r="V222" s="339"/>
      <c r="W222" s="339"/>
      <c r="X222" s="339"/>
      <c r="Y222" s="339"/>
      <c r="Z222" s="339"/>
    </row>
    <row r="223" spans="1:26" ht="8.1" customHeight="1" x14ac:dyDescent="0.25">
      <c r="A223" s="413" t="s">
        <v>476</v>
      </c>
      <c r="B223" s="414"/>
      <c r="C223" s="414"/>
      <c r="D223" s="414"/>
      <c r="E223" s="335"/>
      <c r="F223" s="335"/>
      <c r="G223" s="335"/>
      <c r="H223" s="335"/>
      <c r="I223" s="335"/>
      <c r="J223" s="335"/>
      <c r="K223" s="335"/>
      <c r="L223" s="337"/>
      <c r="M223" s="339"/>
      <c r="N223" s="339"/>
      <c r="O223" s="339"/>
      <c r="P223" s="339"/>
      <c r="Q223" s="339"/>
      <c r="R223" s="339"/>
      <c r="S223" s="339"/>
      <c r="T223" s="339"/>
      <c r="U223" s="339"/>
      <c r="V223" s="339"/>
      <c r="W223" s="339"/>
      <c r="X223" s="339"/>
      <c r="Y223" s="339"/>
      <c r="Z223" s="339"/>
    </row>
    <row r="224" spans="1:26" ht="8.1" customHeight="1" x14ac:dyDescent="0.25">
      <c r="A224" s="415"/>
      <c r="B224" s="416"/>
      <c r="C224" s="416"/>
      <c r="D224" s="416"/>
      <c r="E224" s="339"/>
      <c r="F224" s="339"/>
      <c r="G224" s="339"/>
      <c r="H224" s="339"/>
      <c r="I224" s="339"/>
      <c r="J224" s="339"/>
      <c r="K224" s="339"/>
      <c r="L224" s="340"/>
      <c r="M224" s="339"/>
      <c r="N224" s="339"/>
      <c r="O224" s="339"/>
      <c r="P224" s="339"/>
      <c r="Q224" s="339"/>
      <c r="R224" s="339"/>
      <c r="S224" s="339"/>
      <c r="T224" s="339"/>
      <c r="U224" s="339"/>
      <c r="V224" s="339"/>
      <c r="W224" s="339"/>
      <c r="X224" s="339"/>
      <c r="Y224" s="339"/>
      <c r="Z224" s="339"/>
    </row>
    <row r="225" spans="1:26" ht="8.1" customHeight="1" x14ac:dyDescent="0.25">
      <c r="A225" s="417" t="s">
        <v>502</v>
      </c>
      <c r="B225" s="418"/>
      <c r="C225" s="418"/>
      <c r="D225" s="418"/>
      <c r="E225" s="418"/>
      <c r="F225" s="418"/>
      <c r="G225" s="418"/>
      <c r="H225" s="418"/>
      <c r="I225" s="418"/>
      <c r="J225" s="339"/>
      <c r="K225" s="339"/>
      <c r="L225" s="340"/>
      <c r="M225" s="180"/>
      <c r="N225" s="180"/>
      <c r="O225" s="180"/>
      <c r="P225" s="180"/>
      <c r="Q225" s="180"/>
      <c r="R225" s="180"/>
      <c r="S225" s="180"/>
      <c r="T225" s="180"/>
      <c r="U225" s="180"/>
      <c r="V225" s="180"/>
      <c r="W225" s="180"/>
      <c r="X225" s="180"/>
      <c r="Y225" s="180"/>
      <c r="Z225" s="180"/>
    </row>
    <row r="226" spans="1:26" ht="8.1" customHeight="1" x14ac:dyDescent="0.25">
      <c r="A226" s="417"/>
      <c r="B226" s="418"/>
      <c r="C226" s="418"/>
      <c r="D226" s="418"/>
      <c r="E226" s="418"/>
      <c r="F226" s="418"/>
      <c r="G226" s="418"/>
      <c r="H226" s="418"/>
      <c r="I226" s="418"/>
      <c r="J226" s="339"/>
      <c r="K226" s="339"/>
      <c r="L226" s="340"/>
      <c r="M226" s="180"/>
      <c r="N226" s="180"/>
      <c r="O226" s="180"/>
      <c r="P226" s="180"/>
      <c r="Q226" s="180"/>
      <c r="R226" s="180"/>
      <c r="S226" s="180"/>
      <c r="T226" s="180"/>
      <c r="U226" s="180"/>
      <c r="V226" s="180"/>
      <c r="W226" s="180"/>
      <c r="X226" s="180"/>
      <c r="Y226" s="180"/>
      <c r="Z226" s="180"/>
    </row>
    <row r="227" spans="1:26" ht="8.1" customHeight="1" x14ac:dyDescent="0.25">
      <c r="A227" s="420" t="str">
        <f>Control!G127</f>
        <v>1.5" SCH 40 Pipe</v>
      </c>
      <c r="B227" s="421"/>
      <c r="C227" s="421"/>
      <c r="D227" s="421"/>
      <c r="E227" s="424">
        <f>Control!D82</f>
        <v>3</v>
      </c>
      <c r="F227" s="424"/>
      <c r="G227" s="421" t="str">
        <f>"ft"</f>
        <v>ft</v>
      </c>
      <c r="H227" s="421"/>
      <c r="I227" s="419" t="str">
        <f>IF(Control!F146=2,"&lt;------ CONTROLS","")</f>
        <v>&lt;------ CONTROLS</v>
      </c>
      <c r="J227" s="419"/>
      <c r="K227" s="419"/>
      <c r="L227" s="427"/>
      <c r="M227" s="180"/>
      <c r="N227" s="180"/>
      <c r="O227" s="180"/>
      <c r="P227" s="180"/>
      <c r="Q227" s="180"/>
      <c r="R227" s="180"/>
      <c r="S227" s="180"/>
      <c r="T227" s="180"/>
      <c r="U227" s="180"/>
      <c r="V227" s="180"/>
      <c r="W227" s="180"/>
      <c r="X227" s="180"/>
      <c r="Y227" s="180"/>
      <c r="Z227" s="180"/>
    </row>
    <row r="228" spans="1:26" ht="8.1" customHeight="1" x14ac:dyDescent="0.25">
      <c r="A228" s="426"/>
      <c r="B228" s="423"/>
      <c r="C228" s="423"/>
      <c r="D228" s="423"/>
      <c r="E228" s="425"/>
      <c r="F228" s="425"/>
      <c r="G228" s="423"/>
      <c r="H228" s="423"/>
      <c r="I228" s="428"/>
      <c r="J228" s="428"/>
      <c r="K228" s="428"/>
      <c r="L228" s="429"/>
      <c r="M228" s="180"/>
      <c r="N228" s="180"/>
      <c r="O228" s="180"/>
      <c r="P228" s="180"/>
      <c r="Q228" s="180"/>
      <c r="R228" s="180"/>
      <c r="S228" s="180"/>
      <c r="T228" s="180"/>
      <c r="U228" s="180"/>
      <c r="V228" s="180"/>
      <c r="W228" s="180"/>
      <c r="X228" s="180"/>
      <c r="Y228" s="180"/>
      <c r="Z228" s="180"/>
    </row>
    <row r="229" spans="1:26" ht="8.1" customHeight="1" x14ac:dyDescent="0.25">
      <c r="A229" s="339"/>
      <c r="B229" s="339"/>
      <c r="C229" s="339"/>
      <c r="D229" s="339"/>
      <c r="E229" s="339"/>
      <c r="F229" s="339"/>
      <c r="G229" s="339"/>
      <c r="H229" s="339"/>
      <c r="I229" s="339"/>
      <c r="J229" s="339"/>
      <c r="K229" s="339"/>
      <c r="L229" s="339"/>
      <c r="M229" s="339"/>
      <c r="N229" s="339"/>
      <c r="O229" s="339"/>
      <c r="P229" s="339"/>
      <c r="Q229" s="339"/>
      <c r="R229" s="339"/>
      <c r="S229" s="339"/>
      <c r="T229" s="339"/>
      <c r="U229" s="339"/>
      <c r="V229" s="339"/>
      <c r="W229" s="339"/>
      <c r="X229" s="339"/>
      <c r="Y229" s="339"/>
      <c r="Z229" s="339"/>
    </row>
    <row r="230" spans="1:26" ht="8.1" customHeight="1" x14ac:dyDescent="0.25">
      <c r="A230" s="413" t="s">
        <v>477</v>
      </c>
      <c r="B230" s="414"/>
      <c r="C230" s="414"/>
      <c r="D230" s="414"/>
      <c r="E230" s="335"/>
      <c r="F230" s="335"/>
      <c r="G230" s="335"/>
      <c r="H230" s="335"/>
      <c r="I230" s="335"/>
      <c r="J230" s="335"/>
      <c r="K230" s="335"/>
      <c r="L230" s="337"/>
      <c r="M230" s="339"/>
      <c r="N230" s="339"/>
      <c r="O230" s="339"/>
      <c r="P230" s="339"/>
      <c r="Q230" s="339"/>
      <c r="R230" s="339"/>
      <c r="S230" s="339"/>
      <c r="T230" s="339"/>
      <c r="U230" s="339"/>
      <c r="V230" s="339"/>
      <c r="W230" s="339"/>
      <c r="X230" s="339"/>
      <c r="Y230" s="339"/>
      <c r="Z230" s="339"/>
    </row>
    <row r="231" spans="1:26" ht="8.1" customHeight="1" x14ac:dyDescent="0.25">
      <c r="A231" s="415"/>
      <c r="B231" s="416"/>
      <c r="C231" s="416"/>
      <c r="D231" s="416"/>
      <c r="E231" s="339"/>
      <c r="F231" s="339"/>
      <c r="G231" s="339"/>
      <c r="H231" s="339"/>
      <c r="I231" s="339"/>
      <c r="J231" s="339"/>
      <c r="K231" s="339"/>
      <c r="L231" s="340"/>
      <c r="M231" s="339"/>
      <c r="N231" s="339"/>
      <c r="O231" s="339"/>
      <c r="P231" s="339"/>
      <c r="Q231" s="339"/>
      <c r="R231" s="339"/>
      <c r="S231" s="339"/>
      <c r="T231" s="339"/>
      <c r="U231" s="339"/>
      <c r="V231" s="339"/>
      <c r="W231" s="339"/>
      <c r="X231" s="339"/>
      <c r="Y231" s="339"/>
      <c r="Z231" s="339"/>
    </row>
    <row r="232" spans="1:26" ht="8.1" customHeight="1" x14ac:dyDescent="0.25">
      <c r="A232" s="417" t="s">
        <v>276</v>
      </c>
      <c r="B232" s="418"/>
      <c r="C232" s="418"/>
      <c r="D232" s="418"/>
      <c r="E232" s="339"/>
      <c r="F232" s="339"/>
      <c r="G232" s="339"/>
      <c r="H232" s="339"/>
      <c r="I232" s="339"/>
      <c r="J232" s="339"/>
      <c r="K232" s="339"/>
      <c r="L232" s="340"/>
      <c r="M232" s="339"/>
      <c r="N232" s="339"/>
      <c r="O232" s="339"/>
      <c r="P232" s="339"/>
      <c r="Q232" s="339"/>
      <c r="R232" s="339"/>
      <c r="S232" s="339"/>
      <c r="T232" s="339"/>
      <c r="U232" s="339"/>
      <c r="V232" s="339"/>
      <c r="W232" s="339"/>
      <c r="X232" s="339"/>
      <c r="Y232" s="339"/>
      <c r="Z232" s="339"/>
    </row>
    <row r="233" spans="1:26" ht="8.1" customHeight="1" x14ac:dyDescent="0.25">
      <c r="A233" s="417"/>
      <c r="B233" s="418"/>
      <c r="C233" s="418"/>
      <c r="D233" s="418"/>
      <c r="E233" s="339"/>
      <c r="F233" s="339"/>
      <c r="G233" s="339"/>
      <c r="H233" s="339"/>
      <c r="I233" s="339"/>
      <c r="J233" s="339"/>
      <c r="K233" s="339"/>
      <c r="L233" s="340"/>
      <c r="M233" s="339"/>
      <c r="N233" s="339"/>
      <c r="O233" s="339"/>
      <c r="P233" s="339"/>
      <c r="Q233" s="339"/>
      <c r="R233" s="339"/>
      <c r="S233" s="339"/>
      <c r="T233" s="339"/>
      <c r="U233" s="339"/>
      <c r="V233" s="339"/>
      <c r="W233" s="339"/>
      <c r="X233" s="339"/>
      <c r="Y233" s="339"/>
      <c r="Z233" s="339"/>
    </row>
    <row r="234" spans="1:26" ht="8.1" customHeight="1" x14ac:dyDescent="0.25">
      <c r="A234" s="420" t="str">
        <f>"4""x8"" Gutter"</f>
        <v>4"x8" Gutter</v>
      </c>
      <c r="B234" s="421"/>
      <c r="C234" s="421"/>
      <c r="D234" s="421"/>
      <c r="E234" s="440">
        <f>MIN(Control!D84:E84)</f>
        <v>5.0906639529467794</v>
      </c>
      <c r="F234" s="440"/>
      <c r="G234" s="421" t="str">
        <f>"ft"</f>
        <v>ft</v>
      </c>
      <c r="H234" s="421"/>
      <c r="I234" s="419" t="str">
        <f>IF(Control!F148=2,"&lt;------ CONTROLS","")</f>
        <v/>
      </c>
      <c r="J234" s="419"/>
      <c r="K234" s="419"/>
      <c r="L234" s="427"/>
      <c r="M234" s="339"/>
      <c r="N234" s="339"/>
      <c r="O234" s="339"/>
      <c r="P234" s="339"/>
      <c r="Q234" s="339"/>
      <c r="R234" s="339"/>
      <c r="S234" s="339"/>
      <c r="T234" s="339"/>
      <c r="U234" s="339"/>
      <c r="V234" s="339"/>
      <c r="W234" s="339"/>
      <c r="X234" s="339"/>
      <c r="Y234" s="339"/>
      <c r="Z234" s="339"/>
    </row>
    <row r="235" spans="1:26" ht="8.1" customHeight="1" x14ac:dyDescent="0.25">
      <c r="A235" s="420"/>
      <c r="B235" s="421"/>
      <c r="C235" s="421"/>
      <c r="D235" s="421"/>
      <c r="E235" s="440"/>
      <c r="F235" s="440"/>
      <c r="G235" s="421"/>
      <c r="H235" s="421"/>
      <c r="I235" s="419"/>
      <c r="J235" s="419"/>
      <c r="K235" s="419"/>
      <c r="L235" s="427"/>
      <c r="M235" s="339"/>
      <c r="N235" s="339"/>
      <c r="O235" s="339"/>
      <c r="P235" s="339"/>
      <c r="Q235" s="339"/>
      <c r="R235" s="339"/>
      <c r="S235" s="339"/>
      <c r="T235" s="339"/>
      <c r="U235" s="339"/>
      <c r="V235" s="339"/>
      <c r="W235" s="339"/>
      <c r="X235" s="339"/>
      <c r="Y235" s="339"/>
      <c r="Z235" s="339"/>
    </row>
    <row r="236" spans="1:26" ht="8.1" customHeight="1" x14ac:dyDescent="0.25">
      <c r="A236" s="420" t="str">
        <f>"4""x12"" Gutter"</f>
        <v>4"x12" Gutter</v>
      </c>
      <c r="B236" s="421"/>
      <c r="C236" s="421"/>
      <c r="D236" s="421"/>
      <c r="E236" s="440">
        <f>MIN(Control!D85:E85)</f>
        <v>5.5795838694279309</v>
      </c>
      <c r="F236" s="440"/>
      <c r="G236" s="421" t="str">
        <f>"ft"</f>
        <v>ft</v>
      </c>
      <c r="H236" s="421"/>
      <c r="I236" s="419" t="str">
        <f>IF(Control!F149=2,"&lt;------ CONTROLS","")</f>
        <v/>
      </c>
      <c r="J236" s="419"/>
      <c r="K236" s="419"/>
      <c r="L236" s="427"/>
      <c r="M236" s="339"/>
      <c r="N236" s="339"/>
      <c r="O236" s="339"/>
      <c r="P236" s="339"/>
      <c r="Q236" s="339"/>
      <c r="R236" s="339"/>
      <c r="S236" s="339"/>
      <c r="T236" s="339"/>
      <c r="U236" s="339"/>
      <c r="V236" s="339"/>
      <c r="W236" s="339"/>
      <c r="X236" s="339"/>
      <c r="Y236" s="339"/>
      <c r="Z236" s="339"/>
    </row>
    <row r="237" spans="1:26" ht="8.1" customHeight="1" x14ac:dyDescent="0.25">
      <c r="A237" s="426"/>
      <c r="B237" s="423"/>
      <c r="C237" s="423"/>
      <c r="D237" s="423"/>
      <c r="E237" s="441"/>
      <c r="F237" s="441"/>
      <c r="G237" s="423"/>
      <c r="H237" s="423"/>
      <c r="I237" s="428"/>
      <c r="J237" s="428"/>
      <c r="K237" s="428"/>
      <c r="L237" s="429"/>
      <c r="M237" s="339"/>
      <c r="N237" s="339"/>
      <c r="O237" s="339"/>
      <c r="P237" s="339"/>
      <c r="Q237" s="339"/>
      <c r="R237" s="339"/>
      <c r="S237" s="339"/>
      <c r="T237" s="339"/>
      <c r="U237" s="339"/>
      <c r="V237" s="339"/>
      <c r="W237" s="339"/>
      <c r="X237" s="339"/>
      <c r="Y237" s="339"/>
      <c r="Z237" s="339"/>
    </row>
    <row r="238" spans="1:26" ht="8.1" customHeight="1" x14ac:dyDescent="0.25">
      <c r="A238" s="339"/>
      <c r="B238" s="339"/>
      <c r="C238" s="339"/>
      <c r="D238" s="339"/>
      <c r="E238" s="339"/>
      <c r="F238" s="339"/>
      <c r="G238" s="339"/>
      <c r="H238" s="339"/>
      <c r="I238" s="339"/>
      <c r="J238" s="339"/>
      <c r="K238" s="339"/>
      <c r="L238" s="339"/>
      <c r="M238" s="339"/>
      <c r="N238" s="339"/>
      <c r="O238" s="339"/>
      <c r="P238" s="339"/>
      <c r="Q238" s="339"/>
      <c r="R238" s="339"/>
      <c r="S238" s="339"/>
      <c r="T238" s="339"/>
      <c r="U238" s="339"/>
      <c r="V238" s="339"/>
      <c r="W238" s="339"/>
      <c r="X238" s="339"/>
      <c r="Y238" s="339"/>
      <c r="Z238" s="339"/>
    </row>
    <row r="239" spans="1:26" ht="8.1" customHeight="1" x14ac:dyDescent="0.25">
      <c r="A239" s="439" t="s">
        <v>457</v>
      </c>
      <c r="B239" s="439"/>
      <c r="C239" s="439"/>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spans="1:26" ht="8.1" customHeight="1" x14ac:dyDescent="0.25">
      <c r="A240" s="439"/>
      <c r="B240" s="439"/>
      <c r="C240" s="439"/>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spans="1:28" ht="8.1" customHeight="1" x14ac:dyDescent="0.25">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spans="1:28" ht="8.1" customHeight="1" x14ac:dyDescent="0.25">
      <c r="A242" s="392"/>
      <c r="B242" s="335"/>
      <c r="C242" s="335"/>
      <c r="D242" s="335"/>
      <c r="E242" s="335"/>
      <c r="F242" s="335"/>
      <c r="G242" s="335"/>
      <c r="H242" s="335"/>
      <c r="I242" s="335"/>
      <c r="J242" s="335"/>
      <c r="K242" s="335"/>
      <c r="L242" s="335"/>
      <c r="M242" s="335"/>
      <c r="N242" s="335"/>
      <c r="O242" s="335"/>
      <c r="P242" s="335"/>
      <c r="Q242" s="335"/>
      <c r="R242" s="335"/>
      <c r="S242" s="335"/>
      <c r="T242" s="335"/>
      <c r="U242" s="335"/>
      <c r="V242" s="335"/>
      <c r="W242" s="335"/>
      <c r="X242" s="335"/>
      <c r="Y242" s="335"/>
      <c r="Z242" s="337"/>
    </row>
    <row r="243" spans="1:28" ht="8.1" customHeight="1" x14ac:dyDescent="0.25">
      <c r="A243" s="393"/>
      <c r="B243" s="339"/>
      <c r="C243" s="339"/>
      <c r="D243" s="339"/>
      <c r="E243" s="339"/>
      <c r="F243" s="339"/>
      <c r="G243" s="339"/>
      <c r="H243" s="339"/>
      <c r="I243" s="339"/>
      <c r="J243" s="418" t="s">
        <v>467</v>
      </c>
      <c r="K243" s="418"/>
      <c r="L243" s="418"/>
      <c r="M243" s="418"/>
      <c r="N243" s="418"/>
      <c r="O243" s="418"/>
      <c r="P243" s="339"/>
      <c r="Q243" s="339"/>
      <c r="R243" s="339"/>
      <c r="S243" s="339"/>
      <c r="T243" s="339"/>
      <c r="U243" s="339"/>
      <c r="V243" s="339"/>
      <c r="W243" s="339"/>
      <c r="X243" s="339"/>
      <c r="Y243" s="339"/>
      <c r="Z243" s="340"/>
    </row>
    <row r="244" spans="1:28" ht="8.1" customHeight="1" x14ac:dyDescent="0.25">
      <c r="A244" s="393"/>
      <c r="B244" s="339"/>
      <c r="C244" s="339"/>
      <c r="D244" s="339"/>
      <c r="E244" s="339"/>
      <c r="F244" s="339"/>
      <c r="G244" s="339"/>
      <c r="H244" s="339"/>
      <c r="I244" s="339"/>
      <c r="J244" s="418"/>
      <c r="K244" s="418"/>
      <c r="L244" s="418"/>
      <c r="M244" s="418"/>
      <c r="N244" s="418"/>
      <c r="O244" s="418"/>
      <c r="P244" s="339"/>
      <c r="Q244" s="339"/>
      <c r="R244" s="339"/>
      <c r="S244" s="339"/>
      <c r="T244" s="339"/>
      <c r="U244" s="339"/>
      <c r="V244" s="339"/>
      <c r="W244" s="339"/>
      <c r="X244" s="339"/>
      <c r="Y244" s="339"/>
      <c r="Z244" s="340"/>
    </row>
    <row r="245" spans="1:28" ht="8.1" customHeight="1" x14ac:dyDescent="0.25">
      <c r="A245" s="436" t="s">
        <v>215</v>
      </c>
      <c r="B245" s="437"/>
      <c r="C245" s="437"/>
      <c r="D245" s="437"/>
      <c r="E245" s="437"/>
      <c r="F245" s="438">
        <f>Control!N64</f>
        <v>6</v>
      </c>
      <c r="G245" s="438"/>
      <c r="H245" s="421" t="str">
        <f>"ft. O.C."</f>
        <v>ft. O.C.</v>
      </c>
      <c r="I245" s="421"/>
      <c r="J245" s="421" t="str">
        <f>"Rx_grav"</f>
        <v>Rx_grav</v>
      </c>
      <c r="K245" s="421"/>
      <c r="L245" s="433">
        <f>Control!O64</f>
        <v>2525.4390920345477</v>
      </c>
      <c r="M245" s="433"/>
      <c r="N245" s="421" t="str">
        <f>"lbs"</f>
        <v>lbs</v>
      </c>
      <c r="O245" s="421"/>
      <c r="P245" s="421" t="str">
        <f>"Ry_grav"</f>
        <v>Ry_grav</v>
      </c>
      <c r="Q245" s="421"/>
      <c r="R245" s="433">
        <f>Control!P64</f>
        <v>-1418.786006760982</v>
      </c>
      <c r="S245" s="433"/>
      <c r="T245" s="421" t="str">
        <f>"lbs"</f>
        <v>lbs</v>
      </c>
      <c r="U245" s="421"/>
      <c r="V245" s="339"/>
      <c r="W245" s="339"/>
      <c r="X245" s="339"/>
      <c r="Y245" s="339"/>
      <c r="Z245" s="340"/>
    </row>
    <row r="246" spans="1:28" ht="8.1" customHeight="1" x14ac:dyDescent="0.25">
      <c r="A246" s="436"/>
      <c r="B246" s="437"/>
      <c r="C246" s="437"/>
      <c r="D246" s="437"/>
      <c r="E246" s="437"/>
      <c r="F246" s="438"/>
      <c r="G246" s="438"/>
      <c r="H246" s="421"/>
      <c r="I246" s="421"/>
      <c r="J246" s="421"/>
      <c r="K246" s="421"/>
      <c r="L246" s="433"/>
      <c r="M246" s="433"/>
      <c r="N246" s="421"/>
      <c r="O246" s="421"/>
      <c r="P246" s="421"/>
      <c r="Q246" s="421"/>
      <c r="R246" s="433"/>
      <c r="S246" s="433"/>
      <c r="T246" s="421"/>
      <c r="U246" s="421"/>
      <c r="V246" s="339"/>
      <c r="W246" s="339"/>
      <c r="X246" s="339"/>
      <c r="Y246" s="339"/>
      <c r="Z246" s="340"/>
    </row>
    <row r="247" spans="1:28" ht="8.1" customHeight="1" x14ac:dyDescent="0.25">
      <c r="A247" s="387"/>
      <c r="B247" s="388"/>
      <c r="C247" s="388"/>
      <c r="D247" s="388"/>
      <c r="E247" s="388"/>
      <c r="F247" s="386"/>
      <c r="G247" s="386"/>
      <c r="H247" s="386"/>
      <c r="I247" s="386"/>
      <c r="J247" s="421" t="str">
        <f>"Rx_up"</f>
        <v>Rx_up</v>
      </c>
      <c r="K247" s="421"/>
      <c r="L247" s="433">
        <f>Control!Q64</f>
        <v>-1835.027451531867</v>
      </c>
      <c r="M247" s="433"/>
      <c r="N247" s="421" t="str">
        <f>"lbs"</f>
        <v>lbs</v>
      </c>
      <c r="O247" s="421"/>
      <c r="P247" s="421" t="str">
        <f>"Ry_up"</f>
        <v>Ry_up</v>
      </c>
      <c r="Q247" s="421"/>
      <c r="R247" s="433">
        <f>Control!R64</f>
        <v>1030.9142986134084</v>
      </c>
      <c r="S247" s="433"/>
      <c r="T247" s="421" t="str">
        <f>"lbs"</f>
        <v>lbs</v>
      </c>
      <c r="U247" s="421"/>
      <c r="V247" s="339"/>
      <c r="W247" s="339"/>
      <c r="X247" s="339"/>
      <c r="Y247" s="339"/>
      <c r="Z247" s="340"/>
    </row>
    <row r="248" spans="1:28" ht="8.1" customHeight="1" x14ac:dyDescent="0.25">
      <c r="A248" s="387"/>
      <c r="B248" s="388"/>
      <c r="C248" s="388"/>
      <c r="D248" s="388"/>
      <c r="E248" s="388"/>
      <c r="F248" s="386"/>
      <c r="G248" s="386"/>
      <c r="H248" s="386"/>
      <c r="I248" s="386"/>
      <c r="J248" s="421"/>
      <c r="K248" s="421"/>
      <c r="L248" s="433"/>
      <c r="M248" s="433"/>
      <c r="N248" s="421"/>
      <c r="O248" s="421"/>
      <c r="P248" s="421"/>
      <c r="Q248" s="421"/>
      <c r="R248" s="433"/>
      <c r="S248" s="433"/>
      <c r="T248" s="421"/>
      <c r="U248" s="421"/>
      <c r="V248" s="339"/>
      <c r="W248" s="339"/>
      <c r="X248" s="339"/>
      <c r="Y248" s="339"/>
      <c r="Z248" s="340"/>
    </row>
    <row r="249" spans="1:28" ht="8.1" customHeight="1" x14ac:dyDescent="0.25">
      <c r="A249" s="436" t="s">
        <v>216</v>
      </c>
      <c r="B249" s="437"/>
      <c r="C249" s="437"/>
      <c r="D249" s="437"/>
      <c r="E249" s="437"/>
      <c r="F249" s="438">
        <f>Control!N79</f>
        <v>25.131568557290741</v>
      </c>
      <c r="G249" s="438"/>
      <c r="H249" s="421" t="str">
        <f>"in. O.C."</f>
        <v>in. O.C.</v>
      </c>
      <c r="I249" s="421"/>
      <c r="J249" s="421" t="str">
        <f>"Rx_grav"</f>
        <v>Rx_grav</v>
      </c>
      <c r="K249" s="421"/>
      <c r="L249" s="433">
        <f>Control!O79</f>
        <v>-880.40290856884917</v>
      </c>
      <c r="M249" s="433"/>
      <c r="N249" s="421" t="str">
        <f>"lbs"</f>
        <v>lbs</v>
      </c>
      <c r="O249" s="421"/>
      <c r="P249" s="421" t="str">
        <f>"Ry_grav"</f>
        <v>Ry_grav</v>
      </c>
      <c r="Q249" s="421"/>
      <c r="R249" s="433">
        <f>Control!P79</f>
        <v>165.69382676913358</v>
      </c>
      <c r="S249" s="433"/>
      <c r="T249" s="421" t="str">
        <f>"lbs"</f>
        <v>lbs</v>
      </c>
      <c r="U249" s="421"/>
      <c r="V249" s="339"/>
      <c r="W249" s="339"/>
      <c r="X249" s="339"/>
      <c r="Y249" s="339"/>
      <c r="Z249" s="340"/>
    </row>
    <row r="250" spans="1:28" ht="8.1" customHeight="1" x14ac:dyDescent="0.25">
      <c r="A250" s="436"/>
      <c r="B250" s="437"/>
      <c r="C250" s="437"/>
      <c r="D250" s="437"/>
      <c r="E250" s="437"/>
      <c r="F250" s="438"/>
      <c r="G250" s="438"/>
      <c r="H250" s="421"/>
      <c r="I250" s="421"/>
      <c r="J250" s="421"/>
      <c r="K250" s="421"/>
      <c r="L250" s="433"/>
      <c r="M250" s="433"/>
      <c r="N250" s="421"/>
      <c r="O250" s="421"/>
      <c r="P250" s="421"/>
      <c r="Q250" s="421"/>
      <c r="R250" s="433"/>
      <c r="S250" s="433"/>
      <c r="T250" s="421"/>
      <c r="U250" s="421"/>
      <c r="V250" s="339"/>
      <c r="W250" s="339"/>
      <c r="X250" s="339"/>
      <c r="Y250" s="339"/>
      <c r="Z250" s="340"/>
    </row>
    <row r="251" spans="1:28" ht="8.1" customHeight="1" x14ac:dyDescent="0.25">
      <c r="A251" s="387"/>
      <c r="B251" s="388"/>
      <c r="C251" s="388"/>
      <c r="D251" s="339"/>
      <c r="E251" s="339"/>
      <c r="F251" s="339"/>
      <c r="G251" s="339"/>
      <c r="H251" s="339"/>
      <c r="I251" s="339"/>
      <c r="J251" s="421" t="str">
        <f>"Rx_up"</f>
        <v>Rx_up</v>
      </c>
      <c r="K251" s="421"/>
      <c r="L251" s="433">
        <f>Control!Q79</f>
        <v>639.71588573565873</v>
      </c>
      <c r="M251" s="433"/>
      <c r="N251" s="421" t="str">
        <f>"lbs"</f>
        <v>lbs</v>
      </c>
      <c r="O251" s="421"/>
      <c r="P251" s="421" t="str">
        <f>"Ry_up"</f>
        <v>Ry_up</v>
      </c>
      <c r="Q251" s="421"/>
      <c r="R251" s="433">
        <f>Control!R79</f>
        <v>-120.39598820221293</v>
      </c>
      <c r="S251" s="433"/>
      <c r="T251" s="421" t="str">
        <f>"lbs"</f>
        <v>lbs</v>
      </c>
      <c r="U251" s="421"/>
      <c r="V251" s="339"/>
      <c r="W251" s="339"/>
      <c r="X251" s="339"/>
      <c r="Y251" s="339"/>
      <c r="Z251" s="340"/>
      <c r="AB251" s="4" t="str">
        <f>(CONCATENATE("https://www.engineeringexpress.com/calculators/DatumAPIv3/calc.htm","?Vult=",Vult,"&amp;Exp=",Exp,"&amp;Risk=",Risk,"&amp;Snow=",Snow,"&amp;MRH=",MRH,"&amp;URL=",URL,"&amp;_P=",_P,"&amp;_AA=",_AA,"&amp;_AH=",_AH,"&amp;_CH=",_CH,"&amp;_AT=",_AT,"&amp;_GT=",_GT,"&amp;TopCon=",TopCon,"&amp;BotCon=",BotCon,"&amp;HAS=",HAS,"&amp;_KS=",_KS,"&amp;_GO=",_GO,"&amp;Rxgh=",Rxgh,"&amp;Rxuh=",Rxuh,"&amp;Rygh=",Rygh,"&amp;Ryuh=",Ryuh,"&amp;Rxgk=",Rxgk,"&amp;Rxuk=",Rxuk,"&amp;Rygk=",Rygk,"&amp;Ryuk=",Ryuk))</f>
        <v>https://www.engineeringexpress.com/calculators/DatumAPIv3/calc.htm?Vult=175&amp;Exp=C&amp;Risk=II&amp;Snow=0&amp;MRH=15&amp;URL=60&amp;_P=8&amp;_AA=2.66&amp;_AH=3&amp;_CH=10&amp;_AT=1&amp;_GT=1&amp;TopCon=5&amp;BotCon=1&amp;HAS=6&amp;_KS=25.1315685572907&amp;_GO=3&amp;Rxgh=2525.43909203455&amp;Rxuh=-1835.02745153187&amp;Rygh=-1418.78600676098&amp;Ryuh=1030.91429861341&amp;Rxgk=-880.402908568849&amp;Rxuk=639.715885735659&amp;Rygk=165.693826769134&amp;Ryuk=-120.395988202213</v>
      </c>
    </row>
    <row r="252" spans="1:28" ht="8.1" customHeight="1" x14ac:dyDescent="0.25">
      <c r="A252" s="387"/>
      <c r="B252" s="388"/>
      <c r="C252" s="388"/>
      <c r="D252" s="339"/>
      <c r="E252" s="339"/>
      <c r="F252" s="339"/>
      <c r="G252" s="339"/>
      <c r="H252" s="339"/>
      <c r="I252" s="339"/>
      <c r="J252" s="421"/>
      <c r="K252" s="421"/>
      <c r="L252" s="433"/>
      <c r="M252" s="433"/>
      <c r="N252" s="421"/>
      <c r="O252" s="421"/>
      <c r="P252" s="421"/>
      <c r="Q252" s="421"/>
      <c r="R252" s="433"/>
      <c r="S252" s="433"/>
      <c r="T252" s="421"/>
      <c r="U252" s="421"/>
      <c r="V252" s="339"/>
      <c r="W252" s="339"/>
      <c r="X252" s="339"/>
      <c r="Y252" s="339"/>
      <c r="Z252" s="340"/>
    </row>
    <row r="253" spans="1:28" ht="8.1" customHeight="1" x14ac:dyDescent="0.25">
      <c r="A253" s="436" t="s">
        <v>287</v>
      </c>
      <c r="B253" s="437"/>
      <c r="C253" s="437"/>
      <c r="D253" s="437"/>
      <c r="E253" s="437"/>
      <c r="F253" s="424">
        <f>Control!N86</f>
        <v>3</v>
      </c>
      <c r="G253" s="424"/>
      <c r="H253" s="421" t="str">
        <f>"ft. O.C."</f>
        <v>ft. O.C.</v>
      </c>
      <c r="I253" s="421"/>
      <c r="J253" s="442"/>
      <c r="K253" s="442"/>
      <c r="L253" s="442"/>
      <c r="M253" s="442"/>
      <c r="N253" s="442"/>
      <c r="O253" s="442"/>
      <c r="P253" s="442"/>
      <c r="Q253" s="442"/>
      <c r="R253" s="442"/>
      <c r="S253" s="442"/>
      <c r="T253" s="442"/>
      <c r="U253" s="442"/>
      <c r="V253" s="442"/>
      <c r="W253" s="442"/>
      <c r="X253" s="442"/>
      <c r="Y253" s="442"/>
      <c r="Z253" s="411"/>
    </row>
    <row r="254" spans="1:28" ht="8.1" customHeight="1" x14ac:dyDescent="0.25">
      <c r="A254" s="436"/>
      <c r="B254" s="437"/>
      <c r="C254" s="437"/>
      <c r="D254" s="437"/>
      <c r="E254" s="437"/>
      <c r="F254" s="424"/>
      <c r="G254" s="424"/>
      <c r="H254" s="421"/>
      <c r="I254" s="421"/>
      <c r="J254" s="442"/>
      <c r="K254" s="442"/>
      <c r="L254" s="442"/>
      <c r="M254" s="442"/>
      <c r="N254" s="442"/>
      <c r="O254" s="442"/>
      <c r="P254" s="442"/>
      <c r="Q254" s="442"/>
      <c r="R254" s="442"/>
      <c r="S254" s="442"/>
      <c r="T254" s="442"/>
      <c r="U254" s="442"/>
      <c r="V254" s="442"/>
      <c r="W254" s="442"/>
      <c r="X254" s="442"/>
      <c r="Y254" s="442"/>
      <c r="Z254" s="411"/>
    </row>
    <row r="255" spans="1:28" ht="8.1" customHeight="1" x14ac:dyDescent="0.25">
      <c r="A255" s="407"/>
      <c r="B255" s="408"/>
      <c r="C255" s="408"/>
      <c r="D255" s="408"/>
      <c r="E255" s="408"/>
      <c r="F255" s="409"/>
      <c r="G255" s="409"/>
      <c r="H255" s="406"/>
      <c r="I255" s="406"/>
      <c r="J255" s="442"/>
      <c r="K255" s="442"/>
      <c r="L255" s="442"/>
      <c r="M255" s="442"/>
      <c r="N255" s="442"/>
      <c r="O255" s="442"/>
      <c r="P255" s="442"/>
      <c r="Q255" s="442"/>
      <c r="R255" s="442"/>
      <c r="S255" s="442"/>
      <c r="T255" s="442"/>
      <c r="U255" s="442"/>
      <c r="V255" s="442"/>
      <c r="W255" s="442"/>
      <c r="X255" s="442"/>
      <c r="Y255" s="442"/>
      <c r="Z255" s="411"/>
    </row>
    <row r="256" spans="1:28" ht="8.1" customHeight="1" x14ac:dyDescent="0.25">
      <c r="A256" s="407"/>
      <c r="B256" s="408"/>
      <c r="C256" s="408"/>
      <c r="D256" s="410"/>
      <c r="E256" s="408"/>
      <c r="F256" s="409"/>
      <c r="G256" s="409"/>
      <c r="H256" s="406"/>
      <c r="I256" s="406"/>
      <c r="J256" s="442"/>
      <c r="K256" s="442"/>
      <c r="L256" s="442"/>
      <c r="M256" s="442"/>
      <c r="N256" s="442"/>
      <c r="O256" s="442"/>
      <c r="P256" s="442"/>
      <c r="Q256" s="442"/>
      <c r="R256" s="442"/>
      <c r="S256" s="442"/>
      <c r="T256" s="442"/>
      <c r="U256" s="442"/>
      <c r="V256" s="442"/>
      <c r="W256" s="442"/>
      <c r="X256" s="442"/>
      <c r="Y256" s="442"/>
      <c r="Z256" s="411"/>
    </row>
    <row r="257" spans="1:26" ht="8.1" customHeight="1" x14ac:dyDescent="0.25">
      <c r="A257" s="407"/>
      <c r="B257" s="408"/>
      <c r="C257" s="408"/>
      <c r="D257" s="408"/>
      <c r="E257" s="408"/>
      <c r="F257" s="409"/>
      <c r="G257" s="409"/>
      <c r="H257" s="406"/>
      <c r="I257" s="406"/>
      <c r="J257" s="442"/>
      <c r="K257" s="442"/>
      <c r="L257" s="442"/>
      <c r="M257" s="442"/>
      <c r="N257" s="442"/>
      <c r="O257" s="442"/>
      <c r="P257" s="442"/>
      <c r="Q257" s="442"/>
      <c r="R257" s="442"/>
      <c r="S257" s="442"/>
      <c r="T257" s="442"/>
      <c r="U257" s="442"/>
      <c r="V257" s="442"/>
      <c r="W257" s="442"/>
      <c r="X257" s="442"/>
      <c r="Y257" s="442"/>
      <c r="Z257" s="411"/>
    </row>
    <row r="258" spans="1:26" ht="8.1" customHeight="1" x14ac:dyDescent="0.25">
      <c r="A258" s="394"/>
      <c r="B258" s="344"/>
      <c r="C258" s="344"/>
      <c r="D258" s="344"/>
      <c r="E258" s="344"/>
      <c r="F258" s="344"/>
      <c r="G258" s="344"/>
      <c r="H258" s="344"/>
      <c r="I258" s="344"/>
      <c r="J258" s="443"/>
      <c r="K258" s="443"/>
      <c r="L258" s="443"/>
      <c r="M258" s="443"/>
      <c r="N258" s="443"/>
      <c r="O258" s="443"/>
      <c r="P258" s="443"/>
      <c r="Q258" s="443"/>
      <c r="R258" s="443"/>
      <c r="S258" s="443"/>
      <c r="T258" s="443"/>
      <c r="U258" s="443"/>
      <c r="V258" s="443"/>
      <c r="W258" s="443"/>
      <c r="X258" s="443"/>
      <c r="Y258" s="443"/>
      <c r="Z258" s="412"/>
    </row>
    <row r="259" spans="1:26" ht="8.1" customHeight="1" x14ac:dyDescent="0.25">
      <c r="A259" s="335"/>
      <c r="B259" s="335"/>
      <c r="C259" s="335"/>
      <c r="D259" s="335"/>
      <c r="E259" s="335"/>
      <c r="F259" s="335"/>
      <c r="G259" s="335"/>
      <c r="H259" s="335"/>
      <c r="I259" s="335"/>
      <c r="J259" s="335"/>
      <c r="K259" s="335"/>
      <c r="L259" s="335"/>
      <c r="M259" s="335"/>
      <c r="N259" s="335"/>
      <c r="O259" s="335"/>
      <c r="P259" s="335"/>
      <c r="Q259" s="335"/>
      <c r="R259" s="335"/>
      <c r="S259" s="335"/>
      <c r="T259" s="335"/>
      <c r="U259" s="335"/>
      <c r="V259" s="335"/>
      <c r="W259" s="335"/>
      <c r="X259" s="335"/>
      <c r="Y259" s="335"/>
      <c r="Z259" s="335"/>
    </row>
    <row r="260" spans="1:26" ht="8.1" customHeight="1" x14ac:dyDescent="0.25">
      <c r="A260" s="439" t="s">
        <v>458</v>
      </c>
      <c r="B260" s="439"/>
      <c r="C260" s="439"/>
      <c r="D260" s="439"/>
      <c r="E260" s="439"/>
      <c r="F260" s="439"/>
      <c r="G260" s="180"/>
      <c r="H260" s="180"/>
      <c r="I260" s="180"/>
      <c r="J260" s="180"/>
      <c r="K260" s="180"/>
      <c r="L260" s="180"/>
      <c r="M260" s="180"/>
      <c r="N260" s="180"/>
      <c r="O260" s="180"/>
      <c r="P260" s="180"/>
      <c r="Q260" s="180"/>
      <c r="R260" s="395"/>
      <c r="S260" s="180"/>
      <c r="T260" s="180"/>
      <c r="U260" s="180"/>
      <c r="V260" s="180"/>
      <c r="W260" s="180"/>
      <c r="X260" s="180"/>
      <c r="Y260" s="180"/>
      <c r="Z260" s="180"/>
    </row>
    <row r="261" spans="1:26" ht="8.1" customHeight="1" x14ac:dyDescent="0.25">
      <c r="A261" s="439"/>
      <c r="B261" s="439"/>
      <c r="C261" s="439"/>
      <c r="D261" s="439"/>
      <c r="E261" s="439"/>
      <c r="F261" s="439"/>
      <c r="G261" s="180"/>
      <c r="H261" s="180"/>
      <c r="I261" s="180"/>
      <c r="J261" s="180"/>
      <c r="K261" s="180"/>
      <c r="L261" s="180"/>
      <c r="M261" s="180"/>
      <c r="N261" s="180"/>
      <c r="O261" s="180"/>
      <c r="P261" s="180"/>
      <c r="Q261" s="180"/>
      <c r="R261" s="180"/>
      <c r="S261" s="180"/>
      <c r="T261" s="180"/>
      <c r="U261" s="180"/>
      <c r="V261" s="180"/>
      <c r="W261" s="180"/>
      <c r="X261" s="180"/>
      <c r="Y261" s="180"/>
      <c r="Z261" s="180"/>
    </row>
    <row r="262" spans="1:26" ht="8.1" customHeight="1" x14ac:dyDescent="0.25">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spans="1:26" ht="8.1" customHeight="1" x14ac:dyDescent="0.25">
      <c r="A263" s="392"/>
      <c r="B263" s="335"/>
      <c r="C263" s="335"/>
      <c r="D263" s="335"/>
      <c r="E263" s="335"/>
      <c r="F263" s="335"/>
      <c r="G263" s="335"/>
      <c r="H263" s="335"/>
      <c r="I263" s="335"/>
      <c r="J263" s="335"/>
      <c r="K263" s="335"/>
      <c r="L263" s="335"/>
      <c r="M263" s="335"/>
      <c r="N263" s="335"/>
      <c r="O263" s="335"/>
      <c r="P263" s="335"/>
      <c r="Q263" s="335"/>
      <c r="R263" s="335"/>
      <c r="S263" s="335"/>
      <c r="T263" s="335"/>
      <c r="U263" s="335"/>
      <c r="V263" s="335"/>
      <c r="W263" s="335"/>
      <c r="X263" s="335"/>
      <c r="Y263" s="335"/>
      <c r="Z263" s="337"/>
    </row>
    <row r="264" spans="1:26" ht="8.1" customHeight="1" x14ac:dyDescent="0.25">
      <c r="A264" s="415" t="s">
        <v>459</v>
      </c>
      <c r="B264" s="416"/>
      <c r="C264" s="416"/>
      <c r="D264" s="416"/>
      <c r="E264" s="416"/>
      <c r="F264" s="339"/>
      <c r="G264" s="339"/>
      <c r="H264" s="339"/>
      <c r="I264" s="339"/>
      <c r="J264" s="339"/>
      <c r="K264" s="339"/>
      <c r="L264" s="339"/>
      <c r="M264" s="339"/>
      <c r="N264" s="339"/>
      <c r="O264" s="339"/>
      <c r="P264" s="339"/>
      <c r="Q264" s="339"/>
      <c r="R264" s="339"/>
      <c r="S264" s="339"/>
      <c r="T264" s="339"/>
      <c r="U264" s="339"/>
      <c r="V264" s="339"/>
      <c r="W264" s="339"/>
      <c r="X264" s="339"/>
      <c r="Y264" s="339"/>
      <c r="Z264" s="340"/>
    </row>
    <row r="265" spans="1:26" ht="8.1" customHeight="1" x14ac:dyDescent="0.25">
      <c r="A265" s="415"/>
      <c r="B265" s="416"/>
      <c r="C265" s="416"/>
      <c r="D265" s="416"/>
      <c r="E265" s="416"/>
      <c r="F265" s="339"/>
      <c r="G265" s="339"/>
      <c r="H265" s="339"/>
      <c r="I265" s="339"/>
      <c r="J265" s="339"/>
      <c r="K265" s="339"/>
      <c r="L265" s="339"/>
      <c r="M265" s="339"/>
      <c r="N265" s="339"/>
      <c r="O265" s="339"/>
      <c r="P265" s="339"/>
      <c r="Q265" s="339"/>
      <c r="R265" s="339"/>
      <c r="S265" s="339"/>
      <c r="T265" s="339"/>
      <c r="U265" s="339"/>
      <c r="V265" s="339"/>
      <c r="W265" s="339"/>
      <c r="X265" s="339"/>
      <c r="Y265" s="339"/>
      <c r="Z265" s="340"/>
    </row>
    <row r="266" spans="1:26" ht="8.1" customHeight="1" x14ac:dyDescent="0.25">
      <c r="A266" s="434" t="s">
        <v>460</v>
      </c>
      <c r="B266" s="435"/>
      <c r="C266" s="435"/>
      <c r="D266" s="435"/>
      <c r="E266" s="418" t="s">
        <v>468</v>
      </c>
      <c r="F266" s="418"/>
      <c r="G266" s="418"/>
      <c r="H266" s="418"/>
      <c r="I266" s="418"/>
      <c r="J266" s="418"/>
      <c r="K266" s="418"/>
      <c r="L266" s="418"/>
      <c r="M266" s="418"/>
      <c r="N266" s="418"/>
      <c r="O266" s="418"/>
      <c r="P266" s="418"/>
      <c r="Q266" s="418"/>
      <c r="R266" s="418"/>
      <c r="S266" s="418"/>
      <c r="T266" s="418"/>
      <c r="U266" s="418"/>
      <c r="V266" s="339"/>
      <c r="W266" s="339"/>
      <c r="X266" s="339"/>
      <c r="Y266" s="339"/>
      <c r="Z266" s="340"/>
    </row>
    <row r="267" spans="1:26" ht="8.1" customHeight="1" x14ac:dyDescent="0.25">
      <c r="A267" s="434"/>
      <c r="B267" s="435"/>
      <c r="C267" s="435"/>
      <c r="D267" s="435"/>
      <c r="E267" s="418"/>
      <c r="F267" s="418"/>
      <c r="G267" s="418"/>
      <c r="H267" s="418"/>
      <c r="I267" s="418"/>
      <c r="J267" s="418"/>
      <c r="K267" s="418"/>
      <c r="L267" s="418"/>
      <c r="M267" s="418"/>
      <c r="N267" s="418"/>
      <c r="O267" s="418"/>
      <c r="P267" s="418"/>
      <c r="Q267" s="418"/>
      <c r="R267" s="418"/>
      <c r="S267" s="418"/>
      <c r="T267" s="418"/>
      <c r="U267" s="418"/>
      <c r="V267" s="339"/>
      <c r="W267" s="339"/>
      <c r="X267" s="339"/>
      <c r="Y267" s="339"/>
      <c r="Z267" s="340"/>
    </row>
    <row r="268" spans="1:26" ht="8.1" customHeight="1" x14ac:dyDescent="0.25">
      <c r="A268" s="434" t="s">
        <v>461</v>
      </c>
      <c r="B268" s="435"/>
      <c r="C268" s="435"/>
      <c r="D268" s="435"/>
      <c r="E268" s="418" t="s">
        <v>505</v>
      </c>
      <c r="F268" s="418"/>
      <c r="G268" s="418"/>
      <c r="H268" s="418"/>
      <c r="I268" s="418"/>
      <c r="J268" s="418"/>
      <c r="K268" s="418"/>
      <c r="L268" s="418"/>
      <c r="M268" s="418"/>
      <c r="N268" s="418"/>
      <c r="O268" s="418"/>
      <c r="P268" s="418"/>
      <c r="Q268" s="418"/>
      <c r="R268" s="418"/>
      <c r="S268" s="418"/>
      <c r="T268" s="418"/>
      <c r="U268" s="418"/>
      <c r="V268" s="418"/>
      <c r="W268" s="418"/>
      <c r="X268" s="418"/>
      <c r="Y268" s="418"/>
      <c r="Z268" s="432"/>
    </row>
    <row r="269" spans="1:26" ht="8.1" customHeight="1" x14ac:dyDescent="0.25">
      <c r="A269" s="434"/>
      <c r="B269" s="435"/>
      <c r="C269" s="435"/>
      <c r="D269" s="435"/>
      <c r="E269" s="418"/>
      <c r="F269" s="418"/>
      <c r="G269" s="418"/>
      <c r="H269" s="418"/>
      <c r="I269" s="418"/>
      <c r="J269" s="418"/>
      <c r="K269" s="418"/>
      <c r="L269" s="418"/>
      <c r="M269" s="418"/>
      <c r="N269" s="418"/>
      <c r="O269" s="418"/>
      <c r="P269" s="418"/>
      <c r="Q269" s="418"/>
      <c r="R269" s="418"/>
      <c r="S269" s="418"/>
      <c r="T269" s="418"/>
      <c r="U269" s="418"/>
      <c r="V269" s="418"/>
      <c r="W269" s="418"/>
      <c r="X269" s="418"/>
      <c r="Y269" s="418"/>
      <c r="Z269" s="432"/>
    </row>
    <row r="270" spans="1:26" ht="8.1" customHeight="1" x14ac:dyDescent="0.25">
      <c r="A270" s="434" t="s">
        <v>462</v>
      </c>
      <c r="B270" s="435"/>
      <c r="C270" s="435"/>
      <c r="D270" s="435"/>
      <c r="E270" s="418" t="s">
        <v>506</v>
      </c>
      <c r="F270" s="418"/>
      <c r="G270" s="418"/>
      <c r="H270" s="418"/>
      <c r="I270" s="418"/>
      <c r="J270" s="418"/>
      <c r="K270" s="418"/>
      <c r="L270" s="418"/>
      <c r="M270" s="418"/>
      <c r="N270" s="418"/>
      <c r="O270" s="418"/>
      <c r="P270" s="418"/>
      <c r="Q270" s="418"/>
      <c r="R270" s="418"/>
      <c r="S270" s="418"/>
      <c r="T270" s="418"/>
      <c r="U270" s="418"/>
      <c r="V270" s="418"/>
      <c r="W270" s="418"/>
      <c r="X270" s="418"/>
      <c r="Y270" s="418"/>
      <c r="Z270" s="432"/>
    </row>
    <row r="271" spans="1:26" ht="8.1" customHeight="1" x14ac:dyDescent="0.25">
      <c r="A271" s="434"/>
      <c r="B271" s="435"/>
      <c r="C271" s="435"/>
      <c r="D271" s="435"/>
      <c r="E271" s="418"/>
      <c r="F271" s="418"/>
      <c r="G271" s="418"/>
      <c r="H271" s="418"/>
      <c r="I271" s="418"/>
      <c r="J271" s="418"/>
      <c r="K271" s="418"/>
      <c r="L271" s="418"/>
      <c r="M271" s="418"/>
      <c r="N271" s="418"/>
      <c r="O271" s="418"/>
      <c r="P271" s="418"/>
      <c r="Q271" s="418"/>
      <c r="R271" s="418"/>
      <c r="S271" s="418"/>
      <c r="T271" s="418"/>
      <c r="U271" s="418"/>
      <c r="V271" s="418"/>
      <c r="W271" s="418"/>
      <c r="X271" s="418"/>
      <c r="Y271" s="418"/>
      <c r="Z271" s="432"/>
    </row>
    <row r="272" spans="1:26" ht="8.1" customHeight="1" x14ac:dyDescent="0.25">
      <c r="A272" s="434" t="s">
        <v>464</v>
      </c>
      <c r="B272" s="435"/>
      <c r="C272" s="435"/>
      <c r="D272" s="435"/>
      <c r="E272" s="418" t="s">
        <v>509</v>
      </c>
      <c r="F272" s="418"/>
      <c r="G272" s="418"/>
      <c r="H272" s="418"/>
      <c r="I272" s="418"/>
      <c r="J272" s="418"/>
      <c r="K272" s="418"/>
      <c r="L272" s="418"/>
      <c r="M272" s="418"/>
      <c r="N272" s="418"/>
      <c r="O272" s="418"/>
      <c r="P272" s="418"/>
      <c r="Q272" s="418"/>
      <c r="R272" s="418"/>
      <c r="S272" s="418"/>
      <c r="T272" s="418"/>
      <c r="U272" s="418"/>
      <c r="V272" s="418"/>
      <c r="W272" s="418"/>
      <c r="X272" s="418"/>
      <c r="Y272" s="418"/>
      <c r="Z272" s="432"/>
    </row>
    <row r="273" spans="1:26" ht="8.1" customHeight="1" x14ac:dyDescent="0.25">
      <c r="A273" s="434"/>
      <c r="B273" s="435"/>
      <c r="C273" s="435"/>
      <c r="D273" s="435"/>
      <c r="E273" s="418"/>
      <c r="F273" s="418"/>
      <c r="G273" s="418"/>
      <c r="H273" s="418"/>
      <c r="I273" s="418"/>
      <c r="J273" s="418"/>
      <c r="K273" s="418"/>
      <c r="L273" s="418"/>
      <c r="M273" s="418"/>
      <c r="N273" s="418"/>
      <c r="O273" s="418"/>
      <c r="P273" s="418"/>
      <c r="Q273" s="418"/>
      <c r="R273" s="418"/>
      <c r="S273" s="418"/>
      <c r="T273" s="418"/>
      <c r="U273" s="418"/>
      <c r="V273" s="418"/>
      <c r="W273" s="418"/>
      <c r="X273" s="418"/>
      <c r="Y273" s="418"/>
      <c r="Z273" s="432"/>
    </row>
    <row r="274" spans="1:26" ht="8.1" customHeight="1" x14ac:dyDescent="0.25">
      <c r="A274" s="434" t="s">
        <v>463</v>
      </c>
      <c r="B274" s="435"/>
      <c r="C274" s="435"/>
      <c r="D274" s="435"/>
      <c r="E274" s="418" t="s">
        <v>480</v>
      </c>
      <c r="F274" s="418"/>
      <c r="G274" s="418"/>
      <c r="H274" s="418"/>
      <c r="I274" s="418"/>
      <c r="J274" s="418"/>
      <c r="K274" s="418"/>
      <c r="L274" s="418"/>
      <c r="M274" s="418"/>
      <c r="N274" s="418"/>
      <c r="O274" s="418"/>
      <c r="P274" s="418"/>
      <c r="Q274" s="418"/>
      <c r="R274" s="418"/>
      <c r="S274" s="418"/>
      <c r="T274" s="418"/>
      <c r="U274" s="418"/>
      <c r="V274" s="418"/>
      <c r="W274" s="418"/>
      <c r="X274" s="418"/>
      <c r="Y274" s="418"/>
      <c r="Z274" s="432"/>
    </row>
    <row r="275" spans="1:26" ht="8.1" customHeight="1" x14ac:dyDescent="0.25">
      <c r="A275" s="434"/>
      <c r="B275" s="435"/>
      <c r="C275" s="435"/>
      <c r="D275" s="435"/>
      <c r="E275" s="418"/>
      <c r="F275" s="418"/>
      <c r="G275" s="418"/>
      <c r="H275" s="418"/>
      <c r="I275" s="418"/>
      <c r="J275" s="418"/>
      <c r="K275" s="418"/>
      <c r="L275" s="418"/>
      <c r="M275" s="418"/>
      <c r="N275" s="418"/>
      <c r="O275" s="418"/>
      <c r="P275" s="418"/>
      <c r="Q275" s="418"/>
      <c r="R275" s="418"/>
      <c r="S275" s="418"/>
      <c r="T275" s="418"/>
      <c r="U275" s="418"/>
      <c r="V275" s="418"/>
      <c r="W275" s="418"/>
      <c r="X275" s="418"/>
      <c r="Y275" s="418"/>
      <c r="Z275" s="432"/>
    </row>
    <row r="276" spans="1:26" ht="8.1" customHeight="1" x14ac:dyDescent="0.25">
      <c r="A276" s="434" t="s">
        <v>465</v>
      </c>
      <c r="B276" s="435"/>
      <c r="C276" s="435"/>
      <c r="D276" s="435"/>
      <c r="E276" s="418" t="s">
        <v>470</v>
      </c>
      <c r="F276" s="418"/>
      <c r="G276" s="418"/>
      <c r="H276" s="418"/>
      <c r="I276" s="418"/>
      <c r="J276" s="418"/>
      <c r="K276" s="418"/>
      <c r="L276" s="418"/>
      <c r="M276" s="418"/>
      <c r="N276" s="418"/>
      <c r="O276" s="418"/>
      <c r="P276" s="418"/>
      <c r="Q276" s="418"/>
      <c r="R276" s="418"/>
      <c r="S276" s="418"/>
      <c r="T276" s="418"/>
      <c r="U276" s="418"/>
      <c r="V276" s="418"/>
      <c r="W276" s="418"/>
      <c r="X276" s="418"/>
      <c r="Y276" s="339"/>
      <c r="Z276" s="340"/>
    </row>
    <row r="277" spans="1:26" ht="8.1" customHeight="1" x14ac:dyDescent="0.25">
      <c r="A277" s="434"/>
      <c r="B277" s="435"/>
      <c r="C277" s="435"/>
      <c r="D277" s="435"/>
      <c r="E277" s="418"/>
      <c r="F277" s="418"/>
      <c r="G277" s="418"/>
      <c r="H277" s="418"/>
      <c r="I277" s="418"/>
      <c r="J277" s="418"/>
      <c r="K277" s="418"/>
      <c r="L277" s="418"/>
      <c r="M277" s="418"/>
      <c r="N277" s="418"/>
      <c r="O277" s="418"/>
      <c r="P277" s="418"/>
      <c r="Q277" s="418"/>
      <c r="R277" s="418"/>
      <c r="S277" s="418"/>
      <c r="T277" s="418"/>
      <c r="U277" s="418"/>
      <c r="V277" s="418"/>
      <c r="W277" s="418"/>
      <c r="X277" s="418"/>
      <c r="Y277" s="339"/>
      <c r="Z277" s="340"/>
    </row>
    <row r="278" spans="1:26" ht="8.1" customHeight="1" x14ac:dyDescent="0.25">
      <c r="A278" s="393"/>
      <c r="B278" s="339"/>
      <c r="C278" s="339"/>
      <c r="D278" s="339"/>
      <c r="E278" s="339"/>
      <c r="F278" s="339"/>
      <c r="G278" s="339"/>
      <c r="H278" s="339"/>
      <c r="I278" s="339"/>
      <c r="J278" s="339"/>
      <c r="K278" s="339"/>
      <c r="L278" s="339"/>
      <c r="M278" s="339"/>
      <c r="N278" s="339"/>
      <c r="O278" s="339"/>
      <c r="P278" s="339"/>
      <c r="Q278" s="339"/>
      <c r="R278" s="339"/>
      <c r="S278" s="339"/>
      <c r="T278" s="339"/>
      <c r="U278" s="339"/>
      <c r="V278" s="339"/>
      <c r="W278" s="339"/>
      <c r="X278" s="339"/>
      <c r="Y278" s="339"/>
      <c r="Z278" s="340"/>
    </row>
    <row r="279" spans="1:26" ht="8.1" customHeight="1" x14ac:dyDescent="0.25">
      <c r="A279" s="415" t="s">
        <v>466</v>
      </c>
      <c r="B279" s="416"/>
      <c r="C279" s="416"/>
      <c r="D279" s="416"/>
      <c r="E279" s="339"/>
      <c r="F279" s="339"/>
      <c r="G279" s="339"/>
      <c r="H279" s="339"/>
      <c r="I279" s="339"/>
      <c r="J279" s="339"/>
      <c r="K279" s="339"/>
      <c r="L279" s="339"/>
      <c r="M279" s="339"/>
      <c r="N279" s="339"/>
      <c r="O279" s="339"/>
      <c r="P279" s="339"/>
      <c r="Q279" s="339"/>
      <c r="R279" s="339"/>
      <c r="S279" s="339"/>
      <c r="T279" s="339"/>
      <c r="U279" s="339"/>
      <c r="V279" s="339"/>
      <c r="W279" s="339"/>
      <c r="X279" s="339"/>
      <c r="Y279" s="339"/>
      <c r="Z279" s="340"/>
    </row>
    <row r="280" spans="1:26" ht="8.1" customHeight="1" x14ac:dyDescent="0.25">
      <c r="A280" s="415"/>
      <c r="B280" s="416"/>
      <c r="C280" s="416"/>
      <c r="D280" s="416"/>
      <c r="E280" s="339"/>
      <c r="F280" s="339"/>
      <c r="G280" s="339"/>
      <c r="H280" s="339"/>
      <c r="I280" s="339"/>
      <c r="J280" s="339"/>
      <c r="K280" s="339"/>
      <c r="L280" s="339"/>
      <c r="M280" s="339"/>
      <c r="N280" s="339"/>
      <c r="O280" s="339"/>
      <c r="P280" s="339"/>
      <c r="Q280" s="339"/>
      <c r="R280" s="339"/>
      <c r="S280" s="339"/>
      <c r="T280" s="339"/>
      <c r="U280" s="339"/>
      <c r="V280" s="339"/>
      <c r="W280" s="339"/>
      <c r="X280" s="339"/>
      <c r="Y280" s="339"/>
      <c r="Z280" s="340"/>
    </row>
    <row r="281" spans="1:26" ht="8.1" customHeight="1" x14ac:dyDescent="0.25">
      <c r="A281" s="434" t="s">
        <v>460</v>
      </c>
      <c r="B281" s="435"/>
      <c r="C281" s="435"/>
      <c r="D281" s="435"/>
      <c r="E281" s="418" t="s">
        <v>471</v>
      </c>
      <c r="F281" s="418"/>
      <c r="G281" s="418"/>
      <c r="H281" s="418"/>
      <c r="I281" s="418"/>
      <c r="J281" s="418"/>
      <c r="K281" s="418"/>
      <c r="L281" s="418"/>
      <c r="M281" s="418"/>
      <c r="N281" s="418"/>
      <c r="O281" s="418"/>
      <c r="P281" s="418"/>
      <c r="Q281" s="418"/>
      <c r="R281" s="418"/>
      <c r="S281" s="418"/>
      <c r="T281" s="418"/>
      <c r="U281" s="418"/>
      <c r="V281" s="339"/>
      <c r="W281" s="339"/>
      <c r="X281" s="339"/>
      <c r="Y281" s="339"/>
      <c r="Z281" s="340"/>
    </row>
    <row r="282" spans="1:26" ht="8.1" customHeight="1" x14ac:dyDescent="0.25">
      <c r="A282" s="434"/>
      <c r="B282" s="435"/>
      <c r="C282" s="435"/>
      <c r="D282" s="435"/>
      <c r="E282" s="418"/>
      <c r="F282" s="418"/>
      <c r="G282" s="418"/>
      <c r="H282" s="418"/>
      <c r="I282" s="418"/>
      <c r="J282" s="418"/>
      <c r="K282" s="418"/>
      <c r="L282" s="418"/>
      <c r="M282" s="418"/>
      <c r="N282" s="418"/>
      <c r="O282" s="418"/>
      <c r="P282" s="418"/>
      <c r="Q282" s="418"/>
      <c r="R282" s="418"/>
      <c r="S282" s="418"/>
      <c r="T282" s="418"/>
      <c r="U282" s="418"/>
      <c r="V282" s="339"/>
      <c r="W282" s="339"/>
      <c r="X282" s="339"/>
      <c r="Y282" s="339"/>
      <c r="Z282" s="340"/>
    </row>
    <row r="283" spans="1:26" ht="8.1" customHeight="1" x14ac:dyDescent="0.25">
      <c r="A283" s="434" t="s">
        <v>461</v>
      </c>
      <c r="B283" s="435"/>
      <c r="C283" s="435"/>
      <c r="D283" s="435"/>
      <c r="E283" s="418" t="s">
        <v>507</v>
      </c>
      <c r="F283" s="418"/>
      <c r="G283" s="418"/>
      <c r="H283" s="418"/>
      <c r="I283" s="418"/>
      <c r="J283" s="418"/>
      <c r="K283" s="418"/>
      <c r="L283" s="418"/>
      <c r="M283" s="418"/>
      <c r="N283" s="418"/>
      <c r="O283" s="418"/>
      <c r="P283" s="418"/>
      <c r="Q283" s="418"/>
      <c r="R283" s="418"/>
      <c r="S283" s="418"/>
      <c r="T283" s="418"/>
      <c r="U283" s="418"/>
      <c r="V283" s="418"/>
      <c r="W283" s="418"/>
      <c r="X283" s="418"/>
      <c r="Y283" s="418"/>
      <c r="Z283" s="432"/>
    </row>
    <row r="284" spans="1:26" ht="8.1" customHeight="1" x14ac:dyDescent="0.25">
      <c r="A284" s="434"/>
      <c r="B284" s="435"/>
      <c r="C284" s="435"/>
      <c r="D284" s="435"/>
      <c r="E284" s="418"/>
      <c r="F284" s="418"/>
      <c r="G284" s="418"/>
      <c r="H284" s="418"/>
      <c r="I284" s="418"/>
      <c r="J284" s="418"/>
      <c r="K284" s="418"/>
      <c r="L284" s="418"/>
      <c r="M284" s="418"/>
      <c r="N284" s="418"/>
      <c r="O284" s="418"/>
      <c r="P284" s="418"/>
      <c r="Q284" s="418"/>
      <c r="R284" s="418"/>
      <c r="S284" s="418"/>
      <c r="T284" s="418"/>
      <c r="U284" s="418"/>
      <c r="V284" s="418"/>
      <c r="W284" s="418"/>
      <c r="X284" s="418"/>
      <c r="Y284" s="418"/>
      <c r="Z284" s="432"/>
    </row>
    <row r="285" spans="1:26" ht="8.1" customHeight="1" x14ac:dyDescent="0.25">
      <c r="A285" s="434" t="s">
        <v>462</v>
      </c>
      <c r="B285" s="435"/>
      <c r="C285" s="435"/>
      <c r="D285" s="435"/>
      <c r="E285" s="418" t="s">
        <v>508</v>
      </c>
      <c r="F285" s="418"/>
      <c r="G285" s="418"/>
      <c r="H285" s="418"/>
      <c r="I285" s="418"/>
      <c r="J285" s="418"/>
      <c r="K285" s="418"/>
      <c r="L285" s="418"/>
      <c r="M285" s="418"/>
      <c r="N285" s="418"/>
      <c r="O285" s="418"/>
      <c r="P285" s="418"/>
      <c r="Q285" s="418"/>
      <c r="R285" s="418"/>
      <c r="S285" s="418"/>
      <c r="T285" s="418"/>
      <c r="U285" s="418"/>
      <c r="V285" s="418"/>
      <c r="W285" s="418"/>
      <c r="X285" s="418"/>
      <c r="Y285" s="418"/>
      <c r="Z285" s="432"/>
    </row>
    <row r="286" spans="1:26" ht="8.1" customHeight="1" x14ac:dyDescent="0.25">
      <c r="A286" s="434"/>
      <c r="B286" s="435"/>
      <c r="C286" s="435"/>
      <c r="D286" s="435"/>
      <c r="E286" s="418"/>
      <c r="F286" s="418"/>
      <c r="G286" s="418"/>
      <c r="H286" s="418"/>
      <c r="I286" s="418"/>
      <c r="J286" s="418"/>
      <c r="K286" s="418"/>
      <c r="L286" s="418"/>
      <c r="M286" s="418"/>
      <c r="N286" s="418"/>
      <c r="O286" s="418"/>
      <c r="P286" s="418"/>
      <c r="Q286" s="418"/>
      <c r="R286" s="418"/>
      <c r="S286" s="418"/>
      <c r="T286" s="418"/>
      <c r="U286" s="418"/>
      <c r="V286" s="418"/>
      <c r="W286" s="418"/>
      <c r="X286" s="418"/>
      <c r="Y286" s="418"/>
      <c r="Z286" s="432"/>
    </row>
    <row r="287" spans="1:26" ht="8.1" customHeight="1" x14ac:dyDescent="0.25">
      <c r="A287" s="434" t="s">
        <v>464</v>
      </c>
      <c r="B287" s="435"/>
      <c r="C287" s="435"/>
      <c r="D287" s="435"/>
      <c r="E287" s="418" t="s">
        <v>510</v>
      </c>
      <c r="F287" s="418"/>
      <c r="G287" s="418"/>
      <c r="H287" s="418"/>
      <c r="I287" s="418"/>
      <c r="J287" s="418"/>
      <c r="K287" s="418"/>
      <c r="L287" s="418"/>
      <c r="M287" s="418"/>
      <c r="N287" s="418"/>
      <c r="O287" s="418"/>
      <c r="P287" s="418"/>
      <c r="Q287" s="418"/>
      <c r="R287" s="418"/>
      <c r="S287" s="418"/>
      <c r="T287" s="418"/>
      <c r="U287" s="418"/>
      <c r="V287" s="418"/>
      <c r="W287" s="418"/>
      <c r="X287" s="418"/>
      <c r="Y287" s="418"/>
      <c r="Z287" s="432"/>
    </row>
    <row r="288" spans="1:26" ht="8.1" customHeight="1" x14ac:dyDescent="0.25">
      <c r="A288" s="434"/>
      <c r="B288" s="435"/>
      <c r="C288" s="435"/>
      <c r="D288" s="435"/>
      <c r="E288" s="418"/>
      <c r="F288" s="418"/>
      <c r="G288" s="418"/>
      <c r="H288" s="418"/>
      <c r="I288" s="418"/>
      <c r="J288" s="418"/>
      <c r="K288" s="418"/>
      <c r="L288" s="418"/>
      <c r="M288" s="418"/>
      <c r="N288" s="418"/>
      <c r="O288" s="418"/>
      <c r="P288" s="418"/>
      <c r="Q288" s="418"/>
      <c r="R288" s="418"/>
      <c r="S288" s="418"/>
      <c r="T288" s="418"/>
      <c r="U288" s="418"/>
      <c r="V288" s="418"/>
      <c r="W288" s="418"/>
      <c r="X288" s="418"/>
      <c r="Y288" s="418"/>
      <c r="Z288" s="432"/>
    </row>
    <row r="289" spans="1:26" ht="8.1" customHeight="1" x14ac:dyDescent="0.25">
      <c r="A289" s="434" t="s">
        <v>463</v>
      </c>
      <c r="B289" s="435"/>
      <c r="C289" s="435"/>
      <c r="D289" s="435"/>
      <c r="E289" s="418" t="s">
        <v>481</v>
      </c>
      <c r="F289" s="418"/>
      <c r="G289" s="418"/>
      <c r="H289" s="418"/>
      <c r="I289" s="418"/>
      <c r="J289" s="418"/>
      <c r="K289" s="418"/>
      <c r="L289" s="418"/>
      <c r="M289" s="418"/>
      <c r="N289" s="418"/>
      <c r="O289" s="418"/>
      <c r="P289" s="418"/>
      <c r="Q289" s="418"/>
      <c r="R289" s="418"/>
      <c r="S289" s="418"/>
      <c r="T289" s="418"/>
      <c r="U289" s="418"/>
      <c r="V289" s="418"/>
      <c r="W289" s="418"/>
      <c r="X289" s="418"/>
      <c r="Y289" s="418"/>
      <c r="Z289" s="432"/>
    </row>
    <row r="290" spans="1:26" ht="8.1" customHeight="1" x14ac:dyDescent="0.25">
      <c r="A290" s="434"/>
      <c r="B290" s="435"/>
      <c r="C290" s="435"/>
      <c r="D290" s="435"/>
      <c r="E290" s="418"/>
      <c r="F290" s="418"/>
      <c r="G290" s="418"/>
      <c r="H290" s="418"/>
      <c r="I290" s="418"/>
      <c r="J290" s="418"/>
      <c r="K290" s="418"/>
      <c r="L290" s="418"/>
      <c r="M290" s="418"/>
      <c r="N290" s="418"/>
      <c r="O290" s="418"/>
      <c r="P290" s="418"/>
      <c r="Q290" s="418"/>
      <c r="R290" s="418"/>
      <c r="S290" s="418"/>
      <c r="T290" s="418"/>
      <c r="U290" s="418"/>
      <c r="V290" s="418"/>
      <c r="W290" s="418"/>
      <c r="X290" s="418"/>
      <c r="Y290" s="418"/>
      <c r="Z290" s="432"/>
    </row>
    <row r="291" spans="1:26" ht="8.1" customHeight="1" x14ac:dyDescent="0.25">
      <c r="A291" s="434" t="s">
        <v>465</v>
      </c>
      <c r="B291" s="435"/>
      <c r="C291" s="435"/>
      <c r="D291" s="435"/>
      <c r="E291" s="418" t="s">
        <v>472</v>
      </c>
      <c r="F291" s="418"/>
      <c r="G291" s="418"/>
      <c r="H291" s="418"/>
      <c r="I291" s="418"/>
      <c r="J291" s="418"/>
      <c r="K291" s="418"/>
      <c r="L291" s="418"/>
      <c r="M291" s="418"/>
      <c r="N291" s="418"/>
      <c r="O291" s="418"/>
      <c r="P291" s="418"/>
      <c r="Q291" s="418"/>
      <c r="R291" s="418"/>
      <c r="S291" s="418"/>
      <c r="T291" s="418"/>
      <c r="U291" s="418"/>
      <c r="V291" s="418"/>
      <c r="W291" s="418"/>
      <c r="X291" s="418"/>
      <c r="Y291" s="339"/>
      <c r="Z291" s="340"/>
    </row>
    <row r="292" spans="1:26" ht="8.1" customHeight="1" x14ac:dyDescent="0.25">
      <c r="A292" s="434"/>
      <c r="B292" s="435"/>
      <c r="C292" s="435"/>
      <c r="D292" s="435"/>
      <c r="E292" s="418"/>
      <c r="F292" s="418"/>
      <c r="G292" s="418"/>
      <c r="H292" s="418"/>
      <c r="I292" s="418"/>
      <c r="J292" s="418"/>
      <c r="K292" s="418"/>
      <c r="L292" s="418"/>
      <c r="M292" s="418"/>
      <c r="N292" s="418"/>
      <c r="O292" s="418"/>
      <c r="P292" s="418"/>
      <c r="Q292" s="418"/>
      <c r="R292" s="418"/>
      <c r="S292" s="418"/>
      <c r="T292" s="418"/>
      <c r="U292" s="418"/>
      <c r="V292" s="418"/>
      <c r="W292" s="418"/>
      <c r="X292" s="418"/>
      <c r="Y292" s="339"/>
      <c r="Z292" s="340"/>
    </row>
    <row r="293" spans="1:26" ht="8.1" customHeight="1" x14ac:dyDescent="0.25">
      <c r="A293" s="394"/>
      <c r="B293" s="344"/>
      <c r="C293" s="344"/>
      <c r="D293" s="344"/>
      <c r="E293" s="344"/>
      <c r="F293" s="344"/>
      <c r="G293" s="344"/>
      <c r="H293" s="344"/>
      <c r="I293" s="344"/>
      <c r="J293" s="344"/>
      <c r="K293" s="344"/>
      <c r="L293" s="344"/>
      <c r="M293" s="344"/>
      <c r="N293" s="344"/>
      <c r="O293" s="344"/>
      <c r="P293" s="344"/>
      <c r="Q293" s="344"/>
      <c r="R293" s="344"/>
      <c r="S293" s="344"/>
      <c r="T293" s="344"/>
      <c r="U293" s="344"/>
      <c r="V293" s="344"/>
      <c r="W293" s="344"/>
      <c r="X293" s="344"/>
      <c r="Y293" s="344"/>
      <c r="Z293" s="390"/>
    </row>
    <row r="294" spans="1:26" ht="8.1" customHeight="1" x14ac:dyDescent="0.25">
      <c r="A294" s="335"/>
      <c r="B294" s="335"/>
      <c r="C294" s="335"/>
      <c r="D294" s="335"/>
      <c r="E294" s="335"/>
      <c r="F294" s="335"/>
      <c r="G294" s="335"/>
      <c r="H294" s="335"/>
      <c r="I294" s="335"/>
      <c r="J294" s="335"/>
      <c r="K294" s="335"/>
      <c r="L294" s="335"/>
      <c r="M294" s="335"/>
      <c r="N294" s="335"/>
      <c r="O294" s="335"/>
      <c r="P294" s="335"/>
      <c r="Q294" s="335"/>
      <c r="R294" s="335"/>
      <c r="S294" s="335"/>
      <c r="T294" s="335"/>
      <c r="U294" s="335"/>
      <c r="V294" s="335"/>
      <c r="W294" s="335"/>
      <c r="X294" s="335"/>
      <c r="Y294" s="335"/>
      <c r="Z294" s="335"/>
    </row>
    <row r="295" spans="1:26" ht="8.1" hidden="1" customHeight="1" x14ac:dyDescent="0.25">
      <c r="A295" s="446" t="s">
        <v>83</v>
      </c>
      <c r="B295" s="446"/>
      <c r="C295" s="446"/>
      <c r="D295" s="446"/>
      <c r="E295" s="446"/>
      <c r="F295" s="446"/>
      <c r="G295" s="446"/>
      <c r="H295" s="446"/>
      <c r="I295" s="446"/>
      <c r="J295" s="446"/>
      <c r="K295" s="446"/>
      <c r="L295" s="446"/>
      <c r="M295" s="446"/>
      <c r="N295" s="446"/>
      <c r="O295" s="446"/>
      <c r="P295" s="446"/>
      <c r="Q295" s="446"/>
      <c r="R295" s="446"/>
      <c r="S295" s="446"/>
      <c r="T295" s="446"/>
      <c r="U295" s="446"/>
      <c r="V295" s="446"/>
      <c r="W295" s="446"/>
      <c r="X295" s="446"/>
      <c r="Y295" s="446"/>
      <c r="Z295" s="446"/>
    </row>
    <row r="296" spans="1:26" ht="8.1" hidden="1" customHeight="1" x14ac:dyDescent="0.25">
      <c r="A296" s="446"/>
      <c r="B296" s="446"/>
      <c r="C296" s="446"/>
      <c r="D296" s="446"/>
      <c r="E296" s="446"/>
      <c r="F296" s="446"/>
      <c r="G296" s="446"/>
      <c r="H296" s="446"/>
      <c r="I296" s="446"/>
      <c r="J296" s="446"/>
      <c r="K296" s="446"/>
      <c r="L296" s="446"/>
      <c r="M296" s="446"/>
      <c r="N296" s="446"/>
      <c r="O296" s="446"/>
      <c r="P296" s="446"/>
      <c r="Q296" s="446"/>
      <c r="R296" s="446"/>
      <c r="S296" s="446"/>
      <c r="T296" s="446"/>
      <c r="U296" s="446"/>
      <c r="V296" s="446"/>
      <c r="W296" s="446"/>
      <c r="X296" s="446"/>
      <c r="Y296" s="446"/>
      <c r="Z296" s="446"/>
    </row>
    <row r="297" spans="1:26" ht="8.1" customHeight="1" x14ac:dyDescent="0.25">
      <c r="A297" s="444" t="s">
        <v>82</v>
      </c>
      <c r="B297" s="444"/>
      <c r="C297" s="444"/>
      <c r="D297" s="444"/>
      <c r="E297" s="444"/>
      <c r="F297" s="444"/>
      <c r="G297" s="444"/>
      <c r="H297" s="444"/>
      <c r="I297" s="444"/>
      <c r="J297" s="444"/>
      <c r="K297" s="444"/>
      <c r="L297" s="444"/>
      <c r="M297" s="444"/>
      <c r="N297" s="444"/>
      <c r="O297" s="444"/>
      <c r="P297" s="444"/>
      <c r="Q297" s="444"/>
      <c r="R297" s="444"/>
      <c r="S297" s="444"/>
      <c r="T297" s="444"/>
      <c r="U297" s="444"/>
      <c r="V297" s="444"/>
      <c r="W297" s="444"/>
      <c r="X297" s="444"/>
      <c r="Y297" s="444"/>
      <c r="Z297" s="444"/>
    </row>
    <row r="298" spans="1:26" ht="8.1" customHeight="1" x14ac:dyDescent="0.25">
      <c r="A298" s="444"/>
      <c r="B298" s="444"/>
      <c r="C298" s="444"/>
      <c r="D298" s="444"/>
      <c r="E298" s="444"/>
      <c r="F298" s="444"/>
      <c r="G298" s="444"/>
      <c r="H298" s="444"/>
      <c r="I298" s="444"/>
      <c r="J298" s="444"/>
      <c r="K298" s="444"/>
      <c r="L298" s="444"/>
      <c r="M298" s="444"/>
      <c r="N298" s="444"/>
      <c r="O298" s="444"/>
      <c r="P298" s="444"/>
      <c r="Q298" s="444"/>
      <c r="R298" s="444"/>
      <c r="S298" s="444"/>
      <c r="T298" s="444"/>
      <c r="U298" s="444"/>
      <c r="V298" s="444"/>
      <c r="W298" s="444"/>
      <c r="X298" s="444"/>
      <c r="Y298" s="444"/>
      <c r="Z298" s="444"/>
    </row>
    <row r="299" spans="1:26" ht="8.1" customHeight="1" x14ac:dyDescent="0.25">
      <c r="A299" s="444"/>
      <c r="B299" s="444"/>
      <c r="C299" s="444"/>
      <c r="D299" s="444"/>
      <c r="E299" s="444"/>
      <c r="F299" s="444"/>
      <c r="G299" s="444"/>
      <c r="H299" s="444"/>
      <c r="I299" s="444"/>
      <c r="J299" s="444"/>
      <c r="K299" s="444"/>
      <c r="L299" s="444"/>
      <c r="M299" s="444"/>
      <c r="N299" s="444"/>
      <c r="O299" s="444"/>
      <c r="P299" s="444"/>
      <c r="Q299" s="444"/>
      <c r="R299" s="444"/>
      <c r="S299" s="444"/>
      <c r="T299" s="444"/>
      <c r="U299" s="444"/>
      <c r="V299" s="444"/>
      <c r="W299" s="444"/>
      <c r="X299" s="444"/>
      <c r="Y299" s="444"/>
      <c r="Z299" s="444"/>
    </row>
    <row r="300" spans="1:26" ht="8.1" customHeight="1" x14ac:dyDescent="0.25">
      <c r="A300" s="444"/>
      <c r="B300" s="444"/>
      <c r="C300" s="444"/>
      <c r="D300" s="444"/>
      <c r="E300" s="444"/>
      <c r="F300" s="444"/>
      <c r="G300" s="444"/>
      <c r="H300" s="444"/>
      <c r="I300" s="444"/>
      <c r="J300" s="444"/>
      <c r="K300" s="444"/>
      <c r="L300" s="444"/>
      <c r="M300" s="444"/>
      <c r="N300" s="444"/>
      <c r="O300" s="444"/>
      <c r="P300" s="444"/>
      <c r="Q300" s="444"/>
      <c r="R300" s="444"/>
      <c r="S300" s="444"/>
      <c r="T300" s="444"/>
      <c r="U300" s="444"/>
      <c r="V300" s="444"/>
      <c r="W300" s="444"/>
      <c r="X300" s="444"/>
      <c r="Y300" s="444"/>
      <c r="Z300" s="444"/>
    </row>
    <row r="301" spans="1:26" ht="8.1" customHeight="1" x14ac:dyDescent="0.25">
      <c r="A301" s="444"/>
      <c r="B301" s="444"/>
      <c r="C301" s="444"/>
      <c r="D301" s="444"/>
      <c r="E301" s="444"/>
      <c r="F301" s="444"/>
      <c r="G301" s="444"/>
      <c r="H301" s="444"/>
      <c r="I301" s="444"/>
      <c r="J301" s="444"/>
      <c r="K301" s="444"/>
      <c r="L301" s="444"/>
      <c r="M301" s="444"/>
      <c r="N301" s="444"/>
      <c r="O301" s="444"/>
      <c r="P301" s="444"/>
      <c r="Q301" s="444"/>
      <c r="R301" s="444"/>
      <c r="S301" s="444"/>
      <c r="T301" s="444"/>
      <c r="U301" s="444"/>
      <c r="V301" s="444"/>
      <c r="W301" s="444"/>
      <c r="X301" s="444"/>
      <c r="Y301" s="444"/>
      <c r="Z301" s="444"/>
    </row>
    <row r="302" spans="1:26" ht="8.1" customHeight="1" x14ac:dyDescent="0.25">
      <c r="A302" s="444"/>
      <c r="B302" s="444"/>
      <c r="C302" s="444"/>
      <c r="D302" s="444"/>
      <c r="E302" s="444"/>
      <c r="F302" s="444"/>
      <c r="G302" s="444"/>
      <c r="H302" s="444"/>
      <c r="I302" s="444"/>
      <c r="J302" s="444"/>
      <c r="K302" s="444"/>
      <c r="L302" s="444"/>
      <c r="M302" s="444"/>
      <c r="N302" s="444"/>
      <c r="O302" s="444"/>
      <c r="P302" s="444"/>
      <c r="Q302" s="444"/>
      <c r="R302" s="444"/>
      <c r="S302" s="444"/>
      <c r="T302" s="444"/>
      <c r="U302" s="444"/>
      <c r="V302" s="444"/>
      <c r="W302" s="444"/>
      <c r="X302" s="444"/>
      <c r="Y302" s="444"/>
      <c r="Z302" s="444"/>
    </row>
    <row r="303" spans="1:26" ht="8.1" customHeight="1" x14ac:dyDescent="0.25">
      <c r="A303" s="444"/>
      <c r="B303" s="444"/>
      <c r="C303" s="444"/>
      <c r="D303" s="444"/>
      <c r="E303" s="444"/>
      <c r="F303" s="444"/>
      <c r="G303" s="444"/>
      <c r="H303" s="444"/>
      <c r="I303" s="444"/>
      <c r="J303" s="444"/>
      <c r="K303" s="444"/>
      <c r="L303" s="444"/>
      <c r="M303" s="444"/>
      <c r="N303" s="444"/>
      <c r="O303" s="444"/>
      <c r="P303" s="444"/>
      <c r="Q303" s="444"/>
      <c r="R303" s="444"/>
      <c r="S303" s="444"/>
      <c r="T303" s="444"/>
      <c r="U303" s="444"/>
      <c r="V303" s="444"/>
      <c r="W303" s="444"/>
      <c r="X303" s="444"/>
      <c r="Y303" s="444"/>
      <c r="Z303" s="444"/>
    </row>
    <row r="304" spans="1:26" ht="8.1" customHeight="1" x14ac:dyDescent="0.25">
      <c r="A304" s="444"/>
      <c r="B304" s="444"/>
      <c r="C304" s="444"/>
      <c r="D304" s="444"/>
      <c r="E304" s="444"/>
      <c r="F304" s="444"/>
      <c r="G304" s="444"/>
      <c r="H304" s="444"/>
      <c r="I304" s="444"/>
      <c r="J304" s="444"/>
      <c r="K304" s="444"/>
      <c r="L304" s="444"/>
      <c r="M304" s="444"/>
      <c r="N304" s="444"/>
      <c r="O304" s="444"/>
      <c r="P304" s="444"/>
      <c r="Q304" s="444"/>
      <c r="R304" s="444"/>
      <c r="S304" s="444"/>
      <c r="T304" s="444"/>
      <c r="U304" s="444"/>
      <c r="V304" s="444"/>
      <c r="W304" s="444"/>
      <c r="X304" s="444"/>
      <c r="Y304" s="444"/>
      <c r="Z304" s="444"/>
    </row>
    <row r="305" spans="1:26" ht="8.1" customHeight="1" x14ac:dyDescent="0.25">
      <c r="A305" s="444"/>
      <c r="B305" s="444"/>
      <c r="C305" s="444"/>
      <c r="D305" s="444"/>
      <c r="E305" s="444"/>
      <c r="F305" s="444"/>
      <c r="G305" s="444"/>
      <c r="H305" s="444"/>
      <c r="I305" s="444"/>
      <c r="J305" s="444"/>
      <c r="K305" s="444"/>
      <c r="L305" s="444"/>
      <c r="M305" s="444"/>
      <c r="N305" s="444"/>
      <c r="O305" s="444"/>
      <c r="P305" s="444"/>
      <c r="Q305" s="444"/>
      <c r="R305" s="444"/>
      <c r="S305" s="444"/>
      <c r="T305" s="444"/>
      <c r="U305" s="444"/>
      <c r="V305" s="444"/>
      <c r="W305" s="444"/>
      <c r="X305" s="444"/>
      <c r="Y305" s="444"/>
      <c r="Z305" s="444"/>
    </row>
    <row r="306" spans="1:26" ht="8.1" customHeight="1" x14ac:dyDescent="0.25">
      <c r="A306" s="444"/>
      <c r="B306" s="444"/>
      <c r="C306" s="444"/>
      <c r="D306" s="444"/>
      <c r="E306" s="444"/>
      <c r="F306" s="444"/>
      <c r="G306" s="444"/>
      <c r="H306" s="444"/>
      <c r="I306" s="444"/>
      <c r="J306" s="444"/>
      <c r="K306" s="444"/>
      <c r="L306" s="444"/>
      <c r="M306" s="444"/>
      <c r="N306" s="444"/>
      <c r="O306" s="444"/>
      <c r="P306" s="444"/>
      <c r="Q306" s="444"/>
      <c r="R306" s="444"/>
      <c r="S306" s="444"/>
      <c r="T306" s="444"/>
      <c r="U306" s="444"/>
      <c r="V306" s="444"/>
      <c r="W306" s="444"/>
      <c r="X306" s="444"/>
      <c r="Y306" s="444"/>
      <c r="Z306" s="444"/>
    </row>
    <row r="307" spans="1:26" ht="8.1" customHeight="1" x14ac:dyDescent="0.25">
      <c r="A307" s="444"/>
      <c r="B307" s="444"/>
      <c r="C307" s="444"/>
      <c r="D307" s="444"/>
      <c r="E307" s="444"/>
      <c r="F307" s="444"/>
      <c r="G307" s="444"/>
      <c r="H307" s="444"/>
      <c r="I307" s="444"/>
      <c r="J307" s="444"/>
      <c r="K307" s="444"/>
      <c r="L307" s="444"/>
      <c r="M307" s="444"/>
      <c r="N307" s="444"/>
      <c r="O307" s="444"/>
      <c r="P307" s="444"/>
      <c r="Q307" s="444"/>
      <c r="R307" s="444"/>
      <c r="S307" s="444"/>
      <c r="T307" s="444"/>
      <c r="U307" s="444"/>
      <c r="V307" s="444"/>
      <c r="W307" s="444"/>
      <c r="X307" s="444"/>
      <c r="Y307" s="444"/>
      <c r="Z307" s="444"/>
    </row>
    <row r="308" spans="1:26" ht="8.1"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8.1"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8.1"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8.1"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sheetData>
  <mergeCells count="397">
    <mergeCell ref="A178:D179"/>
    <mergeCell ref="D51:H52"/>
    <mergeCell ref="A93:F94"/>
    <mergeCell ref="A220:E221"/>
    <mergeCell ref="A82:B83"/>
    <mergeCell ref="E194:F195"/>
    <mergeCell ref="A192:D193"/>
    <mergeCell ref="E217:F218"/>
    <mergeCell ref="G217:H218"/>
    <mergeCell ref="G138:H139"/>
    <mergeCell ref="G136:H137"/>
    <mergeCell ref="G194:H195"/>
    <mergeCell ref="A188:D189"/>
    <mergeCell ref="A197:D198"/>
    <mergeCell ref="A61:E62"/>
    <mergeCell ref="A71:A72"/>
    <mergeCell ref="A73:A74"/>
    <mergeCell ref="A75:A76"/>
    <mergeCell ref="A209:D210"/>
    <mergeCell ref="A199:F200"/>
    <mergeCell ref="A201:D202"/>
    <mergeCell ref="A205:D206"/>
    <mergeCell ref="S61:T62"/>
    <mergeCell ref="S63:T64"/>
    <mergeCell ref="S65:T66"/>
    <mergeCell ref="S67:T68"/>
    <mergeCell ref="Q82:T83"/>
    <mergeCell ref="A96:D97"/>
    <mergeCell ref="B69:F70"/>
    <mergeCell ref="B71:F72"/>
    <mergeCell ref="B75:F76"/>
    <mergeCell ref="B77:F78"/>
    <mergeCell ref="B73:F74"/>
    <mergeCell ref="A63:A64"/>
    <mergeCell ref="I61:J62"/>
    <mergeCell ref="G167:H168"/>
    <mergeCell ref="A157:D158"/>
    <mergeCell ref="E157:F158"/>
    <mergeCell ref="G157:H158"/>
    <mergeCell ref="G169:H170"/>
    <mergeCell ref="G165:H166"/>
    <mergeCell ref="K69:L70"/>
    <mergeCell ref="I79:J80"/>
    <mergeCell ref="M82:P83"/>
    <mergeCell ref="I104:L105"/>
    <mergeCell ref="G132:H133"/>
    <mergeCell ref="A85:D86"/>
    <mergeCell ref="A79:A80"/>
    <mergeCell ref="A109:D110"/>
    <mergeCell ref="A111:D112"/>
    <mergeCell ref="G111:H112"/>
    <mergeCell ref="G104:H105"/>
    <mergeCell ref="G100:H101"/>
    <mergeCell ref="W73:Z74"/>
    <mergeCell ref="E147:F148"/>
    <mergeCell ref="E163:F164"/>
    <mergeCell ref="E118:F119"/>
    <mergeCell ref="A147:D148"/>
    <mergeCell ref="A163:D164"/>
    <mergeCell ref="I145:L146"/>
    <mergeCell ref="I161:L162"/>
    <mergeCell ref="I159:L160"/>
    <mergeCell ref="A149:D150"/>
    <mergeCell ref="E149:F150"/>
    <mergeCell ref="G149:H150"/>
    <mergeCell ref="I149:L150"/>
    <mergeCell ref="A151:D152"/>
    <mergeCell ref="E151:F152"/>
    <mergeCell ref="G151:H152"/>
    <mergeCell ref="U79:V80"/>
    <mergeCell ref="B79:F80"/>
    <mergeCell ref="I157:L158"/>
    <mergeCell ref="A102:D103"/>
    <mergeCell ref="A104:D105"/>
    <mergeCell ref="A107:D108"/>
    <mergeCell ref="E100:F101"/>
    <mergeCell ref="E136:F137"/>
    <mergeCell ref="W71:Z72"/>
    <mergeCell ref="W63:Z64"/>
    <mergeCell ref="W65:Z66"/>
    <mergeCell ref="W67:Z68"/>
    <mergeCell ref="W69:Z70"/>
    <mergeCell ref="W75:Z76"/>
    <mergeCell ref="K79:L80"/>
    <mergeCell ref="K71:L72"/>
    <mergeCell ref="S73:T74"/>
    <mergeCell ref="S75:T76"/>
    <mergeCell ref="S77:T78"/>
    <mergeCell ref="M71:P72"/>
    <mergeCell ref="M73:P74"/>
    <mergeCell ref="M75:P76"/>
    <mergeCell ref="M77:P78"/>
    <mergeCell ref="W77:Z78"/>
    <mergeCell ref="W79:Z80"/>
    <mergeCell ref="S79:T80"/>
    <mergeCell ref="U73:V74"/>
    <mergeCell ref="U63:V64"/>
    <mergeCell ref="U65:V66"/>
    <mergeCell ref="U67:V68"/>
    <mergeCell ref="U69:V70"/>
    <mergeCell ref="K63:L64"/>
    <mergeCell ref="U75:V76"/>
    <mergeCell ref="U77:V78"/>
    <mergeCell ref="S69:T70"/>
    <mergeCell ref="S71:T72"/>
    <mergeCell ref="U71:V72"/>
    <mergeCell ref="I71:J72"/>
    <mergeCell ref="I63:J64"/>
    <mergeCell ref="I65:J66"/>
    <mergeCell ref="I67:J68"/>
    <mergeCell ref="I69:J70"/>
    <mergeCell ref="K65:L66"/>
    <mergeCell ref="M65:P66"/>
    <mergeCell ref="M67:P68"/>
    <mergeCell ref="M69:P70"/>
    <mergeCell ref="K67:L68"/>
    <mergeCell ref="A207:D208"/>
    <mergeCell ref="I201:L202"/>
    <mergeCell ref="E213:F214"/>
    <mergeCell ref="G213:H214"/>
    <mergeCell ref="G203:H204"/>
    <mergeCell ref="G207:H208"/>
    <mergeCell ref="I203:L204"/>
    <mergeCell ref="A203:D204"/>
    <mergeCell ref="M63:P64"/>
    <mergeCell ref="K73:L74"/>
    <mergeCell ref="K75:L76"/>
    <mergeCell ref="K77:L78"/>
    <mergeCell ref="M79:P80"/>
    <mergeCell ref="I73:J74"/>
    <mergeCell ref="I75:J76"/>
    <mergeCell ref="I77:J78"/>
    <mergeCell ref="I134:L135"/>
    <mergeCell ref="G173:H174"/>
    <mergeCell ref="E169:F170"/>
    <mergeCell ref="E167:F168"/>
    <mergeCell ref="E171:F172"/>
    <mergeCell ref="E125:F126"/>
    <mergeCell ref="G125:H126"/>
    <mergeCell ref="A173:D174"/>
    <mergeCell ref="E180:F181"/>
    <mergeCell ref="G180:H181"/>
    <mergeCell ref="A185:C186"/>
    <mergeCell ref="I180:L181"/>
    <mergeCell ref="A182:D183"/>
    <mergeCell ref="E182:F183"/>
    <mergeCell ref="G192:H193"/>
    <mergeCell ref="A190:D191"/>
    <mergeCell ref="E201:F202"/>
    <mergeCell ref="G201:H202"/>
    <mergeCell ref="I192:L193"/>
    <mergeCell ref="I194:L195"/>
    <mergeCell ref="G182:H183"/>
    <mergeCell ref="I182:L183"/>
    <mergeCell ref="A180:D181"/>
    <mergeCell ref="I209:L210"/>
    <mergeCell ref="I213:L214"/>
    <mergeCell ref="E209:F210"/>
    <mergeCell ref="G209:H210"/>
    <mergeCell ref="G211:H212"/>
    <mergeCell ref="A51:C52"/>
    <mergeCell ref="A53:C54"/>
    <mergeCell ref="A55:C56"/>
    <mergeCell ref="A116:D117"/>
    <mergeCell ref="A118:D119"/>
    <mergeCell ref="I165:L166"/>
    <mergeCell ref="I118:L119"/>
    <mergeCell ref="I147:L148"/>
    <mergeCell ref="I163:L164"/>
    <mergeCell ref="A165:D166"/>
    <mergeCell ref="A169:D170"/>
    <mergeCell ref="A121:D122"/>
    <mergeCell ref="A123:D124"/>
    <mergeCell ref="A132:D133"/>
    <mergeCell ref="E132:F133"/>
    <mergeCell ref="A130:E131"/>
    <mergeCell ref="A171:D172"/>
    <mergeCell ref="E203:F204"/>
    <mergeCell ref="A213:D214"/>
    <mergeCell ref="A58:F59"/>
    <mergeCell ref="I205:L206"/>
    <mergeCell ref="A211:D212"/>
    <mergeCell ref="I211:L212"/>
    <mergeCell ref="E207:F208"/>
    <mergeCell ref="E173:F174"/>
    <mergeCell ref="A145:D146"/>
    <mergeCell ref="E138:F139"/>
    <mergeCell ref="A194:D195"/>
    <mergeCell ref="E192:F193"/>
    <mergeCell ref="E211:F212"/>
    <mergeCell ref="I207:L208"/>
    <mergeCell ref="I138:L139"/>
    <mergeCell ref="A176:D177"/>
    <mergeCell ref="D82:G83"/>
    <mergeCell ref="I113:L114"/>
    <mergeCell ref="A125:D126"/>
    <mergeCell ref="I132:L133"/>
    <mergeCell ref="A134:D135"/>
    <mergeCell ref="E134:F135"/>
    <mergeCell ref="G134:H135"/>
    <mergeCell ref="A100:D101"/>
    <mergeCell ref="I125:L126"/>
    <mergeCell ref="A98:D99"/>
    <mergeCell ref="A43:C44"/>
    <mergeCell ref="D43:E44"/>
    <mergeCell ref="F43:G44"/>
    <mergeCell ref="A49:C50"/>
    <mergeCell ref="A45:C46"/>
    <mergeCell ref="D45:E46"/>
    <mergeCell ref="F45:G46"/>
    <mergeCell ref="A47:H48"/>
    <mergeCell ref="D49:H50"/>
    <mergeCell ref="A65:A66"/>
    <mergeCell ref="B63:F64"/>
    <mergeCell ref="B65:F66"/>
    <mergeCell ref="B67:F68"/>
    <mergeCell ref="G145:H146"/>
    <mergeCell ref="G161:H162"/>
    <mergeCell ref="G118:H119"/>
    <mergeCell ref="A128:D129"/>
    <mergeCell ref="E111:F112"/>
    <mergeCell ref="A113:D114"/>
    <mergeCell ref="G102:H103"/>
    <mergeCell ref="A159:D160"/>
    <mergeCell ref="E159:F160"/>
    <mergeCell ref="G159:H160"/>
    <mergeCell ref="A138:D139"/>
    <mergeCell ref="A136:D137"/>
    <mergeCell ref="E113:F114"/>
    <mergeCell ref="G113:H114"/>
    <mergeCell ref="G147:H148"/>
    <mergeCell ref="A67:A68"/>
    <mergeCell ref="A69:A70"/>
    <mergeCell ref="A88:D89"/>
    <mergeCell ref="A77:A78"/>
    <mergeCell ref="A39:C40"/>
    <mergeCell ref="D39:E40"/>
    <mergeCell ref="F39:G40"/>
    <mergeCell ref="D30:E31"/>
    <mergeCell ref="F30:G31"/>
    <mergeCell ref="A32:C33"/>
    <mergeCell ref="A37:C38"/>
    <mergeCell ref="A41:C42"/>
    <mergeCell ref="F37:G38"/>
    <mergeCell ref="F41:G42"/>
    <mergeCell ref="D37:E38"/>
    <mergeCell ref="D41:E42"/>
    <mergeCell ref="A30:C31"/>
    <mergeCell ref="A28:D29"/>
    <mergeCell ref="A23:C24"/>
    <mergeCell ref="A25:C26"/>
    <mergeCell ref="D21:E22"/>
    <mergeCell ref="D23:E24"/>
    <mergeCell ref="D25:E26"/>
    <mergeCell ref="D32:E33"/>
    <mergeCell ref="A35:B36"/>
    <mergeCell ref="F32:G33"/>
    <mergeCell ref="A21:C22"/>
    <mergeCell ref="F21:G22"/>
    <mergeCell ref="A1:Z3"/>
    <mergeCell ref="A4:Z5"/>
    <mergeCell ref="A6:Z7"/>
    <mergeCell ref="A8:Z9"/>
    <mergeCell ref="A13:B14"/>
    <mergeCell ref="A15:C16"/>
    <mergeCell ref="D15:E16"/>
    <mergeCell ref="F23:G24"/>
    <mergeCell ref="F25:G26"/>
    <mergeCell ref="F15:G16"/>
    <mergeCell ref="A17:C18"/>
    <mergeCell ref="D17:E18"/>
    <mergeCell ref="A19:C20"/>
    <mergeCell ref="D19:E20"/>
    <mergeCell ref="A10:Z11"/>
    <mergeCell ref="A297:Z307"/>
    <mergeCell ref="I173:L174"/>
    <mergeCell ref="J243:O244"/>
    <mergeCell ref="H82:L83"/>
    <mergeCell ref="I100:L101"/>
    <mergeCell ref="I102:L103"/>
    <mergeCell ref="G171:H172"/>
    <mergeCell ref="A161:D162"/>
    <mergeCell ref="E145:F146"/>
    <mergeCell ref="E161:F162"/>
    <mergeCell ref="A141:D142"/>
    <mergeCell ref="E102:F103"/>
    <mergeCell ref="E104:F105"/>
    <mergeCell ref="A295:Z296"/>
    <mergeCell ref="E205:F206"/>
    <mergeCell ref="G205:H206"/>
    <mergeCell ref="A90:D91"/>
    <mergeCell ref="E90:F91"/>
    <mergeCell ref="G90:H91"/>
    <mergeCell ref="I111:L112"/>
    <mergeCell ref="I136:L137"/>
    <mergeCell ref="I169:L170"/>
    <mergeCell ref="I171:L172"/>
    <mergeCell ref="A143:F144"/>
    <mergeCell ref="E274:Z275"/>
    <mergeCell ref="H245:I246"/>
    <mergeCell ref="J245:K246"/>
    <mergeCell ref="L245:M246"/>
    <mergeCell ref="N245:O246"/>
    <mergeCell ref="P245:Q246"/>
    <mergeCell ref="R245:S246"/>
    <mergeCell ref="T245:U246"/>
    <mergeCell ref="J247:K248"/>
    <mergeCell ref="L247:M248"/>
    <mergeCell ref="N247:O248"/>
    <mergeCell ref="P247:Q248"/>
    <mergeCell ref="R247:S248"/>
    <mergeCell ref="T247:U248"/>
    <mergeCell ref="J253:Y258"/>
    <mergeCell ref="I236:L237"/>
    <mergeCell ref="A239:C240"/>
    <mergeCell ref="A245:E246"/>
    <mergeCell ref="F245:G246"/>
    <mergeCell ref="A232:D233"/>
    <mergeCell ref="E234:F235"/>
    <mergeCell ref="E236:F237"/>
    <mergeCell ref="G234:H235"/>
    <mergeCell ref="G236:H237"/>
    <mergeCell ref="A234:D235"/>
    <mergeCell ref="A236:D237"/>
    <mergeCell ref="I234:L235"/>
    <mergeCell ref="A291:D292"/>
    <mergeCell ref="A249:E250"/>
    <mergeCell ref="A253:E254"/>
    <mergeCell ref="F249:G250"/>
    <mergeCell ref="F253:G254"/>
    <mergeCell ref="E266:U267"/>
    <mergeCell ref="E268:Z269"/>
    <mergeCell ref="E270:Z271"/>
    <mergeCell ref="E272:Z273"/>
    <mergeCell ref="E276:X277"/>
    <mergeCell ref="E281:U282"/>
    <mergeCell ref="E283:Z284"/>
    <mergeCell ref="E285:Z286"/>
    <mergeCell ref="E287:Z288"/>
    <mergeCell ref="A260:F261"/>
    <mergeCell ref="A264:E265"/>
    <mergeCell ref="A268:D269"/>
    <mergeCell ref="A279:D280"/>
    <mergeCell ref="E291:X292"/>
    <mergeCell ref="A266:D267"/>
    <mergeCell ref="A270:D271"/>
    <mergeCell ref="A272:D273"/>
    <mergeCell ref="A274:D275"/>
    <mergeCell ref="A276:D277"/>
    <mergeCell ref="D53:H54"/>
    <mergeCell ref="D55:H56"/>
    <mergeCell ref="E289:Z290"/>
    <mergeCell ref="L249:M250"/>
    <mergeCell ref="N249:O250"/>
    <mergeCell ref="P249:Q250"/>
    <mergeCell ref="R249:S250"/>
    <mergeCell ref="T249:U250"/>
    <mergeCell ref="J251:K252"/>
    <mergeCell ref="L251:M252"/>
    <mergeCell ref="N251:O252"/>
    <mergeCell ref="P251:Q252"/>
    <mergeCell ref="R251:S252"/>
    <mergeCell ref="T251:U252"/>
    <mergeCell ref="J249:K250"/>
    <mergeCell ref="H249:I250"/>
    <mergeCell ref="H253:I254"/>
    <mergeCell ref="A281:D282"/>
    <mergeCell ref="A283:D284"/>
    <mergeCell ref="A285:D286"/>
    <mergeCell ref="A287:D288"/>
    <mergeCell ref="A289:D290"/>
    <mergeCell ref="A215:D216"/>
    <mergeCell ref="A217:D218"/>
    <mergeCell ref="A230:D231"/>
    <mergeCell ref="A225:I226"/>
    <mergeCell ref="I151:L152"/>
    <mergeCell ref="A153:D154"/>
    <mergeCell ref="E153:F154"/>
    <mergeCell ref="G153:H154"/>
    <mergeCell ref="I153:L154"/>
    <mergeCell ref="A155:D156"/>
    <mergeCell ref="E155:F156"/>
    <mergeCell ref="G155:H156"/>
    <mergeCell ref="I155:L156"/>
    <mergeCell ref="I215:L216"/>
    <mergeCell ref="G227:H228"/>
    <mergeCell ref="E227:F228"/>
    <mergeCell ref="A223:D224"/>
    <mergeCell ref="A227:D228"/>
    <mergeCell ref="I227:L228"/>
    <mergeCell ref="I217:L218"/>
    <mergeCell ref="I167:L168"/>
    <mergeCell ref="A167:D168"/>
    <mergeCell ref="E165:F166"/>
    <mergeCell ref="G163:H164"/>
    <mergeCell ref="E215:F216"/>
    <mergeCell ref="G215:H216"/>
  </mergeCells>
  <conditionalFormatting sqref="I73:P74">
    <cfRule type="expression" dxfId="75" priority="124" stopIfTrue="1">
      <formula>$M$73="&lt;------ CONTROLS"</formula>
    </cfRule>
  </conditionalFormatting>
  <conditionalFormatting sqref="I63:P64">
    <cfRule type="expression" dxfId="74" priority="123" stopIfTrue="1">
      <formula>$M$63="&lt;------ CONTROLS"</formula>
    </cfRule>
  </conditionalFormatting>
  <conditionalFormatting sqref="I65:P66">
    <cfRule type="expression" dxfId="73" priority="122" stopIfTrue="1">
      <formula>$M$65="&lt;------ CONTROLS"</formula>
    </cfRule>
  </conditionalFormatting>
  <conditionalFormatting sqref="I67:P68">
    <cfRule type="expression" dxfId="72" priority="121" stopIfTrue="1">
      <formula>$M$67="&lt;------ CONTROLS"</formula>
    </cfRule>
  </conditionalFormatting>
  <conditionalFormatting sqref="I69:P70">
    <cfRule type="expression" dxfId="71" priority="120" stopIfTrue="1">
      <formula>$M$69="&lt;------ CONTROLS"</formula>
    </cfRule>
  </conditionalFormatting>
  <conditionalFormatting sqref="I71:P72">
    <cfRule type="expression" dxfId="70" priority="119" stopIfTrue="1">
      <formula>$M$71="&lt;------ CONTROLS"</formula>
    </cfRule>
  </conditionalFormatting>
  <conditionalFormatting sqref="I75:P76">
    <cfRule type="expression" dxfId="69" priority="118" stopIfTrue="1">
      <formula>$M$75="&lt;------ CONTROLS"</formula>
    </cfRule>
  </conditionalFormatting>
  <conditionalFormatting sqref="I77:P78">
    <cfRule type="expression" dxfId="68" priority="117" stopIfTrue="1">
      <formula>$M$77="&lt;------ CONTROLS"</formula>
    </cfRule>
  </conditionalFormatting>
  <conditionalFormatting sqref="I79:P80">
    <cfRule type="expression" dxfId="67" priority="116" stopIfTrue="1">
      <formula>$M$79="&lt;------ CONTROLS"</formula>
    </cfRule>
  </conditionalFormatting>
  <conditionalFormatting sqref="S63:Z64">
    <cfRule type="expression" dxfId="66" priority="115" stopIfTrue="1">
      <formula>$W$63="&lt;------ CONTROLS"</formula>
    </cfRule>
  </conditionalFormatting>
  <conditionalFormatting sqref="S65:Z66">
    <cfRule type="expression" dxfId="65" priority="114" stopIfTrue="1">
      <formula>$W$65="&lt;------ CONTROLS"</formula>
    </cfRule>
  </conditionalFormatting>
  <conditionalFormatting sqref="S67:Z68">
    <cfRule type="expression" dxfId="64" priority="113" stopIfTrue="1">
      <formula>$W$67="&lt;------ CONTROLS"</formula>
    </cfRule>
  </conditionalFormatting>
  <conditionalFormatting sqref="S69:Z70">
    <cfRule type="expression" dxfId="63" priority="112" stopIfTrue="1">
      <formula>$W$69="&lt;------ CONTROLS"</formula>
    </cfRule>
  </conditionalFormatting>
  <conditionalFormatting sqref="S71:Z72">
    <cfRule type="expression" dxfId="62" priority="111" stopIfTrue="1">
      <formula>$W$71="&lt;------ CONTROLS"</formula>
    </cfRule>
  </conditionalFormatting>
  <conditionalFormatting sqref="S73:Z74">
    <cfRule type="expression" dxfId="61" priority="110" stopIfTrue="1">
      <formula>$W$73="&lt;------ CONTROLS"</formula>
    </cfRule>
  </conditionalFormatting>
  <conditionalFormatting sqref="S75:Z76">
    <cfRule type="expression" dxfId="60" priority="109" stopIfTrue="1">
      <formula>$W$75="&lt;------ CONTROLS"</formula>
    </cfRule>
  </conditionalFormatting>
  <conditionalFormatting sqref="S77:Z78">
    <cfRule type="expression" dxfId="59" priority="108" stopIfTrue="1">
      <formula>$W$77="&lt;------ CONTROLS"</formula>
    </cfRule>
  </conditionalFormatting>
  <conditionalFormatting sqref="S79:Z80">
    <cfRule type="expression" dxfId="58" priority="107" stopIfTrue="1">
      <formula>$W$79="&lt;------ CONTROLS"</formula>
    </cfRule>
  </conditionalFormatting>
  <conditionalFormatting sqref="A227:L228">
    <cfRule type="expression" dxfId="57" priority="80" stopIfTrue="1">
      <formula>$I$227="&lt;------ CONTROLS"</formula>
    </cfRule>
  </conditionalFormatting>
  <conditionalFormatting sqref="A234:L235">
    <cfRule type="expression" dxfId="56" priority="77" stopIfTrue="1">
      <formula>$I$234="&lt;------ CONTROLS"</formula>
    </cfRule>
  </conditionalFormatting>
  <conditionalFormatting sqref="A236:L237">
    <cfRule type="expression" dxfId="55" priority="76" stopIfTrue="1">
      <formula>$I$236="&lt;------ CONTROLS"</formula>
    </cfRule>
  </conditionalFormatting>
  <conditionalFormatting sqref="A180:H181">
    <cfRule type="expression" dxfId="54" priority="131" stopIfTrue="1">
      <formula>$I$180="&lt;------ CONTROLS"</formula>
    </cfRule>
  </conditionalFormatting>
  <conditionalFormatting sqref="A182:H183">
    <cfRule type="expression" dxfId="53" priority="132" stopIfTrue="1">
      <formula>$I$182="&lt;------ CONTROLS"</formula>
    </cfRule>
  </conditionalFormatting>
  <conditionalFormatting sqref="A100:H101">
    <cfRule type="expression" dxfId="52" priority="141" stopIfTrue="1">
      <formula>$I$100="&lt;------ CONTROLS"</formula>
    </cfRule>
  </conditionalFormatting>
  <conditionalFormatting sqref="A102:H103">
    <cfRule type="expression" dxfId="51" priority="142" stopIfTrue="1">
      <formula>$I$102="&lt;------ CONTROLS"</formula>
    </cfRule>
  </conditionalFormatting>
  <conditionalFormatting sqref="A104:H105">
    <cfRule type="expression" dxfId="50" priority="143" stopIfTrue="1">
      <formula>$I$104="&lt;------ CONTROLS"</formula>
    </cfRule>
  </conditionalFormatting>
  <conditionalFormatting sqref="A111:H112">
    <cfRule type="expression" dxfId="49" priority="144" stopIfTrue="1">
      <formula>$I$111="&lt;------ CONTROLS"</formula>
    </cfRule>
  </conditionalFormatting>
  <conditionalFormatting sqref="A113:H114">
    <cfRule type="expression" dxfId="48" priority="145" stopIfTrue="1">
      <formula>$I$113="&lt;------ CONTROLS"</formula>
    </cfRule>
  </conditionalFormatting>
  <conditionalFormatting sqref="A125:H126">
    <cfRule type="expression" dxfId="47" priority="146" stopIfTrue="1">
      <formula>$I$125="&lt;------ CONTROLS"</formula>
    </cfRule>
  </conditionalFormatting>
  <conditionalFormatting sqref="A132:H133">
    <cfRule type="expression" dxfId="46" priority="147" stopIfTrue="1">
      <formula>$I$132="&lt;------ CONTROLS"</formula>
    </cfRule>
  </conditionalFormatting>
  <conditionalFormatting sqref="A134:H135">
    <cfRule type="expression" dxfId="45" priority="148" stopIfTrue="1">
      <formula>$I$134="&lt;------ CONTROLS"</formula>
    </cfRule>
  </conditionalFormatting>
  <conditionalFormatting sqref="A136:H137">
    <cfRule type="expression" dxfId="44" priority="149" stopIfTrue="1">
      <formula>$I$136="&lt;------ CONTROLS"</formula>
    </cfRule>
  </conditionalFormatting>
  <conditionalFormatting sqref="A138:H139">
    <cfRule type="expression" dxfId="43" priority="150" stopIfTrue="1">
      <formula>$I$138="&lt;------ CONTROLS"</formula>
    </cfRule>
  </conditionalFormatting>
  <conditionalFormatting sqref="I180:L181">
    <cfRule type="expression" dxfId="42" priority="67" stopIfTrue="1">
      <formula>$I$180="&lt;------ CONTROLS"</formula>
    </cfRule>
  </conditionalFormatting>
  <conditionalFormatting sqref="I182:L183">
    <cfRule type="expression" dxfId="41" priority="66" stopIfTrue="1">
      <formula>$I$182="&lt;------ CONTROLS"</formula>
    </cfRule>
  </conditionalFormatting>
  <conditionalFormatting sqref="I132:L133">
    <cfRule type="expression" dxfId="40" priority="59" stopIfTrue="1">
      <formula>$I$132="&lt;------ CONTROLS"</formula>
    </cfRule>
  </conditionalFormatting>
  <conditionalFormatting sqref="I134:L135">
    <cfRule type="expression" dxfId="39" priority="58" stopIfTrue="1">
      <formula>$I$134="&lt;------ CONTROLS"</formula>
    </cfRule>
  </conditionalFormatting>
  <conditionalFormatting sqref="I136:L137">
    <cfRule type="expression" dxfId="38" priority="57" stopIfTrue="1">
      <formula>$I$136="&lt;------ CONTROLS"</formula>
    </cfRule>
  </conditionalFormatting>
  <conditionalFormatting sqref="I138:L139">
    <cfRule type="expression" dxfId="37" priority="56" stopIfTrue="1">
      <formula>$I$138="&lt;------ CONTROLS"</formula>
    </cfRule>
  </conditionalFormatting>
  <conditionalFormatting sqref="I125:L126">
    <cfRule type="expression" dxfId="36" priority="55" stopIfTrue="1">
      <formula>$I$125="&lt;------ CONTROLS"</formula>
    </cfRule>
  </conditionalFormatting>
  <conditionalFormatting sqref="I111:L112">
    <cfRule type="expression" dxfId="35" priority="54" stopIfTrue="1">
      <formula>$I$111="&lt;------ CONTROLS"</formula>
    </cfRule>
  </conditionalFormatting>
  <conditionalFormatting sqref="I113:L114">
    <cfRule type="expression" dxfId="34" priority="53" stopIfTrue="1">
      <formula>$I$113="&lt;------ CONTROLS"</formula>
    </cfRule>
  </conditionalFormatting>
  <conditionalFormatting sqref="I100:L101">
    <cfRule type="expression" dxfId="33" priority="52" stopIfTrue="1">
      <formula>$I$100="&lt;------ CONTROLS"</formula>
    </cfRule>
  </conditionalFormatting>
  <conditionalFormatting sqref="I102:L103">
    <cfRule type="expression" dxfId="32" priority="51" stopIfTrue="1">
      <formula>$I$102="&lt;------ CONTROLS"</formula>
    </cfRule>
  </conditionalFormatting>
  <conditionalFormatting sqref="I104:L105">
    <cfRule type="expression" dxfId="31" priority="50" stopIfTrue="1">
      <formula>$I$104="&lt;------ CONTROLS"</formula>
    </cfRule>
  </conditionalFormatting>
  <conditionalFormatting sqref="J245:U248">
    <cfRule type="expression" dxfId="30" priority="49" stopIfTrue="1">
      <formula>$U$94="&lt;------ CONTROLS"</formula>
    </cfRule>
  </conditionalFormatting>
  <conditionalFormatting sqref="J249:U252">
    <cfRule type="expression" dxfId="29" priority="48" stopIfTrue="1">
      <formula>$U$98="&lt;------ CONTROLS"</formula>
    </cfRule>
  </conditionalFormatting>
  <conditionalFormatting sqref="J253">
    <cfRule type="expression" dxfId="28" priority="47" stopIfTrue="1">
      <formula>$U$102="&lt;------ CONTROLS"</formula>
    </cfRule>
  </conditionalFormatting>
  <conditionalFormatting sqref="A161:L162">
    <cfRule type="expression" dxfId="27" priority="32">
      <formula>$I$161="&lt;------ CONTROLS"</formula>
    </cfRule>
  </conditionalFormatting>
  <conditionalFormatting sqref="A163:L164">
    <cfRule type="expression" dxfId="26" priority="31">
      <formula>$I$163="&lt;------ CONTROLS"</formula>
    </cfRule>
  </conditionalFormatting>
  <conditionalFormatting sqref="A165:L166">
    <cfRule type="expression" dxfId="25" priority="30">
      <formula>$I$165="&lt;------ CONTROLS"</formula>
    </cfRule>
  </conditionalFormatting>
  <conditionalFormatting sqref="A167:L168">
    <cfRule type="expression" dxfId="24" priority="29">
      <formula>$I$167="&lt;------ CONTROLS"</formula>
    </cfRule>
  </conditionalFormatting>
  <conditionalFormatting sqref="A169:L170">
    <cfRule type="expression" dxfId="23" priority="28">
      <formula>$I$169="&lt;------ CONTROLS"</formula>
    </cfRule>
  </conditionalFormatting>
  <conditionalFormatting sqref="A171:L172">
    <cfRule type="expression" dxfId="22" priority="27">
      <formula>$I$171="&lt;------ CONTROLS"</formula>
    </cfRule>
  </conditionalFormatting>
  <conditionalFormatting sqref="A173:L174">
    <cfRule type="expression" dxfId="21" priority="26">
      <formula>$I$173="&lt;------ CONTROLS"</formula>
    </cfRule>
  </conditionalFormatting>
  <conditionalFormatting sqref="A201:L202">
    <cfRule type="expression" dxfId="20" priority="22">
      <formula>$I$201="&lt;------ CONTROLS"</formula>
    </cfRule>
  </conditionalFormatting>
  <conditionalFormatting sqref="A203:L204">
    <cfRule type="expression" dxfId="19" priority="21">
      <formula>$I$203="&lt;------ CONTROLS"</formula>
    </cfRule>
  </conditionalFormatting>
  <conditionalFormatting sqref="A205:L206">
    <cfRule type="expression" dxfId="18" priority="20">
      <formula>$I$205="&lt;------ CONTROLS"</formula>
    </cfRule>
  </conditionalFormatting>
  <conditionalFormatting sqref="A207:L208">
    <cfRule type="expression" dxfId="17" priority="19">
      <formula>$I$207="&lt;------ CONTROLS"</formula>
    </cfRule>
  </conditionalFormatting>
  <conditionalFormatting sqref="A209:L210">
    <cfRule type="expression" dxfId="16" priority="18">
      <formula>$I$209="&lt;------ CONTROLS"</formula>
    </cfRule>
  </conditionalFormatting>
  <conditionalFormatting sqref="A211:L212">
    <cfRule type="expression" dxfId="15" priority="17">
      <formula>$I$211="&lt;------ CONTROLS"</formula>
    </cfRule>
  </conditionalFormatting>
  <conditionalFormatting sqref="A213:L214">
    <cfRule type="expression" dxfId="14" priority="16">
      <formula>$I$213="&lt;------ CONTROLS"</formula>
    </cfRule>
  </conditionalFormatting>
  <conditionalFormatting sqref="A215:L216">
    <cfRule type="expression" dxfId="13" priority="15">
      <formula>$I$215="&lt;------ CONTROLS"</formula>
    </cfRule>
  </conditionalFormatting>
  <conditionalFormatting sqref="A217:L218">
    <cfRule type="expression" dxfId="12" priority="14">
      <formula>$I$217="&lt;------ CONTROLS"</formula>
    </cfRule>
  </conditionalFormatting>
  <conditionalFormatting sqref="A192:L193">
    <cfRule type="expression" dxfId="11" priority="13">
      <formula>$I$192="&lt;------ CONTROLS"</formula>
    </cfRule>
  </conditionalFormatting>
  <conditionalFormatting sqref="A194:L195">
    <cfRule type="expression" dxfId="10" priority="12">
      <formula>$I$194="&lt;------ CONTROLS"</formula>
    </cfRule>
  </conditionalFormatting>
  <conditionalFormatting sqref="A118:L119">
    <cfRule type="expression" dxfId="9" priority="11">
      <formula>$I$118="&lt;------ CONTROLS"</formula>
    </cfRule>
  </conditionalFormatting>
  <conditionalFormatting sqref="A90:H91">
    <cfRule type="expression" dxfId="8" priority="10">
      <formula>$G$90="NOT OK"</formula>
    </cfRule>
  </conditionalFormatting>
  <conditionalFormatting sqref="A145:L146">
    <cfRule type="expression" dxfId="7" priority="8">
      <formula>$I$145="&lt;------ CONTROLS"</formula>
    </cfRule>
  </conditionalFormatting>
  <conditionalFormatting sqref="A147:L148">
    <cfRule type="expression" dxfId="6" priority="7">
      <formula>$I$147="&lt;------ CONTROLS"</formula>
    </cfRule>
  </conditionalFormatting>
  <conditionalFormatting sqref="A149:L150">
    <cfRule type="expression" dxfId="5" priority="6">
      <formula>$I$149="&lt;------ CONTROLS"</formula>
    </cfRule>
  </conditionalFormatting>
  <conditionalFormatting sqref="A151:L152">
    <cfRule type="expression" dxfId="4" priority="5">
      <formula>$I$151="&lt;------ CONTROLS"</formula>
    </cfRule>
  </conditionalFormatting>
  <conditionalFormatting sqref="A153:L154">
    <cfRule type="expression" dxfId="3" priority="4">
      <formula>$I$153="&lt;------ CONTROLS"</formula>
    </cfRule>
  </conditionalFormatting>
  <conditionalFormatting sqref="A155:L156">
    <cfRule type="expression" dxfId="2" priority="3">
      <formula>$I$155="&lt;------ CONTROLS"</formula>
    </cfRule>
  </conditionalFormatting>
  <conditionalFormatting sqref="A157:L158">
    <cfRule type="expression" dxfId="1" priority="2">
      <formula>$I$157="&lt;------ CONTROLS"</formula>
    </cfRule>
  </conditionalFormatting>
  <conditionalFormatting sqref="A159:L160">
    <cfRule type="expression" dxfId="0" priority="1">
      <formula>$I$159="&lt;------ CONTROLS"</formula>
    </cfRule>
  </conditionalFormatting>
  <dataValidations count="7">
    <dataValidation type="custom" allowBlank="1" showInputMessage="1" showErrorMessage="1" sqref="D30" xr:uid="{00000000-0002-0000-0000-000000000000}">
      <formula1>D30&lt;60.01</formula1>
    </dataValidation>
    <dataValidation type="list" allowBlank="1" showInputMessage="1" showErrorMessage="1" sqref="D17" xr:uid="{00000000-0002-0000-0000-000001000000}">
      <formula1>_options22</formula1>
    </dataValidation>
    <dataValidation type="list" allowBlank="1" showInputMessage="1" showErrorMessage="1" sqref="D19" xr:uid="{00000000-0002-0000-0000-000003000000}">
      <formula1>_options33</formula1>
    </dataValidation>
    <dataValidation type="list" allowBlank="1" showInputMessage="1" showErrorMessage="1" sqref="D49" xr:uid="{E744F5A5-C060-4FE2-BF21-22E0F31E1B4A}">
      <formula1>_options59</formula1>
    </dataValidation>
    <dataValidation type="list" allowBlank="1" showInputMessage="1" showErrorMessage="1" sqref="D51" xr:uid="{8E45E38E-C864-4716-BFBC-979B386C5C3E}">
      <formula1>_options60</formula1>
    </dataValidation>
    <dataValidation type="list" allowBlank="1" showInputMessage="1" showErrorMessage="1" sqref="D55" xr:uid="{FA2E11B1-36A3-4454-A8B1-5C331BB6E2E5}">
      <formula1>_options74</formula1>
    </dataValidation>
    <dataValidation type="list" allowBlank="1" showInputMessage="1" showErrorMessage="1" sqref="D53" xr:uid="{B064BB1D-D934-42D9-B1F4-4312245F384B}">
      <formula1>_options75</formula1>
    </dataValidation>
  </dataValidations>
  <hyperlinks>
    <hyperlink ref="AB15" r:id="rId1" xr:uid="{0DDD3B8E-89EC-4F43-9372-6B96427D70E8}"/>
  </hyperlinks>
  <pageMargins left="0.7" right="0.7" top="0.75" bottom="0.75" header="0.3" footer="0.3"/>
  <pageSetup paperSize="3" scale="46" orientation="portrait" r:id="rId2"/>
  <customProperties>
    <customPr name="SSC_SHEET_GUID" r:id="rId3"/>
  </customProperties>
  <ignoredErrors>
    <ignoredError sqref="P247 J247" formula="1"/>
  </ignoredErrors>
  <drawing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8"/>
  <sheetViews>
    <sheetView workbookViewId="0"/>
  </sheetViews>
  <sheetFormatPr defaultRowHeight="15" x14ac:dyDescent="0.25"/>
  <sheetData>
    <row r="1" spans="1:5" x14ac:dyDescent="0.25">
      <c r="A1" t="s">
        <v>432</v>
      </c>
      <c r="B1" t="s">
        <v>443</v>
      </c>
      <c r="C1" t="s">
        <v>421</v>
      </c>
      <c r="D1" t="s">
        <v>654</v>
      </c>
      <c r="E1" t="s">
        <v>518</v>
      </c>
    </row>
    <row r="2" spans="1:5" x14ac:dyDescent="0.25">
      <c r="A2" t="s">
        <v>433</v>
      </c>
      <c r="C2" t="s">
        <v>422</v>
      </c>
    </row>
    <row r="3" spans="1:5" x14ac:dyDescent="0.25">
      <c r="A3" t="s">
        <v>437</v>
      </c>
      <c r="C3" t="s">
        <v>549</v>
      </c>
    </row>
    <row r="4" spans="1:5" x14ac:dyDescent="0.25">
      <c r="A4" t="s">
        <v>439</v>
      </c>
      <c r="C4" t="s">
        <v>424</v>
      </c>
    </row>
    <row r="5" spans="1:5" x14ac:dyDescent="0.25">
      <c r="A5" t="s">
        <v>441</v>
      </c>
      <c r="C5" t="s">
        <v>647</v>
      </c>
    </row>
    <row r="6" spans="1:5" x14ac:dyDescent="0.25">
      <c r="A6" t="s">
        <v>442</v>
      </c>
      <c r="C6" t="s">
        <v>423</v>
      </c>
    </row>
    <row r="7" spans="1:5" x14ac:dyDescent="0.25">
      <c r="A7" t="s">
        <v>444</v>
      </c>
      <c r="B7" t="s">
        <v>445</v>
      </c>
      <c r="C7" t="s">
        <v>649</v>
      </c>
    </row>
    <row r="8" spans="1:5" x14ac:dyDescent="0.25">
      <c r="A8" t="s">
        <v>519</v>
      </c>
      <c r="B8" t="s">
        <v>638</v>
      </c>
      <c r="C8" t="s">
        <v>641</v>
      </c>
    </row>
    <row r="9" spans="1:5" x14ac:dyDescent="0.25">
      <c r="A9" t="s">
        <v>521</v>
      </c>
      <c r="B9" t="s">
        <v>522</v>
      </c>
      <c r="C9" t="s">
        <v>648</v>
      </c>
    </row>
    <row r="10" spans="1:5" x14ac:dyDescent="0.25">
      <c r="A10" t="s">
        <v>523</v>
      </c>
      <c r="B10" t="s">
        <v>524</v>
      </c>
    </row>
    <row r="11" spans="1:5" x14ac:dyDescent="0.25">
      <c r="A11" t="s">
        <v>525</v>
      </c>
      <c r="B11" t="s">
        <v>526</v>
      </c>
    </row>
    <row r="12" spans="1:5" x14ac:dyDescent="0.25">
      <c r="A12" t="s">
        <v>527</v>
      </c>
      <c r="B12" t="s">
        <v>528</v>
      </c>
    </row>
    <row r="13" spans="1:5" x14ac:dyDescent="0.25">
      <c r="A13" t="s">
        <v>529</v>
      </c>
      <c r="B13" t="s">
        <v>620</v>
      </c>
    </row>
    <row r="14" spans="1:5" x14ac:dyDescent="0.25">
      <c r="A14" t="s">
        <v>530</v>
      </c>
      <c r="B14" t="s">
        <v>622</v>
      </c>
    </row>
    <row r="15" spans="1:5" x14ac:dyDescent="0.25">
      <c r="A15" t="s">
        <v>531</v>
      </c>
      <c r="B15" t="s">
        <v>625</v>
      </c>
    </row>
    <row r="16" spans="1:5" x14ac:dyDescent="0.25">
      <c r="A16" t="s">
        <v>532</v>
      </c>
      <c r="B16" t="s">
        <v>626</v>
      </c>
    </row>
    <row r="17" spans="1:2" x14ac:dyDescent="0.25">
      <c r="A17" t="s">
        <v>533</v>
      </c>
      <c r="B17" t="s">
        <v>629</v>
      </c>
    </row>
    <row r="18" spans="1:2" x14ac:dyDescent="0.25">
      <c r="A18" t="s">
        <v>534</v>
      </c>
      <c r="B18" t="s">
        <v>630</v>
      </c>
    </row>
    <row r="19" spans="1:2" x14ac:dyDescent="0.25">
      <c r="A19" t="s">
        <v>535</v>
      </c>
      <c r="B19" t="s">
        <v>633</v>
      </c>
    </row>
    <row r="20" spans="1:2" x14ac:dyDescent="0.25">
      <c r="A20" t="s">
        <v>536</v>
      </c>
      <c r="B20" t="s">
        <v>635</v>
      </c>
    </row>
    <row r="21" spans="1:2" x14ac:dyDescent="0.25">
      <c r="A21" t="s">
        <v>537</v>
      </c>
      <c r="B21" t="s">
        <v>636</v>
      </c>
    </row>
    <row r="22" spans="1:2" x14ac:dyDescent="0.25">
      <c r="A22" t="s">
        <v>538</v>
      </c>
      <c r="B22" t="s">
        <v>621</v>
      </c>
    </row>
    <row r="23" spans="1:2" x14ac:dyDescent="0.25">
      <c r="A23" t="s">
        <v>539</v>
      </c>
      <c r="B23" t="s">
        <v>623</v>
      </c>
    </row>
    <row r="24" spans="1:2" x14ac:dyDescent="0.25">
      <c r="A24" t="s">
        <v>540</v>
      </c>
      <c r="B24" t="s">
        <v>624</v>
      </c>
    </row>
    <row r="25" spans="1:2" x14ac:dyDescent="0.25">
      <c r="A25" t="s">
        <v>541</v>
      </c>
      <c r="B25" t="s">
        <v>627</v>
      </c>
    </row>
    <row r="26" spans="1:2" x14ac:dyDescent="0.25">
      <c r="A26" t="s">
        <v>542</v>
      </c>
      <c r="B26" t="s">
        <v>628</v>
      </c>
    </row>
    <row r="27" spans="1:2" x14ac:dyDescent="0.25">
      <c r="A27" t="s">
        <v>543</v>
      </c>
      <c r="B27" t="s">
        <v>631</v>
      </c>
    </row>
    <row r="28" spans="1:2" x14ac:dyDescent="0.25">
      <c r="A28" t="s">
        <v>544</v>
      </c>
      <c r="B28" t="s">
        <v>632</v>
      </c>
    </row>
    <row r="29" spans="1:2" x14ac:dyDescent="0.25">
      <c r="A29" t="s">
        <v>545</v>
      </c>
      <c r="B29" t="s">
        <v>634</v>
      </c>
    </row>
    <row r="30" spans="1:2" x14ac:dyDescent="0.25">
      <c r="A30" t="s">
        <v>546</v>
      </c>
      <c r="B30" t="s">
        <v>637</v>
      </c>
    </row>
    <row r="31" spans="1:2" x14ac:dyDescent="0.25">
      <c r="A31" t="s">
        <v>550</v>
      </c>
    </row>
    <row r="32" spans="1:2" x14ac:dyDescent="0.25">
      <c r="A32" t="s">
        <v>551</v>
      </c>
    </row>
    <row r="33" spans="1:2" x14ac:dyDescent="0.25">
      <c r="A33" t="s">
        <v>553</v>
      </c>
      <c r="B33" t="s">
        <v>554</v>
      </c>
    </row>
    <row r="34" spans="1:2" x14ac:dyDescent="0.25">
      <c r="A34" t="s">
        <v>555</v>
      </c>
      <c r="B34" t="s">
        <v>556</v>
      </c>
    </row>
    <row r="35" spans="1:2" x14ac:dyDescent="0.25">
      <c r="A35" t="s">
        <v>557</v>
      </c>
      <c r="B35" t="s">
        <v>640</v>
      </c>
    </row>
    <row r="36" spans="1:2" x14ac:dyDescent="0.25">
      <c r="A36" t="s">
        <v>558</v>
      </c>
      <c r="B36" t="s">
        <v>612</v>
      </c>
    </row>
    <row r="37" spans="1:2" x14ac:dyDescent="0.25">
      <c r="A37" t="s">
        <v>646</v>
      </c>
      <c r="B37" t="s">
        <v>651</v>
      </c>
    </row>
    <row r="38" spans="1:2" x14ac:dyDescent="0.25">
      <c r="A38" t="s">
        <v>652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W15"/>
  <sheetViews>
    <sheetView workbookViewId="0"/>
  </sheetViews>
  <sheetFormatPr defaultRowHeight="15" x14ac:dyDescent="0.25"/>
  <cols>
    <col min="1" max="4" width="2.28515625" bestFit="1" customWidth="1"/>
    <col min="5" max="10" width="2.85546875" bestFit="1" customWidth="1"/>
    <col min="11" max="11" width="15.28515625" bestFit="1" customWidth="1"/>
    <col min="12" max="12" width="11.85546875" bestFit="1" customWidth="1"/>
    <col min="13" max="14" width="16.140625" bestFit="1" customWidth="1"/>
    <col min="15" max="15" width="2.85546875" bestFit="1" customWidth="1"/>
    <col min="16" max="16" width="2.28515625" bestFit="1" customWidth="1"/>
    <col min="17" max="17" width="15.28515625" bestFit="1" customWidth="1"/>
    <col min="18" max="18" width="11.85546875" bestFit="1" customWidth="1"/>
    <col min="19" max="20" width="16.140625" bestFit="1" customWidth="1"/>
    <col min="21" max="22" width="2.28515625" bestFit="1" customWidth="1"/>
    <col min="23" max="24" width="2.85546875" bestFit="1" customWidth="1"/>
    <col min="25" max="26" width="15.28515625" bestFit="1" customWidth="1"/>
    <col min="27" max="28" width="11.85546875" bestFit="1" customWidth="1"/>
    <col min="29" max="32" width="16.140625" bestFit="1" customWidth="1"/>
    <col min="33" max="33" width="2.85546875" bestFit="1" customWidth="1"/>
    <col min="34" max="34" width="12.85546875" bestFit="1" customWidth="1"/>
    <col min="35" max="36" width="18" bestFit="1" customWidth="1"/>
    <col min="37" max="38" width="16.140625" bestFit="1" customWidth="1"/>
    <col min="39" max="40" width="16.28515625" bestFit="1" customWidth="1"/>
    <col min="41" max="43" width="15.42578125" bestFit="1" customWidth="1"/>
    <col min="44" max="45" width="12.85546875" bestFit="1" customWidth="1"/>
    <col min="46" max="49" width="16.28515625" bestFit="1" customWidth="1"/>
    <col min="50" max="51" width="15.42578125" bestFit="1" customWidth="1"/>
    <col min="52" max="53" width="12.85546875" bestFit="1" customWidth="1"/>
    <col min="54" max="57" width="16.28515625" bestFit="1" customWidth="1"/>
    <col min="58" max="58" width="20" bestFit="1" customWidth="1"/>
    <col min="59" max="59" width="15.42578125" bestFit="1" customWidth="1"/>
    <col min="60" max="60" width="12.85546875" bestFit="1" customWidth="1"/>
    <col min="61" max="62" width="16.28515625" bestFit="1" customWidth="1"/>
    <col min="63" max="63" width="21.42578125" bestFit="1" customWidth="1"/>
    <col min="64" max="64" width="20.7109375" bestFit="1" customWidth="1"/>
    <col min="65" max="65" width="19.42578125" bestFit="1" customWidth="1"/>
    <col min="66" max="66" width="18.140625" bestFit="1" customWidth="1"/>
    <col min="67" max="68" width="19.140625" bestFit="1" customWidth="1"/>
    <col min="69" max="69" width="16.28515625" bestFit="1" customWidth="1"/>
    <col min="70" max="70" width="18.7109375" bestFit="1" customWidth="1"/>
    <col min="71" max="71" width="17.85546875" bestFit="1" customWidth="1"/>
    <col min="72" max="72" width="17.42578125" bestFit="1" customWidth="1"/>
    <col min="73" max="73" width="16.42578125" bestFit="1" customWidth="1"/>
    <col min="74" max="74" width="15.140625" bestFit="1" customWidth="1"/>
    <col min="75" max="75" width="16.42578125" bestFit="1" customWidth="1"/>
  </cols>
  <sheetData>
    <row r="1" spans="1:75" x14ac:dyDescent="0.25">
      <c r="A1" s="353" t="s">
        <v>1</v>
      </c>
      <c r="B1" s="353" t="s">
        <v>1</v>
      </c>
      <c r="C1" s="353" t="s">
        <v>1</v>
      </c>
      <c r="D1" s="353" t="s">
        <v>1</v>
      </c>
      <c r="E1" s="353" t="s">
        <v>434</v>
      </c>
      <c r="F1" s="353" t="s">
        <v>434</v>
      </c>
      <c r="G1" s="353" t="s">
        <v>434</v>
      </c>
      <c r="H1" s="353" t="s">
        <v>434</v>
      </c>
      <c r="I1" s="353" t="s">
        <v>434</v>
      </c>
      <c r="J1" s="353" t="s">
        <v>434</v>
      </c>
      <c r="K1" s="353" t="s">
        <v>320</v>
      </c>
      <c r="L1" s="353" t="s">
        <v>440</v>
      </c>
      <c r="M1" s="353" t="s">
        <v>209</v>
      </c>
      <c r="N1" s="353" t="s">
        <v>209</v>
      </c>
      <c r="O1" s="353" t="s">
        <v>434</v>
      </c>
      <c r="P1" s="353" t="s">
        <v>1</v>
      </c>
      <c r="Q1" s="353" t="s">
        <v>320</v>
      </c>
      <c r="R1" s="353" t="s">
        <v>440</v>
      </c>
      <c r="S1" s="353" t="s">
        <v>209</v>
      </c>
      <c r="T1" s="353" t="s">
        <v>209</v>
      </c>
      <c r="U1" s="353" t="s">
        <v>1</v>
      </c>
      <c r="V1" s="353" t="s">
        <v>1</v>
      </c>
      <c r="W1" s="353" t="s">
        <v>434</v>
      </c>
      <c r="X1" s="353" t="s">
        <v>434</v>
      </c>
      <c r="Y1" s="353" t="s">
        <v>320</v>
      </c>
      <c r="Z1" s="353" t="s">
        <v>320</v>
      </c>
      <c r="AA1" s="353" t="s">
        <v>440</v>
      </c>
      <c r="AB1" s="353" t="s">
        <v>440</v>
      </c>
      <c r="AC1" s="353" t="s">
        <v>209</v>
      </c>
      <c r="AD1" s="353" t="s">
        <v>209</v>
      </c>
      <c r="AE1" s="353" t="s">
        <v>209</v>
      </c>
      <c r="AF1" s="353" t="s">
        <v>209</v>
      </c>
      <c r="AG1" s="353" t="s">
        <v>434</v>
      </c>
      <c r="AH1" s="353" t="s">
        <v>325</v>
      </c>
      <c r="AI1" s="353" t="s">
        <v>446</v>
      </c>
      <c r="AJ1" s="353" t="s">
        <v>446</v>
      </c>
      <c r="AK1" s="353" t="s">
        <v>209</v>
      </c>
      <c r="AL1" s="353" t="s">
        <v>209</v>
      </c>
      <c r="AM1" s="353" t="s">
        <v>488</v>
      </c>
      <c r="AN1" s="353" t="s">
        <v>488</v>
      </c>
      <c r="AO1" s="353" t="s">
        <v>320</v>
      </c>
      <c r="AP1" s="353" t="s">
        <v>320</v>
      </c>
      <c r="AQ1" s="353" t="s">
        <v>320</v>
      </c>
      <c r="AR1" s="353" t="s">
        <v>325</v>
      </c>
      <c r="AS1" s="353" t="s">
        <v>325</v>
      </c>
      <c r="AT1" s="353" t="s">
        <v>488</v>
      </c>
      <c r="AU1" s="353" t="s">
        <v>488</v>
      </c>
      <c r="AV1" s="353" t="s">
        <v>488</v>
      </c>
      <c r="AW1" s="353" t="s">
        <v>488</v>
      </c>
      <c r="AX1" s="353" t="s">
        <v>320</v>
      </c>
      <c r="AY1" s="353" t="s">
        <v>320</v>
      </c>
      <c r="AZ1" s="353" t="s">
        <v>325</v>
      </c>
      <c r="BA1" s="353" t="s">
        <v>325</v>
      </c>
      <c r="BB1" s="353" t="s">
        <v>488</v>
      </c>
      <c r="BC1" s="353" t="s">
        <v>488</v>
      </c>
      <c r="BD1" s="353" t="s">
        <v>488</v>
      </c>
      <c r="BE1" s="353" t="s">
        <v>488</v>
      </c>
      <c r="BF1" s="353" t="s">
        <v>552</v>
      </c>
      <c r="BG1" s="353" t="s">
        <v>320</v>
      </c>
      <c r="BH1" s="353" t="s">
        <v>325</v>
      </c>
      <c r="BI1" s="353" t="s">
        <v>488</v>
      </c>
      <c r="BJ1" s="353" t="s">
        <v>488</v>
      </c>
      <c r="BK1" s="353" t="s">
        <v>567</v>
      </c>
      <c r="BL1" s="353" t="s">
        <v>569</v>
      </c>
      <c r="BM1" s="353" t="s">
        <v>570</v>
      </c>
      <c r="BN1" s="353" t="s">
        <v>572</v>
      </c>
      <c r="BO1" s="353" t="s">
        <v>572</v>
      </c>
      <c r="BP1" s="353" t="s">
        <v>572</v>
      </c>
      <c r="BQ1" s="353" t="s">
        <v>488</v>
      </c>
      <c r="BR1" s="353" t="s">
        <v>580</v>
      </c>
      <c r="BS1" s="353" t="s">
        <v>588</v>
      </c>
      <c r="BT1" s="353" t="s">
        <v>596</v>
      </c>
      <c r="BU1" s="353" t="s">
        <v>604</v>
      </c>
      <c r="BV1" s="353" t="s">
        <v>613</v>
      </c>
      <c r="BW1" s="353" t="s">
        <v>604</v>
      </c>
    </row>
    <row r="2" spans="1:75" x14ac:dyDescent="0.25">
      <c r="A2" s="353" t="s">
        <v>2</v>
      </c>
      <c r="B2" s="353" t="s">
        <v>2</v>
      </c>
      <c r="C2" s="353" t="s">
        <v>2</v>
      </c>
      <c r="D2" s="353" t="s">
        <v>2</v>
      </c>
      <c r="E2" s="353" t="s">
        <v>200</v>
      </c>
      <c r="F2" s="353" t="s">
        <v>200</v>
      </c>
      <c r="G2" s="353" t="s">
        <v>200</v>
      </c>
      <c r="H2" s="353" t="s">
        <v>200</v>
      </c>
      <c r="I2" s="353" t="s">
        <v>200</v>
      </c>
      <c r="J2" s="353" t="s">
        <v>200</v>
      </c>
      <c r="K2" s="353" t="s">
        <v>319</v>
      </c>
      <c r="L2" s="353" t="s">
        <v>325</v>
      </c>
      <c r="M2" s="353" t="s">
        <v>210</v>
      </c>
      <c r="N2" s="353" t="s">
        <v>210</v>
      </c>
      <c r="O2" s="353" t="s">
        <v>200</v>
      </c>
      <c r="P2" s="353" t="s">
        <v>2</v>
      </c>
      <c r="Q2" s="353" t="s">
        <v>319</v>
      </c>
      <c r="R2" s="353" t="s">
        <v>325</v>
      </c>
      <c r="S2" s="353" t="s">
        <v>210</v>
      </c>
      <c r="T2" s="353" t="s">
        <v>210</v>
      </c>
      <c r="U2" s="353" t="s">
        <v>2</v>
      </c>
      <c r="V2" s="353" t="s">
        <v>2</v>
      </c>
      <c r="W2" s="353" t="s">
        <v>200</v>
      </c>
      <c r="X2" s="353" t="s">
        <v>200</v>
      </c>
      <c r="Y2" s="353" t="s">
        <v>319</v>
      </c>
      <c r="Z2" s="353" t="s">
        <v>319</v>
      </c>
      <c r="AA2" s="353" t="s">
        <v>325</v>
      </c>
      <c r="AB2" s="353" t="s">
        <v>325</v>
      </c>
      <c r="AC2" s="353" t="s">
        <v>210</v>
      </c>
      <c r="AD2" s="353" t="s">
        <v>210</v>
      </c>
      <c r="AE2" s="353" t="s">
        <v>210</v>
      </c>
      <c r="AF2" s="353" t="s">
        <v>210</v>
      </c>
      <c r="AG2" s="353" t="s">
        <v>200</v>
      </c>
      <c r="AH2" s="353" t="s">
        <v>321</v>
      </c>
      <c r="AI2" s="353" t="s">
        <v>447</v>
      </c>
      <c r="AJ2" s="353" t="s">
        <v>447</v>
      </c>
      <c r="AK2" s="353" t="s">
        <v>210</v>
      </c>
      <c r="AL2" s="353" t="s">
        <v>210</v>
      </c>
      <c r="AM2" s="353" t="s">
        <v>489</v>
      </c>
      <c r="AN2" s="353" t="s">
        <v>489</v>
      </c>
      <c r="AO2" s="353" t="s">
        <v>319</v>
      </c>
      <c r="AP2" s="353" t="s">
        <v>319</v>
      </c>
      <c r="AQ2" s="353" t="s">
        <v>319</v>
      </c>
      <c r="AR2" s="353" t="s">
        <v>321</v>
      </c>
      <c r="AS2" s="353" t="s">
        <v>321</v>
      </c>
      <c r="AT2" s="353" t="s">
        <v>489</v>
      </c>
      <c r="AU2" s="353" t="s">
        <v>489</v>
      </c>
      <c r="AV2" s="353" t="s">
        <v>489</v>
      </c>
      <c r="AW2" s="353" t="s">
        <v>489</v>
      </c>
      <c r="AX2" s="353" t="s">
        <v>319</v>
      </c>
      <c r="AY2" s="353" t="s">
        <v>319</v>
      </c>
      <c r="AZ2" s="353" t="s">
        <v>321</v>
      </c>
      <c r="BA2" s="353" t="s">
        <v>321</v>
      </c>
      <c r="BB2" s="353" t="s">
        <v>489</v>
      </c>
      <c r="BC2" s="353" t="s">
        <v>489</v>
      </c>
      <c r="BD2" s="353" t="s">
        <v>489</v>
      </c>
      <c r="BE2" s="353" t="s">
        <v>489</v>
      </c>
      <c r="BG2" s="353" t="s">
        <v>319</v>
      </c>
      <c r="BH2" s="353" t="s">
        <v>321</v>
      </c>
      <c r="BI2" s="353" t="s">
        <v>489</v>
      </c>
      <c r="BJ2" s="353" t="s">
        <v>489</v>
      </c>
      <c r="BK2" s="353" t="s">
        <v>568</v>
      </c>
      <c r="BL2" s="353" t="s">
        <v>568</v>
      </c>
      <c r="BM2" s="353" t="s">
        <v>571</v>
      </c>
      <c r="BN2" s="353" t="s">
        <v>573</v>
      </c>
      <c r="BO2" s="353" t="s">
        <v>573</v>
      </c>
      <c r="BP2" s="353" t="s">
        <v>573</v>
      </c>
      <c r="BQ2" s="353" t="s">
        <v>489</v>
      </c>
      <c r="BR2" s="353" t="s">
        <v>581</v>
      </c>
      <c r="BS2" s="353" t="s">
        <v>589</v>
      </c>
      <c r="BT2" s="353" t="s">
        <v>597</v>
      </c>
      <c r="BU2" s="353" t="s">
        <v>605</v>
      </c>
      <c r="BV2" s="353" t="s">
        <v>614</v>
      </c>
      <c r="BW2" s="353" t="s">
        <v>605</v>
      </c>
    </row>
    <row r="3" spans="1:75" x14ac:dyDescent="0.25">
      <c r="A3" s="353" t="s">
        <v>3</v>
      </c>
      <c r="B3" s="353" t="s">
        <v>3</v>
      </c>
      <c r="C3" s="353" t="s">
        <v>3</v>
      </c>
      <c r="D3" s="353" t="s">
        <v>3</v>
      </c>
      <c r="E3" s="353" t="s">
        <v>435</v>
      </c>
      <c r="F3" s="353" t="s">
        <v>435</v>
      </c>
      <c r="G3" s="353" t="s">
        <v>435</v>
      </c>
      <c r="H3" s="353" t="s">
        <v>435</v>
      </c>
      <c r="I3" s="353" t="s">
        <v>435</v>
      </c>
      <c r="J3" s="353" t="s">
        <v>435</v>
      </c>
      <c r="K3" s="353" t="s">
        <v>438</v>
      </c>
      <c r="M3" s="353" t="s">
        <v>211</v>
      </c>
      <c r="N3" s="353" t="s">
        <v>211</v>
      </c>
      <c r="O3" s="353" t="s">
        <v>435</v>
      </c>
      <c r="P3" s="353" t="s">
        <v>3</v>
      </c>
      <c r="Q3" s="353" t="s">
        <v>438</v>
      </c>
      <c r="S3" s="353" t="s">
        <v>211</v>
      </c>
      <c r="T3" s="353" t="s">
        <v>211</v>
      </c>
      <c r="U3" s="353" t="s">
        <v>3</v>
      </c>
      <c r="V3" s="353" t="s">
        <v>3</v>
      </c>
      <c r="W3" s="353" t="s">
        <v>435</v>
      </c>
      <c r="X3" s="353" t="s">
        <v>435</v>
      </c>
      <c r="Y3" s="353" t="s">
        <v>438</v>
      </c>
      <c r="Z3" s="353" t="s">
        <v>438</v>
      </c>
      <c r="AC3" s="353" t="s">
        <v>211</v>
      </c>
      <c r="AD3" s="353" t="s">
        <v>211</v>
      </c>
      <c r="AE3" s="353" t="s">
        <v>211</v>
      </c>
      <c r="AF3" s="353" t="s">
        <v>211</v>
      </c>
      <c r="AG3" s="353" t="s">
        <v>435</v>
      </c>
      <c r="AI3" s="353" t="s">
        <v>448</v>
      </c>
      <c r="AJ3" s="353" t="s">
        <v>448</v>
      </c>
      <c r="AK3" s="353" t="s">
        <v>211</v>
      </c>
      <c r="AL3" s="353" t="s">
        <v>211</v>
      </c>
      <c r="AM3" s="353" t="s">
        <v>490</v>
      </c>
      <c r="AN3" s="353" t="s">
        <v>490</v>
      </c>
      <c r="AO3" s="353" t="s">
        <v>322</v>
      </c>
      <c r="AP3" s="353" t="s">
        <v>322</v>
      </c>
      <c r="AQ3" s="353" t="s">
        <v>322</v>
      </c>
      <c r="AT3" s="353" t="s">
        <v>490</v>
      </c>
      <c r="AU3" s="353" t="s">
        <v>490</v>
      </c>
      <c r="AV3" s="353" t="s">
        <v>490</v>
      </c>
      <c r="AW3" s="353" t="s">
        <v>490</v>
      </c>
      <c r="AX3" s="353" t="s">
        <v>322</v>
      </c>
      <c r="AY3" s="353" t="s">
        <v>322</v>
      </c>
      <c r="BB3" s="353" t="s">
        <v>490</v>
      </c>
      <c r="BC3" s="353" t="s">
        <v>490</v>
      </c>
      <c r="BD3" s="353" t="s">
        <v>490</v>
      </c>
      <c r="BE3" s="353" t="s">
        <v>490</v>
      </c>
      <c r="BG3" s="353" t="s">
        <v>322</v>
      </c>
      <c r="BI3" s="353" t="s">
        <v>490</v>
      </c>
      <c r="BJ3" s="353" t="s">
        <v>490</v>
      </c>
      <c r="BK3" s="353" t="s">
        <v>490</v>
      </c>
      <c r="BL3" s="353" t="s">
        <v>490</v>
      </c>
      <c r="BM3" s="353" t="s">
        <v>490</v>
      </c>
      <c r="BN3" s="353" t="s">
        <v>490</v>
      </c>
      <c r="BO3" s="353" t="s">
        <v>574</v>
      </c>
      <c r="BP3" s="353" t="s">
        <v>574</v>
      </c>
      <c r="BQ3" s="353" t="s">
        <v>490</v>
      </c>
      <c r="BR3" s="353" t="s">
        <v>582</v>
      </c>
      <c r="BS3" s="353" t="s">
        <v>590</v>
      </c>
      <c r="BT3" s="353" t="s">
        <v>598</v>
      </c>
      <c r="BU3" s="353" t="s">
        <v>606</v>
      </c>
      <c r="BV3" s="353" t="s">
        <v>615</v>
      </c>
      <c r="BW3" s="353" t="s">
        <v>606</v>
      </c>
    </row>
    <row r="4" spans="1:75" x14ac:dyDescent="0.25">
      <c r="E4" s="353" t="s">
        <v>436</v>
      </c>
      <c r="F4" s="353" t="s">
        <v>436</v>
      </c>
      <c r="G4" s="353" t="s">
        <v>436</v>
      </c>
      <c r="H4" s="353" t="s">
        <v>436</v>
      </c>
      <c r="I4" s="353" t="s">
        <v>436</v>
      </c>
      <c r="J4" s="353" t="s">
        <v>436</v>
      </c>
      <c r="M4" s="353" t="s">
        <v>212</v>
      </c>
      <c r="N4" s="353" t="s">
        <v>212</v>
      </c>
      <c r="O4" s="353" t="s">
        <v>436</v>
      </c>
      <c r="S4" s="353" t="s">
        <v>212</v>
      </c>
      <c r="T4" s="353" t="s">
        <v>212</v>
      </c>
      <c r="W4" s="353" t="s">
        <v>436</v>
      </c>
      <c r="X4" s="353" t="s">
        <v>436</v>
      </c>
      <c r="AC4" s="353" t="s">
        <v>212</v>
      </c>
      <c r="AD4" s="353" t="s">
        <v>212</v>
      </c>
      <c r="AE4" s="353" t="s">
        <v>212</v>
      </c>
      <c r="AF4" s="353" t="s">
        <v>212</v>
      </c>
      <c r="AG4" s="353" t="s">
        <v>436</v>
      </c>
      <c r="AI4" s="353" t="s">
        <v>449</v>
      </c>
      <c r="AJ4" s="353" t="s">
        <v>449</v>
      </c>
      <c r="AK4" s="353" t="s">
        <v>212</v>
      </c>
      <c r="AL4" s="353" t="s">
        <v>212</v>
      </c>
      <c r="AM4" s="353" t="s">
        <v>491</v>
      </c>
      <c r="AN4" s="353" t="s">
        <v>491</v>
      </c>
      <c r="AT4" s="353" t="s">
        <v>491</v>
      </c>
      <c r="AU4" s="353" t="s">
        <v>491</v>
      </c>
      <c r="AV4" s="353" t="s">
        <v>491</v>
      </c>
      <c r="AW4" s="353" t="s">
        <v>491</v>
      </c>
      <c r="BB4" s="353" t="s">
        <v>491</v>
      </c>
      <c r="BC4" s="353" t="s">
        <v>491</v>
      </c>
      <c r="BD4" s="353" t="s">
        <v>491</v>
      </c>
      <c r="BE4" s="353" t="s">
        <v>491</v>
      </c>
      <c r="BI4" s="353" t="s">
        <v>491</v>
      </c>
      <c r="BJ4" s="353" t="s">
        <v>491</v>
      </c>
      <c r="BK4" s="353" t="s">
        <v>491</v>
      </c>
      <c r="BL4" s="353" t="s">
        <v>491</v>
      </c>
      <c r="BM4" s="353" t="s">
        <v>491</v>
      </c>
      <c r="BN4" s="353" t="s">
        <v>491</v>
      </c>
      <c r="BO4" s="353" t="s">
        <v>575</v>
      </c>
      <c r="BP4" s="353" t="s">
        <v>575</v>
      </c>
      <c r="BQ4" s="353" t="s">
        <v>491</v>
      </c>
      <c r="BR4" s="353" t="s">
        <v>583</v>
      </c>
      <c r="BS4" s="353" t="s">
        <v>591</v>
      </c>
      <c r="BT4" s="353" t="s">
        <v>599</v>
      </c>
      <c r="BU4" s="353" t="s">
        <v>607</v>
      </c>
      <c r="BV4" s="353" t="s">
        <v>616</v>
      </c>
      <c r="BW4" s="353" t="s">
        <v>607</v>
      </c>
    </row>
    <row r="5" spans="1:75" x14ac:dyDescent="0.25">
      <c r="M5" s="353" t="s">
        <v>213</v>
      </c>
      <c r="N5" s="353" t="s">
        <v>213</v>
      </c>
      <c r="S5" s="353" t="s">
        <v>213</v>
      </c>
      <c r="T5" s="353" t="s">
        <v>213</v>
      </c>
      <c r="AC5" s="353" t="s">
        <v>213</v>
      </c>
      <c r="AD5" s="353" t="s">
        <v>213</v>
      </c>
      <c r="AE5" s="353" t="s">
        <v>213</v>
      </c>
      <c r="AF5" s="353" t="s">
        <v>213</v>
      </c>
      <c r="AI5" s="353" t="s">
        <v>450</v>
      </c>
      <c r="AJ5" s="353" t="s">
        <v>450</v>
      </c>
      <c r="AK5" s="353" t="s">
        <v>213</v>
      </c>
      <c r="AL5" s="353" t="s">
        <v>213</v>
      </c>
      <c r="AM5" s="353" t="s">
        <v>492</v>
      </c>
      <c r="AN5" s="353" t="s">
        <v>492</v>
      </c>
      <c r="AT5" s="353" t="s">
        <v>492</v>
      </c>
      <c r="AU5" s="353" t="s">
        <v>492</v>
      </c>
      <c r="AV5" s="353" t="s">
        <v>492</v>
      </c>
      <c r="AW5" s="353" t="s">
        <v>492</v>
      </c>
      <c r="BB5" s="353" t="s">
        <v>492</v>
      </c>
      <c r="BC5" s="353" t="s">
        <v>492</v>
      </c>
      <c r="BD5" s="353" t="s">
        <v>492</v>
      </c>
      <c r="BE5" s="353" t="s">
        <v>492</v>
      </c>
      <c r="BI5" s="353" t="s">
        <v>492</v>
      </c>
      <c r="BJ5" s="353" t="s">
        <v>492</v>
      </c>
      <c r="BK5" s="353" t="s">
        <v>492</v>
      </c>
      <c r="BL5" s="353" t="s">
        <v>492</v>
      </c>
      <c r="BM5" s="353" t="s">
        <v>492</v>
      </c>
      <c r="BN5" s="353" t="s">
        <v>492</v>
      </c>
      <c r="BO5" s="353" t="s">
        <v>576</v>
      </c>
      <c r="BP5" s="353" t="s">
        <v>576</v>
      </c>
      <c r="BQ5" s="353" t="s">
        <v>492</v>
      </c>
      <c r="BR5" s="353" t="s">
        <v>584</v>
      </c>
      <c r="BS5" s="353" t="s">
        <v>592</v>
      </c>
      <c r="BT5" s="353" t="s">
        <v>600</v>
      </c>
      <c r="BU5" s="353" t="s">
        <v>608</v>
      </c>
      <c r="BV5" s="353" t="s">
        <v>617</v>
      </c>
      <c r="BW5" s="353" t="s">
        <v>608</v>
      </c>
    </row>
    <row r="6" spans="1:75" x14ac:dyDescent="0.25">
      <c r="M6" s="353" t="s">
        <v>214</v>
      </c>
      <c r="N6" s="353" t="s">
        <v>214</v>
      </c>
      <c r="S6" s="353" t="s">
        <v>214</v>
      </c>
      <c r="T6" s="353" t="s">
        <v>214</v>
      </c>
      <c r="AC6" s="353" t="s">
        <v>214</v>
      </c>
      <c r="AD6" s="353" t="s">
        <v>214</v>
      </c>
      <c r="AE6" s="353" t="s">
        <v>214</v>
      </c>
      <c r="AF6" s="353" t="s">
        <v>214</v>
      </c>
      <c r="AI6" s="353" t="s">
        <v>451</v>
      </c>
      <c r="AJ6" s="353" t="s">
        <v>451</v>
      </c>
      <c r="AK6" s="353" t="s">
        <v>214</v>
      </c>
      <c r="AL6" s="353" t="s">
        <v>214</v>
      </c>
      <c r="AM6" s="353" t="s">
        <v>493</v>
      </c>
      <c r="AN6" s="353" t="s">
        <v>493</v>
      </c>
      <c r="AT6" s="353" t="s">
        <v>493</v>
      </c>
      <c r="AU6" s="353" t="s">
        <v>493</v>
      </c>
      <c r="AV6" s="353" t="s">
        <v>493</v>
      </c>
      <c r="AW6" s="353" t="s">
        <v>493</v>
      </c>
      <c r="BB6" s="353" t="s">
        <v>493</v>
      </c>
      <c r="BC6" s="353" t="s">
        <v>493</v>
      </c>
      <c r="BD6" s="353" t="s">
        <v>493</v>
      </c>
      <c r="BE6" s="353" t="s">
        <v>493</v>
      </c>
      <c r="BI6" s="353" t="s">
        <v>493</v>
      </c>
      <c r="BJ6" s="353" t="s">
        <v>493</v>
      </c>
      <c r="BK6" s="353" t="s">
        <v>493</v>
      </c>
      <c r="BL6" s="353" t="s">
        <v>493</v>
      </c>
      <c r="BM6" s="353" t="s">
        <v>493</v>
      </c>
      <c r="BN6" s="353" t="s">
        <v>493</v>
      </c>
      <c r="BO6" s="353" t="s">
        <v>577</v>
      </c>
      <c r="BP6" s="353" t="s">
        <v>577</v>
      </c>
      <c r="BQ6" s="353" t="s">
        <v>493</v>
      </c>
      <c r="BR6" s="353" t="s">
        <v>585</v>
      </c>
      <c r="BS6" s="353" t="s">
        <v>593</v>
      </c>
      <c r="BT6" s="353" t="s">
        <v>601</v>
      </c>
      <c r="BU6" s="353" t="s">
        <v>609</v>
      </c>
      <c r="BV6" s="353" t="s">
        <v>618</v>
      </c>
      <c r="BW6" s="353" t="s">
        <v>609</v>
      </c>
    </row>
    <row r="7" spans="1:75" x14ac:dyDescent="0.25">
      <c r="AM7" s="353" t="s">
        <v>212</v>
      </c>
      <c r="AN7" s="353" t="s">
        <v>212</v>
      </c>
      <c r="AT7" s="353" t="s">
        <v>212</v>
      </c>
      <c r="AU7" s="353" t="s">
        <v>212</v>
      </c>
      <c r="AV7" s="353" t="s">
        <v>212</v>
      </c>
      <c r="AW7" s="353" t="s">
        <v>212</v>
      </c>
      <c r="BB7" s="353" t="s">
        <v>212</v>
      </c>
      <c r="BC7" s="353" t="s">
        <v>212</v>
      </c>
      <c r="BD7" s="353" t="s">
        <v>212</v>
      </c>
      <c r="BE7" s="353" t="s">
        <v>212</v>
      </c>
      <c r="BI7" s="353" t="s">
        <v>212</v>
      </c>
      <c r="BJ7" s="353" t="s">
        <v>212</v>
      </c>
      <c r="BK7" s="353" t="s">
        <v>212</v>
      </c>
      <c r="BL7" s="353" t="s">
        <v>212</v>
      </c>
      <c r="BM7" s="353" t="s">
        <v>212</v>
      </c>
      <c r="BN7" s="353" t="s">
        <v>212</v>
      </c>
      <c r="BO7" s="353" t="s">
        <v>578</v>
      </c>
      <c r="BP7" s="353" t="s">
        <v>578</v>
      </c>
      <c r="BQ7" s="353" t="s">
        <v>212</v>
      </c>
      <c r="BR7" s="353" t="s">
        <v>586</v>
      </c>
      <c r="BS7" s="353" t="s">
        <v>594</v>
      </c>
      <c r="BT7" s="353" t="s">
        <v>602</v>
      </c>
      <c r="BU7" s="353" t="s">
        <v>610</v>
      </c>
      <c r="BV7" s="353" t="s">
        <v>212</v>
      </c>
      <c r="BW7" s="353" t="s">
        <v>610</v>
      </c>
    </row>
    <row r="8" spans="1:75" x14ac:dyDescent="0.25">
      <c r="AM8" s="353" t="s">
        <v>213</v>
      </c>
      <c r="AN8" s="353" t="s">
        <v>213</v>
      </c>
      <c r="AT8" s="353" t="s">
        <v>213</v>
      </c>
      <c r="AU8" s="353" t="s">
        <v>213</v>
      </c>
      <c r="AV8" s="353" t="s">
        <v>213</v>
      </c>
      <c r="AW8" s="353" t="s">
        <v>213</v>
      </c>
      <c r="BB8" s="353" t="s">
        <v>213</v>
      </c>
      <c r="BC8" s="353" t="s">
        <v>213</v>
      </c>
      <c r="BD8" s="353" t="s">
        <v>213</v>
      </c>
      <c r="BE8" s="353" t="s">
        <v>213</v>
      </c>
      <c r="BI8" s="353" t="s">
        <v>213</v>
      </c>
      <c r="BJ8" s="353" t="s">
        <v>213</v>
      </c>
      <c r="BK8" s="353" t="s">
        <v>213</v>
      </c>
      <c r="BL8" s="353" t="s">
        <v>213</v>
      </c>
      <c r="BM8" s="353" t="s">
        <v>213</v>
      </c>
      <c r="BN8" s="353" t="s">
        <v>213</v>
      </c>
      <c r="BO8" s="353" t="s">
        <v>579</v>
      </c>
      <c r="BP8" s="353" t="s">
        <v>579</v>
      </c>
      <c r="BQ8" s="353" t="s">
        <v>213</v>
      </c>
      <c r="BR8" s="353" t="s">
        <v>587</v>
      </c>
      <c r="BS8" s="353" t="s">
        <v>595</v>
      </c>
      <c r="BT8" s="353" t="s">
        <v>603</v>
      </c>
      <c r="BU8" s="353" t="s">
        <v>611</v>
      </c>
      <c r="BV8" s="353" t="s">
        <v>213</v>
      </c>
      <c r="BW8" s="353" t="s">
        <v>611</v>
      </c>
    </row>
    <row r="9" spans="1:75" x14ac:dyDescent="0.25">
      <c r="AM9" s="353" t="s">
        <v>214</v>
      </c>
      <c r="AN9" s="353" t="s">
        <v>214</v>
      </c>
      <c r="AT9" s="353" t="s">
        <v>214</v>
      </c>
      <c r="AU9" s="353" t="s">
        <v>214</v>
      </c>
      <c r="AV9" s="353" t="s">
        <v>214</v>
      </c>
      <c r="AW9" s="353" t="s">
        <v>214</v>
      </c>
      <c r="BB9" s="353" t="s">
        <v>214</v>
      </c>
      <c r="BC9" s="353" t="s">
        <v>214</v>
      </c>
      <c r="BD9" s="353" t="s">
        <v>214</v>
      </c>
      <c r="BE9" s="353" t="s">
        <v>214</v>
      </c>
      <c r="BI9" s="353" t="s">
        <v>214</v>
      </c>
      <c r="BJ9" s="353" t="s">
        <v>214</v>
      </c>
      <c r="BK9" s="353" t="s">
        <v>214</v>
      </c>
      <c r="BL9" s="353" t="s">
        <v>214</v>
      </c>
      <c r="BM9" s="353" t="s">
        <v>214</v>
      </c>
      <c r="BN9" s="353" t="s">
        <v>214</v>
      </c>
      <c r="BO9" s="353" t="s">
        <v>490</v>
      </c>
      <c r="BP9" s="353" t="s">
        <v>490</v>
      </c>
      <c r="BQ9" s="353" t="s">
        <v>214</v>
      </c>
      <c r="BR9" s="353" t="s">
        <v>490</v>
      </c>
      <c r="BS9" s="353" t="s">
        <v>490</v>
      </c>
      <c r="BT9" s="353" t="s">
        <v>490</v>
      </c>
      <c r="BU9" s="353" t="s">
        <v>490</v>
      </c>
      <c r="BV9" s="353" t="s">
        <v>214</v>
      </c>
      <c r="BW9" s="353" t="s">
        <v>615</v>
      </c>
    </row>
    <row r="10" spans="1:75" x14ac:dyDescent="0.25">
      <c r="BO10" s="353" t="s">
        <v>491</v>
      </c>
      <c r="BP10" s="353" t="s">
        <v>491</v>
      </c>
      <c r="BR10" s="353" t="s">
        <v>491</v>
      </c>
      <c r="BS10" s="353" t="s">
        <v>491</v>
      </c>
      <c r="BT10" s="353" t="s">
        <v>491</v>
      </c>
      <c r="BU10" s="353" t="s">
        <v>491</v>
      </c>
      <c r="BW10" s="353" t="s">
        <v>616</v>
      </c>
    </row>
    <row r="11" spans="1:75" x14ac:dyDescent="0.25">
      <c r="BO11" s="353" t="s">
        <v>492</v>
      </c>
      <c r="BP11" s="353" t="s">
        <v>492</v>
      </c>
      <c r="BR11" s="353" t="s">
        <v>492</v>
      </c>
      <c r="BS11" s="353" t="s">
        <v>492</v>
      </c>
      <c r="BT11" s="353" t="s">
        <v>492</v>
      </c>
      <c r="BU11" s="353" t="s">
        <v>492</v>
      </c>
      <c r="BW11" s="353" t="s">
        <v>617</v>
      </c>
    </row>
    <row r="12" spans="1:75" x14ac:dyDescent="0.25">
      <c r="BO12" s="353" t="s">
        <v>493</v>
      </c>
      <c r="BP12" s="353" t="s">
        <v>493</v>
      </c>
      <c r="BR12" s="353" t="s">
        <v>493</v>
      </c>
      <c r="BS12" s="353" t="s">
        <v>493</v>
      </c>
      <c r="BT12" s="353" t="s">
        <v>493</v>
      </c>
      <c r="BU12" s="353" t="s">
        <v>493</v>
      </c>
      <c r="BW12" s="353" t="s">
        <v>618</v>
      </c>
    </row>
    <row r="13" spans="1:75" x14ac:dyDescent="0.25">
      <c r="BO13" s="353" t="s">
        <v>212</v>
      </c>
      <c r="BP13" s="353" t="s">
        <v>212</v>
      </c>
      <c r="BR13" s="353" t="s">
        <v>212</v>
      </c>
      <c r="BS13" s="353" t="s">
        <v>212</v>
      </c>
      <c r="BT13" s="353" t="s">
        <v>212</v>
      </c>
      <c r="BU13" s="353" t="s">
        <v>212</v>
      </c>
      <c r="BW13" s="353" t="s">
        <v>212</v>
      </c>
    </row>
    <row r="14" spans="1:75" x14ac:dyDescent="0.25">
      <c r="BO14" s="353" t="s">
        <v>213</v>
      </c>
      <c r="BP14" s="353" t="s">
        <v>213</v>
      </c>
      <c r="BR14" s="353" t="s">
        <v>213</v>
      </c>
      <c r="BS14" s="353" t="s">
        <v>213</v>
      </c>
      <c r="BT14" s="353" t="s">
        <v>213</v>
      </c>
      <c r="BU14" s="353" t="s">
        <v>213</v>
      </c>
      <c r="BW14" s="353" t="s">
        <v>213</v>
      </c>
    </row>
    <row r="15" spans="1:75" x14ac:dyDescent="0.25">
      <c r="BO15" s="353" t="s">
        <v>214</v>
      </c>
      <c r="BP15" s="353" t="s">
        <v>214</v>
      </c>
      <c r="BR15" s="353" t="s">
        <v>214</v>
      </c>
      <c r="BS15" s="353" t="s">
        <v>214</v>
      </c>
      <c r="BT15" s="353" t="s">
        <v>214</v>
      </c>
      <c r="BU15" s="353" t="s">
        <v>214</v>
      </c>
      <c r="BW15" s="353"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
  <sheetViews>
    <sheetView view="pageBreakPreview" zoomScaleNormal="100" zoomScaleSheetLayoutView="100" workbookViewId="0">
      <selection activeCell="D32" sqref="D32"/>
    </sheetView>
  </sheetViews>
  <sheetFormatPr defaultRowHeight="15" x14ac:dyDescent="0.25"/>
  <cols>
    <col min="1" max="1" width="11.140625" style="4" customWidth="1"/>
    <col min="2" max="2" width="12.7109375" style="4" customWidth="1"/>
    <col min="3" max="3" width="10.5703125" style="4" customWidth="1"/>
    <col min="4" max="4" width="9.140625" style="4"/>
    <col min="5" max="5" width="10.28515625" style="4" customWidth="1"/>
    <col min="6" max="12" width="9.140625" style="4"/>
    <col min="13" max="13" width="9.140625" style="4" hidden="1" customWidth="1"/>
    <col min="14" max="16384" width="9.140625" style="4"/>
  </cols>
  <sheetData>
    <row r="1" spans="1:15" ht="42" customHeight="1" x14ac:dyDescent="0.25">
      <c r="A1" s="484" t="e">
        <f>IF(OR(""), "YOU HAVE NO DATA ON YOUR CALCULATOR! PRESS PREVIOUS AND ENTER DATA IN THE CALCULATOR TO ORDER FIRST", "")</f>
        <v>#VALUE!</v>
      </c>
      <c r="B1" s="484"/>
      <c r="C1" s="484"/>
      <c r="D1" s="484"/>
      <c r="E1" s="484"/>
      <c r="F1" s="484"/>
      <c r="G1" s="484"/>
      <c r="H1" s="484"/>
      <c r="I1" s="484"/>
      <c r="J1" s="484"/>
      <c r="K1" s="484"/>
      <c r="L1" s="484"/>
      <c r="M1" s="484"/>
      <c r="N1" s="484"/>
      <c r="O1" s="484"/>
    </row>
    <row r="2" spans="1:15" x14ac:dyDescent="0.25">
      <c r="A2" s="485" t="s">
        <v>81</v>
      </c>
      <c r="B2" s="486"/>
      <c r="C2" s="486"/>
      <c r="D2" s="486"/>
      <c r="E2" s="486"/>
      <c r="F2" s="486"/>
      <c r="G2" s="486"/>
      <c r="H2" s="486"/>
      <c r="I2" s="486"/>
      <c r="J2" s="486"/>
      <c r="K2" s="486"/>
      <c r="L2" s="486"/>
      <c r="M2" s="486"/>
      <c r="N2" s="486"/>
      <c r="O2" s="487"/>
    </row>
    <row r="3" spans="1:15" ht="11.25" customHeight="1" x14ac:dyDescent="0.25">
      <c r="A3" s="127"/>
      <c r="B3" s="126"/>
      <c r="C3" s="126"/>
      <c r="D3" s="126"/>
      <c r="E3" s="126"/>
      <c r="F3" s="126"/>
      <c r="G3" s="126"/>
      <c r="H3" s="126"/>
      <c r="I3" s="126"/>
      <c r="J3" s="126"/>
      <c r="K3" s="126"/>
      <c r="L3" s="126"/>
      <c r="M3" s="5"/>
      <c r="N3" s="5"/>
      <c r="O3" s="11"/>
    </row>
    <row r="4" spans="1:15" x14ac:dyDescent="0.25">
      <c r="A4" s="488" t="s">
        <v>19</v>
      </c>
      <c r="B4" s="489"/>
      <c r="C4" s="490"/>
      <c r="D4" s="490"/>
      <c r="E4" s="490"/>
      <c r="F4" s="490"/>
      <c r="G4" s="490"/>
      <c r="H4" s="490"/>
      <c r="I4" s="490"/>
      <c r="J4" s="490"/>
      <c r="K4" s="490"/>
      <c r="L4" s="490"/>
      <c r="M4" s="490"/>
      <c r="N4" s="490"/>
      <c r="O4" s="491"/>
    </row>
    <row r="5" spans="1:15" x14ac:dyDescent="0.25">
      <c r="A5" s="125"/>
      <c r="B5" s="124"/>
      <c r="C5" s="124"/>
      <c r="D5" s="124"/>
      <c r="E5" s="124"/>
      <c r="F5" s="124"/>
      <c r="G5" s="124"/>
      <c r="H5" s="1"/>
      <c r="I5" s="1"/>
      <c r="J5" s="1"/>
      <c r="K5" s="1"/>
      <c r="L5" s="1"/>
      <c r="M5" s="1"/>
      <c r="N5" s="1"/>
      <c r="O5" s="10"/>
    </row>
    <row r="6" spans="1:15" x14ac:dyDescent="0.25">
      <c r="A6" s="488" t="s">
        <v>18</v>
      </c>
      <c r="B6" s="489"/>
      <c r="C6" s="490"/>
      <c r="D6" s="490"/>
      <c r="E6" s="490"/>
      <c r="F6" s="490"/>
      <c r="G6" s="490"/>
      <c r="H6" s="490"/>
      <c r="I6" s="490"/>
      <c r="J6" s="490"/>
      <c r="K6" s="490"/>
      <c r="L6" s="490"/>
      <c r="M6" s="490"/>
      <c r="N6" s="490"/>
      <c r="O6" s="491"/>
    </row>
    <row r="7" spans="1:15" x14ac:dyDescent="0.25">
      <c r="A7" s="125"/>
      <c r="B7" s="124"/>
      <c r="C7" s="124"/>
      <c r="D7" s="124"/>
      <c r="E7" s="124"/>
      <c r="F7" s="124"/>
      <c r="G7" s="124"/>
      <c r="H7" s="1"/>
      <c r="I7" s="1"/>
      <c r="J7" s="1"/>
      <c r="K7" s="1"/>
      <c r="L7" s="1"/>
      <c r="M7" s="1"/>
      <c r="N7" s="1"/>
      <c r="O7" s="10"/>
    </row>
    <row r="8" spans="1:15" x14ac:dyDescent="0.25">
      <c r="A8" s="488" t="s">
        <v>80</v>
      </c>
      <c r="B8" s="489"/>
      <c r="C8" s="490"/>
      <c r="D8" s="490"/>
      <c r="E8" s="490"/>
      <c r="F8" s="490"/>
      <c r="G8" s="490"/>
      <c r="H8" s="490"/>
      <c r="I8" s="118" t="s">
        <v>9</v>
      </c>
      <c r="J8" s="1"/>
      <c r="K8" s="1"/>
      <c r="L8" s="1"/>
      <c r="M8" s="1"/>
      <c r="N8" s="1"/>
      <c r="O8" s="10"/>
    </row>
    <row r="9" spans="1:15" x14ac:dyDescent="0.25">
      <c r="A9" s="125"/>
      <c r="B9" s="124"/>
      <c r="C9" s="124"/>
      <c r="D9" s="124"/>
      <c r="E9" s="124"/>
      <c r="F9" s="124"/>
      <c r="G9" s="123"/>
      <c r="H9" s="123"/>
      <c r="I9" s="1"/>
      <c r="J9" s="1"/>
      <c r="K9" s="1"/>
      <c r="L9" s="1"/>
      <c r="M9" s="1"/>
      <c r="N9" s="1"/>
      <c r="O9" s="10"/>
    </row>
    <row r="10" spans="1:15" x14ac:dyDescent="0.25">
      <c r="A10" s="492" t="s">
        <v>79</v>
      </c>
      <c r="B10" s="493"/>
      <c r="C10" s="494"/>
      <c r="D10" s="494"/>
      <c r="E10" s="494"/>
      <c r="F10" s="494"/>
      <c r="G10" s="494"/>
      <c r="H10" s="494"/>
      <c r="I10" s="494"/>
      <c r="J10" s="494"/>
      <c r="K10" s="494"/>
      <c r="L10" s="494"/>
      <c r="M10" s="494"/>
      <c r="N10" s="494"/>
      <c r="O10" s="495"/>
    </row>
    <row r="11" spans="1:15" x14ac:dyDescent="0.25">
      <c r="A11" s="121"/>
      <c r="B11" s="120"/>
      <c r="C11" s="122"/>
      <c r="D11" s="122"/>
      <c r="E11" s="122"/>
      <c r="F11" s="1"/>
      <c r="G11" s="1"/>
      <c r="H11" s="1"/>
      <c r="I11" s="1"/>
      <c r="J11" s="1"/>
      <c r="K11" s="1"/>
      <c r="L11" s="1"/>
      <c r="M11" s="1"/>
      <c r="N11" s="1"/>
      <c r="O11" s="10"/>
    </row>
    <row r="12" spans="1:15" x14ac:dyDescent="0.25">
      <c r="A12" s="492" t="s">
        <v>78</v>
      </c>
      <c r="B12" s="493"/>
      <c r="C12" s="490"/>
      <c r="D12" s="490"/>
      <c r="E12" s="490"/>
      <c r="F12" s="490"/>
      <c r="G12" s="490"/>
      <c r="H12" s="490"/>
      <c r="I12" s="490"/>
      <c r="J12" s="490"/>
      <c r="K12" s="490"/>
      <c r="L12" s="490"/>
      <c r="M12" s="490"/>
      <c r="N12" s="490"/>
      <c r="O12" s="491"/>
    </row>
    <row r="13" spans="1:15" x14ac:dyDescent="0.25">
      <c r="A13" s="121"/>
      <c r="B13" s="120"/>
      <c r="C13" s="119"/>
      <c r="D13" s="119"/>
      <c r="E13" s="119"/>
      <c r="F13" s="1"/>
      <c r="G13" s="1"/>
      <c r="H13" s="1"/>
      <c r="I13" s="1"/>
      <c r="J13" s="1"/>
      <c r="K13" s="1"/>
      <c r="L13" s="1"/>
      <c r="M13" s="1"/>
      <c r="N13" s="1"/>
      <c r="O13" s="10"/>
    </row>
    <row r="14" spans="1:15" x14ac:dyDescent="0.25">
      <c r="A14" s="492" t="s">
        <v>77</v>
      </c>
      <c r="B14" s="493"/>
      <c r="C14" s="490"/>
      <c r="D14" s="490"/>
      <c r="E14" s="490"/>
      <c r="F14" s="490"/>
      <c r="G14" s="490"/>
      <c r="H14" s="490"/>
      <c r="I14" s="118" t="s">
        <v>9</v>
      </c>
      <c r="J14" s="1"/>
      <c r="K14" s="1"/>
      <c r="L14" s="1"/>
      <c r="M14" s="1"/>
      <c r="N14" s="1"/>
      <c r="O14" s="10"/>
    </row>
    <row r="15" spans="1:15" x14ac:dyDescent="0.25">
      <c r="A15" s="14"/>
      <c r="B15" s="2"/>
      <c r="C15" s="2"/>
      <c r="D15" s="2"/>
      <c r="E15" s="2"/>
      <c r="F15" s="2"/>
      <c r="G15" s="2"/>
      <c r="H15" s="2"/>
      <c r="I15" s="2"/>
      <c r="J15" s="2"/>
      <c r="K15" s="2"/>
      <c r="L15" s="2"/>
      <c r="M15" s="2"/>
      <c r="N15" s="2"/>
      <c r="O15" s="64"/>
    </row>
    <row r="16" spans="1:15" x14ac:dyDescent="0.25">
      <c r="A16" s="1"/>
      <c r="B16" s="1"/>
      <c r="C16" s="1"/>
      <c r="D16" s="1"/>
      <c r="E16" s="1"/>
      <c r="F16" s="1"/>
      <c r="G16" s="1"/>
      <c r="H16" s="1"/>
      <c r="I16" s="1"/>
      <c r="J16" s="1"/>
      <c r="K16" s="1"/>
      <c r="L16" s="1"/>
    </row>
    <row r="17" spans="1:15" x14ac:dyDescent="0.25">
      <c r="A17" s="1"/>
      <c r="B17" s="497" t="s">
        <v>76</v>
      </c>
      <c r="C17" s="497"/>
      <c r="D17" s="497"/>
      <c r="E17" s="497"/>
      <c r="F17" s="497"/>
      <c r="G17" s="497"/>
      <c r="H17" s="497"/>
      <c r="I17" s="497"/>
      <c r="J17" s="497"/>
      <c r="K17" s="497"/>
      <c r="L17" s="497"/>
    </row>
    <row r="18" spans="1:15" x14ac:dyDescent="0.25">
      <c r="A18" s="117"/>
      <c r="B18" s="117"/>
      <c r="C18" s="117"/>
      <c r="D18" s="117"/>
      <c r="E18" s="117"/>
      <c r="F18" s="117"/>
    </row>
    <row r="19" spans="1:15" x14ac:dyDescent="0.25">
      <c r="B19" s="115"/>
      <c r="C19" s="115"/>
      <c r="D19" s="500" t="s">
        <v>75</v>
      </c>
      <c r="E19" s="500"/>
      <c r="F19" s="500"/>
      <c r="G19" s="501"/>
      <c r="H19" s="501"/>
      <c r="I19" s="501"/>
      <c r="M19" s="4" t="b">
        <f>IF([0]!InternalCode="engexpshowall", FALSE, TRUE)</f>
        <v>1</v>
      </c>
    </row>
    <row r="20" spans="1:15" x14ac:dyDescent="0.25">
      <c r="F20" s="496" t="s">
        <v>74</v>
      </c>
      <c r="G20" s="496"/>
      <c r="H20" s="496"/>
      <c r="I20" s="496"/>
      <c r="J20" s="116"/>
    </row>
    <row r="21" spans="1:15" x14ac:dyDescent="0.25">
      <c r="A21" s="115"/>
      <c r="B21" s="112"/>
      <c r="C21" s="112"/>
      <c r="D21" s="112"/>
      <c r="E21" s="112"/>
      <c r="F21" s="112"/>
    </row>
    <row r="23" spans="1:15" ht="21" x14ac:dyDescent="0.35">
      <c r="A23" s="498"/>
      <c r="B23" s="498"/>
      <c r="C23" s="498"/>
      <c r="D23" s="498"/>
      <c r="E23" s="498"/>
      <c r="F23" s="498"/>
      <c r="G23" s="498"/>
      <c r="H23" s="498"/>
      <c r="I23" s="498"/>
      <c r="J23" s="498"/>
      <c r="K23" s="498"/>
      <c r="L23" s="498"/>
      <c r="M23" s="498"/>
      <c r="N23" s="498"/>
      <c r="O23" s="498"/>
    </row>
    <row r="24" spans="1:15" ht="15" customHeight="1" x14ac:dyDescent="0.25">
      <c r="A24" s="499"/>
      <c r="B24" s="499"/>
      <c r="C24" s="499"/>
      <c r="D24" s="499"/>
      <c r="E24" s="114"/>
      <c r="F24" s="114"/>
      <c r="G24" s="114"/>
      <c r="H24" s="114"/>
      <c r="I24" s="114"/>
    </row>
    <row r="25" spans="1:15" ht="15" customHeight="1" x14ac:dyDescent="0.25">
      <c r="A25" s="499"/>
      <c r="B25" s="499"/>
      <c r="C25" s="499"/>
      <c r="D25" s="499"/>
      <c r="E25" s="114"/>
      <c r="F25" s="114"/>
      <c r="G25" s="114"/>
      <c r="H25" s="114"/>
      <c r="I25" s="114"/>
      <c r="J25" s="112"/>
    </row>
    <row r="26" spans="1:15" ht="15" customHeight="1" x14ac:dyDescent="0.25">
      <c r="A26" s="499"/>
      <c r="B26" s="499"/>
      <c r="C26" s="499"/>
      <c r="D26" s="499"/>
      <c r="E26" s="113"/>
      <c r="F26" s="113"/>
      <c r="G26" s="113"/>
      <c r="H26" s="111"/>
      <c r="I26" s="111"/>
      <c r="J26" s="112"/>
    </row>
    <row r="27" spans="1:15" ht="15" customHeight="1" x14ac:dyDescent="0.25">
      <c r="A27" s="499"/>
      <c r="B27" s="499"/>
      <c r="C27" s="499"/>
      <c r="D27" s="499"/>
      <c r="E27" s="7"/>
      <c r="F27" s="7"/>
      <c r="G27" s="7"/>
      <c r="H27" s="111"/>
      <c r="I27" s="111"/>
    </row>
    <row r="28" spans="1:15" ht="15" customHeight="1" x14ac:dyDescent="0.25">
      <c r="A28" s="499"/>
      <c r="B28" s="499"/>
      <c r="C28" s="499"/>
      <c r="D28" s="499"/>
      <c r="E28" s="6"/>
      <c r="F28" s="7"/>
      <c r="G28" s="7"/>
      <c r="H28" s="111"/>
      <c r="I28" s="111"/>
    </row>
    <row r="29" spans="1:15" ht="15" customHeight="1" x14ac:dyDescent="0.25">
      <c r="A29" s="499"/>
      <c r="B29" s="499"/>
      <c r="C29" s="499"/>
      <c r="D29" s="499"/>
      <c r="E29" s="6"/>
      <c r="F29" s="7"/>
      <c r="G29" s="7"/>
      <c r="H29" s="111"/>
      <c r="I29" s="111"/>
    </row>
    <row r="30" spans="1:15" ht="15" customHeight="1" x14ac:dyDescent="0.25">
      <c r="A30" s="499"/>
      <c r="B30" s="499"/>
      <c r="C30" s="499"/>
      <c r="D30" s="499"/>
      <c r="E30" s="6"/>
      <c r="F30" s="7"/>
      <c r="G30" s="7"/>
      <c r="H30" s="111"/>
      <c r="I30" s="111"/>
    </row>
    <row r="31" spans="1:15" ht="15" customHeight="1" x14ac:dyDescent="0.25">
      <c r="A31" s="499"/>
      <c r="B31" s="499"/>
      <c r="C31" s="499"/>
      <c r="D31" s="499"/>
      <c r="E31" s="6"/>
      <c r="F31" s="7"/>
      <c r="G31" s="7"/>
      <c r="H31" s="111"/>
      <c r="I31" s="111"/>
    </row>
    <row r="32" spans="1:15" x14ac:dyDescent="0.25">
      <c r="B32" s="3"/>
      <c r="C32" s="3"/>
      <c r="E32" s="6"/>
      <c r="F32" s="7"/>
      <c r="G32" s="7"/>
      <c r="H32" s="110"/>
      <c r="I32" s="110"/>
    </row>
    <row r="33" spans="2:15" x14ac:dyDescent="0.25">
      <c r="B33" s="3"/>
      <c r="C33" s="3"/>
      <c r="E33" s="6"/>
      <c r="F33" s="7"/>
      <c r="G33" s="7"/>
      <c r="H33" s="109"/>
      <c r="I33" s="109"/>
    </row>
    <row r="34" spans="2:15" x14ac:dyDescent="0.25">
      <c r="C34" s="3"/>
      <c r="D34" s="3"/>
      <c r="E34" s="13"/>
      <c r="F34" s="13"/>
      <c r="G34" s="13"/>
      <c r="H34" s="109"/>
      <c r="I34" s="109"/>
      <c r="J34" s="1"/>
      <c r="K34" s="1"/>
      <c r="L34" s="1"/>
      <c r="M34" s="1"/>
      <c r="N34" s="1"/>
      <c r="O34" s="1"/>
    </row>
    <row r="35" spans="2:15" x14ac:dyDescent="0.25">
      <c r="E35" s="9"/>
      <c r="F35" s="9"/>
      <c r="G35" s="9"/>
      <c r="J35" s="1"/>
      <c r="K35" s="1"/>
      <c r="L35" s="1"/>
      <c r="M35" s="1"/>
      <c r="N35" s="1"/>
    </row>
  </sheetData>
  <mergeCells count="20">
    <mergeCell ref="F20:I20"/>
    <mergeCell ref="B17:L17"/>
    <mergeCell ref="A23:O23"/>
    <mergeCell ref="A24:D31"/>
    <mergeCell ref="A14:B14"/>
    <mergeCell ref="C14:H14"/>
    <mergeCell ref="D19:F19"/>
    <mergeCell ref="G19:I19"/>
    <mergeCell ref="A8:B8"/>
    <mergeCell ref="C8:H8"/>
    <mergeCell ref="A10:B10"/>
    <mergeCell ref="C10:O10"/>
    <mergeCell ref="A12:B12"/>
    <mergeCell ref="C12:O12"/>
    <mergeCell ref="A1:O1"/>
    <mergeCell ref="A2:O2"/>
    <mergeCell ref="A4:B4"/>
    <mergeCell ref="C4:O4"/>
    <mergeCell ref="A6:B6"/>
    <mergeCell ref="C6:O6"/>
  </mergeCells>
  <dataValidations count="3">
    <dataValidation type="custom" allowBlank="1" showInputMessage="1" showErrorMessage="1" sqref="A1:O1" xr:uid="{00000000-0002-0000-0100-000000000000}">
      <formula1>"""YOU HAVE NO DATA ON YOUR CALCULATOR! PRESS PREVIOUS AND ENTER DATA IN THE CALCULATOR TO ORDER FIRST"""</formula1>
    </dataValidation>
    <dataValidation type="decimal" showErrorMessage="1" error="Please enter a value between 0 and the Mean Roof Height" promptTitle="z_Max" prompt="The level of the highest opening in the building that could affect the positive internal pressure. (Only needed for Partially Enclosed buildings)" sqref="A10" xr:uid="{00000000-0002-0000-0100-000001000000}">
      <formula1>0</formula1>
      <formula2>H25</formula2>
    </dataValidation>
    <dataValidation type="decimal" showErrorMessage="1" error="Please enter a value between 0 and the Mean Roof Height" promptTitle="z_Max" prompt="The level of the highest opening in the building that could affect the positive internal pressure. (Only needed for Partially Enclosed buildings)" sqref="A11" xr:uid="{00000000-0002-0000-0100-000002000000}">
      <formula1>0</formula1>
      <formula2>#REF!</formula2>
    </dataValidation>
  </dataValidations>
  <pageMargins left="0.7" right="0.7" top="0.75" bottom="0.75" header="0.3" footer="0.3"/>
  <pageSetup scale="66" orientation="portrait" r:id="rId1"/>
  <customProperties>
    <customPr name="SSC_SHEET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35"/>
  <sheetViews>
    <sheetView view="pageBreakPreview" topLeftCell="A5" zoomScale="115" zoomScaleNormal="100" zoomScaleSheetLayoutView="115" workbookViewId="0">
      <selection activeCell="Z32" sqref="Z1:AU1048576"/>
    </sheetView>
  </sheetViews>
  <sheetFormatPr defaultRowHeight="15" x14ac:dyDescent="0.25"/>
  <cols>
    <col min="1" max="1" width="2.28515625" style="27" customWidth="1"/>
    <col min="2" max="15" width="4.7109375" style="27" customWidth="1"/>
    <col min="16" max="16" width="4.7109375" style="4" customWidth="1"/>
    <col min="17" max="17" width="2" style="4" customWidth="1"/>
    <col min="18" max="19" width="4.7109375" style="4" customWidth="1"/>
    <col min="20" max="20" width="3.85546875" style="4" customWidth="1"/>
    <col min="21" max="21" width="4.7109375" style="4" customWidth="1"/>
    <col min="22" max="22" width="4.140625" style="4" customWidth="1"/>
    <col min="23" max="23" width="4.7109375" style="4" customWidth="1"/>
    <col min="24" max="24" width="2" style="4" customWidth="1"/>
    <col min="25" max="25" width="2.5703125" style="4" hidden="1" customWidth="1"/>
    <col min="26" max="35" width="4.7109375" style="4" hidden="1" customWidth="1"/>
    <col min="36" max="37" width="9.140625" style="4" hidden="1" customWidth="1"/>
    <col min="38" max="47" width="0" style="4" hidden="1" customWidth="1"/>
    <col min="48" max="16384" width="9.140625" style="4"/>
  </cols>
  <sheetData>
    <row r="1" spans="1:32" ht="18" hidden="1" customHeight="1" x14ac:dyDescent="0.25"/>
    <row r="2" spans="1:32" ht="16.5" customHeight="1" x14ac:dyDescent="0.25"/>
    <row r="3" spans="1:32" ht="9" customHeight="1" x14ac:dyDescent="0.25"/>
    <row r="4" spans="1:32" ht="20.25" customHeight="1" x14ac:dyDescent="0.25">
      <c r="R4" s="15"/>
      <c r="S4" s="15"/>
      <c r="V4" s="4" t="b">
        <f>IF(R4="on", TRUE,FALSE)</f>
        <v>0</v>
      </c>
      <c r="W4" s="4" t="b">
        <f>IF(S4="on", TRUE,FALSE)</f>
        <v>0</v>
      </c>
    </row>
    <row r="5" spans="1:32" ht="8.1" customHeight="1" x14ac:dyDescent="0.25">
      <c r="A5" s="502" t="s">
        <v>73</v>
      </c>
      <c r="B5" s="502"/>
      <c r="C5" s="502"/>
      <c r="D5" s="503"/>
      <c r="E5" s="503"/>
      <c r="F5" s="503"/>
      <c r="G5" s="503"/>
      <c r="H5" s="503"/>
      <c r="I5" s="503"/>
      <c r="J5" s="503"/>
      <c r="K5" s="502" t="s">
        <v>12</v>
      </c>
      <c r="L5" s="502"/>
      <c r="M5" s="502"/>
      <c r="N5" s="502"/>
      <c r="O5" s="503"/>
      <c r="P5" s="503"/>
      <c r="Q5" s="503"/>
      <c r="R5" s="503"/>
      <c r="S5" s="503"/>
      <c r="T5" s="503"/>
      <c r="U5" s="503"/>
      <c r="V5" s="503"/>
      <c r="W5" s="503"/>
      <c r="X5" s="503"/>
      <c r="Y5" s="1"/>
      <c r="Z5" s="1"/>
      <c r="AA5" s="1"/>
      <c r="AB5" s="1"/>
      <c r="AC5" s="1"/>
      <c r="AD5" s="1"/>
      <c r="AE5" s="1"/>
    </row>
    <row r="6" spans="1:32" ht="8.1" customHeight="1" x14ac:dyDescent="0.25">
      <c r="A6" s="46"/>
      <c r="B6" s="504" t="s">
        <v>11</v>
      </c>
      <c r="C6" s="504"/>
      <c r="D6" s="505"/>
      <c r="E6" s="505"/>
      <c r="F6" s="505"/>
      <c r="G6" s="505"/>
      <c r="H6" s="505"/>
      <c r="I6" s="505"/>
      <c r="J6" s="505"/>
      <c r="K6" s="505"/>
      <c r="L6" s="505"/>
      <c r="M6" s="505"/>
      <c r="N6" s="46"/>
      <c r="O6" s="503"/>
      <c r="P6" s="503"/>
      <c r="Q6" s="503"/>
      <c r="R6" s="503"/>
      <c r="S6" s="503"/>
      <c r="T6" s="503"/>
      <c r="U6" s="503"/>
      <c r="V6" s="503"/>
      <c r="W6" s="503"/>
      <c r="X6" s="503"/>
      <c r="Y6" s="1"/>
      <c r="Z6" s="1"/>
      <c r="AA6" s="1"/>
      <c r="AB6" s="1"/>
      <c r="AC6" s="1"/>
      <c r="AD6" s="1"/>
      <c r="AE6" s="1"/>
    </row>
    <row r="7" spans="1:32" ht="8.1" customHeight="1" x14ac:dyDescent="0.25">
      <c r="A7" s="46"/>
      <c r="B7" s="46"/>
      <c r="C7" s="46"/>
      <c r="D7" s="503"/>
      <c r="E7" s="503"/>
      <c r="F7" s="503"/>
      <c r="G7" s="503"/>
      <c r="H7" s="503"/>
      <c r="I7" s="503"/>
      <c r="J7" s="503"/>
      <c r="K7" s="503"/>
      <c r="L7" s="503"/>
      <c r="M7" s="503"/>
      <c r="N7" s="46"/>
      <c r="O7" s="506"/>
      <c r="P7" s="506"/>
      <c r="Q7" s="506"/>
      <c r="R7" s="506"/>
      <c r="S7" s="506"/>
      <c r="T7" s="506"/>
      <c r="U7" s="506"/>
      <c r="V7" s="506"/>
      <c r="W7" s="507"/>
      <c r="X7" s="507"/>
      <c r="Y7" s="1"/>
      <c r="Z7" s="1"/>
      <c r="AA7" s="1"/>
      <c r="AB7" s="1"/>
      <c r="AC7" s="1"/>
      <c r="AD7" s="1"/>
      <c r="AE7" s="1"/>
    </row>
    <row r="8" spans="1:32" ht="7.5" customHeight="1" thickBot="1" x14ac:dyDescent="0.3">
      <c r="A8" s="46"/>
      <c r="B8" s="46"/>
      <c r="C8" s="46"/>
      <c r="D8" s="505"/>
      <c r="E8" s="505"/>
      <c r="F8" s="505"/>
      <c r="G8" s="505"/>
      <c r="H8" s="505"/>
      <c r="I8" s="505"/>
      <c r="J8" s="505"/>
      <c r="K8" s="505"/>
      <c r="L8" s="505"/>
      <c r="M8" s="60"/>
      <c r="N8" s="46"/>
      <c r="O8" s="46"/>
      <c r="P8" s="1"/>
      <c r="Q8" s="1"/>
      <c r="R8" s="1"/>
      <c r="S8" s="1"/>
      <c r="T8" s="1"/>
      <c r="U8" s="1"/>
      <c r="V8" s="1"/>
      <c r="W8" s="1"/>
      <c r="X8" s="1"/>
      <c r="Y8" s="1"/>
      <c r="Z8" s="1"/>
      <c r="AA8" s="1"/>
      <c r="AB8" s="1"/>
      <c r="AC8" s="1"/>
      <c r="AD8" s="1"/>
      <c r="AE8" s="1"/>
    </row>
    <row r="9" spans="1:32" s="87" customFormat="1" ht="3.75" customHeight="1" x14ac:dyDescent="0.2">
      <c r="A9" s="108"/>
      <c r="B9" s="107"/>
      <c r="C9" s="107"/>
      <c r="D9" s="107"/>
      <c r="E9" s="107"/>
      <c r="F9" s="107"/>
      <c r="G9" s="107"/>
      <c r="H9" s="107"/>
      <c r="I9" s="107"/>
      <c r="J9" s="107"/>
      <c r="K9" s="107"/>
      <c r="L9" s="107"/>
      <c r="M9" s="107"/>
      <c r="N9" s="107"/>
      <c r="O9" s="107"/>
      <c r="P9" s="106"/>
      <c r="Q9" s="106"/>
      <c r="R9" s="106"/>
      <c r="S9" s="106"/>
      <c r="T9" s="106"/>
      <c r="U9" s="106"/>
      <c r="V9" s="106"/>
      <c r="W9" s="106"/>
      <c r="X9" s="105"/>
      <c r="Y9" s="104"/>
      <c r="Z9" s="47"/>
      <c r="AA9" s="47"/>
      <c r="AB9" s="47"/>
      <c r="AC9" s="47"/>
      <c r="AD9" s="47"/>
      <c r="AE9" s="47"/>
    </row>
    <row r="10" spans="1:32" s="87" customFormat="1" ht="8.1" customHeight="1" x14ac:dyDescent="0.2">
      <c r="A10" s="84"/>
      <c r="B10" s="92"/>
      <c r="C10" s="92"/>
      <c r="D10" s="103"/>
      <c r="E10" s="103"/>
      <c r="F10" s="103"/>
      <c r="G10" s="103"/>
      <c r="H10" s="103"/>
      <c r="I10" s="103"/>
      <c r="J10" s="103"/>
      <c r="K10" s="103"/>
      <c r="L10" s="103"/>
      <c r="M10" s="103"/>
      <c r="N10" s="103"/>
      <c r="O10" s="103"/>
      <c r="P10" s="103"/>
      <c r="Q10" s="103"/>
      <c r="R10" s="103"/>
      <c r="S10" s="103"/>
      <c r="T10" s="103"/>
      <c r="U10" s="103"/>
      <c r="V10" s="103"/>
      <c r="W10" s="90"/>
      <c r="X10" s="89"/>
      <c r="Y10" s="88"/>
      <c r="Z10" s="47"/>
      <c r="AA10" s="47"/>
      <c r="AB10" s="47"/>
      <c r="AC10" s="47"/>
      <c r="AD10" s="47"/>
      <c r="AE10" s="47"/>
    </row>
    <row r="11" spans="1:32" s="87" customFormat="1" ht="8.1" customHeight="1" x14ac:dyDescent="0.2">
      <c r="A11" s="84"/>
      <c r="B11" s="86"/>
      <c r="C11" s="86"/>
      <c r="D11" s="86"/>
      <c r="E11" s="86"/>
      <c r="F11" s="86"/>
      <c r="G11" s="86"/>
      <c r="H11" s="86"/>
      <c r="I11" s="86"/>
      <c r="J11" s="86"/>
      <c r="K11" s="86"/>
      <c r="L11" s="86"/>
      <c r="M11" s="86"/>
      <c r="N11" s="86"/>
      <c r="O11" s="86"/>
      <c r="P11" s="90"/>
      <c r="Q11" s="90"/>
      <c r="R11" s="90"/>
      <c r="S11" s="90"/>
      <c r="T11" s="90"/>
      <c r="U11" s="90"/>
      <c r="V11" s="90"/>
      <c r="W11" s="90"/>
      <c r="X11" s="89"/>
      <c r="Y11" s="88"/>
      <c r="Z11" s="47"/>
      <c r="AA11" s="47"/>
      <c r="AB11" s="47"/>
      <c r="AC11" s="47"/>
      <c r="AD11" s="47"/>
      <c r="AE11" s="47"/>
    </row>
    <row r="12" spans="1:32" s="87" customFormat="1" ht="8.1" customHeight="1" x14ac:dyDescent="0.2">
      <c r="A12" s="84"/>
      <c r="B12" s="103"/>
      <c r="C12" s="103"/>
      <c r="D12" s="103"/>
      <c r="E12" s="103"/>
      <c r="F12" s="103"/>
      <c r="G12" s="103"/>
      <c r="H12" s="103"/>
      <c r="I12" s="103"/>
      <c r="J12" s="103"/>
      <c r="K12" s="103"/>
      <c r="L12" s="86"/>
      <c r="M12" s="90"/>
      <c r="N12" s="103"/>
      <c r="O12" s="103"/>
      <c r="P12" s="103"/>
      <c r="Q12" s="103"/>
      <c r="R12" s="103"/>
      <c r="S12" s="103"/>
      <c r="T12" s="103"/>
      <c r="U12" s="103"/>
      <c r="V12" s="103"/>
      <c r="W12" s="103"/>
      <c r="X12" s="89"/>
      <c r="Y12" s="88"/>
      <c r="Z12" s="47"/>
      <c r="AA12" s="47"/>
      <c r="AB12" s="47"/>
      <c r="AC12" s="47"/>
      <c r="AD12" s="47"/>
      <c r="AE12" s="47"/>
    </row>
    <row r="13" spans="1:32" s="87" customFormat="1" ht="8.1" customHeight="1" x14ac:dyDescent="0.2">
      <c r="A13" s="84"/>
      <c r="B13" s="103"/>
      <c r="C13" s="103"/>
      <c r="D13" s="103"/>
      <c r="E13" s="103"/>
      <c r="F13" s="103"/>
      <c r="G13" s="103"/>
      <c r="H13" s="103"/>
      <c r="I13" s="103"/>
      <c r="J13" s="103"/>
      <c r="K13" s="103"/>
      <c r="L13" s="86"/>
      <c r="M13" s="103"/>
      <c r="N13" s="103"/>
      <c r="O13" s="103"/>
      <c r="P13" s="103"/>
      <c r="Q13" s="103"/>
      <c r="R13" s="103"/>
      <c r="S13" s="103"/>
      <c r="T13" s="103"/>
      <c r="U13" s="103"/>
      <c r="V13" s="103"/>
      <c r="W13" s="103"/>
      <c r="X13" s="89"/>
      <c r="Y13" s="88"/>
      <c r="Z13" s="47"/>
      <c r="AA13" s="47"/>
      <c r="AB13" s="47"/>
      <c r="AC13" s="47"/>
      <c r="AD13" s="47"/>
      <c r="AE13" s="47"/>
      <c r="AF13" s="102"/>
    </row>
    <row r="14" spans="1:32" s="87" customFormat="1" ht="8.1" customHeight="1" x14ac:dyDescent="0.2">
      <c r="A14" s="84"/>
      <c r="B14" s="92"/>
      <c r="C14" s="92"/>
      <c r="D14" s="92"/>
      <c r="E14" s="92"/>
      <c r="F14" s="92"/>
      <c r="G14" s="92"/>
      <c r="H14" s="92"/>
      <c r="I14" s="97"/>
      <c r="J14" s="97"/>
      <c r="K14" s="97"/>
      <c r="L14" s="86"/>
      <c r="M14" s="86"/>
      <c r="N14" s="92"/>
      <c r="O14" s="92"/>
      <c r="P14" s="92"/>
      <c r="Q14" s="92"/>
      <c r="R14" s="92"/>
      <c r="S14" s="92"/>
      <c r="T14" s="101"/>
      <c r="U14" s="101"/>
      <c r="V14" s="101"/>
      <c r="W14" s="101"/>
      <c r="X14" s="89"/>
      <c r="Y14" s="88"/>
      <c r="Z14" s="47"/>
      <c r="AA14" s="47"/>
      <c r="AB14" s="47"/>
      <c r="AC14" s="47"/>
      <c r="AD14" s="47"/>
      <c r="AE14" s="47"/>
    </row>
    <row r="15" spans="1:32" s="87" customFormat="1" ht="8.1" customHeight="1" x14ac:dyDescent="0.2">
      <c r="A15" s="84"/>
      <c r="B15" s="92"/>
      <c r="C15" s="92"/>
      <c r="D15" s="92"/>
      <c r="E15" s="92"/>
      <c r="F15" s="92"/>
      <c r="G15" s="92"/>
      <c r="H15" s="92"/>
      <c r="I15" s="97"/>
      <c r="J15" s="97"/>
      <c r="K15" s="97"/>
      <c r="L15" s="86"/>
      <c r="M15" s="86"/>
      <c r="N15" s="92"/>
      <c r="O15" s="92"/>
      <c r="P15" s="92"/>
      <c r="Q15" s="92"/>
      <c r="R15" s="92"/>
      <c r="S15" s="92"/>
      <c r="T15" s="100"/>
      <c r="U15" s="100"/>
      <c r="V15" s="100"/>
      <c r="W15" s="100"/>
      <c r="X15" s="89"/>
      <c r="Y15" s="88"/>
      <c r="Z15" s="47"/>
      <c r="AA15" s="47"/>
      <c r="AB15" s="47"/>
      <c r="AC15" s="47"/>
      <c r="AD15" s="47"/>
      <c r="AE15" s="47"/>
    </row>
    <row r="16" spans="1:32" s="87" customFormat="1" ht="8.1" customHeight="1" x14ac:dyDescent="0.2">
      <c r="A16" s="84"/>
      <c r="B16" s="92"/>
      <c r="C16" s="92"/>
      <c r="D16" s="92"/>
      <c r="E16" s="92"/>
      <c r="F16" s="92"/>
      <c r="G16" s="92"/>
      <c r="H16" s="92"/>
      <c r="I16" s="97"/>
      <c r="J16" s="97"/>
      <c r="K16" s="97"/>
      <c r="L16" s="86"/>
      <c r="M16" s="86"/>
      <c r="N16" s="99"/>
      <c r="O16" s="99"/>
      <c r="P16" s="99"/>
      <c r="Q16" s="99"/>
      <c r="R16" s="99"/>
      <c r="S16" s="99"/>
      <c r="T16" s="99"/>
      <c r="U16" s="99"/>
      <c r="V16" s="99"/>
      <c r="W16" s="99"/>
      <c r="X16" s="89"/>
      <c r="Y16" s="88"/>
      <c r="Z16" s="47"/>
      <c r="AA16" s="47"/>
      <c r="AB16" s="47"/>
      <c r="AC16" s="47"/>
      <c r="AD16" s="47"/>
      <c r="AE16" s="47"/>
    </row>
    <row r="17" spans="1:31" s="87" customFormat="1" ht="8.1" customHeight="1" x14ac:dyDescent="0.2">
      <c r="A17" s="84"/>
      <c r="B17" s="92"/>
      <c r="C17" s="92"/>
      <c r="D17" s="92"/>
      <c r="E17" s="92"/>
      <c r="F17" s="92"/>
      <c r="G17" s="92"/>
      <c r="H17" s="92"/>
      <c r="I17" s="97"/>
      <c r="J17" s="97"/>
      <c r="K17" s="97"/>
      <c r="L17" s="86"/>
      <c r="M17" s="86"/>
      <c r="N17" s="96"/>
      <c r="O17" s="96"/>
      <c r="P17" s="96"/>
      <c r="Q17" s="96"/>
      <c r="R17" s="96"/>
      <c r="S17" s="96"/>
      <c r="T17" s="93"/>
      <c r="U17" s="93"/>
      <c r="V17" s="93"/>
      <c r="W17" s="93"/>
      <c r="X17" s="89"/>
      <c r="Y17" s="88"/>
      <c r="Z17" s="47"/>
      <c r="AA17" s="47"/>
      <c r="AB17" s="47"/>
      <c r="AC17" s="47"/>
      <c r="AD17" s="47"/>
      <c r="AE17" s="47"/>
    </row>
    <row r="18" spans="1:31" s="87" customFormat="1" ht="8.1" customHeight="1" x14ac:dyDescent="0.2">
      <c r="A18" s="84"/>
      <c r="B18" s="92"/>
      <c r="C18" s="92"/>
      <c r="D18" s="92"/>
      <c r="E18" s="92"/>
      <c r="F18" s="92"/>
      <c r="G18" s="92"/>
      <c r="H18" s="92"/>
      <c r="I18" s="98"/>
      <c r="J18" s="98"/>
      <c r="K18" s="98"/>
      <c r="L18" s="86"/>
      <c r="M18" s="86"/>
      <c r="N18" s="96"/>
      <c r="O18" s="96"/>
      <c r="P18" s="96"/>
      <c r="Q18" s="96"/>
      <c r="R18" s="96"/>
      <c r="S18" s="96"/>
      <c r="T18" s="93"/>
      <c r="U18" s="93"/>
      <c r="V18" s="93"/>
      <c r="W18" s="93"/>
      <c r="X18" s="89"/>
      <c r="Y18" s="88"/>
      <c r="Z18" s="47"/>
      <c r="AA18" s="47"/>
      <c r="AB18" s="47"/>
      <c r="AC18" s="47"/>
      <c r="AD18" s="47"/>
      <c r="AE18" s="47"/>
    </row>
    <row r="19" spans="1:31" s="87" customFormat="1" ht="8.1" customHeight="1" x14ac:dyDescent="0.2">
      <c r="A19" s="84"/>
      <c r="B19" s="92"/>
      <c r="C19" s="92"/>
      <c r="D19" s="92"/>
      <c r="E19" s="92"/>
      <c r="F19" s="92"/>
      <c r="G19" s="92"/>
      <c r="H19" s="92"/>
      <c r="I19" s="97"/>
      <c r="J19" s="97"/>
      <c r="K19" s="97"/>
      <c r="L19" s="86"/>
      <c r="M19" s="86"/>
      <c r="N19" s="96"/>
      <c r="O19" s="96"/>
      <c r="P19" s="96"/>
      <c r="Q19" s="96"/>
      <c r="R19" s="96"/>
      <c r="S19" s="96"/>
      <c r="T19" s="93"/>
      <c r="U19" s="93"/>
      <c r="V19" s="93"/>
      <c r="W19" s="93"/>
      <c r="X19" s="89"/>
      <c r="Y19" s="88"/>
      <c r="Z19" s="47"/>
      <c r="AA19" s="47"/>
      <c r="AB19" s="47"/>
      <c r="AC19" s="47"/>
      <c r="AD19" s="47"/>
      <c r="AE19" s="47"/>
    </row>
    <row r="20" spans="1:31" s="87" customFormat="1" ht="8.1" customHeight="1" x14ac:dyDescent="0.2">
      <c r="A20" s="84"/>
      <c r="B20" s="92"/>
      <c r="C20" s="92"/>
      <c r="D20" s="92"/>
      <c r="E20" s="92"/>
      <c r="F20" s="92"/>
      <c r="G20" s="92"/>
      <c r="H20" s="92"/>
      <c r="I20" s="97"/>
      <c r="J20" s="97"/>
      <c r="K20" s="97"/>
      <c r="L20" s="86"/>
      <c r="M20" s="86"/>
      <c r="N20" s="96"/>
      <c r="O20" s="96"/>
      <c r="P20" s="96"/>
      <c r="Q20" s="96"/>
      <c r="R20" s="96"/>
      <c r="S20" s="96"/>
      <c r="T20" s="93"/>
      <c r="U20" s="93"/>
      <c r="V20" s="93"/>
      <c r="W20" s="93"/>
      <c r="X20" s="89"/>
      <c r="Y20" s="88"/>
      <c r="Z20" s="47"/>
      <c r="AA20" s="47"/>
      <c r="AB20" s="47"/>
      <c r="AC20" s="47"/>
      <c r="AD20" s="47"/>
      <c r="AE20" s="47"/>
    </row>
    <row r="21" spans="1:31" s="87" customFormat="1" ht="8.1" customHeight="1" x14ac:dyDescent="0.2">
      <c r="A21" s="84"/>
      <c r="B21" s="92"/>
      <c r="C21" s="92"/>
      <c r="D21" s="92"/>
      <c r="E21" s="92"/>
      <c r="F21" s="92"/>
      <c r="G21" s="92"/>
      <c r="H21" s="92"/>
      <c r="I21" s="91"/>
      <c r="J21" s="91"/>
      <c r="K21" s="91"/>
      <c r="L21" s="86"/>
      <c r="M21" s="86"/>
      <c r="N21" s="95"/>
      <c r="O21" s="95"/>
      <c r="P21" s="95"/>
      <c r="Q21" s="95"/>
      <c r="R21" s="95"/>
      <c r="S21" s="95"/>
      <c r="T21" s="95"/>
      <c r="U21" s="95"/>
      <c r="V21" s="95"/>
      <c r="W21" s="95"/>
      <c r="X21" s="89"/>
      <c r="Y21" s="88"/>
      <c r="Z21" s="47"/>
      <c r="AA21" s="47"/>
      <c r="AB21" s="47"/>
      <c r="AC21" s="47"/>
      <c r="AD21" s="47"/>
      <c r="AE21" s="47"/>
    </row>
    <row r="22" spans="1:31" s="87" customFormat="1" ht="8.1" customHeight="1" x14ac:dyDescent="0.2">
      <c r="A22" s="84"/>
      <c r="B22" s="92"/>
      <c r="C22" s="92"/>
      <c r="D22" s="92"/>
      <c r="E22" s="92"/>
      <c r="F22" s="92"/>
      <c r="G22" s="92"/>
      <c r="H22" s="92"/>
      <c r="I22" s="91"/>
      <c r="J22" s="91"/>
      <c r="K22" s="91"/>
      <c r="L22" s="86"/>
      <c r="M22" s="86"/>
      <c r="N22" s="94"/>
      <c r="O22" s="94"/>
      <c r="P22" s="94"/>
      <c r="Q22" s="94"/>
      <c r="R22" s="94"/>
      <c r="S22" s="94"/>
      <c r="T22" s="93"/>
      <c r="U22" s="93"/>
      <c r="V22" s="93"/>
      <c r="W22" s="93"/>
      <c r="X22" s="89"/>
      <c r="Y22" s="88"/>
      <c r="Z22" s="47"/>
      <c r="AA22" s="47"/>
      <c r="AB22" s="47"/>
      <c r="AC22" s="47"/>
      <c r="AD22" s="47"/>
      <c r="AE22" s="47"/>
    </row>
    <row r="23" spans="1:31" s="87" customFormat="1" ht="8.1" customHeight="1" x14ac:dyDescent="0.2">
      <c r="A23" s="84"/>
      <c r="B23" s="92"/>
      <c r="C23" s="92"/>
      <c r="D23" s="92"/>
      <c r="E23" s="92"/>
      <c r="F23" s="92"/>
      <c r="G23" s="92"/>
      <c r="H23" s="92"/>
      <c r="I23" s="91"/>
      <c r="J23" s="91"/>
      <c r="K23" s="91"/>
      <c r="L23" s="86"/>
      <c r="M23" s="86"/>
      <c r="N23" s="94"/>
      <c r="O23" s="94"/>
      <c r="P23" s="94"/>
      <c r="Q23" s="94"/>
      <c r="R23" s="94"/>
      <c r="S23" s="94"/>
      <c r="T23" s="93"/>
      <c r="U23" s="93"/>
      <c r="V23" s="93"/>
      <c r="W23" s="93"/>
      <c r="X23" s="89"/>
      <c r="Y23" s="88"/>
      <c r="Z23" s="47"/>
      <c r="AA23" s="47"/>
      <c r="AB23" s="47"/>
      <c r="AC23" s="47"/>
      <c r="AD23" s="47"/>
      <c r="AE23" s="47"/>
    </row>
    <row r="24" spans="1:31" s="87" customFormat="1" ht="8.1" customHeight="1" x14ac:dyDescent="0.2">
      <c r="A24" s="84"/>
      <c r="B24" s="92"/>
      <c r="C24" s="92"/>
      <c r="D24" s="92"/>
      <c r="E24" s="92"/>
      <c r="F24" s="92"/>
      <c r="G24" s="92"/>
      <c r="H24" s="92"/>
      <c r="I24" s="91"/>
      <c r="J24" s="91"/>
      <c r="K24" s="91"/>
      <c r="L24" s="86"/>
      <c r="M24" s="86"/>
      <c r="N24" s="86"/>
      <c r="O24" s="86"/>
      <c r="P24" s="90"/>
      <c r="Q24" s="90"/>
      <c r="R24" s="90"/>
      <c r="S24" s="90"/>
      <c r="T24" s="90"/>
      <c r="U24" s="90"/>
      <c r="V24" s="90"/>
      <c r="W24" s="90"/>
      <c r="X24" s="89"/>
      <c r="Y24" s="88"/>
      <c r="Z24" s="47"/>
      <c r="AA24" s="47"/>
      <c r="AB24" s="47"/>
      <c r="AC24" s="47"/>
      <c r="AD24" s="47"/>
      <c r="AE24" s="47"/>
    </row>
    <row r="25" spans="1:31" s="87" customFormat="1" ht="8.1" customHeight="1" x14ac:dyDescent="0.2">
      <c r="A25" s="84"/>
      <c r="B25" s="86"/>
      <c r="C25" s="86"/>
      <c r="D25" s="86"/>
      <c r="E25" s="86"/>
      <c r="F25" s="86"/>
      <c r="G25" s="86"/>
      <c r="H25" s="86"/>
      <c r="I25" s="86"/>
      <c r="J25" s="86"/>
      <c r="K25" s="86"/>
      <c r="L25" s="86"/>
      <c r="M25" s="86"/>
      <c r="N25" s="86"/>
      <c r="O25" s="86"/>
      <c r="P25" s="90"/>
      <c r="Q25" s="90"/>
      <c r="R25" s="90"/>
      <c r="S25" s="90"/>
      <c r="T25" s="90"/>
      <c r="U25" s="90"/>
      <c r="V25" s="90"/>
      <c r="W25" s="90"/>
      <c r="X25" s="89"/>
      <c r="Y25" s="88"/>
      <c r="Z25" s="47"/>
      <c r="AA25" s="47"/>
      <c r="AB25" s="47"/>
      <c r="AC25" s="47"/>
      <c r="AD25" s="47"/>
      <c r="AE25" s="47"/>
    </row>
    <row r="26" spans="1:31" s="87" customFormat="1" ht="8.1" customHeight="1" x14ac:dyDescent="0.2">
      <c r="A26" s="84"/>
      <c r="B26" s="86"/>
      <c r="C26" s="86"/>
      <c r="D26" s="86"/>
      <c r="E26" s="86"/>
      <c r="F26" s="86"/>
      <c r="G26" s="86"/>
      <c r="H26" s="86"/>
      <c r="I26" s="86"/>
      <c r="J26" s="86"/>
      <c r="K26" s="86"/>
      <c r="L26" s="86"/>
      <c r="M26" s="86"/>
      <c r="N26" s="86"/>
      <c r="O26" s="86"/>
      <c r="P26" s="90"/>
      <c r="Q26" s="90"/>
      <c r="R26" s="90"/>
      <c r="S26" s="90"/>
      <c r="T26" s="90"/>
      <c r="U26" s="90"/>
      <c r="V26" s="90"/>
      <c r="W26" s="90"/>
      <c r="X26" s="89"/>
      <c r="Y26" s="88"/>
      <c r="Z26" s="47"/>
      <c r="AA26" s="47"/>
      <c r="AB26" s="47"/>
      <c r="AC26" s="47"/>
      <c r="AD26" s="47"/>
      <c r="AE26" s="47"/>
    </row>
    <row r="27" spans="1:31" s="87" customFormat="1" ht="8.1" customHeight="1" x14ac:dyDescent="0.2">
      <c r="A27" s="84"/>
      <c r="B27" s="86"/>
      <c r="C27" s="86"/>
      <c r="D27" s="86"/>
      <c r="E27" s="86"/>
      <c r="F27" s="47"/>
      <c r="G27" s="47"/>
      <c r="H27" s="86"/>
      <c r="I27" s="86"/>
      <c r="J27" s="86"/>
      <c r="K27" s="86"/>
      <c r="L27" s="86"/>
      <c r="M27" s="86"/>
      <c r="N27" s="86"/>
      <c r="O27" s="86"/>
      <c r="P27" s="90"/>
      <c r="Q27" s="90"/>
      <c r="R27" s="90"/>
      <c r="S27" s="90"/>
      <c r="T27" s="90"/>
      <c r="U27" s="90"/>
      <c r="V27" s="90"/>
      <c r="W27" s="90"/>
      <c r="X27" s="89"/>
      <c r="Y27" s="88"/>
      <c r="Z27" s="47"/>
      <c r="AA27" s="47"/>
      <c r="AB27" s="47"/>
      <c r="AC27" s="47"/>
      <c r="AD27" s="47"/>
      <c r="AE27" s="47"/>
    </row>
    <row r="28" spans="1:31" s="87" customFormat="1" ht="8.1" customHeight="1" x14ac:dyDescent="0.2">
      <c r="A28" s="84"/>
      <c r="B28" s="86"/>
      <c r="C28" s="86"/>
      <c r="D28" s="86"/>
      <c r="E28" s="86"/>
      <c r="F28" s="47"/>
      <c r="G28" s="47"/>
      <c r="H28" s="86"/>
      <c r="I28" s="86"/>
      <c r="J28" s="86"/>
      <c r="K28" s="86"/>
      <c r="L28" s="86"/>
      <c r="M28" s="86"/>
      <c r="N28" s="86"/>
      <c r="O28" s="86"/>
      <c r="P28" s="90"/>
      <c r="Q28" s="90"/>
      <c r="R28" s="90"/>
      <c r="S28" s="90"/>
      <c r="T28" s="90"/>
      <c r="U28" s="90"/>
      <c r="V28" s="90"/>
      <c r="W28" s="90"/>
      <c r="X28" s="89"/>
      <c r="Y28" s="88"/>
      <c r="Z28" s="47"/>
      <c r="AA28" s="47"/>
      <c r="AB28" s="47"/>
      <c r="AC28" s="47"/>
      <c r="AD28" s="47"/>
      <c r="AE28" s="47"/>
    </row>
    <row r="29" spans="1:31" s="87" customFormat="1" ht="8.1" customHeight="1" x14ac:dyDescent="0.2">
      <c r="A29" s="84"/>
      <c r="B29" s="86"/>
      <c r="C29" s="86"/>
      <c r="D29" s="86"/>
      <c r="E29" s="86"/>
      <c r="F29" s="86"/>
      <c r="G29" s="86"/>
      <c r="H29" s="86"/>
      <c r="I29" s="86"/>
      <c r="J29" s="86"/>
      <c r="K29" s="86"/>
      <c r="L29" s="86"/>
      <c r="M29" s="86"/>
      <c r="N29" s="86"/>
      <c r="O29" s="86"/>
      <c r="P29" s="90"/>
      <c r="Q29" s="90"/>
      <c r="R29" s="90"/>
      <c r="S29" s="90"/>
      <c r="T29" s="90"/>
      <c r="U29" s="90"/>
      <c r="V29" s="90"/>
      <c r="W29" s="90"/>
      <c r="X29" s="89"/>
      <c r="Y29" s="88"/>
      <c r="Z29" s="47"/>
      <c r="AA29" s="47"/>
      <c r="AB29" s="47"/>
      <c r="AC29" s="47"/>
      <c r="AD29" s="47"/>
      <c r="AE29" s="47"/>
    </row>
    <row r="30" spans="1:31" s="87" customFormat="1" ht="8.1" customHeight="1" x14ac:dyDescent="0.2">
      <c r="A30" s="84"/>
      <c r="B30" s="86"/>
      <c r="C30" s="86"/>
      <c r="D30" s="86"/>
      <c r="E30" s="86"/>
      <c r="F30" s="86"/>
      <c r="G30" s="86"/>
      <c r="H30" s="86"/>
      <c r="I30" s="86"/>
      <c r="J30" s="86"/>
      <c r="K30" s="86"/>
      <c r="L30" s="86"/>
      <c r="M30" s="86"/>
      <c r="N30" s="86"/>
      <c r="O30" s="86"/>
      <c r="P30" s="90"/>
      <c r="Q30" s="90"/>
      <c r="R30" s="90"/>
      <c r="S30" s="90"/>
      <c r="T30" s="90"/>
      <c r="U30" s="90"/>
      <c r="V30" s="90"/>
      <c r="W30" s="90"/>
      <c r="X30" s="89"/>
      <c r="Y30" s="88"/>
      <c r="Z30" s="47"/>
      <c r="AA30" s="47"/>
      <c r="AB30" s="47"/>
      <c r="AC30" s="47"/>
      <c r="AD30" s="47"/>
      <c r="AE30" s="47"/>
    </row>
    <row r="31" spans="1:31" s="87" customFormat="1" ht="8.1" customHeight="1" x14ac:dyDescent="0.2">
      <c r="A31" s="84"/>
      <c r="B31" s="86"/>
      <c r="C31" s="86"/>
      <c r="D31" s="86"/>
      <c r="E31" s="86"/>
      <c r="F31" s="86"/>
      <c r="G31" s="86"/>
      <c r="H31" s="86"/>
      <c r="I31" s="86"/>
      <c r="J31" s="86"/>
      <c r="K31" s="86"/>
      <c r="L31" s="86"/>
      <c r="M31" s="86"/>
      <c r="N31" s="86"/>
      <c r="O31" s="86"/>
      <c r="P31" s="90"/>
      <c r="Q31" s="90"/>
      <c r="R31" s="90"/>
      <c r="S31" s="90"/>
      <c r="T31" s="90"/>
      <c r="U31" s="90"/>
      <c r="V31" s="90"/>
      <c r="W31" s="90"/>
      <c r="X31" s="89"/>
      <c r="Y31" s="88"/>
      <c r="Z31" s="47"/>
      <c r="AA31" s="47"/>
      <c r="AB31" s="47"/>
      <c r="AC31" s="47"/>
      <c r="AD31" s="47"/>
      <c r="AE31" s="47"/>
    </row>
    <row r="32" spans="1:31" s="87" customFormat="1" ht="8.1" customHeight="1" x14ac:dyDescent="0.2">
      <c r="A32" s="84"/>
      <c r="B32" s="86"/>
      <c r="C32" s="86"/>
      <c r="D32" s="86"/>
      <c r="E32" s="86"/>
      <c r="F32" s="86"/>
      <c r="G32" s="86"/>
      <c r="H32" s="86"/>
      <c r="I32" s="86"/>
      <c r="J32" s="86"/>
      <c r="K32" s="86"/>
      <c r="L32" s="86"/>
      <c r="M32" s="86"/>
      <c r="N32" s="86"/>
      <c r="O32" s="86"/>
      <c r="P32" s="90"/>
      <c r="Q32" s="90"/>
      <c r="R32" s="90"/>
      <c r="S32" s="90"/>
      <c r="T32" s="90"/>
      <c r="U32" s="90"/>
      <c r="V32" s="90"/>
      <c r="W32" s="90"/>
      <c r="X32" s="89"/>
      <c r="Y32" s="88"/>
      <c r="Z32" s="47"/>
      <c r="AA32" s="47"/>
      <c r="AB32" s="47"/>
      <c r="AC32" s="47"/>
      <c r="AD32" s="47"/>
      <c r="AE32" s="47"/>
    </row>
    <row r="33" spans="1:31" ht="8.1" customHeight="1" x14ac:dyDescent="0.25">
      <c r="A33" s="84"/>
      <c r="B33" s="86"/>
      <c r="C33" s="86"/>
      <c r="D33" s="86"/>
      <c r="E33" s="86"/>
      <c r="F33" s="86"/>
      <c r="G33" s="86"/>
      <c r="H33" s="86"/>
      <c r="I33" s="86"/>
      <c r="J33" s="86"/>
      <c r="K33" s="86"/>
      <c r="L33" s="86"/>
      <c r="M33" s="86"/>
      <c r="N33" s="86"/>
      <c r="O33" s="86"/>
      <c r="P33" s="85"/>
      <c r="Q33" s="85"/>
      <c r="R33" s="85"/>
      <c r="S33" s="85"/>
      <c r="T33" s="85"/>
      <c r="U33" s="85"/>
      <c r="V33" s="85"/>
      <c r="W33" s="85"/>
      <c r="X33" s="75"/>
      <c r="Y33" s="10"/>
      <c r="Z33" s="1"/>
      <c r="AA33" s="1"/>
      <c r="AB33" s="1"/>
      <c r="AC33" s="1"/>
      <c r="AD33" s="1"/>
      <c r="AE33" s="1"/>
    </row>
    <row r="34" spans="1:31" ht="8.1" customHeight="1" x14ac:dyDescent="0.25">
      <c r="A34" s="84"/>
      <c r="B34" s="86"/>
      <c r="C34" s="86"/>
      <c r="D34" s="86"/>
      <c r="E34" s="86"/>
      <c r="F34" s="86"/>
      <c r="G34" s="86"/>
      <c r="H34" s="86"/>
      <c r="I34" s="86"/>
      <c r="J34" s="86"/>
      <c r="K34" s="86"/>
      <c r="L34" s="86"/>
      <c r="M34" s="86"/>
      <c r="N34" s="86"/>
      <c r="O34" s="86"/>
      <c r="P34" s="85"/>
      <c r="Q34" s="85"/>
      <c r="R34" s="85"/>
      <c r="S34" s="85"/>
      <c r="T34" s="85"/>
      <c r="U34" s="85"/>
      <c r="V34" s="85"/>
      <c r="W34" s="85"/>
      <c r="X34" s="75"/>
      <c r="Y34" s="10"/>
      <c r="Z34" s="1"/>
      <c r="AA34" s="1"/>
      <c r="AB34" s="1"/>
      <c r="AC34" s="1"/>
      <c r="AD34" s="1"/>
      <c r="AE34" s="1"/>
    </row>
    <row r="35" spans="1:31" ht="8.1" customHeight="1" x14ac:dyDescent="0.25">
      <c r="A35" s="84"/>
      <c r="B35" s="86"/>
      <c r="C35" s="86"/>
      <c r="D35" s="86"/>
      <c r="E35" s="86"/>
      <c r="F35" s="86"/>
      <c r="G35" s="86"/>
      <c r="H35" s="86"/>
      <c r="I35" s="86"/>
      <c r="J35" s="86"/>
      <c r="K35" s="86"/>
      <c r="L35" s="86"/>
      <c r="M35" s="86"/>
      <c r="N35" s="86"/>
      <c r="O35" s="86"/>
      <c r="P35" s="85"/>
      <c r="Q35" s="85"/>
      <c r="R35" s="85"/>
      <c r="S35" s="85"/>
      <c r="T35" s="85"/>
      <c r="U35" s="85"/>
      <c r="V35" s="85"/>
      <c r="W35" s="85"/>
      <c r="X35" s="75"/>
      <c r="Y35" s="10"/>
      <c r="Z35" s="1"/>
      <c r="AA35" s="1"/>
      <c r="AB35" s="1"/>
      <c r="AC35" s="1"/>
      <c r="AD35" s="1"/>
      <c r="AE35" s="1"/>
    </row>
    <row r="36" spans="1:31" ht="8.1" customHeight="1" x14ac:dyDescent="0.25">
      <c r="A36" s="84"/>
      <c r="B36" s="86"/>
      <c r="C36" s="86"/>
      <c r="D36" s="86"/>
      <c r="E36" s="86"/>
      <c r="F36" s="86"/>
      <c r="G36" s="86"/>
      <c r="H36" s="86"/>
      <c r="I36" s="86"/>
      <c r="J36" s="86"/>
      <c r="K36" s="86"/>
      <c r="L36" s="86"/>
      <c r="M36" s="86"/>
      <c r="N36" s="86"/>
      <c r="O36" s="86"/>
      <c r="P36" s="85"/>
      <c r="Q36" s="85"/>
      <c r="R36" s="85"/>
      <c r="S36" s="85"/>
      <c r="T36" s="85"/>
      <c r="U36" s="85"/>
      <c r="V36" s="85"/>
      <c r="W36" s="85"/>
      <c r="X36" s="75"/>
      <c r="Y36" s="10"/>
      <c r="Z36" s="1"/>
      <c r="AA36" s="1"/>
      <c r="AB36" s="1"/>
      <c r="AC36" s="1"/>
      <c r="AD36" s="1"/>
      <c r="AE36" s="1"/>
    </row>
    <row r="37" spans="1:31" ht="8.1" customHeight="1" x14ac:dyDescent="0.25">
      <c r="A37" s="84"/>
      <c r="B37" s="86"/>
      <c r="C37" s="86"/>
      <c r="D37" s="86"/>
      <c r="E37" s="86"/>
      <c r="F37" s="86"/>
      <c r="G37" s="86"/>
      <c r="H37" s="86"/>
      <c r="I37" s="86"/>
      <c r="J37" s="86"/>
      <c r="K37" s="86"/>
      <c r="L37" s="86"/>
      <c r="M37" s="86"/>
      <c r="N37" s="86"/>
      <c r="O37" s="86"/>
      <c r="P37" s="85"/>
      <c r="Q37" s="85"/>
      <c r="R37" s="85"/>
      <c r="S37" s="85"/>
      <c r="T37" s="85"/>
      <c r="U37" s="85"/>
      <c r="V37" s="85"/>
      <c r="W37" s="85"/>
      <c r="X37" s="75"/>
      <c r="Y37" s="10"/>
      <c r="Z37" s="1"/>
      <c r="AA37" s="1"/>
      <c r="AB37" s="1"/>
      <c r="AC37" s="1"/>
      <c r="AD37" s="1"/>
      <c r="AE37" s="1"/>
    </row>
    <row r="38" spans="1:31" ht="8.1" customHeight="1" x14ac:dyDescent="0.25">
      <c r="A38" s="84"/>
      <c r="B38" s="86"/>
      <c r="C38" s="86"/>
      <c r="D38" s="86"/>
      <c r="E38" s="86"/>
      <c r="F38" s="86"/>
      <c r="G38" s="86"/>
      <c r="H38" s="86"/>
      <c r="I38" s="86"/>
      <c r="J38" s="86"/>
      <c r="K38" s="86"/>
      <c r="L38" s="86"/>
      <c r="M38" s="86"/>
      <c r="N38" s="86"/>
      <c r="O38" s="86"/>
      <c r="P38" s="85"/>
      <c r="Q38" s="85"/>
      <c r="R38" s="85"/>
      <c r="S38" s="85"/>
      <c r="T38" s="85"/>
      <c r="U38" s="85"/>
      <c r="V38" s="85"/>
      <c r="W38" s="85"/>
      <c r="X38" s="75"/>
      <c r="Y38" s="10"/>
      <c r="Z38" s="1"/>
      <c r="AA38" s="1"/>
      <c r="AB38" s="1"/>
      <c r="AC38" s="1"/>
      <c r="AD38" s="1"/>
      <c r="AE38" s="1"/>
    </row>
    <row r="39" spans="1:31" ht="8.1" customHeight="1" x14ac:dyDescent="0.25">
      <c r="A39" s="84"/>
      <c r="B39" s="86"/>
      <c r="C39" s="86"/>
      <c r="D39" s="86"/>
      <c r="E39" s="86"/>
      <c r="F39" s="86"/>
      <c r="G39" s="86"/>
      <c r="H39" s="86"/>
      <c r="I39" s="86"/>
      <c r="J39" s="86"/>
      <c r="K39" s="86"/>
      <c r="L39" s="86"/>
      <c r="M39" s="86"/>
      <c r="N39" s="86"/>
      <c r="O39" s="86"/>
      <c r="P39" s="85"/>
      <c r="Q39" s="85"/>
      <c r="R39" s="85"/>
      <c r="S39" s="85"/>
      <c r="T39" s="85"/>
      <c r="U39" s="85"/>
      <c r="V39" s="85"/>
      <c r="W39" s="85"/>
      <c r="X39" s="75"/>
      <c r="Y39" s="10"/>
      <c r="Z39" s="1"/>
      <c r="AA39" s="1"/>
      <c r="AB39" s="1"/>
      <c r="AC39" s="1"/>
      <c r="AD39" s="1"/>
      <c r="AE39" s="1"/>
    </row>
    <row r="40" spans="1:31" ht="8.1" customHeight="1" x14ac:dyDescent="0.25">
      <c r="A40" s="84"/>
      <c r="B40" s="86"/>
      <c r="C40" s="86"/>
      <c r="D40" s="86"/>
      <c r="E40" s="86"/>
      <c r="F40" s="86"/>
      <c r="G40" s="86"/>
      <c r="H40" s="86"/>
      <c r="I40" s="86"/>
      <c r="J40" s="86"/>
      <c r="K40" s="86"/>
      <c r="L40" s="86"/>
      <c r="M40" s="86"/>
      <c r="N40" s="86"/>
      <c r="O40" s="86"/>
      <c r="P40" s="85"/>
      <c r="Q40" s="85"/>
      <c r="R40" s="85"/>
      <c r="S40" s="85"/>
      <c r="T40" s="85"/>
      <c r="U40" s="85"/>
      <c r="V40" s="85"/>
      <c r="W40" s="85"/>
      <c r="X40" s="75"/>
      <c r="Y40" s="10"/>
      <c r="Z40" s="1"/>
      <c r="AA40" s="1"/>
      <c r="AB40" s="1"/>
      <c r="AC40" s="1"/>
      <c r="AD40" s="1"/>
      <c r="AE40" s="1"/>
    </row>
    <row r="41" spans="1:31" ht="8.1" customHeight="1" x14ac:dyDescent="0.25">
      <c r="A41" s="84"/>
      <c r="B41" s="83"/>
      <c r="C41" s="83"/>
      <c r="D41" s="83"/>
      <c r="E41" s="83"/>
      <c r="F41" s="83"/>
      <c r="G41" s="83"/>
      <c r="H41" s="83"/>
      <c r="I41" s="83"/>
      <c r="J41" s="83"/>
      <c r="K41" s="83"/>
      <c r="L41" s="83"/>
      <c r="M41" s="83"/>
      <c r="N41" s="83"/>
      <c r="O41" s="83"/>
      <c r="P41" s="83"/>
      <c r="Q41" s="83"/>
      <c r="R41" s="83"/>
      <c r="S41" s="83"/>
      <c r="T41" s="82"/>
      <c r="U41" s="82"/>
      <c r="V41" s="82"/>
      <c r="W41" s="82"/>
      <c r="X41" s="75"/>
      <c r="Y41" s="10"/>
      <c r="Z41" s="1"/>
      <c r="AA41" s="1"/>
      <c r="AB41" s="1"/>
      <c r="AC41" s="1"/>
      <c r="AD41" s="1"/>
      <c r="AE41" s="1"/>
    </row>
    <row r="42" spans="1:31" ht="8.1" customHeight="1" x14ac:dyDescent="0.25">
      <c r="A42" s="84"/>
      <c r="B42" s="83"/>
      <c r="C42" s="83"/>
      <c r="D42" s="83"/>
      <c r="E42" s="83"/>
      <c r="F42" s="83"/>
      <c r="G42" s="83"/>
      <c r="H42" s="83"/>
      <c r="I42" s="83"/>
      <c r="J42" s="83"/>
      <c r="K42" s="83"/>
      <c r="L42" s="83"/>
      <c r="M42" s="83"/>
      <c r="N42" s="83"/>
      <c r="O42" s="83"/>
      <c r="P42" s="83"/>
      <c r="Q42" s="83"/>
      <c r="R42" s="83"/>
      <c r="S42" s="83"/>
      <c r="T42" s="82"/>
      <c r="U42" s="82"/>
      <c r="V42" s="82"/>
      <c r="W42" s="82"/>
      <c r="X42" s="75"/>
      <c r="Y42" s="10"/>
      <c r="Z42" s="1"/>
      <c r="AA42" s="1"/>
      <c r="AB42" s="1"/>
      <c r="AC42" s="1"/>
      <c r="AD42" s="1"/>
      <c r="AE42" s="1"/>
    </row>
    <row r="43" spans="1:31" ht="8.1" customHeight="1" x14ac:dyDescent="0.25">
      <c r="A43" s="84"/>
      <c r="B43" s="83"/>
      <c r="C43" s="83"/>
      <c r="D43" s="83"/>
      <c r="E43" s="83"/>
      <c r="F43" s="83"/>
      <c r="G43" s="83"/>
      <c r="H43" s="83"/>
      <c r="I43" s="83"/>
      <c r="J43" s="83"/>
      <c r="K43" s="83"/>
      <c r="L43" s="83"/>
      <c r="M43" s="83"/>
      <c r="N43" s="83"/>
      <c r="O43" s="83"/>
      <c r="P43" s="83"/>
      <c r="Q43" s="83"/>
      <c r="R43" s="83"/>
      <c r="S43" s="83"/>
      <c r="T43" s="82"/>
      <c r="U43" s="82"/>
      <c r="V43" s="82"/>
      <c r="W43" s="82"/>
      <c r="X43" s="75"/>
      <c r="Y43" s="10"/>
      <c r="Z43" s="1"/>
      <c r="AA43" s="1"/>
      <c r="AB43" s="1"/>
      <c r="AC43" s="1"/>
      <c r="AD43" s="1"/>
      <c r="AE43" s="1"/>
    </row>
    <row r="44" spans="1:31" ht="8.1" customHeight="1" x14ac:dyDescent="0.25">
      <c r="A44" s="84"/>
      <c r="B44" s="83"/>
      <c r="C44" s="83"/>
      <c r="D44" s="83"/>
      <c r="E44" s="83"/>
      <c r="F44" s="83"/>
      <c r="G44" s="83"/>
      <c r="H44" s="83"/>
      <c r="I44" s="83"/>
      <c r="J44" s="83"/>
      <c r="K44" s="83"/>
      <c r="L44" s="83"/>
      <c r="M44" s="83"/>
      <c r="N44" s="83"/>
      <c r="O44" s="83"/>
      <c r="P44" s="83"/>
      <c r="Q44" s="83"/>
      <c r="R44" s="83"/>
      <c r="S44" s="83"/>
      <c r="T44" s="82"/>
      <c r="U44" s="82"/>
      <c r="V44" s="82"/>
      <c r="W44" s="82"/>
      <c r="X44" s="75"/>
      <c r="Y44" s="10"/>
      <c r="Z44" s="1"/>
      <c r="AA44" s="1"/>
      <c r="AB44" s="1"/>
      <c r="AC44" s="1"/>
      <c r="AD44" s="1"/>
      <c r="AE44" s="1"/>
    </row>
    <row r="45" spans="1:31" ht="8.1" customHeight="1" x14ac:dyDescent="0.25">
      <c r="A45" s="84"/>
      <c r="B45" s="83"/>
      <c r="C45" s="83"/>
      <c r="D45" s="83"/>
      <c r="E45" s="83"/>
      <c r="F45" s="83"/>
      <c r="G45" s="83"/>
      <c r="H45" s="83"/>
      <c r="I45" s="83"/>
      <c r="J45" s="83"/>
      <c r="K45" s="83"/>
      <c r="L45" s="83"/>
      <c r="M45" s="83"/>
      <c r="N45" s="83"/>
      <c r="O45" s="83"/>
      <c r="P45" s="83"/>
      <c r="Q45" s="83"/>
      <c r="R45" s="83"/>
      <c r="S45" s="83"/>
      <c r="T45" s="82"/>
      <c r="U45" s="82"/>
      <c r="V45" s="82"/>
      <c r="W45" s="82"/>
      <c r="X45" s="75"/>
      <c r="Y45" s="10"/>
      <c r="Z45" s="1"/>
      <c r="AA45" s="1"/>
      <c r="AB45" s="1"/>
      <c r="AC45" s="1"/>
      <c r="AD45" s="1"/>
      <c r="AE45" s="1"/>
    </row>
    <row r="46" spans="1:31" ht="8.1" customHeight="1" x14ac:dyDescent="0.25">
      <c r="A46" s="84"/>
      <c r="B46" s="83"/>
      <c r="C46" s="83"/>
      <c r="D46" s="83"/>
      <c r="E46" s="83"/>
      <c r="F46" s="83"/>
      <c r="G46" s="83"/>
      <c r="H46" s="83"/>
      <c r="I46" s="83"/>
      <c r="J46" s="83"/>
      <c r="K46" s="83"/>
      <c r="L46" s="83"/>
      <c r="M46" s="83"/>
      <c r="N46" s="83"/>
      <c r="O46" s="83"/>
      <c r="P46" s="83"/>
      <c r="Q46" s="83"/>
      <c r="R46" s="83"/>
      <c r="S46" s="83"/>
      <c r="T46" s="82"/>
      <c r="U46" s="82"/>
      <c r="V46" s="82"/>
      <c r="W46" s="82"/>
      <c r="X46" s="75"/>
      <c r="Y46" s="10"/>
      <c r="Z46" s="1"/>
      <c r="AA46" s="1"/>
      <c r="AB46" s="1"/>
      <c r="AC46" s="1"/>
      <c r="AD46" s="1"/>
      <c r="AE46" s="1"/>
    </row>
    <row r="47" spans="1:31" ht="8.1" customHeight="1" x14ac:dyDescent="0.25">
      <c r="A47" s="84"/>
      <c r="B47" s="83"/>
      <c r="C47" s="83"/>
      <c r="D47" s="83"/>
      <c r="E47" s="83"/>
      <c r="F47" s="83"/>
      <c r="G47" s="83"/>
      <c r="H47" s="83"/>
      <c r="I47" s="83"/>
      <c r="J47" s="83"/>
      <c r="K47" s="83"/>
      <c r="L47" s="83"/>
      <c r="M47" s="83"/>
      <c r="N47" s="83"/>
      <c r="O47" s="83"/>
      <c r="P47" s="83"/>
      <c r="Q47" s="83"/>
      <c r="R47" s="83"/>
      <c r="S47" s="83"/>
      <c r="T47" s="82"/>
      <c r="U47" s="82"/>
      <c r="V47" s="82"/>
      <c r="W47" s="82"/>
      <c r="X47" s="75"/>
      <c r="Y47" s="10"/>
      <c r="Z47" s="1"/>
      <c r="AA47" s="1"/>
      <c r="AB47" s="1"/>
      <c r="AC47" s="1"/>
      <c r="AD47" s="1"/>
      <c r="AE47" s="1"/>
    </row>
    <row r="48" spans="1:31" ht="8.1" customHeight="1" x14ac:dyDescent="0.25">
      <c r="A48" s="84"/>
      <c r="B48" s="83"/>
      <c r="C48" s="83"/>
      <c r="D48" s="83"/>
      <c r="E48" s="83"/>
      <c r="F48" s="83"/>
      <c r="G48" s="83"/>
      <c r="H48" s="83"/>
      <c r="I48" s="83"/>
      <c r="J48" s="83"/>
      <c r="K48" s="83"/>
      <c r="L48" s="83"/>
      <c r="M48" s="83"/>
      <c r="N48" s="83"/>
      <c r="O48" s="83"/>
      <c r="P48" s="83"/>
      <c r="Q48" s="83"/>
      <c r="R48" s="83"/>
      <c r="S48" s="83"/>
      <c r="T48" s="82"/>
      <c r="U48" s="82"/>
      <c r="V48" s="82"/>
      <c r="W48" s="82"/>
      <c r="X48" s="75"/>
      <c r="Y48" s="10"/>
      <c r="Z48" s="1"/>
      <c r="AA48" s="1"/>
      <c r="AB48" s="1"/>
      <c r="AC48" s="1"/>
      <c r="AD48" s="1"/>
      <c r="AE48" s="1"/>
    </row>
    <row r="49" spans="1:31" ht="8.1" customHeight="1" x14ac:dyDescent="0.25">
      <c r="A49" s="84"/>
      <c r="B49" s="83"/>
      <c r="C49" s="83"/>
      <c r="D49" s="83"/>
      <c r="E49" s="83"/>
      <c r="F49" s="83"/>
      <c r="G49" s="83"/>
      <c r="H49" s="83"/>
      <c r="I49" s="83"/>
      <c r="J49" s="83"/>
      <c r="K49" s="83"/>
      <c r="L49" s="83"/>
      <c r="M49" s="83"/>
      <c r="N49" s="83"/>
      <c r="O49" s="83"/>
      <c r="P49" s="83"/>
      <c r="Q49" s="83"/>
      <c r="R49" s="83"/>
      <c r="S49" s="83"/>
      <c r="T49" s="82"/>
      <c r="U49" s="82"/>
      <c r="V49" s="82"/>
      <c r="W49" s="82"/>
      <c r="X49" s="75"/>
      <c r="Y49" s="10"/>
      <c r="Z49" s="1"/>
      <c r="AA49" s="1"/>
      <c r="AB49" s="1"/>
      <c r="AC49" s="1"/>
      <c r="AD49" s="1"/>
      <c r="AE49" s="1"/>
    </row>
    <row r="50" spans="1:31" ht="8.1" customHeight="1" x14ac:dyDescent="0.25">
      <c r="A50" s="84"/>
      <c r="B50" s="83"/>
      <c r="C50" s="83"/>
      <c r="D50" s="83"/>
      <c r="E50" s="83"/>
      <c r="F50" s="83"/>
      <c r="G50" s="83"/>
      <c r="H50" s="83"/>
      <c r="I50" s="83"/>
      <c r="J50" s="83"/>
      <c r="K50" s="83"/>
      <c r="L50" s="83"/>
      <c r="M50" s="83"/>
      <c r="N50" s="83"/>
      <c r="O50" s="83"/>
      <c r="P50" s="83"/>
      <c r="Q50" s="83"/>
      <c r="R50" s="83"/>
      <c r="S50" s="83"/>
      <c r="T50" s="82"/>
      <c r="U50" s="82"/>
      <c r="V50" s="82"/>
      <c r="W50" s="82"/>
      <c r="X50" s="75"/>
      <c r="Y50" s="10"/>
      <c r="Z50" s="1"/>
      <c r="AA50" s="1"/>
      <c r="AB50" s="1"/>
      <c r="AC50" s="1"/>
      <c r="AD50" s="1"/>
      <c r="AE50" s="1"/>
    </row>
    <row r="51" spans="1:31" ht="8.1" customHeight="1" x14ac:dyDescent="0.25">
      <c r="A51" s="84"/>
      <c r="B51" s="83"/>
      <c r="C51" s="83"/>
      <c r="D51" s="83"/>
      <c r="E51" s="83"/>
      <c r="F51" s="83"/>
      <c r="G51" s="83"/>
      <c r="H51" s="83"/>
      <c r="I51" s="83"/>
      <c r="J51" s="83"/>
      <c r="K51" s="83"/>
      <c r="L51" s="83"/>
      <c r="M51" s="83"/>
      <c r="N51" s="83"/>
      <c r="O51" s="83"/>
      <c r="P51" s="83"/>
      <c r="Q51" s="83"/>
      <c r="R51" s="83"/>
      <c r="S51" s="83"/>
      <c r="T51" s="82"/>
      <c r="U51" s="82"/>
      <c r="V51" s="82"/>
      <c r="W51" s="82"/>
      <c r="X51" s="75"/>
      <c r="Y51" s="10"/>
      <c r="Z51" s="1"/>
      <c r="AA51" s="1"/>
      <c r="AB51" s="1"/>
      <c r="AC51" s="1"/>
      <c r="AD51" s="1"/>
      <c r="AE51" s="1"/>
    </row>
    <row r="52" spans="1:31" ht="8.1" customHeight="1" x14ac:dyDescent="0.25">
      <c r="A52" s="84"/>
      <c r="B52" s="83"/>
      <c r="C52" s="83"/>
      <c r="D52" s="83"/>
      <c r="E52" s="83"/>
      <c r="F52" s="83"/>
      <c r="G52" s="83"/>
      <c r="H52" s="83"/>
      <c r="I52" s="83"/>
      <c r="J52" s="83"/>
      <c r="K52" s="83"/>
      <c r="L52" s="83"/>
      <c r="M52" s="83"/>
      <c r="N52" s="83"/>
      <c r="O52" s="83"/>
      <c r="P52" s="83"/>
      <c r="Q52" s="83"/>
      <c r="R52" s="83"/>
      <c r="S52" s="83"/>
      <c r="T52" s="82"/>
      <c r="U52" s="82"/>
      <c r="V52" s="82"/>
      <c r="W52" s="82"/>
      <c r="X52" s="75"/>
      <c r="Y52" s="10"/>
      <c r="Z52" s="1"/>
      <c r="AA52" s="1"/>
      <c r="AB52" s="1"/>
      <c r="AC52" s="1"/>
      <c r="AD52" s="1"/>
      <c r="AE52" s="1"/>
    </row>
    <row r="53" spans="1:31" ht="8.1" customHeight="1" x14ac:dyDescent="0.25">
      <c r="A53" s="84"/>
      <c r="B53" s="83"/>
      <c r="C53" s="83"/>
      <c r="D53" s="83"/>
      <c r="E53" s="83"/>
      <c r="F53" s="83"/>
      <c r="G53" s="83"/>
      <c r="H53" s="83"/>
      <c r="I53" s="83"/>
      <c r="J53" s="83"/>
      <c r="K53" s="83"/>
      <c r="L53" s="83"/>
      <c r="M53" s="83"/>
      <c r="N53" s="83"/>
      <c r="O53" s="83"/>
      <c r="P53" s="83"/>
      <c r="Q53" s="83"/>
      <c r="R53" s="83"/>
      <c r="S53" s="83"/>
      <c r="T53" s="82"/>
      <c r="U53" s="82"/>
      <c r="V53" s="82"/>
      <c r="W53" s="82"/>
      <c r="X53" s="75"/>
      <c r="Y53" s="10"/>
      <c r="Z53" s="1"/>
      <c r="AA53" s="1"/>
      <c r="AB53" s="1"/>
      <c r="AC53" s="1"/>
      <c r="AD53" s="1"/>
      <c r="AE53" s="1"/>
    </row>
    <row r="54" spans="1:31" ht="8.1" customHeight="1" x14ac:dyDescent="0.25">
      <c r="A54" s="84"/>
      <c r="B54" s="83"/>
      <c r="C54" s="83"/>
      <c r="D54" s="83"/>
      <c r="E54" s="83"/>
      <c r="F54" s="83"/>
      <c r="G54" s="83"/>
      <c r="H54" s="83"/>
      <c r="I54" s="83"/>
      <c r="J54" s="83"/>
      <c r="K54" s="83"/>
      <c r="L54" s="83"/>
      <c r="M54" s="83"/>
      <c r="N54" s="83"/>
      <c r="O54" s="83"/>
      <c r="P54" s="83"/>
      <c r="Q54" s="83"/>
      <c r="R54" s="83"/>
      <c r="S54" s="83"/>
      <c r="T54" s="82"/>
      <c r="U54" s="82"/>
      <c r="V54" s="82"/>
      <c r="W54" s="82"/>
      <c r="X54" s="75"/>
      <c r="Y54" s="10"/>
      <c r="Z54" s="1"/>
      <c r="AA54" s="1"/>
      <c r="AB54" s="1"/>
      <c r="AC54" s="1"/>
      <c r="AD54" s="1"/>
      <c r="AE54" s="1"/>
    </row>
    <row r="55" spans="1:31" ht="8.1" customHeight="1" x14ac:dyDescent="0.25">
      <c r="A55" s="84"/>
      <c r="B55" s="83"/>
      <c r="C55" s="83"/>
      <c r="D55" s="83"/>
      <c r="E55" s="83"/>
      <c r="F55" s="83"/>
      <c r="G55" s="83"/>
      <c r="H55" s="83"/>
      <c r="I55" s="83"/>
      <c r="J55" s="83"/>
      <c r="K55" s="83"/>
      <c r="L55" s="83"/>
      <c r="M55" s="83"/>
      <c r="N55" s="83"/>
      <c r="O55" s="83"/>
      <c r="P55" s="83"/>
      <c r="Q55" s="83"/>
      <c r="R55" s="83"/>
      <c r="S55" s="83"/>
      <c r="T55" s="82"/>
      <c r="U55" s="82"/>
      <c r="V55" s="82"/>
      <c r="W55" s="82"/>
      <c r="X55" s="75"/>
      <c r="Y55" s="10"/>
      <c r="Z55" s="1"/>
      <c r="AA55" s="1"/>
      <c r="AB55" s="1"/>
      <c r="AC55" s="1"/>
      <c r="AD55" s="1"/>
      <c r="AE55" s="1"/>
    </row>
    <row r="56" spans="1:31" ht="8.1" customHeight="1" x14ac:dyDescent="0.25">
      <c r="A56" s="84"/>
      <c r="B56" s="83"/>
      <c r="C56" s="83"/>
      <c r="D56" s="83"/>
      <c r="E56" s="83"/>
      <c r="F56" s="83"/>
      <c r="G56" s="83"/>
      <c r="H56" s="83"/>
      <c r="I56" s="83"/>
      <c r="J56" s="83"/>
      <c r="K56" s="83"/>
      <c r="L56" s="83"/>
      <c r="M56" s="83"/>
      <c r="N56" s="83"/>
      <c r="O56" s="83"/>
      <c r="P56" s="83"/>
      <c r="Q56" s="83"/>
      <c r="R56" s="83"/>
      <c r="S56" s="83"/>
      <c r="T56" s="82"/>
      <c r="U56" s="82"/>
      <c r="V56" s="82"/>
      <c r="W56" s="82"/>
      <c r="X56" s="75"/>
      <c r="Y56" s="10"/>
      <c r="Z56" s="1"/>
      <c r="AA56" s="1"/>
      <c r="AB56" s="1"/>
      <c r="AC56" s="1"/>
      <c r="AD56" s="1"/>
      <c r="AE56" s="1"/>
    </row>
    <row r="57" spans="1:31" ht="8.1" customHeight="1" x14ac:dyDescent="0.25">
      <c r="A57" s="84"/>
      <c r="B57" s="83"/>
      <c r="C57" s="83"/>
      <c r="D57" s="83"/>
      <c r="E57" s="83"/>
      <c r="F57" s="83"/>
      <c r="G57" s="83"/>
      <c r="H57" s="83"/>
      <c r="I57" s="83"/>
      <c r="J57" s="83"/>
      <c r="K57" s="83"/>
      <c r="L57" s="83"/>
      <c r="M57" s="83"/>
      <c r="N57" s="83"/>
      <c r="O57" s="83"/>
      <c r="P57" s="83"/>
      <c r="Q57" s="83"/>
      <c r="R57" s="83"/>
      <c r="S57" s="83"/>
      <c r="T57" s="82"/>
      <c r="U57" s="82"/>
      <c r="V57" s="82"/>
      <c r="W57" s="82"/>
      <c r="X57" s="75"/>
      <c r="Y57" s="10"/>
      <c r="Z57" s="1"/>
      <c r="AA57" s="1"/>
      <c r="AB57" s="1"/>
      <c r="AC57" s="1"/>
      <c r="AD57" s="1"/>
      <c r="AE57" s="1"/>
    </row>
    <row r="58" spans="1:31" ht="8.1" customHeight="1" x14ac:dyDescent="0.25">
      <c r="A58" s="81"/>
      <c r="B58" s="83"/>
      <c r="C58" s="83"/>
      <c r="D58" s="83"/>
      <c r="E58" s="83"/>
      <c r="F58" s="83"/>
      <c r="G58" s="83"/>
      <c r="H58" s="83"/>
      <c r="I58" s="83"/>
      <c r="J58" s="83"/>
      <c r="K58" s="83"/>
      <c r="L58" s="83"/>
      <c r="M58" s="83"/>
      <c r="N58" s="83"/>
      <c r="O58" s="83"/>
      <c r="P58" s="83"/>
      <c r="Q58" s="83"/>
      <c r="R58" s="83"/>
      <c r="S58" s="83"/>
      <c r="T58" s="82"/>
      <c r="U58" s="82"/>
      <c r="V58" s="82"/>
      <c r="W58" s="82"/>
      <c r="X58" s="75"/>
      <c r="Y58" s="10"/>
      <c r="Z58" s="1"/>
      <c r="AA58" s="1"/>
      <c r="AB58" s="1"/>
      <c r="AC58" s="1"/>
      <c r="AD58" s="1"/>
      <c r="AE58" s="1"/>
    </row>
    <row r="59" spans="1:31" ht="8.1" customHeight="1" x14ac:dyDescent="0.25">
      <c r="A59" s="81"/>
      <c r="B59" s="77"/>
      <c r="C59" s="77"/>
      <c r="D59" s="80"/>
      <c r="E59" s="80"/>
      <c r="F59" s="77"/>
      <c r="G59" s="77"/>
      <c r="H59" s="79"/>
      <c r="I59" s="79"/>
      <c r="J59" s="79"/>
      <c r="K59" s="79"/>
      <c r="L59" s="78"/>
      <c r="M59" s="78"/>
      <c r="N59" s="77"/>
      <c r="O59" s="77"/>
      <c r="P59" s="8"/>
      <c r="Q59" s="8"/>
      <c r="R59" s="8"/>
      <c r="S59" s="8"/>
      <c r="T59" s="76"/>
      <c r="U59" s="76"/>
      <c r="V59" s="76"/>
      <c r="W59" s="76"/>
      <c r="X59" s="75"/>
      <c r="Y59" s="10"/>
      <c r="Z59" s="1"/>
      <c r="AA59" s="1"/>
      <c r="AB59" s="1"/>
      <c r="AC59" s="1"/>
      <c r="AD59" s="1"/>
      <c r="AE59" s="1"/>
    </row>
    <row r="60" spans="1:31" ht="8.1" customHeight="1" x14ac:dyDescent="0.25">
      <c r="A60" s="81"/>
      <c r="B60" s="77"/>
      <c r="C60" s="77"/>
      <c r="D60" s="80"/>
      <c r="E60" s="80"/>
      <c r="F60" s="77"/>
      <c r="G60" s="77"/>
      <c r="H60" s="79"/>
      <c r="I60" s="79"/>
      <c r="J60" s="79"/>
      <c r="K60" s="79"/>
      <c r="L60" s="78"/>
      <c r="M60" s="78"/>
      <c r="N60" s="77"/>
      <c r="O60" s="77"/>
      <c r="P60" s="8"/>
      <c r="Q60" s="8"/>
      <c r="R60" s="8"/>
      <c r="S60" s="8"/>
      <c r="T60" s="76"/>
      <c r="U60" s="76"/>
      <c r="V60" s="76"/>
      <c r="W60" s="76"/>
      <c r="X60" s="75"/>
      <c r="Y60" s="10"/>
      <c r="Z60" s="1"/>
      <c r="AA60" s="1"/>
      <c r="AB60" s="1"/>
      <c r="AC60" s="1"/>
      <c r="AD60" s="1"/>
      <c r="AE60" s="1"/>
    </row>
    <row r="61" spans="1:31" ht="8.1" customHeight="1" thickBot="1" x14ac:dyDescent="0.3">
      <c r="A61" s="74"/>
      <c r="B61" s="73"/>
      <c r="C61" s="73"/>
      <c r="D61" s="73"/>
      <c r="E61" s="73"/>
      <c r="F61" s="73"/>
      <c r="G61" s="73"/>
      <c r="H61" s="73"/>
      <c r="I61" s="73"/>
      <c r="J61" s="73"/>
      <c r="K61" s="73"/>
      <c r="L61" s="73"/>
      <c r="M61" s="73"/>
      <c r="N61" s="73"/>
      <c r="O61" s="73"/>
      <c r="P61" s="72"/>
      <c r="Q61" s="72"/>
      <c r="R61" s="72"/>
      <c r="S61" s="72"/>
      <c r="T61" s="72"/>
      <c r="U61" s="72"/>
      <c r="V61" s="72"/>
      <c r="W61" s="72"/>
      <c r="X61" s="71"/>
      <c r="Y61" s="10"/>
      <c r="Z61" s="1"/>
      <c r="AA61" s="1"/>
      <c r="AB61" s="1"/>
      <c r="AC61" s="1"/>
      <c r="AD61" s="1"/>
      <c r="AE61" s="1"/>
    </row>
    <row r="62" spans="1:31" ht="8.1" customHeight="1" x14ac:dyDescent="0.25">
      <c r="A62" s="508" t="str">
        <f>"NOTES: Design is in accordance with ASCE 7-10 (ASD method) and the Florida Building Code Sixth Edition . Results are not valid for use unless approved via original signature and raised engineer seal of a PE from Engineering Express. " &amp; AJ86 &amp; "Selection &amp; installation of products shall be approved using these dimensions and pressures as verified by others."</f>
        <v>NOTES: Design is in accordance with ASCE 7-10 (ASD method) and the Florida Building Code Sixth Edition . Results are not valid for use unless approved via original signature and raised engineer seal of a PE from Engineering Express. Selection &amp; installation of products shall be approved using these dimensions and pressures as verified by others.</v>
      </c>
      <c r="B62" s="509"/>
      <c r="C62" s="509"/>
      <c r="D62" s="509"/>
      <c r="E62" s="509"/>
      <c r="F62" s="509"/>
      <c r="G62" s="509"/>
      <c r="H62" s="509"/>
      <c r="I62" s="509"/>
      <c r="J62" s="509"/>
      <c r="K62" s="509"/>
      <c r="L62" s="509"/>
      <c r="M62" s="509"/>
      <c r="N62" s="510" t="s">
        <v>72</v>
      </c>
      <c r="O62" s="511"/>
      <c r="P62" s="511"/>
      <c r="Q62" s="511"/>
      <c r="R62" s="511"/>
      <c r="S62" s="512"/>
      <c r="T62" s="513" t="s">
        <v>71</v>
      </c>
      <c r="U62" s="514"/>
      <c r="V62" s="514"/>
      <c r="W62" s="514"/>
      <c r="X62" s="515"/>
      <c r="Y62" s="70"/>
      <c r="Z62" s="1"/>
      <c r="AA62" s="1"/>
      <c r="AB62" s="1"/>
      <c r="AC62" s="1"/>
      <c r="AD62" s="1"/>
      <c r="AE62" s="1"/>
    </row>
    <row r="63" spans="1:31" ht="8.1" customHeight="1" x14ac:dyDescent="0.25">
      <c r="A63" s="508"/>
      <c r="B63" s="509"/>
      <c r="C63" s="509"/>
      <c r="D63" s="509"/>
      <c r="E63" s="509"/>
      <c r="F63" s="509"/>
      <c r="G63" s="509"/>
      <c r="H63" s="509"/>
      <c r="I63" s="509"/>
      <c r="J63" s="509"/>
      <c r="K63" s="509"/>
      <c r="L63" s="509"/>
      <c r="M63" s="509"/>
      <c r="N63" s="68"/>
      <c r="O63" s="30"/>
      <c r="P63" s="30"/>
      <c r="Q63" s="30"/>
      <c r="R63" s="30"/>
      <c r="S63" s="30"/>
      <c r="T63" s="513"/>
      <c r="U63" s="514"/>
      <c r="V63" s="514"/>
      <c r="W63" s="514"/>
      <c r="X63" s="515"/>
      <c r="Y63" s="67"/>
      <c r="Z63" s="1"/>
      <c r="AA63" s="1"/>
      <c r="AB63" s="1"/>
      <c r="AC63" s="1"/>
      <c r="AD63" s="1"/>
      <c r="AE63" s="1"/>
    </row>
    <row r="64" spans="1:31" ht="8.1" customHeight="1" x14ac:dyDescent="0.25">
      <c r="A64" s="508"/>
      <c r="B64" s="509"/>
      <c r="C64" s="509"/>
      <c r="D64" s="509"/>
      <c r="E64" s="509"/>
      <c r="F64" s="509"/>
      <c r="G64" s="509"/>
      <c r="H64" s="509"/>
      <c r="I64" s="509"/>
      <c r="J64" s="509"/>
      <c r="K64" s="509"/>
      <c r="L64" s="509"/>
      <c r="M64" s="509"/>
      <c r="N64" s="68"/>
      <c r="O64" s="30"/>
      <c r="P64" s="30"/>
      <c r="Q64" s="30"/>
      <c r="R64" s="30"/>
      <c r="S64" s="30"/>
      <c r="T64" s="516" t="s">
        <v>8</v>
      </c>
      <c r="U64" s="517"/>
      <c r="V64" s="517"/>
      <c r="W64" s="517"/>
      <c r="X64" s="518"/>
      <c r="Y64" s="10"/>
      <c r="Z64" s="1"/>
      <c r="AA64" s="1"/>
      <c r="AB64" s="1"/>
      <c r="AC64" s="1"/>
      <c r="AD64" s="1"/>
      <c r="AE64" s="1"/>
    </row>
    <row r="65" spans="1:31" ht="4.5" customHeight="1" x14ac:dyDescent="0.25">
      <c r="A65" s="508"/>
      <c r="B65" s="509"/>
      <c r="C65" s="509"/>
      <c r="D65" s="509"/>
      <c r="E65" s="509"/>
      <c r="F65" s="509"/>
      <c r="G65" s="509"/>
      <c r="H65" s="509"/>
      <c r="I65" s="509"/>
      <c r="J65" s="509"/>
      <c r="K65" s="509"/>
      <c r="L65" s="509"/>
      <c r="M65" s="509"/>
      <c r="N65" s="68"/>
      <c r="O65" s="30"/>
      <c r="P65" s="30"/>
      <c r="Q65" s="30"/>
      <c r="R65" s="30"/>
      <c r="S65" s="30"/>
      <c r="T65" s="516"/>
      <c r="U65" s="517"/>
      <c r="V65" s="517"/>
      <c r="W65" s="517"/>
      <c r="X65" s="518"/>
      <c r="Y65" s="10"/>
      <c r="Z65" s="1"/>
      <c r="AA65" s="1"/>
      <c r="AB65" s="1"/>
      <c r="AC65" s="1"/>
      <c r="AD65" s="1"/>
      <c r="AE65" s="1"/>
    </row>
    <row r="66" spans="1:31" ht="8.1" customHeight="1" x14ac:dyDescent="0.25">
      <c r="A66" s="525" t="str">
        <f>"Note: For openings to be properly rated in Zone 4, no part of the opening shall be within " &amp; AJ91 &amp;  AJ92</f>
        <v>Note: For openings to be properly rated in Zone 4, no part of the opening shall be within End zone feet of any building corner. This engineer has not field visited this location and if this cannot be clearly identified by others, the opening shall be re-evaluated prior to installation of any fenestration.  All other information provided above including mean roof height, building minimum dimensions, opening sizes, &amp; other supporting data was provided by others.  For definitions of the above terms, visit EngineeringExpress.com/Wiki "</v>
      </c>
      <c r="B66" s="526"/>
      <c r="C66" s="526"/>
      <c r="D66" s="526"/>
      <c r="E66" s="526"/>
      <c r="F66" s="526"/>
      <c r="G66" s="526"/>
      <c r="H66" s="526"/>
      <c r="I66" s="526"/>
      <c r="J66" s="526"/>
      <c r="K66" s="526"/>
      <c r="L66" s="526"/>
      <c r="M66" s="526"/>
      <c r="N66" s="68"/>
      <c r="O66" s="30"/>
      <c r="P66" s="30"/>
      <c r="Q66" s="30"/>
      <c r="R66" s="30"/>
      <c r="S66" s="30"/>
      <c r="T66" s="519">
        <f ca="1">TODAY()</f>
        <v>43454</v>
      </c>
      <c r="U66" s="520"/>
      <c r="V66" s="520"/>
      <c r="W66" s="520"/>
      <c r="X66" s="521"/>
      <c r="Y66" s="69"/>
      <c r="Z66" s="1"/>
      <c r="AA66" s="1"/>
      <c r="AB66" s="1"/>
      <c r="AC66" s="1"/>
      <c r="AD66" s="1"/>
      <c r="AE66" s="1"/>
    </row>
    <row r="67" spans="1:31" ht="8.1" customHeight="1" x14ac:dyDescent="0.25">
      <c r="A67" s="525"/>
      <c r="B67" s="526"/>
      <c r="C67" s="526"/>
      <c r="D67" s="526"/>
      <c r="E67" s="526"/>
      <c r="F67" s="526"/>
      <c r="G67" s="526"/>
      <c r="H67" s="526"/>
      <c r="I67" s="526"/>
      <c r="J67" s="526"/>
      <c r="K67" s="526"/>
      <c r="L67" s="526"/>
      <c r="M67" s="526"/>
      <c r="N67" s="68"/>
      <c r="O67" s="30"/>
      <c r="P67" s="30"/>
      <c r="Q67" s="30"/>
      <c r="R67" s="30"/>
      <c r="S67" s="30"/>
      <c r="T67" s="513" t="s">
        <v>7</v>
      </c>
      <c r="U67" s="514"/>
      <c r="V67" s="514"/>
      <c r="W67" s="514"/>
      <c r="X67" s="515"/>
      <c r="Y67" s="67"/>
      <c r="Z67" s="1"/>
      <c r="AA67" s="1"/>
      <c r="AB67" s="1"/>
      <c r="AC67" s="1"/>
      <c r="AD67" s="1"/>
      <c r="AE67" s="1"/>
    </row>
    <row r="68" spans="1:31" ht="8.1" customHeight="1" x14ac:dyDescent="0.25">
      <c r="A68" s="525"/>
      <c r="B68" s="526"/>
      <c r="C68" s="526"/>
      <c r="D68" s="526"/>
      <c r="E68" s="526"/>
      <c r="F68" s="526"/>
      <c r="G68" s="526"/>
      <c r="H68" s="526"/>
      <c r="I68" s="526"/>
      <c r="J68" s="526"/>
      <c r="K68" s="526"/>
      <c r="L68" s="526"/>
      <c r="M68" s="526"/>
      <c r="N68" s="68"/>
      <c r="O68" s="30"/>
      <c r="P68" s="30"/>
      <c r="Q68" s="30"/>
      <c r="R68" s="30"/>
      <c r="S68" s="30"/>
      <c r="T68" s="513" t="s">
        <v>10</v>
      </c>
      <c r="U68" s="514"/>
      <c r="V68" s="514"/>
      <c r="W68" s="514"/>
      <c r="X68" s="515"/>
      <c r="Y68" s="67"/>
      <c r="Z68" s="1"/>
      <c r="AA68" s="1"/>
      <c r="AB68" s="1"/>
      <c r="AC68" s="1"/>
      <c r="AD68" s="1"/>
      <c r="AE68" s="1"/>
    </row>
    <row r="69" spans="1:31" ht="2.25" customHeight="1" x14ac:dyDescent="0.25">
      <c r="A69" s="527"/>
      <c r="B69" s="528"/>
      <c r="C69" s="528"/>
      <c r="D69" s="528"/>
      <c r="E69" s="528"/>
      <c r="F69" s="528"/>
      <c r="G69" s="528"/>
      <c r="H69" s="528"/>
      <c r="I69" s="528"/>
      <c r="J69" s="528"/>
      <c r="K69" s="528"/>
      <c r="L69" s="528"/>
      <c r="M69" s="528"/>
      <c r="N69" s="65"/>
      <c r="O69" s="66"/>
      <c r="P69" s="66"/>
      <c r="Q69" s="66"/>
      <c r="R69" s="66"/>
      <c r="S69" s="66"/>
      <c r="T69" s="65"/>
      <c r="U69" s="2"/>
      <c r="V69" s="2"/>
      <c r="W69" s="2"/>
      <c r="X69" s="64"/>
      <c r="Y69" s="64"/>
      <c r="Z69" s="1"/>
      <c r="AA69" s="1"/>
      <c r="AB69" s="1"/>
      <c r="AC69" s="1"/>
      <c r="AD69" s="1"/>
      <c r="AE69" s="1"/>
    </row>
    <row r="70" spans="1:31" ht="8.1" customHeight="1" x14ac:dyDescent="0.25">
      <c r="A70" s="522" t="s">
        <v>70</v>
      </c>
      <c r="B70" s="522"/>
      <c r="C70" s="522"/>
      <c r="D70" s="522"/>
      <c r="E70" s="522"/>
      <c r="F70" s="522"/>
      <c r="G70" s="522"/>
      <c r="H70" s="522"/>
      <c r="I70" s="522"/>
      <c r="J70" s="522"/>
      <c r="K70" s="522"/>
      <c r="L70" s="522"/>
      <c r="M70" s="522"/>
      <c r="N70" s="522"/>
      <c r="O70" s="522"/>
      <c r="P70" s="522"/>
      <c r="Q70" s="522"/>
      <c r="R70" s="522"/>
      <c r="S70" s="522"/>
      <c r="T70" s="523"/>
      <c r="U70" s="523"/>
      <c r="V70" s="523"/>
      <c r="W70" s="523"/>
      <c r="X70" s="523"/>
      <c r="Y70" s="62"/>
      <c r="Z70" s="1"/>
      <c r="AA70" s="1"/>
      <c r="AB70" s="1"/>
      <c r="AC70" s="1"/>
      <c r="AD70" s="1"/>
      <c r="AE70" s="1"/>
    </row>
    <row r="71" spans="1:31" ht="8.1" customHeight="1" x14ac:dyDescent="0.25">
      <c r="A71" s="524" t="s">
        <v>69</v>
      </c>
      <c r="B71" s="524"/>
      <c r="C71" s="524"/>
      <c r="D71" s="524"/>
      <c r="E71" s="524"/>
      <c r="F71" s="524"/>
      <c r="G71" s="524"/>
      <c r="H71" s="524"/>
      <c r="I71" s="524"/>
      <c r="J71" s="524"/>
      <c r="K71" s="524"/>
      <c r="L71" s="524"/>
      <c r="M71" s="524"/>
      <c r="N71" s="524"/>
      <c r="O71" s="524"/>
      <c r="P71" s="524"/>
      <c r="Q71" s="524"/>
      <c r="R71" s="524"/>
      <c r="S71" s="524"/>
      <c r="T71" s="524"/>
      <c r="U71" s="524"/>
      <c r="V71" s="524"/>
      <c r="W71" s="524"/>
      <c r="X71" s="524"/>
      <c r="Y71" s="63"/>
      <c r="Z71" s="1"/>
      <c r="AA71" s="1"/>
      <c r="AB71" s="1"/>
      <c r="AC71" s="1"/>
      <c r="AD71" s="1"/>
      <c r="AE71" s="1"/>
    </row>
    <row r="72" spans="1:31" ht="8.1" customHeight="1" x14ac:dyDescent="0.25">
      <c r="A72" s="523" t="s">
        <v>68</v>
      </c>
      <c r="B72" s="523"/>
      <c r="C72" s="523"/>
      <c r="D72" s="523"/>
      <c r="E72" s="523"/>
      <c r="F72" s="523"/>
      <c r="G72" s="523"/>
      <c r="H72" s="523"/>
      <c r="I72" s="523"/>
      <c r="J72" s="523"/>
      <c r="K72" s="523"/>
      <c r="L72" s="523"/>
      <c r="M72" s="523"/>
      <c r="N72" s="523"/>
      <c r="O72" s="523"/>
      <c r="P72" s="523"/>
      <c r="Q72" s="523"/>
      <c r="R72" s="523"/>
      <c r="S72" s="523"/>
      <c r="T72" s="523"/>
      <c r="U72" s="523"/>
      <c r="V72" s="523"/>
      <c r="W72" s="523"/>
      <c r="X72" s="523"/>
      <c r="Y72" s="62"/>
      <c r="Z72" s="1"/>
      <c r="AA72" s="1"/>
      <c r="AB72" s="1"/>
      <c r="AC72" s="1"/>
      <c r="AD72" s="1"/>
      <c r="AE72" s="1"/>
    </row>
    <row r="73" spans="1:31" ht="8.1" hidden="1" customHeight="1" x14ac:dyDescent="0.25">
      <c r="A73" s="37"/>
      <c r="B73" s="61"/>
      <c r="C73" s="61"/>
      <c r="D73" s="61"/>
      <c r="E73" s="61"/>
      <c r="F73" s="61"/>
      <c r="G73" s="61"/>
      <c r="H73" s="61"/>
      <c r="I73" s="61"/>
      <c r="J73" s="61"/>
      <c r="K73" s="61"/>
      <c r="L73" s="61"/>
      <c r="M73" s="61"/>
      <c r="N73" s="30"/>
      <c r="O73" s="30"/>
      <c r="P73" s="30"/>
      <c r="Q73" s="30"/>
      <c r="R73" s="30"/>
      <c r="S73" s="30"/>
      <c r="T73" s="30"/>
      <c r="U73" s="1"/>
      <c r="V73" s="32"/>
      <c r="W73" s="32"/>
      <c r="X73" s="32"/>
      <c r="Y73" s="32"/>
      <c r="Z73" s="1"/>
      <c r="AA73" s="1"/>
      <c r="AB73" s="1"/>
      <c r="AC73" s="1"/>
      <c r="AD73" s="1"/>
      <c r="AE73" s="1"/>
    </row>
    <row r="74" spans="1:31" ht="8.1" hidden="1" customHeight="1" x14ac:dyDescent="0.25">
      <c r="A74" s="37"/>
      <c r="B74" s="37"/>
      <c r="C74" s="37"/>
      <c r="D74" s="37"/>
      <c r="E74" s="37"/>
      <c r="F74" s="37"/>
      <c r="G74" s="37"/>
      <c r="H74" s="37"/>
      <c r="I74" s="37"/>
      <c r="J74" s="37"/>
      <c r="K74" s="37"/>
      <c r="L74" s="37"/>
      <c r="M74" s="37"/>
      <c r="N74" s="30"/>
      <c r="O74" s="30"/>
      <c r="P74" s="30"/>
      <c r="Q74" s="30"/>
      <c r="R74" s="30"/>
      <c r="S74" s="30"/>
      <c r="T74" s="30"/>
      <c r="U74" s="1"/>
      <c r="V74" s="32"/>
      <c r="W74" s="32"/>
      <c r="X74" s="32"/>
      <c r="Y74" s="32"/>
      <c r="Z74" s="1"/>
      <c r="AA74" s="1"/>
      <c r="AB74" s="1"/>
      <c r="AC74" s="1"/>
      <c r="AD74" s="1"/>
      <c r="AE74" s="1"/>
    </row>
    <row r="75" spans="1:31" ht="8.1" hidden="1" customHeight="1" x14ac:dyDescent="0.25">
      <c r="A75" s="37"/>
      <c r="B75" s="37"/>
      <c r="C75" s="37"/>
      <c r="D75" s="37"/>
      <c r="E75" s="37"/>
      <c r="F75" s="37"/>
      <c r="G75" s="37"/>
      <c r="H75" s="37"/>
      <c r="I75" s="37"/>
      <c r="J75" s="37"/>
      <c r="K75" s="37"/>
      <c r="L75" s="37"/>
      <c r="M75" s="37"/>
      <c r="N75" s="30"/>
      <c r="O75" s="30"/>
      <c r="P75" s="30"/>
      <c r="Q75" s="30"/>
      <c r="R75" s="30"/>
      <c r="S75" s="30"/>
      <c r="T75" s="30"/>
      <c r="U75" s="1"/>
      <c r="V75" s="1"/>
      <c r="W75" s="1"/>
      <c r="X75" s="1"/>
      <c r="Y75" s="1"/>
      <c r="Z75" s="1"/>
      <c r="AA75" s="1"/>
      <c r="AB75" s="1"/>
      <c r="AC75" s="1"/>
      <c r="AD75" s="1"/>
      <c r="AE75" s="1"/>
    </row>
    <row r="76" spans="1:31" ht="8.1" hidden="1" customHeight="1" x14ac:dyDescent="0.25">
      <c r="A76" s="37"/>
      <c r="B76" s="37"/>
      <c r="C76" s="37"/>
      <c r="D76" s="37"/>
      <c r="E76" s="37"/>
      <c r="F76" s="37"/>
      <c r="G76" s="37"/>
      <c r="H76" s="37"/>
      <c r="I76" s="37"/>
      <c r="J76" s="37"/>
      <c r="K76" s="37"/>
      <c r="L76" s="37"/>
      <c r="M76" s="37"/>
      <c r="N76" s="30"/>
      <c r="O76" s="30"/>
      <c r="P76" s="30"/>
      <c r="Q76" s="30"/>
      <c r="R76" s="30"/>
      <c r="S76" s="30"/>
      <c r="T76" s="30"/>
      <c r="U76" s="1"/>
      <c r="V76" s="1"/>
      <c r="W76" s="1"/>
      <c r="X76" s="1"/>
      <c r="Y76" s="1"/>
      <c r="Z76" s="1"/>
      <c r="AA76" s="1"/>
      <c r="AB76" s="1"/>
      <c r="AC76" s="1"/>
      <c r="AD76" s="1"/>
      <c r="AE76" s="1"/>
    </row>
    <row r="77" spans="1:31" ht="8.1" hidden="1" customHeight="1" x14ac:dyDescent="0.25">
      <c r="A77" s="37"/>
      <c r="B77" s="37"/>
      <c r="C77" s="37"/>
      <c r="D77" s="37"/>
      <c r="E77" s="37"/>
      <c r="F77" s="37"/>
      <c r="G77" s="37"/>
      <c r="H77" s="37"/>
      <c r="I77" s="37"/>
      <c r="J77" s="37"/>
      <c r="K77" s="37"/>
      <c r="L77" s="37"/>
      <c r="M77" s="37"/>
      <c r="N77" s="30"/>
      <c r="O77" s="30"/>
      <c r="P77" s="30"/>
      <c r="Q77" s="30"/>
      <c r="R77" s="30"/>
      <c r="S77" s="30"/>
      <c r="T77" s="30"/>
      <c r="U77" s="1"/>
      <c r="V77" s="1"/>
      <c r="W77" s="1"/>
      <c r="X77" s="1"/>
      <c r="Y77" s="1"/>
      <c r="Z77" s="1"/>
      <c r="AA77" s="1"/>
      <c r="AB77" s="1"/>
      <c r="AC77" s="1"/>
      <c r="AD77" s="1"/>
      <c r="AE77" s="1"/>
    </row>
    <row r="78" spans="1:31" ht="8.1" hidden="1" customHeight="1" x14ac:dyDescent="0.25">
      <c r="A78" s="37"/>
      <c r="B78" s="37"/>
      <c r="C78" s="37"/>
      <c r="D78" s="37"/>
      <c r="E78" s="37"/>
      <c r="F78" s="37"/>
      <c r="G78" s="37"/>
      <c r="H78" s="37"/>
      <c r="I78" s="37"/>
      <c r="J78" s="37"/>
      <c r="K78" s="37"/>
      <c r="L78" s="37"/>
      <c r="M78" s="37"/>
      <c r="N78" s="30"/>
      <c r="O78" s="30"/>
      <c r="P78" s="30"/>
      <c r="Q78" s="30"/>
      <c r="R78" s="30"/>
      <c r="S78" s="30"/>
      <c r="T78" s="30"/>
      <c r="U78" s="1"/>
      <c r="V78" s="1"/>
      <c r="W78" s="1"/>
      <c r="X78" s="1"/>
      <c r="Y78" s="1"/>
      <c r="Z78" s="1"/>
      <c r="AA78" s="1"/>
      <c r="AB78" s="1"/>
      <c r="AC78" s="1"/>
      <c r="AD78" s="1"/>
      <c r="AE78" s="1"/>
    </row>
    <row r="79" spans="1:31" ht="8.1" hidden="1" customHeight="1" x14ac:dyDescent="0.25">
      <c r="A79" s="37"/>
      <c r="B79" s="37"/>
      <c r="C79" s="37"/>
      <c r="D79" s="37"/>
      <c r="E79" s="37"/>
      <c r="F79" s="37"/>
      <c r="G79" s="37"/>
      <c r="H79" s="37"/>
      <c r="I79" s="37"/>
      <c r="J79" s="37"/>
      <c r="K79" s="37"/>
      <c r="L79" s="37"/>
      <c r="M79" s="37"/>
      <c r="N79" s="37"/>
      <c r="O79" s="37"/>
      <c r="P79" s="1"/>
      <c r="Q79" s="1"/>
      <c r="R79" s="1"/>
      <c r="S79" s="1"/>
      <c r="T79" s="1"/>
      <c r="U79" s="1"/>
      <c r="V79" s="1"/>
      <c r="W79" s="1"/>
      <c r="X79" s="1"/>
      <c r="Y79" s="1"/>
      <c r="Z79" s="1"/>
      <c r="AA79" s="1"/>
      <c r="AB79" s="1"/>
      <c r="AC79" s="1"/>
      <c r="AD79" s="1"/>
      <c r="AE79" s="1"/>
    </row>
    <row r="80" spans="1:31" ht="8.1" hidden="1" customHeight="1" x14ac:dyDescent="0.25">
      <c r="A80" s="37"/>
      <c r="B80" s="37"/>
      <c r="C80" s="37"/>
      <c r="D80" s="37"/>
      <c r="E80" s="37"/>
      <c r="F80" s="37"/>
      <c r="G80" s="37"/>
      <c r="H80" s="37"/>
      <c r="I80" s="37"/>
      <c r="J80" s="37"/>
      <c r="K80" s="37"/>
      <c r="L80" s="37"/>
      <c r="M80" s="37"/>
      <c r="N80" s="37"/>
      <c r="O80" s="37"/>
      <c r="P80" s="1"/>
      <c r="Q80" s="1"/>
      <c r="R80" s="1"/>
      <c r="S80" s="1"/>
      <c r="T80" s="1"/>
      <c r="U80" s="1"/>
      <c r="V80" s="1"/>
      <c r="W80" s="1"/>
      <c r="X80" s="1"/>
      <c r="Y80" s="1"/>
      <c r="Z80" s="1"/>
      <c r="AA80" s="1"/>
      <c r="AB80" s="1"/>
      <c r="AC80" s="1"/>
      <c r="AD80" s="1"/>
      <c r="AE80" s="1"/>
    </row>
    <row r="81" spans="1:36" ht="8.1" customHeight="1" x14ac:dyDescent="0.25">
      <c r="A81" s="37"/>
      <c r="B81" s="37"/>
      <c r="C81" s="37"/>
      <c r="D81" s="37"/>
      <c r="E81" s="37"/>
      <c r="F81" s="37"/>
      <c r="G81" s="37"/>
      <c r="H81" s="37"/>
      <c r="I81" s="37"/>
      <c r="J81" s="37"/>
      <c r="K81" s="37"/>
      <c r="L81" s="37"/>
      <c r="M81" s="37"/>
      <c r="N81" s="37"/>
      <c r="O81" s="37"/>
      <c r="P81" s="1"/>
      <c r="Q81" s="1"/>
      <c r="R81" s="1"/>
      <c r="S81" s="1"/>
      <c r="T81" s="1"/>
      <c r="U81" s="1"/>
      <c r="V81" s="1"/>
      <c r="W81" s="1"/>
      <c r="X81" s="1"/>
      <c r="Y81" s="1"/>
      <c r="Z81" s="1"/>
      <c r="AA81" s="1"/>
      <c r="AB81" s="1"/>
      <c r="AC81" s="1"/>
      <c r="AD81" s="1"/>
      <c r="AE81" s="1"/>
    </row>
    <row r="82" spans="1:36" ht="8.1" hidden="1" customHeight="1" x14ac:dyDescent="0.25">
      <c r="Y82" s="1"/>
      <c r="Z82" s="1"/>
      <c r="AA82" s="1"/>
      <c r="AB82" s="1"/>
      <c r="AC82" s="1"/>
      <c r="AD82" s="1"/>
      <c r="AE82" s="1"/>
    </row>
    <row r="83" spans="1:36" ht="8.1" hidden="1" customHeight="1" x14ac:dyDescent="0.25">
      <c r="Y83" s="1"/>
      <c r="Z83" s="1"/>
      <c r="AA83" s="1"/>
      <c r="AB83" s="1"/>
      <c r="AC83" s="1"/>
      <c r="AD83" s="1"/>
      <c r="AE83" s="1"/>
    </row>
    <row r="84" spans="1:36" ht="8.1" hidden="1" customHeight="1" x14ac:dyDescent="0.25">
      <c r="A84" s="502"/>
      <c r="B84" s="502"/>
      <c r="C84" s="502"/>
      <c r="D84" s="503"/>
      <c r="E84" s="503"/>
      <c r="F84" s="503"/>
      <c r="G84" s="503"/>
      <c r="H84" s="503"/>
      <c r="I84" s="503"/>
      <c r="J84" s="503"/>
      <c r="K84" s="502"/>
      <c r="L84" s="502"/>
      <c r="M84" s="502"/>
      <c r="N84" s="502"/>
      <c r="O84" s="503"/>
      <c r="P84" s="503"/>
      <c r="Q84" s="503"/>
      <c r="R84" s="503"/>
      <c r="S84" s="503"/>
      <c r="T84" s="503"/>
      <c r="U84" s="503"/>
      <c r="V84" s="503"/>
      <c r="W84" s="503"/>
      <c r="X84" s="503"/>
      <c r="Y84" s="1"/>
      <c r="Z84" s="1"/>
      <c r="AA84" s="1"/>
      <c r="AB84" s="1"/>
      <c r="AC84" s="1"/>
      <c r="AD84" s="1"/>
      <c r="AE84" s="1"/>
    </row>
    <row r="85" spans="1:36" ht="8.1" hidden="1" customHeight="1" x14ac:dyDescent="0.25">
      <c r="A85" s="46"/>
      <c r="B85" s="504"/>
      <c r="C85" s="504"/>
      <c r="D85" s="505"/>
      <c r="E85" s="505"/>
      <c r="F85" s="505"/>
      <c r="G85" s="505"/>
      <c r="H85" s="505"/>
      <c r="I85" s="505"/>
      <c r="J85" s="505"/>
      <c r="K85" s="505"/>
      <c r="L85" s="505"/>
      <c r="M85" s="505"/>
      <c r="N85" s="46"/>
      <c r="O85" s="503"/>
      <c r="P85" s="503"/>
      <c r="Q85" s="503"/>
      <c r="R85" s="503"/>
      <c r="S85" s="503"/>
      <c r="T85" s="503"/>
      <c r="U85" s="503"/>
      <c r="V85" s="503"/>
      <c r="W85" s="503"/>
      <c r="X85" s="503"/>
      <c r="Y85" s="1"/>
      <c r="Z85" s="1"/>
      <c r="AA85" s="1"/>
      <c r="AB85" s="1"/>
      <c r="AC85" s="1"/>
      <c r="AD85" s="1"/>
      <c r="AE85" s="1"/>
    </row>
    <row r="86" spans="1:36" ht="9.75" hidden="1" customHeight="1" x14ac:dyDescent="0.25">
      <c r="A86" s="46"/>
      <c r="B86" s="46"/>
      <c r="C86" s="46"/>
      <c r="D86" s="503"/>
      <c r="E86" s="503"/>
      <c r="F86" s="503"/>
      <c r="G86" s="503"/>
      <c r="H86" s="503"/>
      <c r="I86" s="503"/>
      <c r="J86" s="503"/>
      <c r="K86" s="503"/>
      <c r="L86" s="503"/>
      <c r="M86" s="503"/>
      <c r="N86" s="46"/>
      <c r="O86" s="506"/>
      <c r="P86" s="506"/>
      <c r="Q86" s="506"/>
      <c r="R86" s="506"/>
      <c r="S86" s="506"/>
      <c r="T86" s="506"/>
      <c r="U86" s="506"/>
      <c r="V86" s="506"/>
      <c r="W86" s="507"/>
      <c r="X86" s="507"/>
      <c r="Y86" s="1"/>
      <c r="Z86" s="1"/>
      <c r="AA86" s="1"/>
      <c r="AB86" s="1"/>
      <c r="AC86" s="1"/>
      <c r="AD86" s="1"/>
      <c r="AE86" s="1"/>
    </row>
    <row r="87" spans="1:36" ht="8.1" hidden="1" customHeight="1" x14ac:dyDescent="0.25">
      <c r="A87" s="46"/>
      <c r="B87" s="46"/>
      <c r="C87" s="46"/>
      <c r="D87" s="505"/>
      <c r="E87" s="505"/>
      <c r="F87" s="505"/>
      <c r="G87" s="505"/>
      <c r="H87" s="505"/>
      <c r="I87" s="505"/>
      <c r="J87" s="505"/>
      <c r="K87" s="505"/>
      <c r="L87" s="505"/>
      <c r="M87" s="60"/>
      <c r="N87" s="46"/>
      <c r="O87" s="46"/>
      <c r="P87" s="1"/>
      <c r="Q87" s="1"/>
      <c r="R87" s="1"/>
      <c r="S87" s="1"/>
      <c r="T87" s="1"/>
      <c r="U87" s="1"/>
      <c r="V87" s="1"/>
      <c r="W87" s="1"/>
      <c r="X87" s="1"/>
      <c r="Y87" s="1"/>
      <c r="Z87" s="1"/>
      <c r="AA87" s="1"/>
      <c r="AB87" s="1"/>
      <c r="AC87" s="1"/>
      <c r="AD87" s="1"/>
      <c r="AE87" s="1"/>
    </row>
    <row r="88" spans="1:36" ht="8.1" customHeight="1" x14ac:dyDescent="0.25">
      <c r="A88" s="46"/>
      <c r="B88" s="46"/>
      <c r="C88" s="46"/>
      <c r="D88" s="46"/>
      <c r="E88" s="46"/>
      <c r="F88" s="46"/>
      <c r="G88" s="46"/>
      <c r="H88" s="46"/>
      <c r="I88" s="46"/>
      <c r="J88" s="46"/>
      <c r="K88" s="46"/>
      <c r="L88" s="46"/>
      <c r="M88" s="46"/>
      <c r="N88" s="46"/>
      <c r="O88" s="46"/>
      <c r="P88" s="47"/>
      <c r="Q88" s="47"/>
      <c r="R88" s="47"/>
      <c r="S88" s="47"/>
      <c r="T88" s="47"/>
      <c r="U88" s="47"/>
      <c r="V88" s="47"/>
      <c r="W88" s="47"/>
      <c r="X88" s="47"/>
      <c r="Y88" s="1"/>
      <c r="Z88" s="1"/>
      <c r="AA88" s="1"/>
      <c r="AB88" s="1"/>
      <c r="AC88" s="1"/>
      <c r="AD88" s="1"/>
      <c r="AE88" s="1"/>
    </row>
    <row r="89" spans="1:36" ht="8.1" customHeight="1" x14ac:dyDescent="0.25">
      <c r="A89" s="46"/>
      <c r="B89" s="49"/>
      <c r="C89" s="49"/>
      <c r="D89" s="59"/>
      <c r="E89" s="59"/>
      <c r="F89" s="59"/>
      <c r="G89" s="59"/>
      <c r="H89" s="59"/>
      <c r="I89" s="59"/>
      <c r="J89" s="59"/>
      <c r="K89" s="59"/>
      <c r="L89" s="59"/>
      <c r="M89" s="59"/>
      <c r="N89" s="59"/>
      <c r="O89" s="59"/>
      <c r="P89" s="59"/>
      <c r="Q89" s="59"/>
      <c r="R89" s="59"/>
      <c r="S89" s="59"/>
      <c r="T89" s="59"/>
      <c r="U89" s="59"/>
      <c r="V89" s="59"/>
      <c r="W89" s="47"/>
      <c r="X89" s="47"/>
      <c r="Y89" s="1"/>
      <c r="Z89" s="1"/>
      <c r="AA89" s="1"/>
      <c r="AB89" s="1"/>
      <c r="AC89" s="1"/>
      <c r="AD89" s="1"/>
      <c r="AE89" s="1"/>
    </row>
    <row r="90" spans="1:36" ht="8.1" customHeight="1" x14ac:dyDescent="0.25">
      <c r="A90" s="46"/>
      <c r="B90" s="46"/>
      <c r="C90" s="46"/>
      <c r="D90" s="46"/>
      <c r="E90" s="46"/>
      <c r="F90" s="46"/>
      <c r="G90" s="46"/>
      <c r="H90" s="46"/>
      <c r="I90" s="46"/>
      <c r="J90" s="46"/>
      <c r="K90" s="46"/>
      <c r="L90" s="46"/>
      <c r="M90" s="46"/>
      <c r="N90" s="46"/>
      <c r="O90" s="46"/>
      <c r="P90" s="47"/>
      <c r="Q90" s="47"/>
      <c r="R90" s="47"/>
      <c r="S90" s="47"/>
      <c r="T90" s="47"/>
      <c r="U90" s="47"/>
      <c r="V90" s="47"/>
      <c r="W90" s="47"/>
      <c r="X90" s="47"/>
      <c r="Y90" s="1"/>
      <c r="Z90" s="1"/>
      <c r="AA90" s="1"/>
      <c r="AB90" s="1"/>
      <c r="AC90" s="1"/>
      <c r="AD90" s="1"/>
      <c r="AE90" s="1"/>
      <c r="AJ90" s="4" t="s">
        <v>67</v>
      </c>
    </row>
    <row r="91" spans="1:36" ht="8.1" customHeight="1" x14ac:dyDescent="0.25">
      <c r="A91" s="46"/>
      <c r="B91" s="59"/>
      <c r="C91" s="59"/>
      <c r="D91" s="59"/>
      <c r="E91" s="59"/>
      <c r="F91" s="59"/>
      <c r="G91" s="59"/>
      <c r="H91" s="59"/>
      <c r="I91" s="59"/>
      <c r="J91" s="59"/>
      <c r="K91" s="59"/>
      <c r="L91" s="59"/>
      <c r="M91" s="47"/>
      <c r="N91" s="59"/>
      <c r="O91" s="59"/>
      <c r="P91" s="59"/>
      <c r="Q91" s="59"/>
      <c r="R91" s="59"/>
      <c r="S91" s="59"/>
      <c r="T91" s="59"/>
      <c r="U91" s="59"/>
      <c r="V91" s="59"/>
      <c r="W91" s="59"/>
      <c r="X91" s="47"/>
      <c r="Y91" s="1"/>
      <c r="Z91" s="1"/>
      <c r="AA91" s="1"/>
      <c r="AB91" s="1"/>
      <c r="AC91" s="1"/>
      <c r="AD91" s="1"/>
      <c r="AE91" s="1"/>
      <c r="AJ91" s="4" t="s">
        <v>66</v>
      </c>
    </row>
    <row r="92" spans="1:36" ht="8.1" customHeight="1" x14ac:dyDescent="0.25">
      <c r="A92" s="46"/>
      <c r="B92" s="59"/>
      <c r="C92" s="59"/>
      <c r="D92" s="59"/>
      <c r="E92" s="59"/>
      <c r="F92" s="59"/>
      <c r="G92" s="59"/>
      <c r="H92" s="59"/>
      <c r="I92" s="59"/>
      <c r="J92" s="59"/>
      <c r="K92" s="59"/>
      <c r="L92" s="59"/>
      <c r="M92" s="59"/>
      <c r="N92" s="59"/>
      <c r="O92" s="59"/>
      <c r="P92" s="59"/>
      <c r="Q92" s="59"/>
      <c r="R92" s="59"/>
      <c r="S92" s="59"/>
      <c r="T92" s="59"/>
      <c r="U92" s="59"/>
      <c r="V92" s="59"/>
      <c r="W92" s="59"/>
      <c r="X92" s="47"/>
      <c r="Y92" s="1"/>
      <c r="Z92" s="1"/>
      <c r="AA92" s="1"/>
      <c r="AB92" s="1"/>
      <c r="AC92" s="1"/>
      <c r="AD92" s="1"/>
      <c r="AE92" s="1"/>
      <c r="AJ92" s="4" t="s">
        <v>65</v>
      </c>
    </row>
    <row r="93" spans="1:36" ht="8.1" customHeight="1" x14ac:dyDescent="0.25">
      <c r="A93" s="46"/>
      <c r="B93" s="49"/>
      <c r="C93" s="49"/>
      <c r="D93" s="49"/>
      <c r="E93" s="49"/>
      <c r="F93" s="49"/>
      <c r="G93" s="49"/>
      <c r="H93" s="49"/>
      <c r="I93" s="49"/>
      <c r="J93" s="54"/>
      <c r="K93" s="54"/>
      <c r="L93" s="54"/>
      <c r="M93" s="46"/>
      <c r="N93" s="49"/>
      <c r="O93" s="49"/>
      <c r="P93" s="49"/>
      <c r="Q93" s="49"/>
      <c r="R93" s="49"/>
      <c r="S93" s="49"/>
      <c r="T93" s="58"/>
      <c r="U93" s="58"/>
      <c r="V93" s="58"/>
      <c r="W93" s="58"/>
      <c r="X93" s="47"/>
      <c r="Y93" s="1"/>
      <c r="Z93" s="1"/>
      <c r="AA93" s="1"/>
      <c r="AB93" s="1"/>
      <c r="AC93" s="1"/>
      <c r="AD93" s="1"/>
      <c r="AE93" s="1"/>
      <c r="AJ93" s="4" t="str">
        <f>CONCATENATE(AJ90,AJ91,AJ92)</f>
        <v>"Note: For openings to be properly rated in Zone 4, no part of the opening shall be within "End zone feet of any building corner. This engineer has not field visited this location and if this cannot be clearly identified by others, the opening shall be re-evaluated prior to installation of any fenestration.  All other information provided above including mean roof height, building minimum dimensions, opening sizes, &amp; other supporting data was provided by others.  For definitions of the above terms, visit EngineeringExpress.com/Wiki "</v>
      </c>
    </row>
    <row r="94" spans="1:36" ht="8.1" customHeight="1" x14ac:dyDescent="0.25">
      <c r="A94" s="46"/>
      <c r="B94" s="49"/>
      <c r="C94" s="49"/>
      <c r="D94" s="49"/>
      <c r="E94" s="49"/>
      <c r="F94" s="49"/>
      <c r="G94" s="49"/>
      <c r="H94" s="49"/>
      <c r="I94" s="49"/>
      <c r="J94" s="54"/>
      <c r="K94" s="54"/>
      <c r="L94" s="54"/>
      <c r="M94" s="46"/>
      <c r="N94" s="49"/>
      <c r="O94" s="49"/>
      <c r="P94" s="49"/>
      <c r="Q94" s="49"/>
      <c r="R94" s="49"/>
      <c r="S94" s="49"/>
      <c r="T94" s="57"/>
      <c r="U94" s="57"/>
      <c r="V94" s="57"/>
      <c r="W94" s="57"/>
      <c r="X94" s="47"/>
      <c r="Y94" s="1"/>
      <c r="Z94" s="1"/>
      <c r="AA94" s="1"/>
      <c r="AB94" s="1"/>
      <c r="AC94" s="1"/>
      <c r="AD94" s="1"/>
      <c r="AE94" s="1"/>
    </row>
    <row r="95" spans="1:36" ht="8.1" customHeight="1" x14ac:dyDescent="0.25">
      <c r="A95" s="46"/>
      <c r="B95" s="49"/>
      <c r="C95" s="49"/>
      <c r="D95" s="49"/>
      <c r="E95" s="49"/>
      <c r="F95" s="49"/>
      <c r="G95" s="49"/>
      <c r="H95" s="49"/>
      <c r="I95" s="49"/>
      <c r="J95" s="54"/>
      <c r="K95" s="46"/>
      <c r="M95" s="46"/>
      <c r="N95" s="56"/>
      <c r="O95" s="56"/>
      <c r="P95" s="56"/>
      <c r="Q95" s="56"/>
      <c r="R95" s="56"/>
      <c r="S95" s="56"/>
      <c r="T95" s="56"/>
      <c r="U95" s="56"/>
      <c r="V95" s="56"/>
      <c r="W95" s="56"/>
      <c r="X95" s="47"/>
      <c r="Y95" s="1"/>
      <c r="Z95" s="1"/>
      <c r="AA95" s="1"/>
      <c r="AB95" s="1"/>
      <c r="AC95" s="1"/>
      <c r="AD95" s="1"/>
      <c r="AE95" s="1"/>
    </row>
    <row r="96" spans="1:36" ht="8.1" customHeight="1" x14ac:dyDescent="0.25">
      <c r="A96" s="46"/>
      <c r="B96" s="49"/>
      <c r="C96" s="49"/>
      <c r="D96" s="49"/>
      <c r="E96" s="49"/>
      <c r="F96" s="49"/>
      <c r="G96" s="49"/>
      <c r="H96" s="49"/>
      <c r="I96" s="49"/>
      <c r="J96" s="54"/>
      <c r="K96" s="54"/>
      <c r="L96" s="54"/>
      <c r="N96" s="53"/>
      <c r="O96" s="53"/>
      <c r="P96" s="53"/>
      <c r="Q96" s="53"/>
      <c r="R96" s="53"/>
      <c r="S96" s="53"/>
      <c r="T96" s="50"/>
      <c r="U96" s="50"/>
      <c r="V96" s="50"/>
      <c r="W96" s="50"/>
      <c r="X96" s="47"/>
      <c r="Y96" s="1"/>
      <c r="Z96" s="1"/>
      <c r="AA96" s="1"/>
      <c r="AB96" s="1"/>
      <c r="AC96" s="1"/>
      <c r="AD96" s="1"/>
      <c r="AE96" s="1"/>
    </row>
    <row r="97" spans="1:31" ht="8.1" customHeight="1" x14ac:dyDescent="0.25">
      <c r="A97" s="46"/>
      <c r="B97" s="49"/>
      <c r="C97" s="49"/>
      <c r="D97" s="49"/>
      <c r="E97" s="49"/>
      <c r="F97" s="49"/>
      <c r="G97" s="49"/>
      <c r="H97" s="49"/>
      <c r="I97" s="49"/>
      <c r="J97" s="55"/>
      <c r="K97" s="55"/>
      <c r="L97" s="46"/>
      <c r="M97" s="46"/>
      <c r="N97" s="53"/>
      <c r="O97" s="53"/>
      <c r="P97" s="53"/>
      <c r="Q97" s="53"/>
      <c r="R97" s="53"/>
      <c r="S97" s="53"/>
      <c r="T97" s="50"/>
      <c r="U97" s="50"/>
      <c r="V97" s="50"/>
      <c r="W97" s="50"/>
      <c r="X97" s="47"/>
      <c r="Y97" s="1"/>
      <c r="Z97" s="1"/>
      <c r="AA97" s="1"/>
      <c r="AB97" s="1"/>
      <c r="AC97" s="1"/>
      <c r="AD97" s="1"/>
      <c r="AE97" s="1"/>
    </row>
    <row r="98" spans="1:31" ht="8.1" customHeight="1" x14ac:dyDescent="0.25">
      <c r="A98" s="46"/>
      <c r="B98" s="49"/>
      <c r="C98" s="49"/>
      <c r="D98" s="49"/>
      <c r="E98" s="49"/>
      <c r="F98" s="49"/>
      <c r="G98" s="49"/>
      <c r="I98" s="54"/>
      <c r="J98" s="54"/>
      <c r="K98" s="54"/>
      <c r="L98" s="46"/>
      <c r="M98" s="46"/>
      <c r="N98" s="53"/>
      <c r="O98" s="53"/>
      <c r="P98" s="53"/>
      <c r="Q98" s="53"/>
      <c r="R98" s="53"/>
      <c r="S98" s="53"/>
      <c r="T98" s="50"/>
      <c r="U98" s="50"/>
      <c r="V98" s="50"/>
      <c r="W98" s="50"/>
      <c r="X98" s="47"/>
      <c r="Y98" s="1"/>
      <c r="Z98" s="1"/>
      <c r="AA98" s="1"/>
      <c r="AB98" s="1"/>
      <c r="AC98" s="1"/>
      <c r="AD98" s="1"/>
      <c r="AE98" s="1"/>
    </row>
    <row r="99" spans="1:31" ht="8.1" customHeight="1" x14ac:dyDescent="0.25">
      <c r="A99" s="46"/>
      <c r="B99" s="49"/>
      <c r="C99" s="49"/>
      <c r="D99" s="49"/>
      <c r="E99" s="49"/>
      <c r="F99" s="49"/>
      <c r="G99" s="49"/>
      <c r="H99" s="49"/>
      <c r="I99" s="54"/>
      <c r="J99" s="54"/>
      <c r="K99" s="54"/>
      <c r="L99" s="46"/>
      <c r="M99" s="46"/>
      <c r="N99" s="53"/>
      <c r="O99" s="53"/>
      <c r="P99" s="53"/>
      <c r="Q99" s="53"/>
      <c r="R99" s="53"/>
      <c r="S99" s="53"/>
      <c r="T99" s="50"/>
      <c r="U99" s="50"/>
      <c r="V99" s="50"/>
      <c r="W99" s="50"/>
      <c r="X99" s="47"/>
    </row>
    <row r="100" spans="1:31" ht="8.1" customHeight="1" x14ac:dyDescent="0.25">
      <c r="A100" s="46"/>
      <c r="B100" s="49"/>
      <c r="C100" s="49"/>
      <c r="D100" s="49"/>
      <c r="E100" s="49"/>
      <c r="F100" s="49"/>
      <c r="G100" s="49"/>
      <c r="H100" s="49"/>
      <c r="I100" s="48"/>
      <c r="J100" s="48"/>
      <c r="K100" s="48"/>
      <c r="L100" s="46"/>
      <c r="M100" s="46"/>
      <c r="N100" s="52"/>
      <c r="O100" s="52"/>
      <c r="P100" s="52"/>
      <c r="Q100" s="52"/>
      <c r="R100" s="52"/>
      <c r="S100" s="52"/>
      <c r="T100" s="52"/>
      <c r="U100" s="52"/>
      <c r="V100" s="52"/>
      <c r="W100" s="52"/>
      <c r="X100" s="47"/>
    </row>
    <row r="101" spans="1:31" ht="8.1" customHeight="1" x14ac:dyDescent="0.25">
      <c r="A101" s="46"/>
      <c r="B101" s="49"/>
      <c r="C101" s="49"/>
      <c r="D101" s="49"/>
      <c r="F101" s="49"/>
      <c r="G101" s="49"/>
      <c r="H101" s="49"/>
      <c r="I101" s="48"/>
      <c r="J101" s="48"/>
      <c r="K101" s="48"/>
      <c r="L101" s="46"/>
      <c r="M101" s="46"/>
      <c r="N101" s="51"/>
      <c r="O101" s="51"/>
      <c r="P101" s="51"/>
      <c r="Q101" s="51"/>
      <c r="R101" s="51"/>
      <c r="S101" s="51"/>
      <c r="T101" s="50"/>
      <c r="U101" s="50"/>
      <c r="V101" s="50"/>
      <c r="W101" s="50"/>
      <c r="X101" s="47"/>
    </row>
    <row r="102" spans="1:31" ht="8.1" customHeight="1" x14ac:dyDescent="0.25">
      <c r="A102" s="46"/>
      <c r="B102" s="49"/>
      <c r="C102" s="49"/>
      <c r="D102" s="49"/>
      <c r="E102" s="49"/>
      <c r="F102" s="49"/>
      <c r="G102" s="49"/>
      <c r="H102" s="49"/>
      <c r="I102" s="48"/>
      <c r="J102" s="48"/>
      <c r="K102" s="48"/>
      <c r="L102" s="46"/>
      <c r="M102" s="46"/>
      <c r="N102" s="51"/>
      <c r="O102" s="51"/>
      <c r="P102" s="51"/>
      <c r="Q102" s="51"/>
      <c r="R102" s="51"/>
      <c r="S102" s="51"/>
      <c r="T102" s="50"/>
      <c r="U102" s="50"/>
      <c r="V102" s="50"/>
      <c r="W102" s="50"/>
      <c r="X102" s="47"/>
    </row>
    <row r="103" spans="1:31" ht="8.1" customHeight="1" x14ac:dyDescent="0.25">
      <c r="A103" s="46"/>
      <c r="B103" s="49"/>
      <c r="C103" s="49"/>
      <c r="D103" s="49"/>
      <c r="E103" s="49"/>
      <c r="F103" s="49"/>
      <c r="G103" s="49"/>
      <c r="H103" s="49"/>
      <c r="I103" s="48"/>
      <c r="J103" s="48"/>
      <c r="K103" s="48"/>
      <c r="L103" s="46"/>
      <c r="M103" s="46"/>
      <c r="N103" s="46"/>
      <c r="O103" s="46"/>
      <c r="P103" s="47"/>
      <c r="Q103" s="47"/>
      <c r="R103" s="47"/>
      <c r="S103" s="47"/>
      <c r="T103" s="47"/>
      <c r="U103" s="47"/>
      <c r="V103" s="47"/>
      <c r="W103" s="47"/>
      <c r="X103" s="47"/>
    </row>
    <row r="104" spans="1:31" ht="8.1" customHeight="1" x14ac:dyDescent="0.25">
      <c r="A104" s="46"/>
      <c r="B104" s="46"/>
      <c r="C104" s="46"/>
      <c r="D104" s="46"/>
      <c r="E104" s="46"/>
      <c r="F104" s="46"/>
      <c r="G104" s="46"/>
      <c r="H104" s="46"/>
      <c r="I104" s="46"/>
      <c r="J104" s="46"/>
      <c r="K104" s="46"/>
      <c r="L104" s="46"/>
      <c r="M104" s="46"/>
      <c r="N104" s="46"/>
      <c r="O104" s="46"/>
      <c r="P104" s="47"/>
      <c r="Q104" s="47"/>
      <c r="R104" s="47"/>
      <c r="S104" s="47"/>
      <c r="T104" s="47"/>
      <c r="U104" s="47"/>
      <c r="V104" s="47"/>
      <c r="W104" s="47"/>
      <c r="X104" s="47"/>
    </row>
    <row r="105" spans="1:31" ht="8.1" customHeight="1" x14ac:dyDescent="0.25">
      <c r="A105" s="46"/>
      <c r="B105" s="46"/>
      <c r="C105" s="46"/>
      <c r="D105" s="46"/>
      <c r="E105" s="46"/>
      <c r="F105" s="46"/>
      <c r="G105" s="46"/>
      <c r="H105" s="46"/>
      <c r="I105" s="46"/>
      <c r="J105" s="46"/>
      <c r="K105" s="46"/>
      <c r="L105" s="46"/>
      <c r="M105" s="46"/>
      <c r="N105" s="46"/>
      <c r="O105" s="46"/>
      <c r="P105" s="47"/>
      <c r="Q105" s="47"/>
      <c r="R105" s="47"/>
      <c r="S105" s="47"/>
      <c r="T105" s="47"/>
      <c r="U105" s="47"/>
      <c r="V105" s="47"/>
      <c r="W105" s="47"/>
      <c r="X105" s="47"/>
    </row>
    <row r="106" spans="1:31" ht="8.1" customHeight="1" x14ac:dyDescent="0.25">
      <c r="A106" s="46"/>
      <c r="B106" s="46"/>
      <c r="C106" s="46"/>
      <c r="D106" s="46"/>
      <c r="E106" s="46"/>
      <c r="F106" s="46"/>
      <c r="G106" s="46"/>
      <c r="H106" s="46"/>
      <c r="I106" s="46"/>
      <c r="J106" s="46"/>
      <c r="K106" s="46"/>
      <c r="L106" s="46"/>
      <c r="M106" s="46"/>
      <c r="N106" s="46"/>
      <c r="O106" s="46"/>
      <c r="P106" s="47"/>
      <c r="Q106" s="47"/>
      <c r="R106" s="47"/>
      <c r="S106" s="47"/>
      <c r="T106" s="47"/>
      <c r="U106" s="47"/>
      <c r="V106" s="47"/>
      <c r="W106" s="47"/>
      <c r="X106" s="47"/>
    </row>
    <row r="107" spans="1:31" ht="8.1" customHeight="1" x14ac:dyDescent="0.25">
      <c r="A107" s="46"/>
      <c r="B107" s="46"/>
      <c r="C107" s="46"/>
      <c r="D107" s="46"/>
      <c r="E107" s="46"/>
      <c r="F107" s="46"/>
      <c r="G107" s="46"/>
      <c r="H107" s="46"/>
      <c r="I107" s="46"/>
      <c r="J107" s="46"/>
      <c r="K107" s="46"/>
      <c r="L107" s="46"/>
      <c r="M107" s="46"/>
      <c r="N107" s="46"/>
      <c r="O107" s="46"/>
      <c r="P107" s="47"/>
      <c r="Q107" s="47"/>
      <c r="R107" s="47"/>
      <c r="S107" s="47"/>
      <c r="T107" s="47"/>
      <c r="U107" s="47"/>
      <c r="V107" s="47"/>
      <c r="W107" s="47"/>
      <c r="X107" s="47"/>
    </row>
    <row r="108" spans="1:31" ht="8.1" customHeight="1" x14ac:dyDescent="0.25">
      <c r="A108" s="46"/>
      <c r="B108" s="46"/>
      <c r="C108" s="46"/>
      <c r="D108" s="46"/>
      <c r="E108" s="46"/>
      <c r="F108" s="46"/>
      <c r="G108" s="46"/>
      <c r="H108" s="46"/>
      <c r="I108" s="46"/>
      <c r="J108" s="46"/>
      <c r="K108" s="46"/>
      <c r="L108" s="46"/>
      <c r="M108" s="46"/>
      <c r="N108" s="46"/>
      <c r="O108" s="46"/>
      <c r="P108" s="47"/>
      <c r="Q108" s="47"/>
      <c r="R108" s="47"/>
      <c r="S108" s="47"/>
      <c r="T108" s="47"/>
      <c r="U108" s="47"/>
      <c r="V108" s="47"/>
      <c r="W108" s="47"/>
      <c r="X108" s="47"/>
    </row>
    <row r="109" spans="1:31" ht="8.1" customHeight="1" x14ac:dyDescent="0.25">
      <c r="A109" s="46"/>
      <c r="B109" s="46"/>
      <c r="C109" s="46"/>
      <c r="D109" s="46"/>
      <c r="E109" s="46"/>
      <c r="F109" s="46"/>
      <c r="G109" s="46"/>
      <c r="H109" s="46"/>
      <c r="I109" s="46"/>
      <c r="J109" s="46"/>
      <c r="K109" s="46"/>
      <c r="L109" s="46"/>
      <c r="M109" s="46"/>
      <c r="N109" s="46"/>
      <c r="O109" s="46"/>
      <c r="P109" s="47"/>
      <c r="Q109" s="47"/>
      <c r="R109" s="47"/>
      <c r="S109" s="47"/>
      <c r="T109" s="47"/>
      <c r="U109" s="47"/>
      <c r="V109" s="47"/>
      <c r="W109" s="47"/>
      <c r="X109" s="47"/>
    </row>
    <row r="110" spans="1:31" ht="8.1" customHeight="1" x14ac:dyDescent="0.25">
      <c r="A110" s="46"/>
      <c r="B110" s="46"/>
      <c r="C110" s="46"/>
      <c r="D110" s="46"/>
      <c r="E110" s="46"/>
      <c r="F110" s="46"/>
      <c r="G110" s="46"/>
      <c r="H110" s="46"/>
      <c r="I110" s="46"/>
      <c r="J110" s="46"/>
      <c r="K110" s="46"/>
      <c r="L110" s="46"/>
      <c r="M110" s="46"/>
      <c r="N110" s="46"/>
      <c r="O110" s="46"/>
      <c r="P110" s="47"/>
      <c r="Q110" s="47"/>
      <c r="R110" s="47"/>
      <c r="S110" s="47"/>
      <c r="T110" s="47"/>
      <c r="U110" s="47"/>
      <c r="V110" s="47"/>
      <c r="W110" s="47"/>
      <c r="X110" s="47"/>
    </row>
    <row r="111" spans="1:31" ht="8.1" customHeight="1" x14ac:dyDescent="0.25">
      <c r="A111" s="46"/>
      <c r="B111" s="46"/>
      <c r="C111" s="46"/>
      <c r="D111" s="46"/>
      <c r="E111" s="46"/>
      <c r="F111" s="46"/>
      <c r="G111" s="46"/>
      <c r="H111" s="46"/>
      <c r="I111" s="46"/>
      <c r="J111" s="46"/>
      <c r="K111" s="46"/>
      <c r="L111" s="46"/>
      <c r="M111" s="46"/>
      <c r="N111" s="46"/>
      <c r="O111" s="46"/>
      <c r="P111" s="47"/>
      <c r="Q111" s="47"/>
      <c r="R111" s="47"/>
      <c r="S111" s="47"/>
      <c r="T111" s="47"/>
      <c r="U111" s="47"/>
      <c r="V111" s="47"/>
      <c r="W111" s="47"/>
      <c r="X111" s="47"/>
    </row>
    <row r="112" spans="1:31" ht="8.1" customHeight="1" x14ac:dyDescent="0.25">
      <c r="A112" s="46"/>
      <c r="B112" s="46"/>
      <c r="C112" s="46"/>
      <c r="D112" s="46"/>
      <c r="E112" s="46"/>
      <c r="F112" s="46"/>
      <c r="G112" s="46"/>
      <c r="H112" s="46"/>
      <c r="I112" s="46"/>
      <c r="J112" s="46"/>
      <c r="K112" s="46"/>
      <c r="L112" s="46"/>
      <c r="M112" s="46"/>
      <c r="N112" s="46"/>
      <c r="O112" s="46"/>
      <c r="P112" s="47"/>
      <c r="Q112" s="47"/>
      <c r="R112" s="47"/>
      <c r="S112" s="47"/>
      <c r="T112" s="47"/>
      <c r="U112" s="47"/>
      <c r="V112" s="47"/>
      <c r="W112" s="47"/>
      <c r="X112" s="47"/>
    </row>
    <row r="113" spans="1:24" ht="8.1" customHeight="1" x14ac:dyDescent="0.25">
      <c r="A113" s="46"/>
      <c r="B113" s="46"/>
      <c r="C113" s="46"/>
      <c r="D113" s="46"/>
      <c r="E113" s="46"/>
      <c r="F113" s="46"/>
      <c r="G113" s="46"/>
      <c r="H113" s="46"/>
      <c r="I113" s="46"/>
      <c r="J113" s="46"/>
      <c r="K113" s="46"/>
      <c r="L113" s="46"/>
      <c r="M113" s="46"/>
      <c r="N113" s="46"/>
      <c r="O113" s="46"/>
      <c r="P113" s="47"/>
      <c r="Q113" s="47"/>
      <c r="R113" s="47"/>
      <c r="S113" s="47"/>
      <c r="T113" s="47"/>
      <c r="U113" s="47"/>
      <c r="V113" s="47"/>
      <c r="W113" s="47"/>
      <c r="X113" s="47"/>
    </row>
    <row r="114" spans="1:24" ht="8.1" customHeight="1" x14ac:dyDescent="0.25">
      <c r="A114" s="46"/>
      <c r="B114" s="46"/>
      <c r="C114" s="46"/>
      <c r="D114" s="46"/>
      <c r="E114" s="46"/>
      <c r="F114" s="46"/>
      <c r="G114" s="46"/>
      <c r="H114" s="46"/>
      <c r="I114" s="46"/>
      <c r="J114" s="46"/>
      <c r="K114" s="46"/>
      <c r="L114" s="46"/>
      <c r="M114" s="46"/>
      <c r="N114" s="46"/>
      <c r="O114" s="46"/>
      <c r="P114" s="47"/>
      <c r="Q114" s="47"/>
      <c r="R114" s="47"/>
      <c r="S114" s="47"/>
      <c r="T114" s="47"/>
      <c r="U114" s="47"/>
      <c r="V114" s="47"/>
      <c r="W114" s="47"/>
      <c r="X114" s="47"/>
    </row>
    <row r="115" spans="1:24" ht="8.1" customHeight="1" x14ac:dyDescent="0.25">
      <c r="A115" s="46"/>
      <c r="B115" s="46"/>
      <c r="C115" s="46"/>
      <c r="D115" s="46"/>
      <c r="E115" s="46"/>
      <c r="F115" s="46"/>
      <c r="G115" s="46"/>
      <c r="H115" s="46"/>
      <c r="I115" s="46"/>
      <c r="J115" s="46"/>
      <c r="K115" s="46"/>
      <c r="L115" s="46"/>
      <c r="M115" s="46"/>
      <c r="N115" s="46"/>
      <c r="O115" s="46"/>
      <c r="P115" s="1"/>
      <c r="Q115" s="1"/>
      <c r="R115" s="1"/>
      <c r="S115" s="1"/>
      <c r="T115" s="1"/>
      <c r="U115" s="1"/>
      <c r="V115" s="1"/>
      <c r="W115" s="1"/>
      <c r="X115" s="1"/>
    </row>
    <row r="116" spans="1:24" ht="8.1" customHeight="1" x14ac:dyDescent="0.25">
      <c r="A116" s="46"/>
      <c r="B116" s="46"/>
      <c r="C116" s="46"/>
      <c r="D116" s="46"/>
      <c r="E116" s="46"/>
      <c r="F116" s="46"/>
      <c r="G116" s="46"/>
      <c r="H116" s="46"/>
      <c r="I116" s="46"/>
      <c r="J116" s="46"/>
      <c r="K116" s="46"/>
      <c r="L116" s="46"/>
      <c r="M116" s="46"/>
      <c r="N116" s="46"/>
      <c r="O116" s="46"/>
      <c r="P116" s="1"/>
      <c r="Q116" s="1"/>
      <c r="R116" s="1"/>
      <c r="S116" s="1"/>
      <c r="T116" s="1"/>
      <c r="U116" s="1"/>
      <c r="V116" s="1"/>
      <c r="W116" s="1"/>
      <c r="X116" s="1"/>
    </row>
    <row r="117" spans="1:24" ht="8.1" customHeight="1" x14ac:dyDescent="0.25">
      <c r="A117" s="46"/>
      <c r="B117" s="46"/>
      <c r="C117" s="46"/>
      <c r="D117" s="46"/>
      <c r="E117" s="46"/>
      <c r="F117" s="46"/>
      <c r="G117" s="46"/>
      <c r="H117" s="46"/>
      <c r="I117" s="46"/>
      <c r="J117" s="46"/>
      <c r="K117" s="46"/>
      <c r="L117" s="46"/>
      <c r="M117" s="46"/>
      <c r="N117" s="46"/>
      <c r="O117" s="46"/>
      <c r="P117" s="1"/>
      <c r="Q117" s="1"/>
      <c r="R117" s="1"/>
      <c r="S117" s="1"/>
      <c r="T117" s="1"/>
      <c r="U117" s="1"/>
      <c r="V117" s="1"/>
      <c r="W117" s="1"/>
      <c r="X117" s="1"/>
    </row>
    <row r="118" spans="1:24" ht="8.1" customHeight="1" x14ac:dyDescent="0.25">
      <c r="A118" s="46"/>
      <c r="B118" s="46"/>
      <c r="C118" s="46"/>
      <c r="D118" s="46"/>
      <c r="E118" s="46"/>
      <c r="F118" s="46"/>
      <c r="G118" s="46"/>
      <c r="H118" s="46"/>
      <c r="I118" s="46"/>
      <c r="J118" s="46"/>
      <c r="K118" s="46"/>
      <c r="L118" s="46"/>
      <c r="M118" s="46"/>
      <c r="N118" s="46"/>
      <c r="O118" s="46"/>
      <c r="P118" s="1"/>
      <c r="Q118" s="1"/>
      <c r="R118" s="1"/>
      <c r="S118" s="1"/>
      <c r="T118" s="1"/>
      <c r="U118" s="1"/>
      <c r="V118" s="1"/>
      <c r="W118" s="1"/>
      <c r="X118" s="1"/>
    </row>
    <row r="119" spans="1:24" ht="8.1" customHeight="1" x14ac:dyDescent="0.25">
      <c r="A119" s="46"/>
      <c r="B119" s="46"/>
      <c r="C119" s="46"/>
      <c r="D119" s="46"/>
      <c r="E119" s="46"/>
      <c r="F119" s="46"/>
      <c r="G119" s="46"/>
      <c r="H119" s="46"/>
      <c r="I119" s="46"/>
      <c r="J119" s="46"/>
      <c r="K119" s="46"/>
      <c r="L119" s="46"/>
      <c r="M119" s="46"/>
      <c r="N119" s="46"/>
      <c r="O119" s="46"/>
      <c r="P119" s="1"/>
      <c r="Q119" s="1"/>
      <c r="R119" s="1"/>
      <c r="S119" s="1"/>
      <c r="T119" s="1"/>
      <c r="U119" s="1"/>
      <c r="V119" s="1"/>
      <c r="W119" s="1"/>
      <c r="X119" s="1"/>
    </row>
    <row r="120" spans="1:24" ht="8.1" customHeight="1" x14ac:dyDescent="0.25">
      <c r="A120" s="46"/>
      <c r="B120" s="45"/>
      <c r="C120" s="45"/>
      <c r="D120" s="45"/>
      <c r="E120" s="45"/>
      <c r="F120" s="45"/>
      <c r="G120" s="45"/>
      <c r="H120" s="45"/>
      <c r="I120" s="45"/>
      <c r="J120" s="45"/>
      <c r="K120" s="45"/>
      <c r="L120" s="45"/>
      <c r="M120" s="45"/>
      <c r="N120" s="45"/>
      <c r="O120" s="45"/>
      <c r="P120" s="45"/>
      <c r="Q120" s="45"/>
      <c r="R120" s="45"/>
      <c r="S120" s="45"/>
      <c r="T120" s="44"/>
      <c r="U120" s="44"/>
      <c r="V120" s="44"/>
      <c r="W120" s="44"/>
      <c r="X120" s="1"/>
    </row>
    <row r="121" spans="1:24" ht="8.1" customHeight="1" x14ac:dyDescent="0.25">
      <c r="A121" s="37"/>
      <c r="B121" s="45"/>
      <c r="C121" s="45"/>
      <c r="D121" s="45"/>
      <c r="E121" s="45"/>
      <c r="F121" s="45"/>
      <c r="G121" s="45"/>
      <c r="H121" s="45"/>
      <c r="I121" s="45"/>
      <c r="J121" s="45"/>
      <c r="K121" s="45"/>
      <c r="L121" s="45"/>
      <c r="M121" s="45"/>
      <c r="N121" s="45"/>
      <c r="O121" s="45"/>
      <c r="P121" s="45"/>
      <c r="Q121" s="45"/>
      <c r="R121" s="45"/>
      <c r="S121" s="45"/>
      <c r="T121" s="44"/>
      <c r="U121" s="44"/>
      <c r="V121" s="44"/>
      <c r="W121" s="44"/>
      <c r="X121" s="1"/>
    </row>
    <row r="122" spans="1:24" ht="8.1" customHeight="1" x14ac:dyDescent="0.25">
      <c r="A122" s="37"/>
      <c r="B122" s="40"/>
      <c r="C122" s="40"/>
      <c r="D122" s="43"/>
      <c r="E122" s="43"/>
      <c r="F122" s="40"/>
      <c r="G122" s="40"/>
      <c r="H122" s="42"/>
      <c r="I122" s="42"/>
      <c r="J122" s="42"/>
      <c r="K122" s="42"/>
      <c r="L122" s="41"/>
      <c r="M122" s="41"/>
      <c r="N122" s="40"/>
      <c r="O122" s="40"/>
      <c r="P122" s="39"/>
      <c r="Q122" s="39"/>
      <c r="R122" s="39"/>
      <c r="S122" s="39"/>
      <c r="T122" s="38"/>
      <c r="U122" s="38"/>
      <c r="V122" s="38"/>
      <c r="W122" s="38"/>
      <c r="X122" s="1"/>
    </row>
    <row r="123" spans="1:24" ht="8.1" customHeight="1" x14ac:dyDescent="0.25">
      <c r="A123" s="37"/>
      <c r="B123" s="40"/>
      <c r="C123" s="40"/>
      <c r="D123" s="43"/>
      <c r="E123" s="43"/>
      <c r="F123" s="40"/>
      <c r="G123" s="40"/>
      <c r="H123" s="42"/>
      <c r="I123" s="42"/>
      <c r="J123" s="42"/>
      <c r="K123" s="42"/>
      <c r="L123" s="41"/>
      <c r="M123" s="41"/>
      <c r="N123" s="40"/>
      <c r="O123" s="40"/>
      <c r="P123" s="39"/>
      <c r="Q123" s="39"/>
      <c r="R123" s="39"/>
      <c r="S123" s="39"/>
      <c r="T123" s="38"/>
      <c r="U123" s="38"/>
      <c r="V123" s="38"/>
      <c r="W123" s="38"/>
      <c r="X123" s="1"/>
    </row>
    <row r="124" spans="1:24" ht="8.1" customHeight="1" x14ac:dyDescent="0.25">
      <c r="A124" s="37"/>
      <c r="B124" s="37"/>
      <c r="C124" s="37"/>
      <c r="D124" s="37"/>
      <c r="E124" s="37"/>
      <c r="F124" s="37"/>
      <c r="G124" s="37"/>
      <c r="H124" s="37"/>
      <c r="I124" s="37"/>
      <c r="J124" s="37"/>
      <c r="K124" s="37"/>
      <c r="L124" s="37"/>
      <c r="M124" s="37"/>
      <c r="N124" s="37"/>
      <c r="O124" s="37"/>
      <c r="P124" s="1"/>
      <c r="Q124" s="1"/>
      <c r="R124" s="1"/>
      <c r="S124" s="1"/>
      <c r="T124" s="1"/>
      <c r="U124" s="1"/>
      <c r="V124" s="1"/>
      <c r="W124" s="1"/>
      <c r="X124" s="1"/>
    </row>
    <row r="125" spans="1:24" ht="8.1" customHeight="1" x14ac:dyDescent="0.25">
      <c r="A125" s="35"/>
      <c r="B125" s="35"/>
      <c r="C125" s="35"/>
      <c r="D125" s="35"/>
      <c r="E125" s="35"/>
      <c r="F125" s="35"/>
      <c r="G125" s="35"/>
      <c r="H125" s="35"/>
      <c r="I125" s="35"/>
      <c r="J125" s="35"/>
      <c r="K125" s="35"/>
      <c r="L125" s="35"/>
      <c r="M125" s="35"/>
      <c r="N125" s="36"/>
      <c r="O125" s="36"/>
      <c r="P125" s="36"/>
      <c r="Q125" s="36"/>
      <c r="R125" s="36"/>
      <c r="S125" s="36"/>
      <c r="T125" s="32"/>
      <c r="U125" s="32"/>
      <c r="V125" s="32"/>
      <c r="W125" s="32"/>
      <c r="X125" s="32"/>
    </row>
    <row r="126" spans="1:24" ht="8.1" customHeight="1" x14ac:dyDescent="0.25">
      <c r="A126" s="35"/>
      <c r="B126" s="35"/>
      <c r="C126" s="35"/>
      <c r="D126" s="35"/>
      <c r="E126" s="35"/>
      <c r="F126" s="35"/>
      <c r="G126" s="35"/>
      <c r="H126" s="35"/>
      <c r="I126" s="35"/>
      <c r="J126" s="35"/>
      <c r="K126" s="35"/>
      <c r="L126" s="35"/>
      <c r="M126" s="35"/>
      <c r="N126" s="30"/>
      <c r="O126" s="30"/>
      <c r="P126" s="30"/>
      <c r="Q126" s="30"/>
      <c r="R126" s="30"/>
      <c r="S126" s="30"/>
      <c r="T126" s="32"/>
      <c r="U126" s="32"/>
      <c r="V126" s="32"/>
      <c r="W126" s="32"/>
      <c r="X126" s="32"/>
    </row>
    <row r="127" spans="1:24" ht="8.1" customHeight="1" x14ac:dyDescent="0.25">
      <c r="A127" s="35"/>
      <c r="B127" s="35"/>
      <c r="C127" s="35"/>
      <c r="D127" s="35"/>
      <c r="E127" s="35"/>
      <c r="F127" s="35"/>
      <c r="G127" s="35"/>
      <c r="H127" s="35"/>
      <c r="I127" s="35"/>
      <c r="J127" s="35"/>
      <c r="K127" s="35"/>
      <c r="L127" s="35"/>
      <c r="M127" s="35"/>
      <c r="N127" s="30"/>
      <c r="O127" s="30"/>
      <c r="P127" s="30"/>
      <c r="Q127" s="30"/>
      <c r="R127" s="30"/>
      <c r="S127" s="30"/>
      <c r="T127" s="34"/>
      <c r="U127" s="34"/>
      <c r="V127" s="34"/>
      <c r="W127" s="34"/>
      <c r="X127" s="34"/>
    </row>
    <row r="128" spans="1:24" ht="8.1" customHeight="1" x14ac:dyDescent="0.25">
      <c r="A128" s="35"/>
      <c r="B128" s="35"/>
      <c r="C128" s="35"/>
      <c r="D128" s="35"/>
      <c r="E128" s="35"/>
      <c r="F128" s="35"/>
      <c r="G128" s="35"/>
      <c r="H128" s="35"/>
      <c r="I128" s="35"/>
      <c r="J128" s="35"/>
      <c r="K128" s="35"/>
      <c r="L128" s="35"/>
      <c r="M128" s="35"/>
      <c r="N128" s="30"/>
      <c r="O128" s="30"/>
      <c r="P128" s="30"/>
      <c r="Q128" s="30"/>
      <c r="R128" s="30"/>
      <c r="S128" s="30"/>
      <c r="T128" s="34"/>
      <c r="U128" s="34"/>
      <c r="V128" s="34"/>
      <c r="W128" s="34"/>
      <c r="X128" s="34"/>
    </row>
    <row r="129" spans="1:24" ht="8.1" customHeight="1" x14ac:dyDescent="0.25">
      <c r="A129" s="31"/>
      <c r="B129" s="31"/>
      <c r="C129" s="31"/>
      <c r="D129" s="31"/>
      <c r="E129" s="31"/>
      <c r="F129" s="31"/>
      <c r="G129" s="31"/>
      <c r="H129" s="31"/>
      <c r="I129" s="31"/>
      <c r="J129" s="31"/>
      <c r="K129" s="31"/>
      <c r="L129" s="31"/>
      <c r="M129" s="31"/>
      <c r="N129" s="30"/>
      <c r="O129" s="30"/>
      <c r="P129" s="30"/>
      <c r="Q129" s="30"/>
      <c r="R129" s="30"/>
      <c r="S129" s="30"/>
      <c r="T129" s="33"/>
      <c r="U129" s="33"/>
      <c r="V129" s="33"/>
      <c r="W129" s="33"/>
      <c r="X129" s="33"/>
    </row>
    <row r="130" spans="1:24" ht="8.1" customHeight="1" x14ac:dyDescent="0.25">
      <c r="A130" s="31"/>
      <c r="B130" s="31"/>
      <c r="C130" s="31"/>
      <c r="D130" s="31"/>
      <c r="E130" s="31"/>
      <c r="F130" s="31"/>
      <c r="G130" s="31"/>
      <c r="H130" s="31"/>
      <c r="I130" s="31"/>
      <c r="J130" s="31"/>
      <c r="K130" s="31"/>
      <c r="L130" s="31"/>
      <c r="M130" s="31"/>
      <c r="N130" s="30"/>
      <c r="O130" s="30"/>
      <c r="P130" s="30"/>
      <c r="Q130" s="30"/>
      <c r="R130" s="30"/>
      <c r="S130" s="30"/>
      <c r="T130" s="32"/>
      <c r="U130" s="32"/>
      <c r="V130" s="32"/>
      <c r="W130" s="32"/>
      <c r="X130" s="32"/>
    </row>
    <row r="131" spans="1:24" ht="8.1" customHeight="1" x14ac:dyDescent="0.25">
      <c r="A131" s="31"/>
      <c r="B131" s="31"/>
      <c r="C131" s="31"/>
      <c r="D131" s="31"/>
      <c r="E131" s="31"/>
      <c r="F131" s="31"/>
      <c r="G131" s="31"/>
      <c r="H131" s="31"/>
      <c r="I131" s="31"/>
      <c r="J131" s="31"/>
      <c r="K131" s="31"/>
      <c r="L131" s="31"/>
      <c r="M131" s="31"/>
      <c r="N131" s="30"/>
      <c r="O131" s="30"/>
      <c r="P131" s="30"/>
      <c r="Q131" s="30"/>
      <c r="R131" s="30"/>
      <c r="S131" s="30"/>
      <c r="T131" s="32"/>
      <c r="U131" s="32"/>
      <c r="V131" s="32"/>
      <c r="W131" s="32"/>
      <c r="X131" s="32"/>
    </row>
    <row r="132" spans="1:24" ht="8.1" customHeight="1" x14ac:dyDescent="0.25">
      <c r="A132" s="31"/>
      <c r="B132" s="31"/>
      <c r="C132" s="31"/>
      <c r="D132" s="31"/>
      <c r="E132" s="31"/>
      <c r="F132" s="31"/>
      <c r="G132" s="31"/>
      <c r="H132" s="31"/>
      <c r="I132" s="31"/>
      <c r="J132" s="31"/>
      <c r="K132" s="31"/>
      <c r="L132" s="31"/>
      <c r="M132" s="31"/>
      <c r="N132" s="30"/>
      <c r="O132" s="30"/>
      <c r="P132" s="30"/>
      <c r="Q132" s="30"/>
      <c r="R132" s="30"/>
      <c r="S132" s="30"/>
      <c r="T132" s="30"/>
      <c r="U132" s="1"/>
      <c r="V132" s="1"/>
      <c r="W132" s="1"/>
      <c r="X132" s="1"/>
    </row>
    <row r="133" spans="1:24" ht="8.1"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row>
    <row r="134" spans="1:24" ht="8.1"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row>
    <row r="135" spans="1:24" ht="8.1"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row>
  </sheetData>
  <mergeCells count="33">
    <mergeCell ref="D87:L87"/>
    <mergeCell ref="A72:X72"/>
    <mergeCell ref="A84:C84"/>
    <mergeCell ref="D84:J84"/>
    <mergeCell ref="K84:N84"/>
    <mergeCell ref="O84:X84"/>
    <mergeCell ref="B85:C85"/>
    <mergeCell ref="D85:M85"/>
    <mergeCell ref="O85:X85"/>
    <mergeCell ref="T66:X66"/>
    <mergeCell ref="T67:X67"/>
    <mergeCell ref="T68:X68"/>
    <mergeCell ref="A70:X70"/>
    <mergeCell ref="D86:M86"/>
    <mergeCell ref="O86:V86"/>
    <mergeCell ref="W86:X86"/>
    <mergeCell ref="A71:X71"/>
    <mergeCell ref="A66:M69"/>
    <mergeCell ref="D7:M7"/>
    <mergeCell ref="O7:V7"/>
    <mergeCell ref="W7:X7"/>
    <mergeCell ref="D8:L8"/>
    <mergeCell ref="A62:M65"/>
    <mergeCell ref="N62:S62"/>
    <mergeCell ref="T62:X63"/>
    <mergeCell ref="T64:X65"/>
    <mergeCell ref="A5:C5"/>
    <mergeCell ref="D5:J5"/>
    <mergeCell ref="K5:N5"/>
    <mergeCell ref="O5:X5"/>
    <mergeCell ref="B6:C6"/>
    <mergeCell ref="D6:M6"/>
    <mergeCell ref="O6:X6"/>
  </mergeCells>
  <pageMargins left="0.7" right="0.7" top="0.75" bottom="0.75" header="0.3" footer="0.3"/>
  <pageSetup scale="61" orientation="portrait" r:id="rId1"/>
  <customProperties>
    <customPr name="SSC_SHEET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149"/>
  <sheetViews>
    <sheetView workbookViewId="0">
      <selection activeCell="O8" sqref="O8"/>
    </sheetView>
  </sheetViews>
  <sheetFormatPr defaultRowHeight="15" x14ac:dyDescent="0.25"/>
  <cols>
    <col min="1" max="2" width="9.140625" style="219"/>
    <col min="3" max="3" width="10" style="219" customWidth="1"/>
    <col min="4" max="4" width="9.85546875" style="219" customWidth="1"/>
    <col min="5" max="5" width="10" style="219" bestFit="1" customWidth="1"/>
    <col min="6" max="6" width="12" style="219" bestFit="1" customWidth="1"/>
    <col min="7" max="16384" width="9.140625" style="219"/>
  </cols>
  <sheetData>
    <row r="2" spans="2:17" x14ac:dyDescent="0.25">
      <c r="B2" s="219" t="s">
        <v>547</v>
      </c>
    </row>
    <row r="3" spans="2:17" x14ac:dyDescent="0.25">
      <c r="B3" s="219" t="s">
        <v>548</v>
      </c>
    </row>
    <row r="4" spans="2:17" x14ac:dyDescent="0.25">
      <c r="B4" s="219" t="s">
        <v>301</v>
      </c>
      <c r="N4" s="219" t="s">
        <v>653</v>
      </c>
    </row>
    <row r="5" spans="2:17" x14ac:dyDescent="0.25">
      <c r="B5" s="219" t="s">
        <v>302</v>
      </c>
    </row>
    <row r="6" spans="2:17" x14ac:dyDescent="0.25">
      <c r="B6" s="219" t="s">
        <v>504</v>
      </c>
    </row>
    <row r="7" spans="2:17" x14ac:dyDescent="0.25">
      <c r="B7" s="219" t="s">
        <v>503</v>
      </c>
    </row>
    <row r="8" spans="2:17" x14ac:dyDescent="0.25">
      <c r="B8" s="219" t="s">
        <v>619</v>
      </c>
    </row>
    <row r="10" spans="2:17" x14ac:dyDescent="0.25">
      <c r="B10" s="219" t="s">
        <v>283</v>
      </c>
      <c r="F10" s="219" t="s">
        <v>311</v>
      </c>
      <c r="G10" s="219" t="s">
        <v>312</v>
      </c>
      <c r="H10" s="219" t="s">
        <v>196</v>
      </c>
      <c r="I10" s="219" t="s">
        <v>312</v>
      </c>
      <c r="M10" s="219" t="s">
        <v>517</v>
      </c>
      <c r="Q10" s="219" t="s">
        <v>511</v>
      </c>
    </row>
    <row r="11" spans="2:17" x14ac:dyDescent="0.25">
      <c r="B11" s="220">
        <v>1</v>
      </c>
      <c r="C11" s="221" t="s">
        <v>3</v>
      </c>
      <c r="F11" s="221">
        <f>M11</f>
        <v>2</v>
      </c>
      <c r="G11" s="219">
        <f>IF(F11=MAX($F$11:$F$19),1,0)</f>
        <v>0</v>
      </c>
      <c r="H11" s="221">
        <f>M11</f>
        <v>2</v>
      </c>
      <c r="I11" s="219">
        <f t="shared" ref="I11:I19" si="0">IF(H11=MIN($H$11:$H$19),1,0)</f>
        <v>0</v>
      </c>
      <c r="L11" s="220" t="s">
        <v>3</v>
      </c>
      <c r="M11" s="222">
        <f>'HTML Frame'!D23</f>
        <v>2</v>
      </c>
      <c r="N11" s="222"/>
      <c r="O11" s="220" t="s">
        <v>3</v>
      </c>
      <c r="P11" s="219">
        <f>M11/0.9</f>
        <v>2.2222222222222223</v>
      </c>
      <c r="Q11" s="219">
        <f>IF(P11=MAX($P$11:$P$16),0.9,0)</f>
        <v>0</v>
      </c>
    </row>
    <row r="12" spans="2:17" x14ac:dyDescent="0.25">
      <c r="B12" s="220">
        <v>2</v>
      </c>
      <c r="C12" s="221" t="s">
        <v>3</v>
      </c>
      <c r="F12" s="221">
        <f>M11</f>
        <v>2</v>
      </c>
      <c r="G12" s="219">
        <f t="shared" ref="G12:G19" si="1">IF(F12=MAX($F$11:$F$19),1,0)</f>
        <v>0</v>
      </c>
      <c r="H12" s="221">
        <f>M11</f>
        <v>2</v>
      </c>
      <c r="I12" s="219">
        <f t="shared" si="0"/>
        <v>0</v>
      </c>
      <c r="L12" s="220" t="s">
        <v>306</v>
      </c>
      <c r="M12" s="222">
        <f>SnowLoad!B56</f>
        <v>0</v>
      </c>
      <c r="N12" s="222"/>
      <c r="O12" s="220" t="s">
        <v>512</v>
      </c>
      <c r="P12" s="219">
        <f>(M11+M13)/1</f>
        <v>22</v>
      </c>
      <c r="Q12" s="219">
        <f t="shared" ref="Q12" si="2">IF(P12=MAX($P$11:$P$16),1,0)</f>
        <v>0</v>
      </c>
    </row>
    <row r="13" spans="2:17" x14ac:dyDescent="0.25">
      <c r="B13" s="220">
        <v>3</v>
      </c>
      <c r="C13" s="219" t="str">
        <f>IF(M12&gt;M13, "D+S", "D+Lr")</f>
        <v>D+Lr</v>
      </c>
      <c r="F13" s="221">
        <f>IF(M12&gt;M13, M11+M12, M11+M13)</f>
        <v>22</v>
      </c>
      <c r="G13" s="219">
        <f t="shared" si="1"/>
        <v>0</v>
      </c>
      <c r="H13" s="219">
        <f>IF(M12&gt;M13, M11+M12, M11+M13)</f>
        <v>22</v>
      </c>
      <c r="I13" s="219">
        <f t="shared" si="0"/>
        <v>0</v>
      </c>
      <c r="L13" s="220" t="s">
        <v>307</v>
      </c>
      <c r="M13" s="222">
        <f>'HTML Frame'!D21</f>
        <v>20</v>
      </c>
      <c r="N13" s="222"/>
      <c r="O13" s="220" t="s">
        <v>513</v>
      </c>
      <c r="P13" s="219">
        <f>(M11+M12)/1.15</f>
        <v>1.7391304347826089</v>
      </c>
      <c r="Q13" s="219">
        <f>IF(P13=MAX($P$11:$P$16),1.15,0)</f>
        <v>0</v>
      </c>
    </row>
    <row r="14" spans="2:17" x14ac:dyDescent="0.25">
      <c r="B14" s="220">
        <v>4</v>
      </c>
      <c r="C14" s="219" t="str">
        <f>IF(M12&gt;M13, "D+0.75S", "D+0.75Lr")</f>
        <v>D+0.75Lr</v>
      </c>
      <c r="F14" s="219">
        <f>IF(M12&gt;M13, M11+0.75*M12, M11+0.75*M13)</f>
        <v>17</v>
      </c>
      <c r="G14" s="219">
        <f t="shared" si="1"/>
        <v>0</v>
      </c>
      <c r="H14" s="219">
        <f>IF(M12&gt;M13, M11+0.75*M12, M11+0.75*M13)</f>
        <v>17</v>
      </c>
      <c r="I14" s="219">
        <f t="shared" si="0"/>
        <v>0</v>
      </c>
      <c r="L14" s="220" t="s">
        <v>308</v>
      </c>
      <c r="M14" s="222">
        <f>Loading!B28</f>
        <v>49.801605355616175</v>
      </c>
      <c r="N14" s="222"/>
      <c r="O14" s="220" t="s">
        <v>514</v>
      </c>
      <c r="P14" s="221">
        <f>(M11+MAX(M14,ABS(M15)))/1.6</f>
        <v>32.376003347260109</v>
      </c>
      <c r="Q14" s="219">
        <f>IF(P14=MAX($P$11:$P$16),1.6,0)</f>
        <v>0</v>
      </c>
    </row>
    <row r="15" spans="2:17" x14ac:dyDescent="0.25">
      <c r="B15" s="220">
        <v>5</v>
      </c>
      <c r="C15" s="219" t="s">
        <v>305</v>
      </c>
      <c r="F15" s="219">
        <f>M11+0.6*M14</f>
        <v>31.880963213369704</v>
      </c>
      <c r="G15" s="219">
        <f t="shared" si="1"/>
        <v>0</v>
      </c>
      <c r="H15" s="219">
        <f>M11+0.6*M15</f>
        <v>-27.836508294816902</v>
      </c>
      <c r="I15" s="219">
        <f t="shared" si="0"/>
        <v>0</v>
      </c>
      <c r="L15" s="220" t="s">
        <v>309</v>
      </c>
      <c r="M15" s="222">
        <f>Loading!B29</f>
        <v>-49.727513824694839</v>
      </c>
      <c r="N15" s="222"/>
      <c r="O15" s="220" t="s">
        <v>515</v>
      </c>
      <c r="P15" s="219">
        <f>(M11+MAX(M14,ABS(M15))+M13)/1.6</f>
        <v>44.876003347260109</v>
      </c>
      <c r="Q15" s="219">
        <f>IF(P15=MAX($P$11:$P$16),1.6,0)</f>
        <v>1.6</v>
      </c>
    </row>
    <row r="16" spans="2:17" x14ac:dyDescent="0.25">
      <c r="B16" s="220" t="s">
        <v>289</v>
      </c>
      <c r="C16" s="219" t="str">
        <f>IF(M12&gt;M13, "D+0.75(0.6W)+0.75S", "D+0.75(0.6W)+0.75Lr")</f>
        <v>D+0.75(0.6W)+0.75Lr</v>
      </c>
      <c r="F16" s="219">
        <f>IF(M12&gt;M13, M11+0.75*0.6*M14+0.75*M12, M11+0.75*0.6*M14+0.75*M13)</f>
        <v>39.410722410027276</v>
      </c>
      <c r="G16" s="219">
        <f t="shared" si="1"/>
        <v>1</v>
      </c>
      <c r="H16" s="219">
        <f>IF(M12&gt;M13, M11+0.75*0.6*M15+0.75*M12, M11+0.75*0.6*M15+0.75*M13)</f>
        <v>-5.3773812211126746</v>
      </c>
      <c r="I16" s="219">
        <f t="shared" si="0"/>
        <v>0</v>
      </c>
      <c r="L16" s="220" t="s">
        <v>310</v>
      </c>
      <c r="M16" s="223">
        <v>0</v>
      </c>
      <c r="N16" s="223"/>
      <c r="O16" s="220" t="s">
        <v>516</v>
      </c>
      <c r="P16" s="219">
        <f>(M11+MAX(M14,ABS(M15))+M12)/1.6</f>
        <v>32.376003347260109</v>
      </c>
      <c r="Q16" s="380">
        <f>IF(P16=MAX($P$11:$P$16),1.6,0)</f>
        <v>0</v>
      </c>
    </row>
    <row r="17" spans="1:18" x14ac:dyDescent="0.25">
      <c r="B17" s="220" t="s">
        <v>290</v>
      </c>
      <c r="C17" s="219" t="str">
        <f>IF(SnowLoad!Pg=0,"D","D+0.75S")</f>
        <v>D</v>
      </c>
      <c r="F17" s="219">
        <f>IF(SnowLoad!Pg=0,M11,M11+0.75*M12)</f>
        <v>2</v>
      </c>
      <c r="G17" s="219">
        <f t="shared" si="1"/>
        <v>0</v>
      </c>
      <c r="H17" s="219">
        <f>IF(SnowLoad!Pg=0,M11,M11+0.75*M12)</f>
        <v>2</v>
      </c>
      <c r="I17" s="219">
        <f t="shared" si="0"/>
        <v>0</v>
      </c>
      <c r="L17" s="220"/>
      <c r="Q17" s="219">
        <f>MAX(Q11:Q16)</f>
        <v>1.6</v>
      </c>
    </row>
    <row r="18" spans="1:18" x14ac:dyDescent="0.25">
      <c r="B18" s="220">
        <v>7</v>
      </c>
      <c r="C18" s="219" t="s">
        <v>286</v>
      </c>
      <c r="F18" s="219">
        <f>0.6*M11+0.6*M14</f>
        <v>31.080963213369703</v>
      </c>
      <c r="G18" s="219">
        <f t="shared" si="1"/>
        <v>0</v>
      </c>
      <c r="H18" s="219">
        <f>0.6*M11+0.6*M15</f>
        <v>-28.636508294816903</v>
      </c>
      <c r="I18" s="219">
        <f t="shared" si="0"/>
        <v>1</v>
      </c>
    </row>
    <row r="19" spans="1:18" x14ac:dyDescent="0.25">
      <c r="B19" s="220">
        <v>8</v>
      </c>
      <c r="C19" s="219" t="s">
        <v>304</v>
      </c>
      <c r="F19" s="219">
        <f>0.6*M11</f>
        <v>1.2</v>
      </c>
      <c r="G19" s="219">
        <f t="shared" si="1"/>
        <v>0</v>
      </c>
      <c r="H19" s="219">
        <f>0.6*M11</f>
        <v>1.2</v>
      </c>
      <c r="I19" s="219">
        <f t="shared" si="0"/>
        <v>0</v>
      </c>
    </row>
    <row r="20" spans="1:18" x14ac:dyDescent="0.25">
      <c r="E20" s="219" t="s">
        <v>326</v>
      </c>
      <c r="F20" s="221">
        <f>MAX(F11:F19)</f>
        <v>39.410722410027276</v>
      </c>
      <c r="H20" s="221">
        <f>MIN(H11:H19)</f>
        <v>-28.636508294816903</v>
      </c>
    </row>
    <row r="22" spans="1:18" x14ac:dyDescent="0.25">
      <c r="A22" s="228"/>
      <c r="B22" s="228"/>
      <c r="C22" s="228"/>
      <c r="D22" s="228"/>
      <c r="E22" s="228"/>
      <c r="F22" s="228"/>
      <c r="G22" s="228"/>
      <c r="H22" s="228"/>
      <c r="I22" s="228"/>
      <c r="J22" s="228"/>
      <c r="K22" s="228"/>
      <c r="L22" s="228"/>
      <c r="M22" s="228"/>
      <c r="N22" s="228"/>
      <c r="O22" s="228"/>
      <c r="P22" s="228"/>
      <c r="Q22" s="228"/>
      <c r="R22" s="228"/>
    </row>
    <row r="24" spans="1:18" x14ac:dyDescent="0.25">
      <c r="B24" s="12" t="s">
        <v>452</v>
      </c>
    </row>
    <row r="25" spans="1:18" x14ac:dyDescent="0.25">
      <c r="B25" s="219" t="s">
        <v>494</v>
      </c>
      <c r="D25" s="219" t="s">
        <v>639</v>
      </c>
      <c r="E25" s="219" t="s">
        <v>454</v>
      </c>
      <c r="F25" s="219" t="s">
        <v>455</v>
      </c>
    </row>
    <row r="26" spans="1:18" x14ac:dyDescent="0.25">
      <c r="B26" s="219" t="s">
        <v>453</v>
      </c>
      <c r="D26" s="219">
        <f>18.65</f>
        <v>18.649999999999999</v>
      </c>
      <c r="E26" s="366">
        <f>(((MAX(F20,ABS(H20))*(6/12)/12)*('HTML Frame'!D37*12)^2)/8/1000/0.237)/D26</f>
        <v>0.42798490417106355</v>
      </c>
      <c r="F26" s="356">
        <f>(((5*MAX(ABS(Control!H20),Control!F20)*(6/12)/12)*('HTML Frame'!D37*12)^4)/(384*10100*1000*0.289))/(('HTML Frame'!D37*12)/60)</f>
        <v>0.38885498146863046</v>
      </c>
    </row>
    <row r="28" spans="1:18" x14ac:dyDescent="0.25">
      <c r="B28" s="219" t="s">
        <v>172</v>
      </c>
      <c r="M28" s="12" t="s">
        <v>499</v>
      </c>
      <c r="N28" s="12"/>
    </row>
    <row r="29" spans="1:18" x14ac:dyDescent="0.25">
      <c r="B29" s="225" t="s">
        <v>274</v>
      </c>
      <c r="C29" s="224"/>
      <c r="D29" s="224" t="s">
        <v>338</v>
      </c>
      <c r="E29" s="219" t="s">
        <v>0</v>
      </c>
      <c r="H29" s="219" t="s">
        <v>330</v>
      </c>
      <c r="I29" s="219" t="s">
        <v>331</v>
      </c>
      <c r="J29" s="219" t="s">
        <v>332</v>
      </c>
      <c r="K29" s="219" t="s">
        <v>333</v>
      </c>
      <c r="M29" s="223" t="s">
        <v>312</v>
      </c>
      <c r="N29" s="223" t="s">
        <v>500</v>
      </c>
      <c r="O29" s="223" t="s">
        <v>330</v>
      </c>
      <c r="P29" s="223" t="s">
        <v>331</v>
      </c>
      <c r="Q29" s="223" t="s">
        <v>332</v>
      </c>
      <c r="R29" s="223" t="s">
        <v>333</v>
      </c>
    </row>
    <row r="30" spans="1:18" x14ac:dyDescent="0.25">
      <c r="B30" s="224" t="s">
        <v>320</v>
      </c>
      <c r="C30" s="224"/>
      <c r="D30" s="384">
        <f>('Hanger Arm Tables (2)'!AA825*1000*'Hanger Arm Tables (2)'!AA10*SIN(ATAN('HTML Frame'!D41/('HTML Frame'!D37-'HTML Frame'!D39))))/((ABS(Control!H20)*('Hanger Arm Tables (2)'!B19/2))*(3/2))</f>
        <v>8.2841972703000248</v>
      </c>
      <c r="E30" s="221">
        <f>ROUNDDOWN(D30/0.5,0)*0.5</f>
        <v>8</v>
      </c>
      <c r="H30" s="246">
        <f>Control!$E30*'Hanger Arm Tables (2)'!S$19</f>
        <v>3367.2521227127304</v>
      </c>
      <c r="I30" s="246">
        <f>-Control!$E30*'Hanger Arm Tables (2)'!T$19</f>
        <v>-1891.7146756813092</v>
      </c>
      <c r="J30" s="246">
        <f>-Control!$E30*'Hanger Arm Tables (2)'!U$19</f>
        <v>-2446.703268709156</v>
      </c>
      <c r="K30" s="246">
        <f>Control!$E30*'Hanger Arm Tables (2)'!V$19</f>
        <v>1374.5523981512113</v>
      </c>
      <c r="M30" s="373">
        <f>F92</f>
        <v>1</v>
      </c>
      <c r="N30" s="377">
        <f>IF($M$30=2,E30,0)</f>
        <v>0</v>
      </c>
      <c r="O30" s="223">
        <f>IF($M$30=2,H30,0)</f>
        <v>0</v>
      </c>
      <c r="P30" s="223">
        <f>IF($M$30=2,I30,0)</f>
        <v>0</v>
      </c>
      <c r="Q30" s="223">
        <f>IF($M$30=2,J30,0)</f>
        <v>0</v>
      </c>
      <c r="R30" s="223">
        <f>IF($M$30=2,K30,0)</f>
        <v>0</v>
      </c>
    </row>
    <row r="31" spans="1:18" x14ac:dyDescent="0.25">
      <c r="B31" s="221" t="s">
        <v>319</v>
      </c>
      <c r="D31" s="384">
        <f>('Hanger Arm Tables (2)'!AD825*1000*'Hanger Arm Tables (2)'!AD10*SIN(ATAN('HTML Frame'!D41/('HTML Frame'!D37-'HTML Frame'!D39))))/((ABS(Control!H20)*('Hanger Arm Tables (2)'!B19/2))*(3/2))</f>
        <v>23.35413765255478</v>
      </c>
      <c r="E31" s="221">
        <f>ROUNDDOWN(D31/0.5,0)*0.5</f>
        <v>23</v>
      </c>
      <c r="H31" s="246">
        <f>Control!$E31*'Hanger Arm Tables (2)'!S$19</f>
        <v>9680.8498527990996</v>
      </c>
      <c r="I31" s="246">
        <f>-Control!$E31*'Hanger Arm Tables (2)'!T$19</f>
        <v>-5438.6796925837643</v>
      </c>
      <c r="J31" s="246">
        <f>-Control!$E31*'Hanger Arm Tables (2)'!U$19</f>
        <v>-7034.2718975388234</v>
      </c>
      <c r="K31" s="246">
        <f>Control!$E31*'Hanger Arm Tables (2)'!V$19</f>
        <v>3951.8381446847325</v>
      </c>
      <c r="M31" s="373">
        <f>F93</f>
        <v>0</v>
      </c>
      <c r="N31" s="377">
        <f>IF($M$31=2,E31,0)</f>
        <v>0</v>
      </c>
      <c r="O31" s="223">
        <f>IF($M$31=2,H31,0)</f>
        <v>0</v>
      </c>
      <c r="P31" s="223">
        <f>IF($M$31=2,I31,0)</f>
        <v>0</v>
      </c>
      <c r="Q31" s="223">
        <f>IF($M$31=2,J31,0)</f>
        <v>0</v>
      </c>
      <c r="R31" s="223">
        <f>IF($M$31=2,K31,0)</f>
        <v>0</v>
      </c>
    </row>
    <row r="32" spans="1:18" x14ac:dyDescent="0.25">
      <c r="B32" s="219" t="s">
        <v>322</v>
      </c>
      <c r="D32" s="384">
        <f>('Hanger Arm Tables (2)'!AE825*1000*'Hanger Arm Tables (2)'!AE10*SIN(ATAN('HTML Frame'!D41/('HTML Frame'!D37-'HTML Frame'!D39))))/((ABS(Control!H20)*('Hanger Arm Tables (2)'!B19/2))*(3/2))</f>
        <v>24.365396029888831</v>
      </c>
      <c r="E32" s="221">
        <f>ROUNDDOWN(D32/0.5,0)*0.5</f>
        <v>24</v>
      </c>
      <c r="H32" s="246">
        <f>Control!$E32*'Hanger Arm Tables (2)'!S$19</f>
        <v>10101.756368138191</v>
      </c>
      <c r="I32" s="246">
        <f>-Control!$E32*'Hanger Arm Tables (2)'!T$19</f>
        <v>-5675.144027043928</v>
      </c>
      <c r="J32" s="246">
        <f>-Control!$E32*'Hanger Arm Tables (2)'!U$19</f>
        <v>-7340.1098061274679</v>
      </c>
      <c r="K32" s="246">
        <f>Control!$E32*'Hanger Arm Tables (2)'!V$19</f>
        <v>4123.6571944536336</v>
      </c>
      <c r="M32" s="373">
        <f>F94</f>
        <v>0</v>
      </c>
      <c r="N32" s="377">
        <f>IF($M$32=2,E32,0)</f>
        <v>0</v>
      </c>
      <c r="O32" s="223">
        <f>IF($M$32=2,H32,0)</f>
        <v>0</v>
      </c>
      <c r="P32" s="223">
        <f>IF($M$32=2,I32,0)</f>
        <v>0</v>
      </c>
      <c r="Q32" s="223">
        <f>IF($M$32=2,J32,0)</f>
        <v>0</v>
      </c>
      <c r="R32" s="223">
        <f>IF($M$32=2,K32,0)</f>
        <v>0</v>
      </c>
    </row>
    <row r="33" spans="2:21" x14ac:dyDescent="0.25">
      <c r="B33" s="225" t="s">
        <v>313</v>
      </c>
      <c r="C33" s="224"/>
      <c r="D33" s="219" t="s">
        <v>335</v>
      </c>
      <c r="E33" s="219" t="s">
        <v>0</v>
      </c>
      <c r="H33" s="219" t="s">
        <v>330</v>
      </c>
      <c r="I33" s="219" t="s">
        <v>331</v>
      </c>
      <c r="J33" s="219" t="s">
        <v>332</v>
      </c>
      <c r="K33" s="219" t="s">
        <v>333</v>
      </c>
      <c r="M33" s="373"/>
      <c r="N33" s="377"/>
      <c r="O33" s="223"/>
      <c r="P33" s="223"/>
      <c r="Q33" s="223"/>
      <c r="R33" s="223"/>
    </row>
    <row r="34" spans="2:21" x14ac:dyDescent="0.25">
      <c r="B34" s="224" t="s">
        <v>320</v>
      </c>
      <c r="C34" s="224"/>
      <c r="D34" s="250">
        <f>(3100*SIN(ATAN('HTML Frame'!D41/('HTML Frame'!D37-'HTML Frame'!D39))))/(Control!F20*('HTML Frame'!D37/2)*(3/2))</f>
        <v>6.4211283968765915</v>
      </c>
      <c r="E34" s="219">
        <f>ROUNDDOWN(D34/0.5,0)*0.5</f>
        <v>6</v>
      </c>
      <c r="H34" s="227">
        <f>Control!$E34*'Hanger Arm Tables (2)'!S$19</f>
        <v>2525.4390920345477</v>
      </c>
      <c r="I34" s="227">
        <f>-Control!$E34*'Hanger Arm Tables (2)'!T$19</f>
        <v>-1418.786006760982</v>
      </c>
      <c r="J34" s="227">
        <f>-Control!$E34*'Hanger Arm Tables (2)'!U$19</f>
        <v>-1835.027451531867</v>
      </c>
      <c r="K34" s="227">
        <f>Control!$E34*'Hanger Arm Tables (2)'!V$19</f>
        <v>1030.9142986134084</v>
      </c>
      <c r="M34" s="373">
        <f>F96</f>
        <v>2</v>
      </c>
      <c r="N34" s="377">
        <f>IF($M$34=2,E34,0)</f>
        <v>6</v>
      </c>
      <c r="O34" s="223">
        <f>IF($M$34=2,H34,0)</f>
        <v>2525.4390920345477</v>
      </c>
      <c r="P34" s="223">
        <f>IF($M$34=2,I34,0)</f>
        <v>-1418.786006760982</v>
      </c>
      <c r="Q34" s="223">
        <f>IF($M$34=2,J34,0)</f>
        <v>-1835.027451531867</v>
      </c>
      <c r="R34" s="223">
        <f>IF($M$34=2,K34,0)</f>
        <v>1030.9142986134084</v>
      </c>
    </row>
    <row r="35" spans="2:21" x14ac:dyDescent="0.25">
      <c r="B35" s="221" t="s">
        <v>319</v>
      </c>
      <c r="D35" s="250">
        <f>(4252*SIN(ATAN('HTML Frame'!D41/('HTML Frame'!D37-'HTML Frame'!D39))))/(Control!F20*('HTML Frame'!D37/2)*(3/2))</f>
        <v>8.8073025624255692</v>
      </c>
      <c r="E35" s="219">
        <f>ROUNDDOWN(D35/0.5,0)*0.5</f>
        <v>8.5</v>
      </c>
      <c r="H35" s="227">
        <f>Control!$E35*'Hanger Arm Tables (2)'!S$19</f>
        <v>3577.705380382276</v>
      </c>
      <c r="I35" s="227">
        <f>-Control!$E35*'Hanger Arm Tables (2)'!T$19</f>
        <v>-2009.9468429113911</v>
      </c>
      <c r="J35" s="227">
        <f>-Control!$E35*'Hanger Arm Tables (2)'!U$19</f>
        <v>-2599.6222230034782</v>
      </c>
      <c r="K35" s="227">
        <f>Control!$E35*'Hanger Arm Tables (2)'!V$19</f>
        <v>1460.461923035662</v>
      </c>
      <c r="M35" s="373">
        <f>F97</f>
        <v>0</v>
      </c>
      <c r="N35" s="377">
        <f>IF($M$35=2,E35,0)</f>
        <v>0</v>
      </c>
      <c r="O35" s="223">
        <f>IF($M$35=2,H35,0)</f>
        <v>0</v>
      </c>
      <c r="P35" s="223">
        <f>IF($M$35=2,I35,0)</f>
        <v>0</v>
      </c>
      <c r="Q35" s="223">
        <f>IF($M$35=2,J35,0)</f>
        <v>0</v>
      </c>
      <c r="R35" s="223">
        <f>IF($M$35=2,K35,0)</f>
        <v>0</v>
      </c>
    </row>
    <row r="36" spans="2:21" x14ac:dyDescent="0.25">
      <c r="B36" s="12" t="s">
        <v>475</v>
      </c>
      <c r="D36" s="250" t="s">
        <v>478</v>
      </c>
      <c r="E36" s="219" t="s">
        <v>0</v>
      </c>
      <c r="H36" s="219" t="s">
        <v>330</v>
      </c>
      <c r="I36" s="219" t="s">
        <v>331</v>
      </c>
      <c r="J36" s="219" t="s">
        <v>332</v>
      </c>
      <c r="K36" s="219" t="s">
        <v>333</v>
      </c>
      <c r="M36" s="373"/>
      <c r="N36" s="377"/>
      <c r="O36" s="223"/>
      <c r="P36" s="223"/>
      <c r="Q36" s="223"/>
      <c r="R36" s="223"/>
    </row>
    <row r="37" spans="2:21" x14ac:dyDescent="0.25">
      <c r="B37" s="221" t="s">
        <v>474</v>
      </c>
      <c r="D37" s="249">
        <f>(4053*SIN(ATAN('HTML Frame'!D41/('HTML Frame'!D37-'HTML Frame'!D39))))/(Control!F20*('HTML Frame'!D37/2)*(3/2))</f>
        <v>8.3951075459809115</v>
      </c>
      <c r="E37" s="219">
        <f>ROUNDDOWN(D37/0.5,0)*0.5</f>
        <v>8</v>
      </c>
      <c r="H37" s="227">
        <f>Control!$E37*'Hanger Arm Tables (2)'!S$19</f>
        <v>3367.2521227127304</v>
      </c>
      <c r="I37" s="227">
        <f>-Control!$E37*'Hanger Arm Tables (2)'!T$19</f>
        <v>-1891.7146756813092</v>
      </c>
      <c r="J37" s="227">
        <f>-Control!$E37*'Hanger Arm Tables (2)'!U$19</f>
        <v>-2446.703268709156</v>
      </c>
      <c r="K37" s="227">
        <f>Control!$E37*'Hanger Arm Tables (2)'!V$19</f>
        <v>1374.5523981512113</v>
      </c>
      <c r="M37" s="373">
        <f>F100</f>
        <v>0</v>
      </c>
      <c r="N37" s="377">
        <f>IF($M$37=2,E37,0)</f>
        <v>0</v>
      </c>
      <c r="O37" s="223">
        <f>IF($M$37=2,H37,0)</f>
        <v>0</v>
      </c>
      <c r="P37" s="223">
        <f>IF($M$37=2,I37,0)</f>
        <v>0</v>
      </c>
      <c r="Q37" s="223">
        <f>IF($M$37=2,J37,0)</f>
        <v>0</v>
      </c>
      <c r="R37" s="223">
        <f>IF($M$37=2,K37,0)</f>
        <v>0</v>
      </c>
    </row>
    <row r="38" spans="2:21" x14ac:dyDescent="0.25">
      <c r="B38" s="12" t="s">
        <v>316</v>
      </c>
      <c r="D38" s="219" t="s">
        <v>336</v>
      </c>
      <c r="E38" s="219" t="s">
        <v>0</v>
      </c>
      <c r="F38" s="219" t="s">
        <v>337</v>
      </c>
      <c r="G38" s="219" t="s">
        <v>0</v>
      </c>
      <c r="H38" s="219" t="s">
        <v>330</v>
      </c>
      <c r="I38" s="219" t="s">
        <v>331</v>
      </c>
      <c r="J38" s="219" t="s">
        <v>332</v>
      </c>
      <c r="K38" s="219" t="s">
        <v>333</v>
      </c>
      <c r="M38" s="373"/>
      <c r="N38" s="377"/>
      <c r="O38" s="223"/>
      <c r="P38" s="223"/>
      <c r="Q38" s="223"/>
      <c r="R38" s="223"/>
      <c r="U38" s="221"/>
    </row>
    <row r="39" spans="2:21" x14ac:dyDescent="0.25">
      <c r="B39" s="219" t="s">
        <v>323</v>
      </c>
      <c r="D39" s="249">
        <f>1/(((((F20*('HTML Frame'!D37/2)*(3/2))/SIN(ATAN('HTML Frame'!D41/('HTML Frame'!D37-'HTML Frame'!D39)))*(COS(RADIANS('HTML Frame'!D43)))))/65804.8)+((F20*('HTML Frame'!D37/2)*('HTML Frame'!D39))/8323.25))</f>
        <v>17.612809218641161</v>
      </c>
      <c r="E39" s="219">
        <f>ROUNDDOWN(D39/0.5,0)*0.5</f>
        <v>17.5</v>
      </c>
      <c r="F39" s="249">
        <f>1/(((ABS(H20)*('HTML Frame'!D37/2)*'HTML Frame'!D39)/8323.25))</f>
        <v>27.316889695223448</v>
      </c>
      <c r="G39" s="219">
        <f>ROUNDDOWN(F39/0.5,0)*0.5</f>
        <v>27</v>
      </c>
      <c r="H39" s="227">
        <f>MIN($E$39,$G$39)*'Hanger Arm Tables (2)'!S$19</f>
        <v>7365.8640184340975</v>
      </c>
      <c r="I39" s="227">
        <f>-MIN($E$39,$G$39)*'Hanger Arm Tables (2)'!T$19</f>
        <v>-4138.1258530528639</v>
      </c>
      <c r="J39" s="227">
        <f>-MIN($E$39,$G$39)*'Hanger Arm Tables (2)'!U$19</f>
        <v>-5352.1634003012787</v>
      </c>
      <c r="K39" s="227">
        <f>MIN($E$39,$G$39)*'Hanger Arm Tables (2)'!V$19</f>
        <v>3006.8333709557746</v>
      </c>
      <c r="M39" s="373">
        <f>F102</f>
        <v>0</v>
      </c>
      <c r="N39" s="377">
        <f>IF($M$39=2,MIN(E39,G39),0)</f>
        <v>0</v>
      </c>
      <c r="O39" s="223">
        <f>IF($M$39=2,H39,0)</f>
        <v>0</v>
      </c>
      <c r="P39" s="223">
        <f>IF($M$39=2,I39,0)</f>
        <v>0</v>
      </c>
      <c r="Q39" s="223">
        <f>IF($M$39=2,J39,0)</f>
        <v>0</v>
      </c>
      <c r="R39" s="223">
        <f>IF($M$39=2,K39,0)</f>
        <v>0</v>
      </c>
      <c r="T39" s="383"/>
    </row>
    <row r="40" spans="2:21" x14ac:dyDescent="0.25">
      <c r="B40" s="12" t="s">
        <v>343</v>
      </c>
      <c r="D40" s="219" t="s">
        <v>344</v>
      </c>
      <c r="E40" s="219" t="s">
        <v>0</v>
      </c>
      <c r="F40" s="219" t="s">
        <v>345</v>
      </c>
      <c r="G40" s="219" t="s">
        <v>0</v>
      </c>
      <c r="H40" s="219" t="s">
        <v>330</v>
      </c>
      <c r="I40" s="219" t="s">
        <v>331</v>
      </c>
      <c r="J40" s="219" t="s">
        <v>332</v>
      </c>
      <c r="K40" s="219" t="s">
        <v>333</v>
      </c>
      <c r="M40" s="373"/>
      <c r="N40" s="377"/>
      <c r="O40" s="223"/>
      <c r="P40" s="223"/>
      <c r="Q40" s="223"/>
      <c r="R40" s="223"/>
    </row>
    <row r="41" spans="2:21" x14ac:dyDescent="0.25">
      <c r="B41" s="252" t="s">
        <v>348</v>
      </c>
      <c r="D41" s="249">
        <f>(2*1722)/(F20*'HTML Frame'!D37)</f>
        <v>10.923423212624689</v>
      </c>
      <c r="E41" s="246">
        <f>ROUNDDOWN(D41/0.5,0)*0.5</f>
        <v>10.5</v>
      </c>
      <c r="F41" s="249"/>
      <c r="G41" s="246"/>
      <c r="H41" s="227">
        <f>Control!$E41*'Hanger Arm Tables (2)'!S$19</f>
        <v>4419.5184110604587</v>
      </c>
      <c r="I41" s="227">
        <f>-Control!$E41*'Hanger Arm Tables (2)'!T$19</f>
        <v>-2482.8755118317185</v>
      </c>
      <c r="J41" s="227">
        <f>-Control!$E41*'Hanger Arm Tables (2)'!U$19</f>
        <v>-3211.2980401807672</v>
      </c>
      <c r="K41" s="227">
        <f>Control!$E41*'Hanger Arm Tables (2)'!V$19</f>
        <v>1804.1000225734647</v>
      </c>
      <c r="M41" s="373">
        <f>F104</f>
        <v>1</v>
      </c>
      <c r="N41" s="377">
        <f>IF($M$41=2,E41,0)</f>
        <v>0</v>
      </c>
      <c r="O41" s="223">
        <f>IF($M41=2,H41,0)</f>
        <v>0</v>
      </c>
      <c r="P41" s="223">
        <f>IF($M$41=2,I41,0)</f>
        <v>0</v>
      </c>
      <c r="Q41" s="223">
        <f>IF($M$41=2,J41,0)</f>
        <v>0</v>
      </c>
      <c r="R41" s="223">
        <f>IF($M$41=2,K41,0)</f>
        <v>0</v>
      </c>
      <c r="T41" s="221"/>
    </row>
    <row r="42" spans="2:21" x14ac:dyDescent="0.25">
      <c r="B42" s="252" t="s">
        <v>349</v>
      </c>
      <c r="D42" s="249">
        <f>14482020/((8410*F20*('HTML Frame'!D37/4))+(1722*((F20*('HTML Frame'!D37/2)*(3/2))/SIN(ATAN('HTML Frame'!D41/('HTML Frame'!D37-'HTML Frame'!D39)))*(COS(RADIANS('HTML Frame'!D43))))))</f>
        <v>10.436067544670594</v>
      </c>
      <c r="E42" s="219">
        <f>ROUNDDOWN(D42/0.5,0)*0.5</f>
        <v>10</v>
      </c>
      <c r="F42" s="249">
        <f>8410/(((ABS(H20)*('HTML Frame'!D37/2)*(3/2))/SIN(ATAN('HTML Frame'!D41/('HTML Frame'!D37-'HTML Frame'!D39)))*(COS(RADIANS('HTML Frame'!D43)))))</f>
        <v>27.498226229736442</v>
      </c>
      <c r="G42" s="246">
        <f>ROUNDDOWN(F42/0.5,0)*0.5</f>
        <v>27</v>
      </c>
      <c r="H42" s="227">
        <f>MIN($E$42,$G$42)*'Hanger Arm Tables (2)'!S$19</f>
        <v>4209.0651533909131</v>
      </c>
      <c r="I42" s="227">
        <f>-MIN($E$42,$G$42)*'Hanger Arm Tables (2)'!T$19</f>
        <v>-2364.6433446016367</v>
      </c>
      <c r="J42" s="227">
        <f>-MIN($E$42,$G$42)*'Hanger Arm Tables (2)'!U$19</f>
        <v>-3058.379085886445</v>
      </c>
      <c r="K42" s="227">
        <f>MIN($E$42,$G$42)*'Hanger Arm Tables (2)'!V$19</f>
        <v>1718.1904976890141</v>
      </c>
      <c r="M42" s="373">
        <f>F105</f>
        <v>1</v>
      </c>
      <c r="N42" s="377">
        <f>IF($M$42=2,MIN(E42,G42),0)</f>
        <v>0</v>
      </c>
      <c r="O42" s="223">
        <f>IF($M42=2,H42,0)</f>
        <v>0</v>
      </c>
      <c r="P42" s="223">
        <f t="shared" ref="P42:R44" si="3">IF($M42=2,I42,0)</f>
        <v>0</v>
      </c>
      <c r="Q42" s="223">
        <f t="shared" si="3"/>
        <v>0</v>
      </c>
      <c r="R42" s="223">
        <f t="shared" si="3"/>
        <v>0</v>
      </c>
    </row>
    <row r="43" spans="2:21" x14ac:dyDescent="0.25">
      <c r="B43" s="252" t="s">
        <v>350</v>
      </c>
      <c r="D43" s="249">
        <f>(2*1722)/(F20*'HTML Frame'!D37)</f>
        <v>10.923423212624689</v>
      </c>
      <c r="E43" s="246">
        <f>ROUNDDOWN(D43/0.5,0)*0.5</f>
        <v>10.5</v>
      </c>
      <c r="F43" s="249"/>
      <c r="G43" s="246"/>
      <c r="H43" s="227">
        <f>Control!$E43*'Hanger Arm Tables (2)'!S$19</f>
        <v>4419.5184110604587</v>
      </c>
      <c r="I43" s="227">
        <f>-Control!$E43*'Hanger Arm Tables (2)'!T$19</f>
        <v>-2482.8755118317185</v>
      </c>
      <c r="J43" s="227">
        <f>-Control!$E43*'Hanger Arm Tables (2)'!U$19</f>
        <v>-3211.2980401807672</v>
      </c>
      <c r="K43" s="227">
        <f>Control!$E43*'Hanger Arm Tables (2)'!V$19</f>
        <v>1804.1000225734647</v>
      </c>
      <c r="M43" s="373">
        <f>F106</f>
        <v>0</v>
      </c>
      <c r="N43" s="377">
        <f>IF($M$43=2,E43,0)</f>
        <v>0</v>
      </c>
      <c r="O43" s="223">
        <f>IF($M43=2,H43,0)</f>
        <v>0</v>
      </c>
      <c r="P43" s="223">
        <f t="shared" si="3"/>
        <v>0</v>
      </c>
      <c r="Q43" s="223">
        <f t="shared" si="3"/>
        <v>0</v>
      </c>
      <c r="R43" s="223">
        <f t="shared" si="3"/>
        <v>0</v>
      </c>
    </row>
    <row r="44" spans="2:21" x14ac:dyDescent="0.25">
      <c r="B44" s="252" t="s">
        <v>351</v>
      </c>
      <c r="D44" s="249">
        <f>8384418/((4869*F20*('HTML Frame'!D37/4))+(1722*((F20*('HTML Frame'!D37/2)*(3/2))/SIN(ATAN('HTML Frame'!D41/('HTML Frame'!D37-'HTML Frame'!D39)))*(COS(RADIANS('HTML Frame'!D43))))))</f>
        <v>7.5631872095192438</v>
      </c>
      <c r="E44" s="219">
        <f>ROUNDDOWN(D44/0.5,0)*0.5</f>
        <v>7.5</v>
      </c>
      <c r="F44" s="249">
        <f>4869/(((ABS(H20)*('HTML Frame'!D37/2)*(3/2))/SIN(ATAN('HTML Frame'!D41/('HTML Frame'!D37-'HTML Frame'!D39)))*(COS(RADIANS('HTML Frame'!D43)))))</f>
        <v>15.920197801734451</v>
      </c>
      <c r="G44" s="246">
        <f>ROUNDDOWN(F44/0.5,0)*0.5</f>
        <v>15.5</v>
      </c>
      <c r="H44" s="227">
        <f>MIN($E$44,$G$44)*'Hanger Arm Tables (2)'!S$19</f>
        <v>3156.7988650431848</v>
      </c>
      <c r="I44" s="227">
        <f>-MIN($E$44,$G$44)*'Hanger Arm Tables (2)'!T$19</f>
        <v>-1773.4825084512274</v>
      </c>
      <c r="J44" s="227">
        <f>-MIN($E$44,$G$44)*'Hanger Arm Tables (2)'!U$19</f>
        <v>-2293.7843144148337</v>
      </c>
      <c r="K44" s="227">
        <f>MIN($E$44,$G$44)*'Hanger Arm Tables (2)'!V$19</f>
        <v>1288.6428732667605</v>
      </c>
      <c r="M44" s="373">
        <f>F107</f>
        <v>0</v>
      </c>
      <c r="N44" s="377">
        <f>IF($M$44=2,MIN(E44,G44),0)</f>
        <v>0</v>
      </c>
      <c r="O44" s="223">
        <f>IF($M44=2,H44,0)</f>
        <v>0</v>
      </c>
      <c r="P44" s="223">
        <f t="shared" si="3"/>
        <v>0</v>
      </c>
      <c r="Q44" s="223">
        <f t="shared" si="3"/>
        <v>0</v>
      </c>
      <c r="R44" s="223">
        <f t="shared" si="3"/>
        <v>0</v>
      </c>
    </row>
    <row r="45" spans="2:21" x14ac:dyDescent="0.25">
      <c r="B45" s="12" t="s">
        <v>317</v>
      </c>
      <c r="D45" s="219" t="s">
        <v>346</v>
      </c>
      <c r="E45" s="219" t="s">
        <v>0</v>
      </c>
      <c r="F45" s="219" t="s">
        <v>347</v>
      </c>
      <c r="G45" s="219" t="s">
        <v>0</v>
      </c>
      <c r="H45" s="219" t="s">
        <v>330</v>
      </c>
      <c r="I45" s="219" t="s">
        <v>331</v>
      </c>
      <c r="J45" s="219" t="s">
        <v>332</v>
      </c>
      <c r="K45" s="219" t="s">
        <v>333</v>
      </c>
      <c r="M45" s="373"/>
      <c r="N45" s="377"/>
      <c r="O45" s="223"/>
      <c r="P45" s="223"/>
      <c r="Q45" s="223"/>
      <c r="R45" s="223"/>
    </row>
    <row r="46" spans="2:21" x14ac:dyDescent="0.25">
      <c r="B46" s="219" t="s">
        <v>604</v>
      </c>
      <c r="D46" s="249">
        <f>(1/(('Hanger Arm Tables (2)'!$T$19/'Hanger Arm Tables (2)'!$H149)^(5/3)+('Hanger Arm Tables (2)'!$S$19/'Hanger Arm Tables (2)'!$G149)^(5/3)))^(3/5)</f>
        <v>11.050838554323597</v>
      </c>
      <c r="E46" s="219">
        <f>ROUNDDOWN(D46/0.5,0)*0.5</f>
        <v>11</v>
      </c>
      <c r="F46" s="249">
        <f>(1/('Hanger Arm Tables (2)'!$V$19/'Hanger Arm Tables (2)'!$H149)^(5/3))^(3/5)</f>
        <v>27.694251635078309</v>
      </c>
      <c r="G46" s="219">
        <f>ROUNDDOWN(F46/0.5,0)*0.5</f>
        <v>27.5</v>
      </c>
      <c r="H46" s="227">
        <f>MIN($E46,$G46)*'Hanger Arm Tables (2)'!S$19</f>
        <v>4629.9716687300042</v>
      </c>
      <c r="I46" s="227">
        <f>-MIN($E46,$G46)*'Hanger Arm Tables (2)'!T$19</f>
        <v>-2601.1076790618004</v>
      </c>
      <c r="J46" s="227">
        <f>-MIN($E46,$G46)*'Hanger Arm Tables (2)'!U$19</f>
        <v>-3364.2169944750895</v>
      </c>
      <c r="K46" s="227">
        <f>MIN($E46,$G46)*'Hanger Arm Tables (2)'!V$19</f>
        <v>1890.0095474579155</v>
      </c>
      <c r="M46" s="373">
        <f>F109</f>
        <v>0</v>
      </c>
      <c r="N46" s="377">
        <f>IF($M46=2,MIN(E46,G46),0)</f>
        <v>0</v>
      </c>
      <c r="O46" s="223">
        <f t="shared" ref="O46:O60" si="4">IF($M46=2,H46,0)</f>
        <v>0</v>
      </c>
      <c r="P46" s="223">
        <f t="shared" ref="P46:P60" si="5">IF($M46=2,I46,0)</f>
        <v>0</v>
      </c>
      <c r="Q46" s="223">
        <f t="shared" ref="Q46:Q60" si="6">IF($M46=2,J46,0)</f>
        <v>0</v>
      </c>
      <c r="R46" s="223">
        <f t="shared" ref="R46:R60" si="7">IF($M46=2,K46,0)</f>
        <v>0</v>
      </c>
    </row>
    <row r="47" spans="2:21" x14ac:dyDescent="0.25">
      <c r="B47" s="219" t="s">
        <v>605</v>
      </c>
      <c r="D47" s="249">
        <f>(1/(('Hanger Arm Tables (2)'!$T$19/'Hanger Arm Tables (2)'!$H150)^(5/3)+('Hanger Arm Tables (2)'!$S$19/'Hanger Arm Tables (2)'!$G150)^(5/3)))^(3/5)</f>
        <v>5.302648109224763</v>
      </c>
      <c r="E47" s="246">
        <f>ROUNDDOWN(D47/0.5,0)*0.5</f>
        <v>5</v>
      </c>
      <c r="F47" s="249">
        <f>(1/('Hanger Arm Tables (2)'!$V$19/'Hanger Arm Tables (2)'!$H150)^(5/3))^(3/5)</f>
        <v>9.2515934766140902</v>
      </c>
      <c r="G47" s="246">
        <f>ROUNDDOWN(F47/0.5,0)*0.5</f>
        <v>9</v>
      </c>
      <c r="H47" s="227">
        <f>MIN($E47,$G47)*'Hanger Arm Tables (2)'!S$19</f>
        <v>2104.5325766954566</v>
      </c>
      <c r="I47" s="227">
        <f>-MIN($E47,$G47)*'Hanger Arm Tables (2)'!T$19</f>
        <v>-1182.3216723008184</v>
      </c>
      <c r="J47" s="227">
        <f>-MIN($E47,$G47)*'Hanger Arm Tables (2)'!U$19</f>
        <v>-1529.1895429432225</v>
      </c>
      <c r="K47" s="227">
        <f>MIN($E47,$G47)*'Hanger Arm Tables (2)'!V$19</f>
        <v>859.09524884450707</v>
      </c>
      <c r="M47" s="373">
        <f>F110</f>
        <v>0</v>
      </c>
      <c r="N47" s="377">
        <f t="shared" ref="N47:N63" si="8">IF($M47=2,MIN(E47,G47),0)</f>
        <v>0</v>
      </c>
      <c r="O47" s="223">
        <f t="shared" si="4"/>
        <v>0</v>
      </c>
      <c r="P47" s="223">
        <f t="shared" si="5"/>
        <v>0</v>
      </c>
      <c r="Q47" s="223">
        <f t="shared" si="6"/>
        <v>0</v>
      </c>
      <c r="R47" s="223">
        <f t="shared" si="7"/>
        <v>0</v>
      </c>
    </row>
    <row r="48" spans="2:21" x14ac:dyDescent="0.25">
      <c r="B48" s="246" t="s">
        <v>606</v>
      </c>
      <c r="D48" s="249">
        <f>(1/(('Hanger Arm Tables (2)'!$T$19/'Hanger Arm Tables (2)'!$H151)^(5/3)+('Hanger Arm Tables (2)'!$S$19/'Hanger Arm Tables (2)'!$G151)^(5/3)))^(3/5)</f>
        <v>13.347113497158622</v>
      </c>
      <c r="E48" s="246">
        <f>ROUNDDOWN(D48/0.5,0)*0.5</f>
        <v>13</v>
      </c>
      <c r="F48" s="249">
        <f>(1/('Hanger Arm Tables (2)'!$V$19/'Hanger Arm Tables (2)'!$H151)^(5/3))^(3/5)</f>
        <v>29.67074958717831</v>
      </c>
      <c r="G48" s="246">
        <f>ROUNDDOWN(F48/0.5,0)*0.5</f>
        <v>29.5</v>
      </c>
      <c r="H48" s="227">
        <f>MIN($E48,$G48)*'Hanger Arm Tables (2)'!S$19</f>
        <v>5471.7846994081865</v>
      </c>
      <c r="I48" s="227">
        <f>-MIN($E48,$G48)*'Hanger Arm Tables (2)'!T$19</f>
        <v>-3074.0363479821276</v>
      </c>
      <c r="J48" s="227">
        <f>-MIN($E48,$G48)*'Hanger Arm Tables (2)'!U$19</f>
        <v>-3975.8928116523784</v>
      </c>
      <c r="K48" s="227">
        <f>MIN($E48,$G48)*'Hanger Arm Tables (2)'!V$19</f>
        <v>2233.6476469957183</v>
      </c>
      <c r="M48" s="373">
        <f t="shared" ref="M48:M53" si="9">F111</f>
        <v>0</v>
      </c>
      <c r="N48" s="377">
        <f t="shared" si="8"/>
        <v>0</v>
      </c>
      <c r="O48" s="223">
        <f t="shared" si="4"/>
        <v>0</v>
      </c>
      <c r="P48" s="223">
        <f t="shared" ref="P48:P53" si="10">IF($M48=2,I48,0)</f>
        <v>0</v>
      </c>
      <c r="Q48" s="223">
        <f t="shared" ref="Q48:Q53" si="11">IF($M48=2,J48,0)</f>
        <v>0</v>
      </c>
      <c r="R48" s="223">
        <f t="shared" ref="R48:R53" si="12">IF($M48=2,K48,0)</f>
        <v>0</v>
      </c>
    </row>
    <row r="49" spans="2:18" x14ac:dyDescent="0.25">
      <c r="B49" s="246" t="s">
        <v>607</v>
      </c>
      <c r="D49" s="249">
        <f>(1/(('Hanger Arm Tables (2)'!$T$19/'Hanger Arm Tables (2)'!$H152)^(5/3)+('Hanger Arm Tables (2)'!$S$19/'Hanger Arm Tables (2)'!$G152)^(5/3)))^(3/5)</f>
        <v>6.4780715031765492</v>
      </c>
      <c r="E49" s="246">
        <f t="shared" ref="E49:E53" si="13">ROUNDDOWN(D49/0.5,0)*0.5</f>
        <v>6</v>
      </c>
      <c r="F49" s="249">
        <f>(1/('Hanger Arm Tables (2)'!$V$19/'Hanger Arm Tables (2)'!$H152)^(5/3))^(3/5)</f>
        <v>10.79274971252716</v>
      </c>
      <c r="G49" s="246">
        <f t="shared" ref="G49:G53" si="14">ROUNDDOWN(F49/0.5,0)*0.5</f>
        <v>10.5</v>
      </c>
      <c r="H49" s="227">
        <f>MIN($E49,$G49)*'Hanger Arm Tables (2)'!S$19</f>
        <v>2525.4390920345477</v>
      </c>
      <c r="I49" s="227">
        <f>-MIN($E49,$G49)*'Hanger Arm Tables (2)'!T$19</f>
        <v>-1418.786006760982</v>
      </c>
      <c r="J49" s="227">
        <f>-MIN($E49,$G49)*'Hanger Arm Tables (2)'!U$19</f>
        <v>-1835.027451531867</v>
      </c>
      <c r="K49" s="227">
        <f>MIN($E49,$G49)*'Hanger Arm Tables (2)'!V$19</f>
        <v>1030.9142986134084</v>
      </c>
      <c r="M49" s="373">
        <f t="shared" si="9"/>
        <v>0</v>
      </c>
      <c r="N49" s="377">
        <f t="shared" si="8"/>
        <v>0</v>
      </c>
      <c r="O49" s="223">
        <f t="shared" si="4"/>
        <v>0</v>
      </c>
      <c r="P49" s="223">
        <f t="shared" si="10"/>
        <v>0</v>
      </c>
      <c r="Q49" s="223">
        <f t="shared" si="11"/>
        <v>0</v>
      </c>
      <c r="R49" s="223">
        <f t="shared" si="12"/>
        <v>0</v>
      </c>
    </row>
    <row r="50" spans="2:18" x14ac:dyDescent="0.25">
      <c r="B50" s="246" t="s">
        <v>608</v>
      </c>
      <c r="D50" s="249">
        <f>(1/(('Hanger Arm Tables (2)'!$T$19/'Hanger Arm Tables (2)'!$H153)^(5/3)+('Hanger Arm Tables (2)'!$S$19/'Hanger Arm Tables (2)'!$G153)^(5/3)))^(3/5)</f>
        <v>15.573620572856067</v>
      </c>
      <c r="E50" s="246">
        <f t="shared" si="13"/>
        <v>15.5</v>
      </c>
      <c r="F50" s="249">
        <f>(1/('Hanger Arm Tables (2)'!$V$19/'Hanger Arm Tables (2)'!$H153)^(5/3))^(3/5)</f>
        <v>31.649575569846132</v>
      </c>
      <c r="G50" s="246">
        <f t="shared" si="14"/>
        <v>31.5</v>
      </c>
      <c r="H50" s="227">
        <f>MIN($E50,$G50)*'Hanger Arm Tables (2)'!S$19</f>
        <v>6524.0509877559152</v>
      </c>
      <c r="I50" s="227">
        <f>-MIN($E50,$G50)*'Hanger Arm Tables (2)'!T$19</f>
        <v>-3665.1971841325367</v>
      </c>
      <c r="J50" s="227">
        <f>-MIN($E50,$G50)*'Hanger Arm Tables (2)'!U$19</f>
        <v>-4740.4875831239897</v>
      </c>
      <c r="K50" s="227">
        <f>MIN($E50,$G50)*'Hanger Arm Tables (2)'!V$19</f>
        <v>2663.195271417972</v>
      </c>
      <c r="M50" s="373">
        <f t="shared" si="9"/>
        <v>1</v>
      </c>
      <c r="N50" s="377">
        <f t="shared" si="8"/>
        <v>0</v>
      </c>
      <c r="O50" s="223">
        <f t="shared" si="4"/>
        <v>0</v>
      </c>
      <c r="P50" s="223">
        <f t="shared" si="10"/>
        <v>0</v>
      </c>
      <c r="Q50" s="223">
        <f t="shared" si="11"/>
        <v>0</v>
      </c>
      <c r="R50" s="223">
        <f t="shared" si="12"/>
        <v>0</v>
      </c>
    </row>
    <row r="51" spans="2:18" x14ac:dyDescent="0.25">
      <c r="B51" s="246" t="s">
        <v>609</v>
      </c>
      <c r="D51" s="249">
        <f>(1/(('Hanger Arm Tables (2)'!$T$19/'Hanger Arm Tables (2)'!$H154)^(5/3)+('Hanger Arm Tables (2)'!$S$19/'Hanger Arm Tables (2)'!$G154)^(5/3)))^(3/5)</f>
        <v>7.6559985766602718</v>
      </c>
      <c r="E51" s="246">
        <f t="shared" si="13"/>
        <v>7.5</v>
      </c>
      <c r="F51" s="249">
        <f>(1/('Hanger Arm Tables (2)'!$V$19/'Hanger Arm Tables (2)'!$H154)^(5/3))^(3/5)</f>
        <v>12.333905948440226</v>
      </c>
      <c r="G51" s="246">
        <f t="shared" si="14"/>
        <v>12</v>
      </c>
      <c r="H51" s="227">
        <f>MIN($E51,$G51)*'Hanger Arm Tables (2)'!S$19</f>
        <v>3156.7988650431848</v>
      </c>
      <c r="I51" s="227">
        <f>-MIN($E51,$G51)*'Hanger Arm Tables (2)'!T$19</f>
        <v>-1773.4825084512274</v>
      </c>
      <c r="J51" s="227">
        <f>-MIN($E51,$G51)*'Hanger Arm Tables (2)'!U$19</f>
        <v>-2293.7843144148337</v>
      </c>
      <c r="K51" s="227">
        <f>MIN($E51,$G51)*'Hanger Arm Tables (2)'!V$19</f>
        <v>1288.6428732667605</v>
      </c>
      <c r="M51" s="373">
        <f t="shared" si="9"/>
        <v>0</v>
      </c>
      <c r="N51" s="377">
        <f t="shared" si="8"/>
        <v>0</v>
      </c>
      <c r="O51" s="223">
        <f t="shared" si="4"/>
        <v>0</v>
      </c>
      <c r="P51" s="223">
        <f t="shared" si="10"/>
        <v>0</v>
      </c>
      <c r="Q51" s="223">
        <f t="shared" si="11"/>
        <v>0</v>
      </c>
      <c r="R51" s="223">
        <f t="shared" si="12"/>
        <v>0</v>
      </c>
    </row>
    <row r="52" spans="2:18" x14ac:dyDescent="0.25">
      <c r="B52" s="246" t="s">
        <v>610</v>
      </c>
      <c r="D52" s="249">
        <f>(1/(('Hanger Arm Tables (2)'!$T$19/'Hanger Arm Tables (2)'!$H155)^(5/3)+('Hanger Arm Tables (2)'!$S$19/'Hanger Arm Tables (2)'!$G155)^(5/3)))^(3/5)</f>
        <v>17.527096568045106</v>
      </c>
      <c r="E52" s="246">
        <f t="shared" si="13"/>
        <v>17.5</v>
      </c>
      <c r="F52" s="249">
        <f>(1/('Hanger Arm Tables (2)'!$V$19/'Hanger Arm Tables (2)'!$H155)^(5/3))^(3/5)</f>
        <v>33.628401552513971</v>
      </c>
      <c r="G52" s="246">
        <f t="shared" si="14"/>
        <v>33.5</v>
      </c>
      <c r="H52" s="227">
        <f>MIN($E52,$G52)*'Hanger Arm Tables (2)'!S$19</f>
        <v>7365.8640184340975</v>
      </c>
      <c r="I52" s="227">
        <f>-MIN($E52,$G52)*'Hanger Arm Tables (2)'!T$19</f>
        <v>-4138.1258530528639</v>
      </c>
      <c r="J52" s="227">
        <f>-MIN($E52,$G52)*'Hanger Arm Tables (2)'!U$19</f>
        <v>-5352.1634003012787</v>
      </c>
      <c r="K52" s="227">
        <f>MIN($E52,$G52)*'Hanger Arm Tables (2)'!V$19</f>
        <v>3006.8333709557746</v>
      </c>
      <c r="M52" s="373">
        <f t="shared" si="9"/>
        <v>0</v>
      </c>
      <c r="N52" s="377">
        <f t="shared" si="8"/>
        <v>0</v>
      </c>
      <c r="O52" s="223">
        <f t="shared" si="4"/>
        <v>0</v>
      </c>
      <c r="P52" s="223">
        <f t="shared" si="10"/>
        <v>0</v>
      </c>
      <c r="Q52" s="223">
        <f t="shared" si="11"/>
        <v>0</v>
      </c>
      <c r="R52" s="223">
        <f t="shared" si="12"/>
        <v>0</v>
      </c>
    </row>
    <row r="53" spans="2:18" x14ac:dyDescent="0.25">
      <c r="B53" s="246" t="s">
        <v>611</v>
      </c>
      <c r="D53" s="249">
        <f>(1/(('Hanger Arm Tables (2)'!$T$19/'Hanger Arm Tables (2)'!$H156)^(5/3)+('Hanger Arm Tables (2)'!$S$19/'Hanger Arm Tables (2)'!$G156)^(5/3)))^(3/5)</f>
        <v>8.4801535527059837</v>
      </c>
      <c r="E53" s="246">
        <f t="shared" si="13"/>
        <v>8</v>
      </c>
      <c r="F53" s="249">
        <f>(1/('Hanger Arm Tables (2)'!$V$19/'Hanger Arm Tables (2)'!$H156)^(5/3))^(3/5)</f>
        <v>13.875062184353292</v>
      </c>
      <c r="G53" s="246">
        <f t="shared" si="14"/>
        <v>13.5</v>
      </c>
      <c r="H53" s="227">
        <f>MIN($E53,$G53)*'Hanger Arm Tables (2)'!S$19</f>
        <v>3367.2521227127304</v>
      </c>
      <c r="I53" s="227">
        <f>-MIN($E53,$G53)*'Hanger Arm Tables (2)'!T$19</f>
        <v>-1891.7146756813092</v>
      </c>
      <c r="J53" s="227">
        <f>-MIN($E53,$G53)*'Hanger Arm Tables (2)'!U$19</f>
        <v>-2446.703268709156</v>
      </c>
      <c r="K53" s="227">
        <f>MIN($E53,$G53)*'Hanger Arm Tables (2)'!V$19</f>
        <v>1374.5523981512113</v>
      </c>
      <c r="M53" s="373">
        <f t="shared" si="9"/>
        <v>0</v>
      </c>
      <c r="N53" s="377">
        <f t="shared" si="8"/>
        <v>0</v>
      </c>
      <c r="O53" s="223">
        <f t="shared" si="4"/>
        <v>0</v>
      </c>
      <c r="P53" s="223">
        <f t="shared" si="10"/>
        <v>0</v>
      </c>
      <c r="Q53" s="223">
        <f t="shared" si="11"/>
        <v>0</v>
      </c>
      <c r="R53" s="223">
        <f t="shared" si="12"/>
        <v>0</v>
      </c>
    </row>
    <row r="54" spans="2:18" x14ac:dyDescent="0.25">
      <c r="B54" s="219" t="s">
        <v>615</v>
      </c>
      <c r="D54" s="249">
        <f>(1/('Hanger Arm Tables (2)'!$T$19/'Hanger Arm Tables (2)'!$H157+'Hanger Arm Tables (2)'!$S$19/'Hanger Arm Tables (2)'!$G157))</f>
        <v>7.0839841430538861</v>
      </c>
      <c r="E54" s="219">
        <f t="shared" ref="E54:E60" si="15">ROUNDDOWN(D54/0.5,0)*0.5</f>
        <v>7</v>
      </c>
      <c r="F54" s="249">
        <f>(1/('Hanger Arm Tables (2)'!$V$19/'Hanger Arm Tables (2)'!$H157))</f>
        <v>55.290725986307159</v>
      </c>
      <c r="G54" s="219">
        <f t="shared" ref="G54:G60" si="16">ROUNDDOWN(F54/0.5,0)*0.5</f>
        <v>55</v>
      </c>
      <c r="H54" s="227">
        <f>MIN($E54,$G54)*'Hanger Arm Tables (2)'!S$19</f>
        <v>2946.3456073736393</v>
      </c>
      <c r="I54" s="227">
        <f>-MIN($E54,$G54)*'Hanger Arm Tables (2)'!T$19</f>
        <v>-1655.2503412211456</v>
      </c>
      <c r="J54" s="227">
        <f>-MIN($E54,$G54)*'Hanger Arm Tables (2)'!U$19</f>
        <v>-2140.8653601205115</v>
      </c>
      <c r="K54" s="227">
        <f>MIN($E54,$G54)*'Hanger Arm Tables (2)'!V$19</f>
        <v>1202.7333483823099</v>
      </c>
      <c r="M54" s="373">
        <f t="shared" ref="M54:M60" si="17">F117</f>
        <v>0</v>
      </c>
      <c r="N54" s="377">
        <f t="shared" si="8"/>
        <v>0</v>
      </c>
      <c r="O54" s="223">
        <f t="shared" si="4"/>
        <v>0</v>
      </c>
      <c r="P54" s="223">
        <f t="shared" si="5"/>
        <v>0</v>
      </c>
      <c r="Q54" s="223">
        <f t="shared" si="6"/>
        <v>0</v>
      </c>
      <c r="R54" s="223">
        <f t="shared" si="7"/>
        <v>0</v>
      </c>
    </row>
    <row r="55" spans="2:18" x14ac:dyDescent="0.25">
      <c r="B55" s="219" t="s">
        <v>616</v>
      </c>
      <c r="D55" s="249">
        <f>(1/('Hanger Arm Tables (2)'!$T$19/'Hanger Arm Tables (2)'!$H158+'Hanger Arm Tables (2)'!$S$19/'Hanger Arm Tables (2)'!$G158))</f>
        <v>5.8476238170626527</v>
      </c>
      <c r="E55" s="246">
        <f>ROUNDDOWN(D55/0.5,0)*0.5</f>
        <v>5.5</v>
      </c>
      <c r="F55" s="249">
        <f>(1/('Hanger Arm Tables (2)'!$V$19/'Hanger Arm Tables (2)'!$H158))</f>
        <v>25.142730132720729</v>
      </c>
      <c r="G55" s="246">
        <f>ROUNDDOWN(F55/0.5,0)*0.5</f>
        <v>25</v>
      </c>
      <c r="H55" s="227">
        <f>MIN($E55,$G55)*'Hanger Arm Tables (2)'!S$19</f>
        <v>2314.9858343650021</v>
      </c>
      <c r="I55" s="227">
        <f>-MIN($E55,$G55)*'Hanger Arm Tables (2)'!T$19</f>
        <v>-1300.5538395309002</v>
      </c>
      <c r="J55" s="227">
        <f>-MIN($E55,$G55)*'Hanger Arm Tables (2)'!U$19</f>
        <v>-1682.1084972375447</v>
      </c>
      <c r="K55" s="227">
        <f>MIN($E55,$G55)*'Hanger Arm Tables (2)'!V$19</f>
        <v>945.00477372895773</v>
      </c>
      <c r="M55" s="373">
        <f t="shared" si="17"/>
        <v>0</v>
      </c>
      <c r="N55" s="377">
        <f t="shared" si="8"/>
        <v>0</v>
      </c>
      <c r="O55" s="223">
        <f t="shared" si="4"/>
        <v>0</v>
      </c>
      <c r="P55" s="223">
        <f t="shared" si="5"/>
        <v>0</v>
      </c>
      <c r="Q55" s="223">
        <f t="shared" si="6"/>
        <v>0</v>
      </c>
      <c r="R55" s="223">
        <f t="shared" si="7"/>
        <v>0</v>
      </c>
    </row>
    <row r="56" spans="2:18" x14ac:dyDescent="0.25">
      <c r="B56" s="219" t="s">
        <v>617</v>
      </c>
      <c r="D56" s="249">
        <f>(1/('Hanger Arm Tables (2)'!$T$19/'Hanger Arm Tables (2)'!$H159+'Hanger Arm Tables (2)'!$S$19/'Hanger Arm Tables (2)'!$G159))</f>
        <v>2.7929463514430535</v>
      </c>
      <c r="E56" s="219">
        <f t="shared" si="15"/>
        <v>2.5</v>
      </c>
      <c r="F56" s="249">
        <f>(1/('Hanger Arm Tables (2)'!$V$19/'Hanger Arm Tables (2)'!$H159))</f>
        <v>15.59780480455823</v>
      </c>
      <c r="G56" s="219">
        <f t="shared" si="16"/>
        <v>15.5</v>
      </c>
      <c r="H56" s="227">
        <f>MIN($E56,$G56)*'Hanger Arm Tables (2)'!S$19</f>
        <v>1052.2662883477283</v>
      </c>
      <c r="I56" s="227">
        <f>-MIN($E56,$G56)*'Hanger Arm Tables (2)'!T$19</f>
        <v>-591.16083615040918</v>
      </c>
      <c r="J56" s="227">
        <f>-MIN($E56,$G56)*'Hanger Arm Tables (2)'!U$19</f>
        <v>-764.59477147161124</v>
      </c>
      <c r="K56" s="227">
        <f>MIN($E56,$G56)*'Hanger Arm Tables (2)'!V$19</f>
        <v>429.54762442225353</v>
      </c>
      <c r="M56" s="373">
        <f t="shared" si="17"/>
        <v>0</v>
      </c>
      <c r="N56" s="377">
        <f t="shared" si="8"/>
        <v>0</v>
      </c>
      <c r="O56" s="223">
        <f t="shared" si="4"/>
        <v>0</v>
      </c>
      <c r="P56" s="223">
        <f t="shared" si="5"/>
        <v>0</v>
      </c>
      <c r="Q56" s="223">
        <f t="shared" si="6"/>
        <v>0</v>
      </c>
      <c r="R56" s="223">
        <f t="shared" si="7"/>
        <v>0</v>
      </c>
    </row>
    <row r="57" spans="2:18" x14ac:dyDescent="0.25">
      <c r="B57" s="219" t="s">
        <v>618</v>
      </c>
      <c r="D57" s="249">
        <f>(1/('Hanger Arm Tables (2)'!$T$19/'Hanger Arm Tables (2)'!$H160+'Hanger Arm Tables (2)'!$S$19/'Hanger Arm Tables (2)'!$G160))</f>
        <v>2.5596465597513696</v>
      </c>
      <c r="E57" s="246">
        <f>ROUNDDOWN(D57/0.5,0)*0.5</f>
        <v>2.5</v>
      </c>
      <c r="F57" s="249">
        <f>(1/('Hanger Arm Tables (2)'!$V$19/'Hanger Arm Tables (2)'!$H160))</f>
        <v>11.386397507327509</v>
      </c>
      <c r="G57" s="246">
        <f>ROUNDDOWN(F57/0.5,0)*0.5</f>
        <v>11</v>
      </c>
      <c r="H57" s="227">
        <f>MIN($E57,$G57)*'Hanger Arm Tables (2)'!S$19</f>
        <v>1052.2662883477283</v>
      </c>
      <c r="I57" s="227">
        <f>-MIN($E57,$G57)*'Hanger Arm Tables (2)'!T$19</f>
        <v>-591.16083615040918</v>
      </c>
      <c r="J57" s="227">
        <f>-MIN($E57,$G57)*'Hanger Arm Tables (2)'!U$19</f>
        <v>-764.59477147161124</v>
      </c>
      <c r="K57" s="227">
        <f>MIN($E57,$G57)*'Hanger Arm Tables (2)'!V$19</f>
        <v>429.54762442225353</v>
      </c>
      <c r="M57" s="373">
        <f t="shared" si="17"/>
        <v>0</v>
      </c>
      <c r="N57" s="377">
        <f t="shared" si="8"/>
        <v>0</v>
      </c>
      <c r="O57" s="223">
        <f t="shared" si="4"/>
        <v>0</v>
      </c>
      <c r="P57" s="223">
        <f t="shared" si="5"/>
        <v>0</v>
      </c>
      <c r="Q57" s="223">
        <f t="shared" si="6"/>
        <v>0</v>
      </c>
      <c r="R57" s="223">
        <f t="shared" si="7"/>
        <v>0</v>
      </c>
    </row>
    <row r="58" spans="2:18" x14ac:dyDescent="0.25">
      <c r="B58" s="219" t="s">
        <v>212</v>
      </c>
      <c r="D58" s="249">
        <f>(1/('Hanger Arm Tables (2)'!$T$19/'Hanger Arm Tables (2)'!$H161+'Hanger Arm Tables (2)'!$S$19/'Hanger Arm Tables (2)'!$G161))</f>
        <v>5.6611254035143634</v>
      </c>
      <c r="E58" s="219">
        <f t="shared" si="15"/>
        <v>5.5</v>
      </c>
      <c r="F58" s="249">
        <f>(1/('Hanger Arm Tables (2)'!$V$19/'Hanger Arm Tables (2)'!$H161))</f>
        <v>12.769247664627146</v>
      </c>
      <c r="G58" s="219">
        <f t="shared" si="16"/>
        <v>12.5</v>
      </c>
      <c r="H58" s="227">
        <f>MIN($E58,$G58)*'Hanger Arm Tables (2)'!S$19</f>
        <v>2314.9858343650021</v>
      </c>
      <c r="I58" s="227">
        <f>-MIN($E58,$G58)*'Hanger Arm Tables (2)'!T$19</f>
        <v>-1300.5538395309002</v>
      </c>
      <c r="J58" s="227">
        <f>-MIN($E58,$G58)*'Hanger Arm Tables (2)'!U$19</f>
        <v>-1682.1084972375447</v>
      </c>
      <c r="K58" s="227">
        <f>MIN($E58,$G58)*'Hanger Arm Tables (2)'!V$19</f>
        <v>945.00477372895773</v>
      </c>
      <c r="M58" s="373">
        <f t="shared" si="17"/>
        <v>0</v>
      </c>
      <c r="N58" s="377">
        <f t="shared" si="8"/>
        <v>0</v>
      </c>
      <c r="O58" s="223">
        <f t="shared" si="4"/>
        <v>0</v>
      </c>
      <c r="P58" s="223">
        <f t="shared" si="5"/>
        <v>0</v>
      </c>
      <c r="Q58" s="223">
        <f t="shared" si="6"/>
        <v>0</v>
      </c>
      <c r="R58" s="223">
        <f t="shared" si="7"/>
        <v>0</v>
      </c>
    </row>
    <row r="59" spans="2:18" x14ac:dyDescent="0.25">
      <c r="B59" s="219" t="s">
        <v>213</v>
      </c>
      <c r="D59" s="249">
        <f>(1/('Hanger Arm Tables (2)'!$T$19/'Hanger Arm Tables (2)'!$H162+'Hanger Arm Tables (2)'!$S$19/'Hanger Arm Tables (2)'!$G162))</f>
        <v>11.348442062502386</v>
      </c>
      <c r="E59" s="219">
        <f t="shared" si="15"/>
        <v>11</v>
      </c>
      <c r="F59" s="249">
        <f>(1/('Hanger Arm Tables (2)'!$V$19/'Hanger Arm Tables (2)'!$H162))</f>
        <v>69.468432144480232</v>
      </c>
      <c r="G59" s="219">
        <f t="shared" si="16"/>
        <v>69</v>
      </c>
      <c r="H59" s="227">
        <f>MIN($E59,$G59)*'Hanger Arm Tables (2)'!S$19</f>
        <v>4629.9716687300042</v>
      </c>
      <c r="I59" s="227">
        <f>-MIN($E59,$G59)*'Hanger Arm Tables (2)'!T$19</f>
        <v>-2601.1076790618004</v>
      </c>
      <c r="J59" s="227">
        <f>-MIN($E59,$G59)*'Hanger Arm Tables (2)'!U$19</f>
        <v>-3364.2169944750895</v>
      </c>
      <c r="K59" s="227">
        <f>MIN($E59,$G59)*'Hanger Arm Tables (2)'!V$19</f>
        <v>1890.0095474579155</v>
      </c>
      <c r="M59" s="373">
        <f t="shared" si="17"/>
        <v>0</v>
      </c>
      <c r="N59" s="377">
        <f t="shared" si="8"/>
        <v>0</v>
      </c>
      <c r="O59" s="223">
        <f t="shared" si="4"/>
        <v>0</v>
      </c>
      <c r="P59" s="223">
        <f t="shared" si="5"/>
        <v>0</v>
      </c>
      <c r="Q59" s="223">
        <f t="shared" si="6"/>
        <v>0</v>
      </c>
      <c r="R59" s="223">
        <f t="shared" si="7"/>
        <v>0</v>
      </c>
    </row>
    <row r="60" spans="2:18" x14ac:dyDescent="0.25">
      <c r="B60" s="219" t="s">
        <v>214</v>
      </c>
      <c r="D60" s="249">
        <f>(1/('Hanger Arm Tables (2)'!$T$19/'Hanger Arm Tables (2)'!$H163+'Hanger Arm Tables (2)'!$S$19/'Hanger Arm Tables (2)'!$G163))</f>
        <v>10.845736169365534</v>
      </c>
      <c r="E60" s="219">
        <f t="shared" si="15"/>
        <v>10.5</v>
      </c>
      <c r="F60" s="249">
        <f>(1/('Hanger Arm Tables (2)'!$V$19/'Hanger Arm Tables (2)'!$H163))</f>
        <v>41.543705483185313</v>
      </c>
      <c r="G60" s="219">
        <f t="shared" si="16"/>
        <v>41.5</v>
      </c>
      <c r="H60" s="227">
        <f>MIN($E60,$G60)*'Hanger Arm Tables (2)'!S$19</f>
        <v>4419.5184110604587</v>
      </c>
      <c r="I60" s="227">
        <f>-MIN($E60,$G60)*'Hanger Arm Tables (2)'!T$19</f>
        <v>-2482.8755118317185</v>
      </c>
      <c r="J60" s="227">
        <f>-MIN($E60,$G60)*'Hanger Arm Tables (2)'!U$19</f>
        <v>-3211.2980401807672</v>
      </c>
      <c r="K60" s="227">
        <f>MIN($E60,$G60)*'Hanger Arm Tables (2)'!V$19</f>
        <v>1804.1000225734647</v>
      </c>
      <c r="M60" s="373">
        <f t="shared" si="17"/>
        <v>0</v>
      </c>
      <c r="N60" s="377">
        <f t="shared" si="8"/>
        <v>0</v>
      </c>
      <c r="O60" s="223">
        <f t="shared" si="4"/>
        <v>0</v>
      </c>
      <c r="P60" s="223">
        <f t="shared" si="5"/>
        <v>0</v>
      </c>
      <c r="Q60" s="223">
        <f t="shared" si="6"/>
        <v>0</v>
      </c>
      <c r="R60" s="223">
        <f t="shared" si="7"/>
        <v>0</v>
      </c>
    </row>
    <row r="61" spans="2:18" x14ac:dyDescent="0.25">
      <c r="B61" s="12" t="s">
        <v>318</v>
      </c>
      <c r="D61" s="219" t="s">
        <v>327</v>
      </c>
      <c r="E61" s="219" t="s">
        <v>0</v>
      </c>
      <c r="F61" s="219" t="s">
        <v>328</v>
      </c>
      <c r="G61" s="219" t="s">
        <v>0</v>
      </c>
      <c r="H61" s="219" t="s">
        <v>330</v>
      </c>
      <c r="I61" s="219" t="s">
        <v>331</v>
      </c>
      <c r="J61" s="219" t="s">
        <v>332</v>
      </c>
      <c r="K61" s="219" t="s">
        <v>333</v>
      </c>
      <c r="M61" s="373"/>
      <c r="N61" s="377"/>
      <c r="O61" s="223"/>
      <c r="P61" s="223"/>
      <c r="Q61" s="223"/>
      <c r="R61" s="223"/>
    </row>
    <row r="62" spans="2:18" x14ac:dyDescent="0.25">
      <c r="B62" s="219" t="s">
        <v>325</v>
      </c>
      <c r="D62" s="222">
        <f>(SQRT((8*'S8  Gutter Loading_'!B42*1000*'S8  Gutter Loading_'!K42)/((MAX(Control!F20,ABS(Control!H20)))*('HTML Frame'!D37/2)/12)))/12</f>
        <v>10.181327905893559</v>
      </c>
      <c r="E62" s="219">
        <f>ROUNDDOWN(D62/0.5,0)*0.5</f>
        <v>10</v>
      </c>
      <c r="F62" s="222">
        <f>(((384*10100*1000*'S8  Gutter Loading_'!L42)/((900*('HTML Frame'!D37/2)*MAX(Control!F20,ABS(Control!H20))/12)))^(1/3))/12</f>
        <v>14.30493408910918</v>
      </c>
      <c r="G62" s="219">
        <f>ROUNDDOWN(F62/0.5,0)*0.5</f>
        <v>14</v>
      </c>
      <c r="H62" s="227">
        <f>MIN($E$62,$G$62)*'Hanger Arm Tables (2)'!S$19</f>
        <v>4209.0651533909131</v>
      </c>
      <c r="I62" s="227">
        <f>-MIN($E$62,$G$62)*'Hanger Arm Tables (2)'!T$19</f>
        <v>-2364.6433446016367</v>
      </c>
      <c r="J62" s="227">
        <f>-MIN($E$62,$G$62)*'Hanger Arm Tables (2)'!U$19</f>
        <v>-3058.379085886445</v>
      </c>
      <c r="K62" s="227">
        <f>MIN($E$62,$G$62)*'Hanger Arm Tables (2)'!V$19</f>
        <v>1718.1904976890141</v>
      </c>
      <c r="M62" s="373">
        <f>F125</f>
        <v>1</v>
      </c>
      <c r="N62" s="377">
        <f>IF($M62=2,MIN(E62,G62),0)</f>
        <v>0</v>
      </c>
      <c r="O62" s="223">
        <f>IF($M62=2,H62,0)</f>
        <v>0</v>
      </c>
      <c r="P62" s="223">
        <f t="shared" ref="P62:P63" si="18">IF($M62=2,I62,0)</f>
        <v>0</v>
      </c>
      <c r="Q62" s="223">
        <f t="shared" ref="Q62:Q63" si="19">IF($M62=2,J62,0)</f>
        <v>0</v>
      </c>
      <c r="R62" s="223">
        <f t="shared" ref="R62:R63" si="20">IF($M62=2,K62,0)</f>
        <v>0</v>
      </c>
    </row>
    <row r="63" spans="2:18" x14ac:dyDescent="0.25">
      <c r="B63" s="219" t="s">
        <v>321</v>
      </c>
      <c r="D63" s="222">
        <f>(SQRT((8*'S12  Gutter Loading_'!B42*1000*'S12  Gutter Loading_'!K42)/((MAX(Control!F20,ABS(Control!H20)))*('HTML Frame'!D37/2)/12)))/12</f>
        <v>11.159167738855862</v>
      </c>
      <c r="E63" s="219">
        <f>ROUNDDOWN(D63/0.5,0)*0.5</f>
        <v>11</v>
      </c>
      <c r="F63" s="222">
        <f>(((384*10100*1000*'S12  Gutter Loading_'!L42)/((900*('HTML Frame'!D37/2)*MAX(Control!F20,ABS(Control!H20))/12)))^(1/3))/12</f>
        <v>22.940881860792917</v>
      </c>
      <c r="G63" s="219">
        <f>ROUNDDOWN(F63/0.5,0)*0.5</f>
        <v>22.5</v>
      </c>
      <c r="H63" s="227">
        <f>MIN($E$63,$G$63)*'Hanger Arm Tables (2)'!S$19</f>
        <v>4629.9716687300042</v>
      </c>
      <c r="I63" s="227">
        <f>-MIN($E$63,$G$63)*'Hanger Arm Tables (2)'!T$19</f>
        <v>-2601.1076790618004</v>
      </c>
      <c r="J63" s="227">
        <f>-MIN($E$63,$G$63)*'Hanger Arm Tables (2)'!U$19</f>
        <v>-3364.2169944750895</v>
      </c>
      <c r="K63" s="227">
        <f>MIN($E$63,$G$63)*'Hanger Arm Tables (2)'!V$19</f>
        <v>1890.0095474579155</v>
      </c>
      <c r="M63" s="374">
        <f>F126</f>
        <v>0</v>
      </c>
      <c r="N63" s="378">
        <f t="shared" si="8"/>
        <v>0</v>
      </c>
      <c r="O63" s="375">
        <f>IF($M63=2,H63,0)</f>
        <v>0</v>
      </c>
      <c r="P63" s="375">
        <f t="shared" si="18"/>
        <v>0</v>
      </c>
      <c r="Q63" s="375">
        <f t="shared" si="19"/>
        <v>0</v>
      </c>
      <c r="R63" s="375">
        <f t="shared" si="20"/>
        <v>0</v>
      </c>
    </row>
    <row r="64" spans="2:18" x14ac:dyDescent="0.25">
      <c r="F64" s="223"/>
      <c r="M64" s="372"/>
      <c r="N64" s="379">
        <f>MAX(N30:N63)</f>
        <v>6</v>
      </c>
      <c r="O64" s="376">
        <f>MAX(O$30:O$63)</f>
        <v>2525.4390920345477</v>
      </c>
      <c r="P64" s="376">
        <f>MIN(P$30:P$63)</f>
        <v>-1418.786006760982</v>
      </c>
      <c r="Q64" s="376">
        <f>MIN(Q$30:Q$63)</f>
        <v>-1835.027451531867</v>
      </c>
      <c r="R64" s="376">
        <f t="shared" ref="R64" si="21">MAX(R$30:R$63)</f>
        <v>1030.9142986134084</v>
      </c>
    </row>
    <row r="65" spans="2:18" x14ac:dyDescent="0.25">
      <c r="B65" s="219" t="s">
        <v>216</v>
      </c>
      <c r="F65" s="223"/>
    </row>
    <row r="66" spans="2:18" x14ac:dyDescent="0.25">
      <c r="B66" s="12" t="s">
        <v>318</v>
      </c>
      <c r="D66" s="219" t="s">
        <v>327</v>
      </c>
      <c r="E66" s="219" t="s">
        <v>328</v>
      </c>
      <c r="H66" s="219" t="s">
        <v>330</v>
      </c>
      <c r="I66" s="219" t="s">
        <v>331</v>
      </c>
      <c r="J66" s="219" t="s">
        <v>332</v>
      </c>
      <c r="K66" s="219" t="s">
        <v>333</v>
      </c>
      <c r="M66" s="219" t="s">
        <v>312</v>
      </c>
      <c r="N66" s="223" t="s">
        <v>500</v>
      </c>
      <c r="O66" s="223" t="s">
        <v>330</v>
      </c>
      <c r="P66" s="223" t="s">
        <v>331</v>
      </c>
      <c r="Q66" s="223" t="s">
        <v>332</v>
      </c>
      <c r="R66" s="223" t="s">
        <v>333</v>
      </c>
    </row>
    <row r="67" spans="2:18" x14ac:dyDescent="0.25">
      <c r="B67" s="219" t="s">
        <v>325</v>
      </c>
      <c r="D67" s="222">
        <f>'S8  Gutter Loading_'!F21*12</f>
        <v>54.245116388308688</v>
      </c>
      <c r="E67" s="246">
        <f>((1)/(32400*((25*(MAX('S8  Gutter Loading_'!AB21:AC21)/12)^2)/(147456*(10100*1000)^2*'S8  Gutter Loading_'!Z3^2)+(25*(MAX('S8  Gutter Loading_'!S21:T21)/12)^2)/(147456*(10100*1000)^2*'S8  Gutter Loading_'!AG3^2))))^(1/6)</f>
        <v>107.28310243737886</v>
      </c>
      <c r="H67" s="246">
        <f>-IF(D67&lt;E67,MAX('S8  Gutter Loading_'!N21)*('S8  Gutter Loading_'!F21/'S8  Gutter Loading_'!E21),MAX('S8  Gutter Loading_'!N21)*('S8  Gutter Loading_'!F21/'S8  Gutter Loading_'!E21)*(E67/D67))</f>
        <v>-1900.3015325148936</v>
      </c>
      <c r="I67" s="246">
        <f>IF(D67&lt;E67,(D67/12)*'S8  Gutter Loading_'!V21,(E67/12)*'S8  Gutter Loading_'!V21)</f>
        <v>357.64106396408908</v>
      </c>
      <c r="J67" s="246">
        <f>IF(D67&lt;E67,MAX('S8  Gutter Loading_'!M21)*('S8  Gutter Loading_'!F21/'S8  Gutter Loading_'!E21),MAX('S8  Gutter Loading_'!M21)*('S8  Gutter Loading_'!F21/'S8  Gutter Loading_'!E21)*(E67/D67))</f>
        <v>1380.7917559174311</v>
      </c>
      <c r="K67" s="246">
        <f>-IF(D67&lt;E67,(D67/12)*'S8  Gutter Loading_'!U21,(E67/12)*'S8  Gutter Loading_'!U21)</f>
        <v>-259.86815657074652</v>
      </c>
      <c r="M67" s="223">
        <f>F131</f>
        <v>1</v>
      </c>
      <c r="N67" s="223">
        <f>IF($M67=2,MIN(D67,E67),0)</f>
        <v>0</v>
      </c>
      <c r="O67" s="223">
        <f t="shared" ref="O67:R68" si="22">IF($M67=2,H67,0)</f>
        <v>0</v>
      </c>
      <c r="P67" s="223">
        <f t="shared" si="22"/>
        <v>0</v>
      </c>
      <c r="Q67" s="223">
        <f t="shared" si="22"/>
        <v>0</v>
      </c>
      <c r="R67" s="223">
        <f t="shared" si="22"/>
        <v>0</v>
      </c>
    </row>
    <row r="68" spans="2:18" x14ac:dyDescent="0.25">
      <c r="B68" s="219" t="s">
        <v>321</v>
      </c>
      <c r="D68" s="222">
        <f>'S12  Gutter Loading_'!F21*12</f>
        <v>59.014243156422182</v>
      </c>
      <c r="E68" s="246">
        <f>((1)/(32400*((25*(MAX('S8  Gutter Loading_'!AB21:AC21)/12)^2)/(147456*(10100*1000)^2*'S12  Gutter Loading_'!Z3^2)+(25*(MAX('S8  Gutter Loading_'!S21:T21)/12)^2)/(147456*(10100*1000)^2*'S12  Gutter Loading_'!AG3^2))))^(1/6)</f>
        <v>135.43699571138464</v>
      </c>
      <c r="H68" s="246">
        <f>-IF(D68&lt;E68,MAX('S12  Gutter Loading_'!N21)*('S12  Gutter Loading_'!F21/'S12  Gutter Loading_'!E21),MAX('S12  Gutter Loading_'!N21)*('S12  Gutter Loading_'!F21/'S12  Gutter Loading_'!E21)*(E68/D68))</f>
        <v>-2067.3724046894285</v>
      </c>
      <c r="I68" s="246">
        <f>IF(D68&lt;E68,(D68/12)*'S12  Gutter Loading_'!V21,(E68/12)*'S12  Gutter Loading_'!V21)</f>
        <v>389.08418152177097</v>
      </c>
      <c r="J68" s="246">
        <f>IF(D68&lt;E68,MAX('S12  Gutter Loading_'!M21)*('S12  Gutter Loading_'!F21/'S12  Gutter Loading_'!E21),MAX('S12  Gutter Loading_'!M21)*('S12  Gutter Loading_'!F21/'S12  Gutter Loading_'!E21)*(E68/D68))</f>
        <v>1502.1883232544228</v>
      </c>
      <c r="K68" s="246">
        <f>-IF(D68&lt;E68,(D68/12)*'S12  Gutter Loading_'!U21,(E68/12)*'S12  Gutter Loading_'!U21)</f>
        <v>-282.71526731911553</v>
      </c>
      <c r="M68" s="223">
        <f t="shared" ref="M68:M78" si="23">F132</f>
        <v>0</v>
      </c>
      <c r="N68" s="223">
        <f>IF($M68=2,MIN(D68,E68),0)</f>
        <v>0</v>
      </c>
      <c r="O68" s="223">
        <f t="shared" si="22"/>
        <v>0</v>
      </c>
      <c r="P68" s="223">
        <f t="shared" si="22"/>
        <v>0</v>
      </c>
      <c r="Q68" s="223">
        <f t="shared" si="22"/>
        <v>0</v>
      </c>
      <c r="R68" s="223">
        <f t="shared" si="22"/>
        <v>0</v>
      </c>
    </row>
    <row r="69" spans="2:18" x14ac:dyDescent="0.25">
      <c r="B69" s="12" t="s">
        <v>324</v>
      </c>
      <c r="D69" s="223" t="s">
        <v>329</v>
      </c>
      <c r="H69" s="219" t="s">
        <v>330</v>
      </c>
      <c r="I69" s="219" t="s">
        <v>331</v>
      </c>
      <c r="J69" s="219" t="s">
        <v>332</v>
      </c>
      <c r="K69" s="219" t="s">
        <v>333</v>
      </c>
      <c r="M69" s="223"/>
      <c r="N69" s="223"/>
      <c r="O69" s="223"/>
      <c r="P69" s="223"/>
      <c r="Q69" s="223"/>
      <c r="R69" s="223"/>
    </row>
    <row r="70" spans="2:18" x14ac:dyDescent="0.25">
      <c r="B70" s="219" t="s">
        <v>613</v>
      </c>
      <c r="D70" s="222">
        <f>'S8  Gutter Loading_'!AL21*12</f>
        <v>25.131568557290741</v>
      </c>
      <c r="H70" s="227">
        <f>-MAX('S8  Gutter Loading_'!$N$21)*('S8  Gutter Loading_'!$AL$21/'S8  Gutter Loading_'!$E$21)</f>
        <v>-880.40290856884917</v>
      </c>
      <c r="I70" s="246">
        <f>IF('HTML Frame'!$D$37/2&gt;='HTML Frame'!$D$39,(D70/12)*'S8  Gutter Loading_'!$V$21,-(D70/12)*'S8  Gutter Loading_'!$V$21)</f>
        <v>165.69382676913358</v>
      </c>
      <c r="J70" s="246">
        <f>MAX('S8  Gutter Loading_'!$M$21)*('S8  Gutter Loading_'!$AL$21/'S8  Gutter Loading_'!$E$21)</f>
        <v>639.71588573565873</v>
      </c>
      <c r="K70" s="246">
        <f>IF('HTML Frame'!$D$37/2&gt;='HTML Frame'!$D$39,-(D70/12)*'S8  Gutter Loading_'!$U$21,(D70/12)*'S8  Gutter Loading_'!$U$21)</f>
        <v>-120.39598820221293</v>
      </c>
      <c r="M70" s="223">
        <f t="shared" si="23"/>
        <v>2</v>
      </c>
      <c r="N70" s="223">
        <f>IF($M70=2,D70,0)</f>
        <v>25.131568557290741</v>
      </c>
      <c r="O70" s="223">
        <f t="shared" ref="O70:R78" si="24">IF($M70=2,H70,0)</f>
        <v>-880.40290856884917</v>
      </c>
      <c r="P70" s="223">
        <f t="shared" si="24"/>
        <v>165.69382676913358</v>
      </c>
      <c r="Q70" s="223">
        <f t="shared" si="24"/>
        <v>639.71588573565873</v>
      </c>
      <c r="R70" s="223">
        <f t="shared" si="24"/>
        <v>-120.39598820221293</v>
      </c>
    </row>
    <row r="71" spans="2:18" x14ac:dyDescent="0.25">
      <c r="B71" s="219" t="s">
        <v>614</v>
      </c>
      <c r="D71" s="250">
        <f>'S8  Gutter Loading_'!AM21*12</f>
        <v>15.928406885734137</v>
      </c>
      <c r="H71" s="227">
        <f>-MAX('S8  Gutter Loading_'!$N$21)*('S8  Gutter Loading_'!$AM$21/'S8  Gutter Loading_'!$E$21)</f>
        <v>-558.00001974012014</v>
      </c>
      <c r="I71" s="246">
        <f>IF('HTML Frame'!$D$37/2&gt;='HTML Frame'!$D$39,(D71/12)*'S8  Gutter Loading_'!$V$21,-(D71/12)*'S8  Gutter Loading_'!$V$21)</f>
        <v>105.01687092139163</v>
      </c>
      <c r="J71" s="246">
        <f>MAX('S8  Gutter Loading_'!$M$21)*('S8  Gutter Loading_'!$AM$21/'S8  Gutter Loading_'!$E$21)</f>
        <v>405.45240525026162</v>
      </c>
      <c r="K71" s="246">
        <f>IF('HTML Frame'!$D$37/2&gt;='HTML Frame'!$D$39,-(D71/12)*'S8  Gutter Loading_'!$U$21,(D71/12)*'S8  Gutter Loading_'!$U$21)</f>
        <v>-76.307067070772206</v>
      </c>
      <c r="M71" s="223">
        <f t="shared" si="23"/>
        <v>0</v>
      </c>
      <c r="N71" s="223">
        <f t="shared" ref="N71:N78" si="25">IF($M71=2,D71,0)</f>
        <v>0</v>
      </c>
      <c r="O71" s="223">
        <f t="shared" si="24"/>
        <v>0</v>
      </c>
      <c r="P71" s="223">
        <f t="shared" si="24"/>
        <v>0</v>
      </c>
      <c r="Q71" s="223">
        <f t="shared" si="24"/>
        <v>0</v>
      </c>
      <c r="R71" s="223">
        <f t="shared" si="24"/>
        <v>0</v>
      </c>
    </row>
    <row r="72" spans="2:18" x14ac:dyDescent="0.25">
      <c r="B72" s="219" t="s">
        <v>615</v>
      </c>
      <c r="D72" s="222">
        <f>'S8  Gutter Loading_'!AN21*12</f>
        <v>33.174297914683656</v>
      </c>
      <c r="H72" s="227">
        <f>-MAX('S8  Gutter Loading_'!$N$21)*('S8  Gutter Loading_'!$AN$21/'S8  Gutter Loading_'!$E$21)</f>
        <v>-1162.153818900573</v>
      </c>
      <c r="I72" s="246">
        <f>IF('HTML Frame'!$D$37/2&gt;='HTML Frame'!$D$39,(D72/12)*'S8  Gutter Loading_'!$V$21,-(D72/12)*'S8  Gutter Loading_'!$V$21)</f>
        <v>218.71998794395154</v>
      </c>
      <c r="J72" s="246">
        <f>MAX('S8  Gutter Loading_'!$M$21)*('S8  Gutter Loading_'!$AN$21/'S8  Gutter Loading_'!$E$21)</f>
        <v>844.44093991872512</v>
      </c>
      <c r="K72" s="246">
        <f>IF('HTML Frame'!$D$37/2&gt;='HTML Frame'!$D$39,-(D72/12)*'S8  Gutter Loading_'!$U$21,(D72/12)*'S8  Gutter Loading_'!$U$21)</f>
        <v>-158.92571015804202</v>
      </c>
      <c r="M72" s="223">
        <f t="shared" si="23"/>
        <v>0</v>
      </c>
      <c r="N72" s="223">
        <f t="shared" si="25"/>
        <v>0</v>
      </c>
      <c r="O72" s="223">
        <f t="shared" si="24"/>
        <v>0</v>
      </c>
      <c r="P72" s="223">
        <f t="shared" si="24"/>
        <v>0</v>
      </c>
      <c r="Q72" s="223">
        <f t="shared" si="24"/>
        <v>0</v>
      </c>
      <c r="R72" s="223">
        <f t="shared" si="24"/>
        <v>0</v>
      </c>
    </row>
    <row r="73" spans="2:18" x14ac:dyDescent="0.25">
      <c r="B73" s="219" t="s">
        <v>616</v>
      </c>
      <c r="D73" s="250">
        <f>'S8  Gutter Loading_'!AO21*12</f>
        <v>30.71019346961792</v>
      </c>
      <c r="H73" s="227">
        <f>-MAX('S8  Gutter Loading_'!$N$21)*('S8  Gutter Loading_'!$AO$21/'S8  Gutter Loading_'!$E$21)</f>
        <v>-1075.8319199905284</v>
      </c>
      <c r="I73" s="246">
        <f>IF('HTML Frame'!$D$37/2&gt;='HTML Frame'!$D$39,(D73/12)*'S8  Gutter Loading_'!$V$21,-(D73/12)*'S8  Gutter Loading_'!$V$21)</f>
        <v>202.47401053386548</v>
      </c>
      <c r="J73" s="246">
        <f>MAX('S8  Gutter Loading_'!$M$21)*('S8  Gutter Loading_'!$AO$21/'S8  Gutter Loading_'!$E$21)</f>
        <v>781.71796446946269</v>
      </c>
      <c r="K73" s="246">
        <f>IF('HTML Frame'!$D$37/2&gt;='HTML Frame'!$D$39,-(D73/12)*'S8  Gutter Loading_'!$U$21,(D73/12)*'S8  Gutter Loading_'!$U$21)</f>
        <v>-147.12110317456384</v>
      </c>
      <c r="M73" s="223">
        <f t="shared" si="23"/>
        <v>0</v>
      </c>
      <c r="N73" s="223">
        <f t="shared" si="25"/>
        <v>0</v>
      </c>
      <c r="O73" s="223">
        <f t="shared" si="24"/>
        <v>0</v>
      </c>
      <c r="P73" s="223">
        <f t="shared" si="24"/>
        <v>0</v>
      </c>
      <c r="Q73" s="223">
        <f t="shared" si="24"/>
        <v>0</v>
      </c>
      <c r="R73" s="223">
        <f t="shared" si="24"/>
        <v>0</v>
      </c>
    </row>
    <row r="74" spans="2:18" x14ac:dyDescent="0.25">
      <c r="B74" s="219" t="s">
        <v>617</v>
      </c>
      <c r="D74" s="222">
        <f>'S8  Gutter Loading_'!AP21*12</f>
        <v>13.80860993541361</v>
      </c>
      <c r="H74" s="227">
        <f>-MAX('S8  Gutter Loading_'!$N$21)*('S8  Gutter Loading_'!$AP$21/'S8  Gutter Loading_'!$E$21)</f>
        <v>-483.73981602927159</v>
      </c>
      <c r="I74" s="246">
        <f>IF('HTML Frame'!$D$37/2&gt;='HTML Frame'!$D$39,(D74/12)*'S8  Gutter Loading_'!$V$21,-(D74/12)*'S8  Gutter Loading_'!$V$21)</f>
        <v>91.040931939650207</v>
      </c>
      <c r="J74" s="246">
        <f>MAX('S8  Gutter Loading_'!$M$21)*('S8  Gutter Loading_'!$AP$21/'S8  Gutter Loading_'!$E$21)</f>
        <v>351.49366484921154</v>
      </c>
      <c r="K74" s="246">
        <f>IF('HTML Frame'!$D$37/2&gt;='HTML Frame'!$D$39,-(D74/12)*'S8  Gutter Loading_'!$U$21,(D74/12)*'S8  Gutter Loading_'!$U$21)</f>
        <v>-66.151909105200716</v>
      </c>
      <c r="M74" s="223">
        <f t="shared" si="23"/>
        <v>0</v>
      </c>
      <c r="N74" s="223">
        <f>IF($M74=2,D74,0)</f>
        <v>0</v>
      </c>
      <c r="O74" s="223">
        <f t="shared" si="24"/>
        <v>0</v>
      </c>
      <c r="P74" s="223">
        <f t="shared" si="24"/>
        <v>0</v>
      </c>
      <c r="Q74" s="223">
        <f t="shared" si="24"/>
        <v>0</v>
      </c>
      <c r="R74" s="223">
        <f t="shared" si="24"/>
        <v>0</v>
      </c>
    </row>
    <row r="75" spans="2:18" x14ac:dyDescent="0.25">
      <c r="B75" s="219" t="s">
        <v>618</v>
      </c>
      <c r="D75" s="250">
        <f>'S8  Gutter Loading_'!AQ21*12</f>
        <v>13.322111392143011</v>
      </c>
      <c r="H75" s="227">
        <f>-MAX('S8  Gutter Loading_'!$N$21)*('S8  Gutter Loading_'!$AQ$21/'S8  Gutter Loading_'!$E$21)</f>
        <v>-466.69691910329806</v>
      </c>
      <c r="I75" s="246">
        <f>IF('HTML Frame'!$D$37/2&gt;='HTML Frame'!$D$39,(D75/12)*'S8  Gutter Loading_'!$V$21,-(D75/12)*'S8  Gutter Loading_'!$V$21)</f>
        <v>87.833420034121758</v>
      </c>
      <c r="J75" s="246">
        <f>MAX('S8  Gutter Loading_'!$M$21)*('S8  Gutter Loading_'!$AQ$21/'S8  Gutter Loading_'!$E$21)</f>
        <v>339.11000300940276</v>
      </c>
      <c r="K75" s="246">
        <f>IF('HTML Frame'!$D$37/2&gt;='HTML Frame'!$D$39,-(D75/12)*'S8  Gutter Loading_'!$U$21,(D75/12)*'S8  Gutter Loading_'!$U$21)</f>
        <v>-63.821275713079679</v>
      </c>
      <c r="M75" s="223">
        <f t="shared" si="23"/>
        <v>0</v>
      </c>
      <c r="N75" s="223">
        <f t="shared" si="25"/>
        <v>0</v>
      </c>
      <c r="O75" s="223">
        <f t="shared" si="24"/>
        <v>0</v>
      </c>
      <c r="P75" s="223">
        <f t="shared" si="24"/>
        <v>0</v>
      </c>
      <c r="Q75" s="223">
        <f t="shared" si="24"/>
        <v>0</v>
      </c>
      <c r="R75" s="223">
        <f t="shared" si="24"/>
        <v>0</v>
      </c>
    </row>
    <row r="76" spans="2:18" x14ac:dyDescent="0.25">
      <c r="B76" s="219" t="s">
        <v>212</v>
      </c>
      <c r="D76" s="222">
        <f>'S8  Gutter Loading_'!AR21*12</f>
        <v>39.393473060767576</v>
      </c>
      <c r="H76" s="227">
        <f>-MAX('S8  Gutter Loading_'!$N$21)*('S8  Gutter Loading_'!$AR$21/'S8  Gutter Loading_'!$E$21)</f>
        <v>-1380.022428057599</v>
      </c>
      <c r="I76" s="246">
        <f>IF('HTML Frame'!$D$37/2&gt;='HTML Frame'!$D$39,(D76/12)*'S8  Gutter Loading_'!$V$21,-(D76/12)*'S8  Gutter Loading_'!$V$21)</f>
        <v>259.72335496232989</v>
      </c>
      <c r="J76" s="246">
        <f>MAX('S8  Gutter Loading_'!$M$21)*('S8  Gutter Loading_'!$AR$21/'S8  Gutter Loading_'!$E$21)</f>
        <v>1002.7480160589485</v>
      </c>
      <c r="K76" s="246">
        <f>IF('HTML Frame'!$D$37/2&gt;='HTML Frame'!$D$39,-(D76/12)*'S8  Gutter Loading_'!$U$21,(D76/12)*'S8  Gutter Loading_'!$U$21)</f>
        <v>-188.71946281651654</v>
      </c>
      <c r="M76" s="223">
        <f t="shared" si="23"/>
        <v>0</v>
      </c>
      <c r="N76" s="223">
        <f t="shared" si="25"/>
        <v>0</v>
      </c>
      <c r="O76" s="223">
        <f t="shared" si="24"/>
        <v>0</v>
      </c>
      <c r="P76" s="223">
        <f t="shared" si="24"/>
        <v>0</v>
      </c>
      <c r="Q76" s="223">
        <f t="shared" si="24"/>
        <v>0</v>
      </c>
      <c r="R76" s="223">
        <f t="shared" si="24"/>
        <v>0</v>
      </c>
    </row>
    <row r="77" spans="2:18" x14ac:dyDescent="0.25">
      <c r="B77" s="219" t="s">
        <v>213</v>
      </c>
      <c r="D77" s="222">
        <f>'S8  Gutter Loading_'!AS21*12</f>
        <v>55.142034574505161</v>
      </c>
      <c r="H77" s="227">
        <f>-MAX('S8  Gutter Loading_'!$N$21)*('S8  Gutter Loading_'!$AS$21/'S8  Gutter Loading_'!$E$21)</f>
        <v>-1931.7221491021774</v>
      </c>
      <c r="I77" s="246">
        <f>IF('HTML Frame'!$D$37/2&gt;='HTML Frame'!$D$39,(D77/12)*'S8  Gutter Loading_'!$V$21,-(D77/12)*'S8  Gutter Loading_'!$V$21)</f>
        <v>363.55449536137485</v>
      </c>
      <c r="J77" s="246">
        <f>MAX('S8  Gutter Loading_'!$M$21)*('S8  Gutter Loading_'!$AS$21/'S8  Gutter Loading_'!$E$21)</f>
        <v>1403.6225159874643</v>
      </c>
      <c r="K77" s="246">
        <f>IF('HTML Frame'!$D$37/2&gt;='HTML Frame'!$D$39,-(D77/12)*'S8  Gutter Loading_'!$U$21,(D77/12)*'S8  Gutter Loading_'!$U$21)</f>
        <v>-264.16495766843735</v>
      </c>
      <c r="M77" s="223">
        <f t="shared" si="23"/>
        <v>0</v>
      </c>
      <c r="N77" s="223">
        <f t="shared" si="25"/>
        <v>0</v>
      </c>
      <c r="O77" s="223">
        <f t="shared" si="24"/>
        <v>0</v>
      </c>
      <c r="P77" s="223">
        <f t="shared" si="24"/>
        <v>0</v>
      </c>
      <c r="Q77" s="223">
        <f t="shared" si="24"/>
        <v>0</v>
      </c>
      <c r="R77" s="223">
        <f t="shared" si="24"/>
        <v>0</v>
      </c>
    </row>
    <row r="78" spans="2:18" x14ac:dyDescent="0.25">
      <c r="B78" s="219" t="s">
        <v>214</v>
      </c>
      <c r="D78" s="222">
        <f>'S8  Gutter Loading_'!AT21*12</f>
        <v>143.58909897926043</v>
      </c>
      <c r="H78" s="227">
        <f>-MAX('S8  Gutter Loading_'!$N$21)*('S8  Gutter Loading_'!$AT$21/'S8  Gutter Loading_'!$E$21)</f>
        <v>-5030.177885313391</v>
      </c>
      <c r="I78" s="246">
        <f>IF('HTML Frame'!$D$37/2&gt;='HTML Frame'!$D$39,(D78/12)*'S8  Gutter Loading_'!$V$21,-(D78/12)*'S8  Gutter Loading_'!$V$21)</f>
        <v>946.6909014440912</v>
      </c>
      <c r="J78" s="246">
        <f>MAX('S8  Gutter Loading_'!$M$21)*('S8  Gutter Loading_'!$AT$21/'S8  Gutter Loading_'!$E$21)</f>
        <v>3655.0137101910018</v>
      </c>
      <c r="K78" s="246">
        <f>IF('HTML Frame'!$D$37/2&gt;='HTML Frame'!$D$39,-(D78/12)*'S8  Gutter Loading_'!$U$21,(D78/12)*'S8  Gutter Loading_'!$U$21)</f>
        <v>-687.88191342948448</v>
      </c>
      <c r="M78" s="375">
        <f t="shared" si="23"/>
        <v>0</v>
      </c>
      <c r="N78" s="375">
        <f t="shared" si="25"/>
        <v>0</v>
      </c>
      <c r="O78" s="375">
        <f t="shared" si="24"/>
        <v>0</v>
      </c>
      <c r="P78" s="375">
        <f t="shared" si="24"/>
        <v>0</v>
      </c>
      <c r="Q78" s="375">
        <f t="shared" si="24"/>
        <v>0</v>
      </c>
      <c r="R78" s="375">
        <f t="shared" si="24"/>
        <v>0</v>
      </c>
    </row>
    <row r="79" spans="2:18" x14ac:dyDescent="0.25">
      <c r="N79" s="219">
        <f>MAX(N67:N78)</f>
        <v>25.131568557290741</v>
      </c>
      <c r="O79" s="376">
        <f>MIN(O67:O78)</f>
        <v>-880.40290856884917</v>
      </c>
      <c r="P79" s="376">
        <f>SUM(P67:P78)</f>
        <v>165.69382676913358</v>
      </c>
      <c r="Q79" s="376">
        <f>MAX(Q67:Q78)</f>
        <v>639.71588573565873</v>
      </c>
      <c r="R79" s="376">
        <f>SUM(R67:R78)</f>
        <v>-120.39598820221293</v>
      </c>
    </row>
    <row r="80" spans="2:18" x14ac:dyDescent="0.25">
      <c r="B80" s="246" t="s">
        <v>287</v>
      </c>
    </row>
    <row r="81" spans="1:18" x14ac:dyDescent="0.25">
      <c r="B81" s="225" t="s">
        <v>473</v>
      </c>
      <c r="C81" s="224"/>
      <c r="D81" s="224" t="s">
        <v>500</v>
      </c>
      <c r="F81" s="226"/>
      <c r="M81" s="223" t="s">
        <v>312</v>
      </c>
      <c r="N81" s="223" t="s">
        <v>500</v>
      </c>
    </row>
    <row r="82" spans="1:18" x14ac:dyDescent="0.25">
      <c r="B82" s="382" t="str">
        <f>G127</f>
        <v>1.5" SCH 40 Pipe</v>
      </c>
      <c r="C82" s="224"/>
      <c r="D82" s="235">
        <f>N64/2</f>
        <v>3</v>
      </c>
      <c r="E82" s="223"/>
      <c r="F82" s="223"/>
      <c r="M82" s="223">
        <f>F146</f>
        <v>2</v>
      </c>
      <c r="N82" s="223">
        <f>D82</f>
        <v>3</v>
      </c>
    </row>
    <row r="83" spans="1:18" x14ac:dyDescent="0.25">
      <c r="B83" s="12" t="s">
        <v>318</v>
      </c>
      <c r="D83" s="219" t="s">
        <v>327</v>
      </c>
      <c r="E83" s="219" t="s">
        <v>328</v>
      </c>
      <c r="F83" s="223"/>
      <c r="M83" s="223"/>
      <c r="N83" s="223"/>
    </row>
    <row r="84" spans="1:18" x14ac:dyDescent="0.25">
      <c r="B84" s="219" t="s">
        <v>325</v>
      </c>
      <c r="D84" s="222">
        <f>(SQRT((2*'S8  Gutter Loading_'!B42*1000*'S8  Gutter Loading_'!K42)/((MAX(Control!F20,ABS(Control!H20)))*('HTML Frame'!D37/2)/12)))/12</f>
        <v>5.0906639529467794</v>
      </c>
      <c r="E84" s="222">
        <f>(((8*10100*1000*'S8  Gutter Loading_'!L42)/((90*('HTML Frame'!D37/2)*MAX(Control!F20,ABS(Control!H20))/12)))^(1/3))/12</f>
        <v>8.4801873804540175</v>
      </c>
      <c r="F84" s="223"/>
      <c r="M84" s="223">
        <f>F148</f>
        <v>1</v>
      </c>
      <c r="N84" s="223">
        <f>IF($M84=2,MIN(D84,E84),0)</f>
        <v>0</v>
      </c>
    </row>
    <row r="85" spans="1:18" x14ac:dyDescent="0.25">
      <c r="B85" s="219" t="s">
        <v>321</v>
      </c>
      <c r="D85" s="222">
        <f>(SQRT((2*'S12  Gutter Loading_'!B42*1000*'S12  Gutter Loading_'!K42)/((MAX(Control!F20,ABS(Control!H20)))*('HTML Frame'!D37/2)/12)))/12</f>
        <v>5.5795838694279309</v>
      </c>
      <c r="E85" s="222">
        <f>(((8*10100*1000*'S12  Gutter Loading_'!L42)/((90*('HTML Frame'!D37/2)*MAX(Control!F20,ABS(Control!H20))/12)))^(1/3))/12</f>
        <v>13.599711514958656</v>
      </c>
      <c r="F85" s="223"/>
      <c r="M85" s="375">
        <f>F149</f>
        <v>0</v>
      </c>
      <c r="N85" s="375">
        <f>IF($M85=2,MIN(D85,E85),0)</f>
        <v>0</v>
      </c>
    </row>
    <row r="86" spans="1:18" x14ac:dyDescent="0.25">
      <c r="M86" s="223"/>
      <c r="N86" s="223">
        <f>MAX(N82:N85)</f>
        <v>3</v>
      </c>
    </row>
    <row r="88" spans="1:18" x14ac:dyDescent="0.25">
      <c r="A88" s="228"/>
      <c r="B88" s="228"/>
      <c r="C88" s="228"/>
      <c r="D88" s="228"/>
      <c r="E88" s="228"/>
      <c r="F88" s="228"/>
      <c r="G88" s="228"/>
      <c r="H88" s="228"/>
      <c r="I88" s="228"/>
      <c r="J88" s="228"/>
      <c r="K88" s="228"/>
      <c r="L88" s="228"/>
      <c r="M88" s="228"/>
      <c r="N88" s="228"/>
      <c r="O88" s="228"/>
      <c r="P88" s="228"/>
      <c r="Q88" s="228"/>
      <c r="R88" s="228"/>
    </row>
    <row r="90" spans="1:18" x14ac:dyDescent="0.25">
      <c r="B90" s="219" t="s">
        <v>215</v>
      </c>
    </row>
    <row r="91" spans="1:18" x14ac:dyDescent="0.25">
      <c r="B91" s="225" t="s">
        <v>274</v>
      </c>
      <c r="C91" s="224"/>
      <c r="D91" s="224" t="s">
        <v>314</v>
      </c>
      <c r="E91" s="223" t="s">
        <v>334</v>
      </c>
      <c r="F91" s="224" t="s">
        <v>312</v>
      </c>
      <c r="G91" s="224" t="s">
        <v>501</v>
      </c>
    </row>
    <row r="92" spans="1:18" x14ac:dyDescent="0.25">
      <c r="B92" s="224" t="s">
        <v>320</v>
      </c>
      <c r="C92" s="224"/>
      <c r="D92" s="226">
        <f>IF(B92='HTML Frame'!$D$49,1,0)</f>
        <v>1</v>
      </c>
      <c r="E92" s="227">
        <f>IF(D92=1,'HTML Frame'!E100,11110)</f>
        <v>8</v>
      </c>
      <c r="F92" s="227">
        <f>IF(E92=MIN($E$92:$E$94,$E$96:$E$98,$E$100,$E$102,$E$104:$E$107,$E$109:$E$123,$E$125:$E$126),2,D92)</f>
        <v>1</v>
      </c>
      <c r="G92" s="219">
        <f>IF(F92=2,B92,11111)</f>
        <v>11111</v>
      </c>
    </row>
    <row r="93" spans="1:18" x14ac:dyDescent="0.25">
      <c r="B93" s="221" t="s">
        <v>319</v>
      </c>
      <c r="D93" s="226">
        <f>IF(B93='HTML Frame'!$D$49,1,0)</f>
        <v>0</v>
      </c>
      <c r="E93" s="227">
        <f>IF(D93=1,'HTML Frame'!E102,11111)</f>
        <v>11111</v>
      </c>
      <c r="F93" s="227">
        <f>IF(E93=MIN($E$92:$E$94,$E$96:$E$98,$E$100,$E$102,$E$104:$E$107,$E$109:$E$123,$E$125:$E$126),2,D93)</f>
        <v>0</v>
      </c>
      <c r="G93" s="219">
        <f t="shared" ref="G93:G126" si="26">IF(F93=2,B93,11111)</f>
        <v>11111</v>
      </c>
    </row>
    <row r="94" spans="1:18" x14ac:dyDescent="0.25">
      <c r="B94" s="219" t="s">
        <v>322</v>
      </c>
      <c r="D94" s="226">
        <f>IF(B94='HTML Frame'!$D$49,1,0)</f>
        <v>0</v>
      </c>
      <c r="E94" s="227">
        <f>IF(D94=1,'HTML Frame'!E104,11112)</f>
        <v>11112</v>
      </c>
      <c r="F94" s="227">
        <f>IF(E94=MIN($E$92:$E$94,$E$96:$E$98,$E$100,$E$102,$E$104:$E$107,$E$109:$E$123,$E$125:$E$126),2,D94)</f>
        <v>0</v>
      </c>
      <c r="G94" s="219">
        <f t="shared" si="26"/>
        <v>11111</v>
      </c>
    </row>
    <row r="95" spans="1:18" x14ac:dyDescent="0.25">
      <c r="B95" s="12" t="s">
        <v>313</v>
      </c>
      <c r="D95" s="223"/>
      <c r="E95" s="227"/>
      <c r="F95" s="227"/>
    </row>
    <row r="96" spans="1:18" x14ac:dyDescent="0.25">
      <c r="B96" s="224" t="s">
        <v>320</v>
      </c>
      <c r="D96" s="223">
        <f>IF(B96='HTML Frame'!$D$49,1,0)</f>
        <v>1</v>
      </c>
      <c r="E96" s="227">
        <f>IF(D96=1,'HTML Frame'!E111,11113)</f>
        <v>6</v>
      </c>
      <c r="F96" s="227">
        <f>IF(E96=MIN($E$92:$E$94,$E$96:$E$98,$E$100,$E$102,$E$104:$E$107,$E$109:$E$123,$E$125:$E$126),2,D96)</f>
        <v>2</v>
      </c>
      <c r="G96" s="219" t="str">
        <f t="shared" si="26"/>
        <v>1.5" SCH 40 Pipe</v>
      </c>
    </row>
    <row r="97" spans="2:7" x14ac:dyDescent="0.25">
      <c r="B97" s="221" t="s">
        <v>319</v>
      </c>
      <c r="D97" s="223">
        <f>IF(B97='HTML Frame'!$D$49,1,0)</f>
        <v>0</v>
      </c>
      <c r="E97" s="227">
        <f>IF(D97=1,'HTML Frame'!E113,11114)</f>
        <v>11114</v>
      </c>
      <c r="F97" s="227">
        <f>IF(E97=MIN($E$92:$E$94,$E$96:$E$98,$E$100,$E$102,$E$104:$E$107,$E$109:$E$123,$E$125:$E$126),2,D97)</f>
        <v>0</v>
      </c>
      <c r="G97" s="219">
        <f t="shared" si="26"/>
        <v>11111</v>
      </c>
    </row>
    <row r="98" spans="2:7" x14ac:dyDescent="0.25">
      <c r="B98" s="219" t="s">
        <v>322</v>
      </c>
      <c r="D98" s="223">
        <f>IF(B98='HTML Frame'!$D$49,1,0)</f>
        <v>0</v>
      </c>
      <c r="E98" s="227">
        <v>11115</v>
      </c>
      <c r="F98" s="227">
        <f>IF(E98=MIN($E$92:$E$94,$E$96:$E$98,$E$100,$E$102,$E$104:$E$107,$E$109:$E$123,$E$125:$E$126),2,D98)</f>
        <v>0</v>
      </c>
      <c r="G98" s="219">
        <f t="shared" si="26"/>
        <v>11111</v>
      </c>
    </row>
    <row r="99" spans="2:7" x14ac:dyDescent="0.25">
      <c r="B99" s="12" t="s">
        <v>475</v>
      </c>
      <c r="D99" s="223"/>
      <c r="E99" s="227"/>
      <c r="F99" s="227"/>
    </row>
    <row r="100" spans="2:7" x14ac:dyDescent="0.25">
      <c r="B100" s="221" t="s">
        <v>474</v>
      </c>
      <c r="D100" s="223"/>
      <c r="E100" s="250">
        <f>'HTML Frame'!E118</f>
        <v>8</v>
      </c>
      <c r="F100" s="227">
        <f>IF(E100=MIN($E$92:$E$94,$E$96:$E$98,$E$100,$E$102,$E$104:$E$107,$E$109:$E$123,$E$125:$E$126),2,D100)</f>
        <v>0</v>
      </c>
      <c r="G100" s="219">
        <f t="shared" si="26"/>
        <v>11111</v>
      </c>
    </row>
    <row r="101" spans="2:7" x14ac:dyDescent="0.25">
      <c r="B101" s="12" t="s">
        <v>316</v>
      </c>
      <c r="D101" s="223"/>
      <c r="E101" s="227"/>
      <c r="F101" s="227"/>
    </row>
    <row r="102" spans="2:7" x14ac:dyDescent="0.25">
      <c r="B102" s="219" t="s">
        <v>323</v>
      </c>
      <c r="D102" s="227"/>
      <c r="E102" s="250">
        <f>'HTML Frame'!E125</f>
        <v>17.5</v>
      </c>
      <c r="F102" s="227">
        <f>IF(E102=MIN($E$92:$E$94,$E$96:$E$98,$E$100,$E$102,$E$104:$E$107,$E$109:$E$123,$E$125:$E$126),2,D102)</f>
        <v>0</v>
      </c>
      <c r="G102" s="219">
        <f t="shared" si="26"/>
        <v>11111</v>
      </c>
    </row>
    <row r="103" spans="2:7" x14ac:dyDescent="0.25">
      <c r="B103" s="12" t="s">
        <v>343</v>
      </c>
      <c r="D103" s="227"/>
      <c r="E103" s="227"/>
      <c r="F103" s="227"/>
    </row>
    <row r="104" spans="2:7" x14ac:dyDescent="0.25">
      <c r="B104" s="252" t="s">
        <v>348</v>
      </c>
      <c r="D104" s="227">
        <f>IF(B125='HTML Frame'!$D$51,1,0)</f>
        <v>1</v>
      </c>
      <c r="E104" s="227">
        <f>IF(D104=1,'HTML Frame'!E132,11116)</f>
        <v>10.5</v>
      </c>
      <c r="F104" s="227">
        <f>IF(E104=MIN($E$92:$E$94,$E$96:$E$98,$E$100,$E$102,$E$104:$E$107,$E$109:$E$123,$E$125:$E$126),2,D104)</f>
        <v>1</v>
      </c>
      <c r="G104" s="219">
        <f t="shared" si="26"/>
        <v>11111</v>
      </c>
    </row>
    <row r="105" spans="2:7" x14ac:dyDescent="0.25">
      <c r="B105" s="252" t="s">
        <v>349</v>
      </c>
      <c r="D105" s="227">
        <f>IF(B125='HTML Frame'!$D$51,1,0)</f>
        <v>1</v>
      </c>
      <c r="E105" s="227">
        <f>IF(D105=1,'HTML Frame'!E134,11117)</f>
        <v>10</v>
      </c>
      <c r="F105" s="227">
        <f>IF(E105=MIN($E$92:$E$94,$E$96:$E$98,$E$100,$E$102,$E$104:$E$107,$E$109:$E$123,$E$125:$E$126),2,D105)</f>
        <v>1</v>
      </c>
      <c r="G105" s="219">
        <f t="shared" si="26"/>
        <v>11111</v>
      </c>
    </row>
    <row r="106" spans="2:7" x14ac:dyDescent="0.25">
      <c r="B106" s="252" t="s">
        <v>350</v>
      </c>
      <c r="D106" s="227">
        <f>IF(B126='HTML Frame'!$D$51,1,0)</f>
        <v>0</v>
      </c>
      <c r="E106" s="227">
        <f>IF(D106=1,'HTML Frame'!E136,11118)</f>
        <v>11118</v>
      </c>
      <c r="F106" s="227">
        <f>IF(E106=MIN($E$92:$E$94,$E$96:$E$98,$E$100,$E$102,$E$104:$E$107,$E$109:$E$123,$E$125:$E$126),2,D106)</f>
        <v>0</v>
      </c>
      <c r="G106" s="219">
        <f t="shared" si="26"/>
        <v>11111</v>
      </c>
    </row>
    <row r="107" spans="2:7" x14ac:dyDescent="0.25">
      <c r="B107" s="252" t="s">
        <v>351</v>
      </c>
      <c r="D107" s="227">
        <f>IF(B126='HTML Frame'!$D$51,1,0)</f>
        <v>0</v>
      </c>
      <c r="E107" s="227">
        <f>IF(D107=1,'HTML Frame'!E138,11119)</f>
        <v>11119</v>
      </c>
      <c r="F107" s="227">
        <f>IF(E107=MIN($E$92:$E$94,$E$96:$E$98,$E$100,$E$102,$E$104:$E$107,$E$109:$E$123,$E$125:$E$126),2,D107)</f>
        <v>0</v>
      </c>
      <c r="G107" s="219">
        <f t="shared" si="26"/>
        <v>11111</v>
      </c>
    </row>
    <row r="108" spans="2:7" x14ac:dyDescent="0.25">
      <c r="B108" s="12" t="s">
        <v>317</v>
      </c>
      <c r="D108" s="223"/>
      <c r="E108" s="227"/>
      <c r="F108" s="227"/>
    </row>
    <row r="109" spans="2:7" x14ac:dyDescent="0.25">
      <c r="B109" s="219" t="s">
        <v>604</v>
      </c>
      <c r="D109" s="223">
        <f>IF(B109='HTML Frame'!$D$53,1,0)</f>
        <v>0</v>
      </c>
      <c r="E109" s="227">
        <f>IF(D109=1,'HTML Frame'!E145,11111)</f>
        <v>11111</v>
      </c>
      <c r="F109" s="227">
        <f>IF(E109=MIN($E$92:$E$94,$E$96:$E$98,$E$100,$E$102,$E$104:$E$107,$E$109:$E$123,$E$125:$E$126),2,D109)</f>
        <v>0</v>
      </c>
      <c r="G109" s="219">
        <f t="shared" si="26"/>
        <v>11111</v>
      </c>
    </row>
    <row r="110" spans="2:7" x14ac:dyDescent="0.25">
      <c r="B110" s="219" t="s">
        <v>605</v>
      </c>
      <c r="D110" s="223">
        <f>IF(B110='HTML Frame'!$D$53,1,0)</f>
        <v>0</v>
      </c>
      <c r="E110" s="227">
        <f>IF(D110=1,'HTML Frame'!E147,11120)</f>
        <v>11120</v>
      </c>
      <c r="F110" s="227">
        <f t="shared" ref="F110:F123" si="27">IF(E110=MIN($E$92:$E$94,$E$96:$E$98,$E$100,$E$102,$E$104:$E$107,$E$109:$E$123,$E$125:$E$126),2,D110)</f>
        <v>0</v>
      </c>
      <c r="G110" s="219">
        <f t="shared" si="26"/>
        <v>11111</v>
      </c>
    </row>
    <row r="111" spans="2:7" x14ac:dyDescent="0.25">
      <c r="B111" s="246" t="s">
        <v>606</v>
      </c>
      <c r="D111" s="223">
        <f>IF(B111='HTML Frame'!$D$53,1,0)</f>
        <v>0</v>
      </c>
      <c r="E111" s="227">
        <f>IF(D111=1,'HTML Frame'!E149,11121)</f>
        <v>11121</v>
      </c>
      <c r="F111" s="227">
        <f t="shared" si="27"/>
        <v>0</v>
      </c>
      <c r="G111" s="219">
        <f t="shared" si="26"/>
        <v>11111</v>
      </c>
    </row>
    <row r="112" spans="2:7" x14ac:dyDescent="0.25">
      <c r="B112" s="246" t="s">
        <v>607</v>
      </c>
      <c r="D112" s="223">
        <f>IF(B112='HTML Frame'!$D$53,1,0)</f>
        <v>0</v>
      </c>
      <c r="E112" s="227">
        <f>IF(D112=1,'HTML Frame'!E151,11122)</f>
        <v>11122</v>
      </c>
      <c r="F112" s="227">
        <f t="shared" si="27"/>
        <v>0</v>
      </c>
      <c r="G112" s="219">
        <f t="shared" si="26"/>
        <v>11111</v>
      </c>
    </row>
    <row r="113" spans="2:7" x14ac:dyDescent="0.25">
      <c r="B113" s="246" t="s">
        <v>608</v>
      </c>
      <c r="D113" s="223">
        <f>IF(B113='HTML Frame'!$D$53,1,0)</f>
        <v>1</v>
      </c>
      <c r="E113" s="227">
        <f>IF(D113=1,'HTML Frame'!E153,11123)</f>
        <v>15.5</v>
      </c>
      <c r="F113" s="227">
        <f t="shared" si="27"/>
        <v>1</v>
      </c>
      <c r="G113" s="219">
        <f t="shared" si="26"/>
        <v>11111</v>
      </c>
    </row>
    <row r="114" spans="2:7" x14ac:dyDescent="0.25">
      <c r="B114" s="246" t="s">
        <v>609</v>
      </c>
      <c r="D114" s="223">
        <f>IF(B114='HTML Frame'!$D$53,1,0)</f>
        <v>0</v>
      </c>
      <c r="E114" s="227">
        <f>IF(D114=1,'HTML Frame'!E155,11124)</f>
        <v>11124</v>
      </c>
      <c r="F114" s="227">
        <f t="shared" si="27"/>
        <v>0</v>
      </c>
      <c r="G114" s="219">
        <f t="shared" si="26"/>
        <v>11111</v>
      </c>
    </row>
    <row r="115" spans="2:7" x14ac:dyDescent="0.25">
      <c r="B115" s="246" t="s">
        <v>610</v>
      </c>
      <c r="D115" s="223">
        <f>IF(B115='HTML Frame'!$D$53,1,0)</f>
        <v>0</v>
      </c>
      <c r="E115" s="227">
        <f>IF(D115=1,'HTML Frame'!E157,11125)</f>
        <v>11125</v>
      </c>
      <c r="F115" s="227">
        <f t="shared" si="27"/>
        <v>0</v>
      </c>
      <c r="G115" s="219">
        <f t="shared" si="26"/>
        <v>11111</v>
      </c>
    </row>
    <row r="116" spans="2:7" x14ac:dyDescent="0.25">
      <c r="B116" s="246" t="s">
        <v>611</v>
      </c>
      <c r="D116" s="223">
        <f>IF(B116='HTML Frame'!$D$53,1,0)</f>
        <v>0</v>
      </c>
      <c r="E116" s="227">
        <f>IF(D116=1,'HTML Frame'!E159,11126)</f>
        <v>11126</v>
      </c>
      <c r="F116" s="227">
        <f t="shared" si="27"/>
        <v>0</v>
      </c>
      <c r="G116" s="219">
        <f t="shared" si="26"/>
        <v>11111</v>
      </c>
    </row>
    <row r="117" spans="2:7" x14ac:dyDescent="0.25">
      <c r="B117" s="219" t="s">
        <v>615</v>
      </c>
      <c r="D117" s="223">
        <f>IF(B117='HTML Frame'!$D$53,1,0)</f>
        <v>0</v>
      </c>
      <c r="E117" s="227">
        <f>IF(D117=1,'HTML Frame'!E161,11127)</f>
        <v>11127</v>
      </c>
      <c r="F117" s="227">
        <f t="shared" si="27"/>
        <v>0</v>
      </c>
      <c r="G117" s="219">
        <f t="shared" si="26"/>
        <v>11111</v>
      </c>
    </row>
    <row r="118" spans="2:7" x14ac:dyDescent="0.25">
      <c r="B118" s="219" t="s">
        <v>616</v>
      </c>
      <c r="D118" s="223">
        <f>IF(B118='HTML Frame'!$D$53,1,0)</f>
        <v>0</v>
      </c>
      <c r="E118" s="227">
        <f>IF(D118=1,'HTML Frame'!E163,11128)</f>
        <v>11128</v>
      </c>
      <c r="F118" s="227">
        <f t="shared" si="27"/>
        <v>0</v>
      </c>
      <c r="G118" s="219">
        <f t="shared" si="26"/>
        <v>11111</v>
      </c>
    </row>
    <row r="119" spans="2:7" x14ac:dyDescent="0.25">
      <c r="B119" s="219" t="s">
        <v>617</v>
      </c>
      <c r="D119" s="223">
        <f>IF(B119='HTML Frame'!$D$53,1,0)</f>
        <v>0</v>
      </c>
      <c r="E119" s="227">
        <f>IF(D119=1,'HTML Frame'!E165,11129)</f>
        <v>11129</v>
      </c>
      <c r="F119" s="227">
        <f t="shared" si="27"/>
        <v>0</v>
      </c>
      <c r="G119" s="219">
        <f t="shared" si="26"/>
        <v>11111</v>
      </c>
    </row>
    <row r="120" spans="2:7" x14ac:dyDescent="0.25">
      <c r="B120" s="219" t="s">
        <v>618</v>
      </c>
      <c r="D120" s="223">
        <f>IF(B120='HTML Frame'!$D$53,1,0)</f>
        <v>0</v>
      </c>
      <c r="E120" s="227">
        <f>IF(D120=1,'HTML Frame'!E167,11130)</f>
        <v>11130</v>
      </c>
      <c r="F120" s="227">
        <f t="shared" si="27"/>
        <v>0</v>
      </c>
      <c r="G120" s="219">
        <f t="shared" si="26"/>
        <v>11111</v>
      </c>
    </row>
    <row r="121" spans="2:7" x14ac:dyDescent="0.25">
      <c r="B121" s="219" t="s">
        <v>212</v>
      </c>
      <c r="D121" s="223">
        <f>IF(B121='HTML Frame'!$D$53,1,0)</f>
        <v>0</v>
      </c>
      <c r="E121" s="227">
        <f>IF(D121=1,'HTML Frame'!E169,11131)</f>
        <v>11131</v>
      </c>
      <c r="F121" s="227">
        <f t="shared" si="27"/>
        <v>0</v>
      </c>
      <c r="G121" s="219">
        <f t="shared" si="26"/>
        <v>11111</v>
      </c>
    </row>
    <row r="122" spans="2:7" x14ac:dyDescent="0.25">
      <c r="B122" s="219" t="s">
        <v>213</v>
      </c>
      <c r="D122" s="223">
        <f>IF(B122='HTML Frame'!$D$53,1,0)</f>
        <v>0</v>
      </c>
      <c r="E122" s="227">
        <f>IF(D122=1,'HTML Frame'!E171,11132)</f>
        <v>11132</v>
      </c>
      <c r="F122" s="227">
        <f t="shared" si="27"/>
        <v>0</v>
      </c>
      <c r="G122" s="219">
        <f t="shared" si="26"/>
        <v>11111</v>
      </c>
    </row>
    <row r="123" spans="2:7" x14ac:dyDescent="0.25">
      <c r="B123" s="219" t="s">
        <v>214</v>
      </c>
      <c r="D123" s="223">
        <f>IF(B123='HTML Frame'!$D$53,1,0)</f>
        <v>0</v>
      </c>
      <c r="E123" s="227">
        <f>IF(D123=1,'HTML Frame'!E173,11133)</f>
        <v>11133</v>
      </c>
      <c r="F123" s="227">
        <f t="shared" si="27"/>
        <v>0</v>
      </c>
      <c r="G123" s="219">
        <f t="shared" si="26"/>
        <v>11111</v>
      </c>
    </row>
    <row r="124" spans="2:7" x14ac:dyDescent="0.25">
      <c r="B124" s="12" t="s">
        <v>318</v>
      </c>
      <c r="E124" s="246"/>
      <c r="F124" s="227"/>
    </row>
    <row r="125" spans="2:7" x14ac:dyDescent="0.25">
      <c r="B125" s="219" t="s">
        <v>325</v>
      </c>
      <c r="D125" s="223">
        <f>IF(B125='HTML Frame'!$D$51,1,0)</f>
        <v>1</v>
      </c>
      <c r="E125" s="227">
        <f>IF(D125=1,'HTML Frame'!E180,11134)</f>
        <v>10</v>
      </c>
      <c r="F125" s="227">
        <f>IF(E125=MIN($E$92:$E$94,$E$96:$E$98,$E$100,$E$102,$E$104:$E$107,$E$109:$E$123,$E$125:$E$126),2,D125)</f>
        <v>1</v>
      </c>
      <c r="G125" s="219">
        <f t="shared" si="26"/>
        <v>11111</v>
      </c>
    </row>
    <row r="126" spans="2:7" x14ac:dyDescent="0.25">
      <c r="B126" s="219" t="s">
        <v>321</v>
      </c>
      <c r="D126" s="223">
        <f>IF(B126='HTML Frame'!$D$51,1,0)</f>
        <v>0</v>
      </c>
      <c r="E126" s="227">
        <f>IF(D126=1,'HTML Frame'!E182,111135)</f>
        <v>111135</v>
      </c>
      <c r="F126" s="227">
        <f>IF(E126=MIN($E$92:$E$94,$E$96:$E$98,$E$100,$E$102,$E$104:$E$107,$E$109:$E$123,$E$125:$E$126),2,D126)</f>
        <v>0</v>
      </c>
      <c r="G126" s="219">
        <f t="shared" si="26"/>
        <v>11111</v>
      </c>
    </row>
    <row r="127" spans="2:7" x14ac:dyDescent="0.25">
      <c r="D127" s="223"/>
      <c r="E127" s="227"/>
      <c r="F127" s="227"/>
      <c r="G127" s="381" t="str">
        <f>INDEX(G92:G126, MATCH(2,F92:F126,0))</f>
        <v>1.5" SCH 40 Pipe</v>
      </c>
    </row>
    <row r="129" spans="2:8" x14ac:dyDescent="0.25">
      <c r="B129" s="219" t="s">
        <v>216</v>
      </c>
    </row>
    <row r="130" spans="2:8" x14ac:dyDescent="0.25">
      <c r="B130" s="12" t="s">
        <v>318</v>
      </c>
      <c r="D130" s="224" t="s">
        <v>314</v>
      </c>
      <c r="E130" s="219" t="s">
        <v>315</v>
      </c>
      <c r="F130" s="224" t="s">
        <v>312</v>
      </c>
    </row>
    <row r="131" spans="2:8" x14ac:dyDescent="0.25">
      <c r="B131" s="219" t="s">
        <v>325</v>
      </c>
      <c r="D131" s="223">
        <f>IF(B131='HTML Frame'!$D$51,1,0)</f>
        <v>1</v>
      </c>
      <c r="E131" s="223">
        <f>IF(D131=1,'HTML Frame'!E192,11136)</f>
        <v>54.245116388308688</v>
      </c>
      <c r="F131" s="223">
        <f>IF(E131=MIN($E$131:$E$132,$E$134:$E$142),2,D131)</f>
        <v>1</v>
      </c>
      <c r="G131" s="403"/>
      <c r="H131" s="223"/>
    </row>
    <row r="132" spans="2:8" x14ac:dyDescent="0.25">
      <c r="B132" s="219" t="s">
        <v>321</v>
      </c>
      <c r="D132" s="223">
        <f>IF(B132='HTML Frame'!$D$51,1,0)</f>
        <v>0</v>
      </c>
      <c r="E132" s="223">
        <f>IF(D132=1,'HTML Frame'!E194,11137)</f>
        <v>11137</v>
      </c>
      <c r="F132" s="223">
        <f t="shared" ref="F132:F142" si="28">IF(E132=MIN($E$131:$E$132,$E$134:$E$142),2,D132)</f>
        <v>0</v>
      </c>
      <c r="G132" s="403"/>
      <c r="H132" s="223"/>
    </row>
    <row r="133" spans="2:8" x14ac:dyDescent="0.25">
      <c r="B133" s="12" t="s">
        <v>324</v>
      </c>
      <c r="D133" s="223"/>
      <c r="E133" s="223"/>
      <c r="F133" s="223"/>
      <c r="G133" s="223"/>
      <c r="H133" s="223"/>
    </row>
    <row r="134" spans="2:8" x14ac:dyDescent="0.25">
      <c r="B134" s="219" t="s">
        <v>613</v>
      </c>
      <c r="D134" s="223">
        <f>IF(B134='HTML Frame'!$D$55,1,0)</f>
        <v>1</v>
      </c>
      <c r="E134" s="223">
        <f>IF(D134=1,'HTML Frame'!E201,11138)</f>
        <v>25.131568557290741</v>
      </c>
      <c r="F134" s="223">
        <f t="shared" si="28"/>
        <v>2</v>
      </c>
      <c r="G134" s="223"/>
      <c r="H134" s="223"/>
    </row>
    <row r="135" spans="2:8" x14ac:dyDescent="0.25">
      <c r="B135" s="219" t="s">
        <v>614</v>
      </c>
      <c r="D135" s="223">
        <f>IF(B135='HTML Frame'!$D$55,1,0)</f>
        <v>0</v>
      </c>
      <c r="E135" s="227">
        <f>IF(D135=1,'HTML Frame'!E203,11139)</f>
        <v>11139</v>
      </c>
      <c r="F135" s="223">
        <f t="shared" si="28"/>
        <v>0</v>
      </c>
      <c r="G135" s="223"/>
      <c r="H135" s="223"/>
    </row>
    <row r="136" spans="2:8" x14ac:dyDescent="0.25">
      <c r="B136" s="219" t="s">
        <v>615</v>
      </c>
      <c r="D136" s="223">
        <f>IF(B136='HTML Frame'!$D$55,1,0)</f>
        <v>0</v>
      </c>
      <c r="E136" s="227">
        <f>IF(D136=1,'HTML Frame'!E205,11140)</f>
        <v>11140</v>
      </c>
      <c r="F136" s="223">
        <f t="shared" si="28"/>
        <v>0</v>
      </c>
      <c r="G136" s="223"/>
      <c r="H136" s="223"/>
    </row>
    <row r="137" spans="2:8" x14ac:dyDescent="0.25">
      <c r="B137" s="219" t="s">
        <v>616</v>
      </c>
      <c r="D137" s="223">
        <f>IF(B137='HTML Frame'!$D$55,1,0)</f>
        <v>0</v>
      </c>
      <c r="E137" s="227">
        <f>IF(D137=1,'HTML Frame'!E207,11141)</f>
        <v>11141</v>
      </c>
      <c r="F137" s="223">
        <f t="shared" si="28"/>
        <v>0</v>
      </c>
      <c r="G137" s="223"/>
      <c r="H137" s="223"/>
    </row>
    <row r="138" spans="2:8" x14ac:dyDescent="0.25">
      <c r="B138" s="219" t="s">
        <v>617</v>
      </c>
      <c r="D138" s="223">
        <f>IF(B138='HTML Frame'!$D$55,1,0)</f>
        <v>0</v>
      </c>
      <c r="E138" s="227">
        <f>IF(D138=1,'HTML Frame'!E209,11142)</f>
        <v>11142</v>
      </c>
      <c r="F138" s="223">
        <f t="shared" si="28"/>
        <v>0</v>
      </c>
      <c r="G138" s="223"/>
      <c r="H138" s="223"/>
    </row>
    <row r="139" spans="2:8" x14ac:dyDescent="0.25">
      <c r="B139" s="219" t="s">
        <v>618</v>
      </c>
      <c r="D139" s="223">
        <f>IF(B139='HTML Frame'!$D$55,1,0)</f>
        <v>0</v>
      </c>
      <c r="E139" s="227">
        <f>IF(D139=1,'HTML Frame'!E211,11143)</f>
        <v>11143</v>
      </c>
      <c r="F139" s="223">
        <f t="shared" si="28"/>
        <v>0</v>
      </c>
      <c r="G139" s="223"/>
      <c r="H139" s="223"/>
    </row>
    <row r="140" spans="2:8" x14ac:dyDescent="0.25">
      <c r="B140" s="219" t="s">
        <v>212</v>
      </c>
      <c r="D140" s="223">
        <f>IF(B140='HTML Frame'!$D$55,1,0)</f>
        <v>0</v>
      </c>
      <c r="E140" s="223">
        <f>IF(D140=1,'HTML Frame'!E213,11144)</f>
        <v>11144</v>
      </c>
      <c r="F140" s="223">
        <f t="shared" si="28"/>
        <v>0</v>
      </c>
      <c r="G140" s="223"/>
      <c r="H140" s="223"/>
    </row>
    <row r="141" spans="2:8" x14ac:dyDescent="0.25">
      <c r="B141" s="219" t="s">
        <v>213</v>
      </c>
      <c r="D141" s="223">
        <f>IF(B141='HTML Frame'!$D$55,1,0)</f>
        <v>0</v>
      </c>
      <c r="E141" s="223">
        <f>IF(D141=1,'HTML Frame'!E215,11145)</f>
        <v>11145</v>
      </c>
      <c r="F141" s="223">
        <f t="shared" si="28"/>
        <v>0</v>
      </c>
      <c r="G141" s="223"/>
      <c r="H141" s="223"/>
    </row>
    <row r="142" spans="2:8" x14ac:dyDescent="0.25">
      <c r="B142" s="219" t="s">
        <v>214</v>
      </c>
      <c r="D142" s="223">
        <f>IF(B142='HTML Frame'!$D$55,1,0)</f>
        <v>0</v>
      </c>
      <c r="E142" s="223">
        <f>IF(D142=1,'HTML Frame'!E217,11146)</f>
        <v>11146</v>
      </c>
      <c r="F142" s="223">
        <f t="shared" si="28"/>
        <v>0</v>
      </c>
      <c r="G142" s="223"/>
      <c r="H142" s="223"/>
    </row>
    <row r="144" spans="2:8" x14ac:dyDescent="0.25">
      <c r="B144" s="219" t="s">
        <v>287</v>
      </c>
    </row>
    <row r="145" spans="2:6" x14ac:dyDescent="0.25">
      <c r="B145" s="225" t="s">
        <v>473</v>
      </c>
      <c r="C145" s="224"/>
      <c r="D145" s="224" t="s">
        <v>314</v>
      </c>
      <c r="E145" s="219" t="s">
        <v>315</v>
      </c>
      <c r="F145" s="224" t="s">
        <v>312</v>
      </c>
    </row>
    <row r="146" spans="2:6" x14ac:dyDescent="0.25">
      <c r="B146" s="382" t="str">
        <f>CONCATENATE(G127)</f>
        <v>1.5" SCH 40 Pipe</v>
      </c>
      <c r="C146" s="224"/>
      <c r="D146" s="226"/>
      <c r="E146" s="250">
        <f>'HTML Frame'!E227</f>
        <v>3</v>
      </c>
      <c r="F146" s="227">
        <f>IF(E146=MIN($E$146:$E$146,$E$148:$E$149),2,D146)</f>
        <v>2</v>
      </c>
    </row>
    <row r="147" spans="2:6" x14ac:dyDescent="0.25">
      <c r="B147" s="12" t="s">
        <v>318</v>
      </c>
      <c r="E147" s="246"/>
      <c r="F147" s="227"/>
    </row>
    <row r="148" spans="2:6" x14ac:dyDescent="0.25">
      <c r="B148" s="219" t="s">
        <v>325</v>
      </c>
      <c r="D148" s="223">
        <f>IF(B148='HTML Frame'!$D$51,1,0)</f>
        <v>1</v>
      </c>
      <c r="E148" s="227">
        <f>IF(D148=1,'HTML Frame'!E234,11147)</f>
        <v>5.0906639529467794</v>
      </c>
      <c r="F148" s="227">
        <f>IF(E148=MIN($E$146:$E$146,$E$148:$E$149),2,D148)</f>
        <v>1</v>
      </c>
    </row>
    <row r="149" spans="2:6" x14ac:dyDescent="0.25">
      <c r="B149" s="219" t="s">
        <v>321</v>
      </c>
      <c r="D149" s="223">
        <f>IF(B149='HTML Frame'!$D$51,1,0)</f>
        <v>0</v>
      </c>
      <c r="E149" s="227">
        <f>IF(D149=1,'HTML Frame'!E236,11148)</f>
        <v>11148</v>
      </c>
      <c r="F149" s="227">
        <f>IF(E149=MIN($E$146:$E$146,$E$148:$E$149),2,D149)</f>
        <v>0</v>
      </c>
    </row>
  </sheetData>
  <pageMargins left="0.7" right="0.7" top="0.75" bottom="0.75" header="0.3" footer="0.3"/>
  <pageSetup orientation="portrait" r:id="rId1"/>
  <customProperties>
    <customPr name="SSC_SHEET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
  <sheetViews>
    <sheetView view="pageBreakPreview" zoomScale="115" zoomScaleNormal="100" zoomScaleSheetLayoutView="115" workbookViewId="0">
      <selection activeCell="C44" sqref="C44"/>
    </sheetView>
  </sheetViews>
  <sheetFormatPr defaultColWidth="10" defaultRowHeight="12.75" x14ac:dyDescent="0.2"/>
  <cols>
    <col min="1" max="1" width="10" style="17" customWidth="1"/>
    <col min="2" max="2" width="13.7109375" style="17" customWidth="1"/>
    <col min="3" max="9" width="10" style="17" customWidth="1"/>
    <col min="10" max="26" width="10" style="18" customWidth="1"/>
    <col min="27" max="16384" width="10" style="18"/>
  </cols>
  <sheetData>
    <row r="1" spans="1:21" s="333" customFormat="1" x14ac:dyDescent="0.2">
      <c r="A1" s="332"/>
    </row>
    <row r="2" spans="1:21" s="333" customFormat="1" x14ac:dyDescent="0.2">
      <c r="P2" s="18"/>
    </row>
    <row r="3" spans="1:21" s="333" customFormat="1" x14ac:dyDescent="0.2">
      <c r="P3" s="18"/>
    </row>
    <row r="4" spans="1:21" s="333" customFormat="1" x14ac:dyDescent="0.2">
      <c r="P4" s="18"/>
    </row>
    <row r="5" spans="1:21" s="330" customFormat="1" x14ac:dyDescent="0.2">
      <c r="A5" s="332"/>
      <c r="B5" s="331" t="s">
        <v>14</v>
      </c>
      <c r="C5" s="530" t="s">
        <v>13</v>
      </c>
      <c r="D5" s="530"/>
      <c r="E5" s="530"/>
      <c r="F5" s="530"/>
      <c r="G5" s="530"/>
      <c r="H5" s="530"/>
      <c r="I5" s="530"/>
      <c r="P5" s="18"/>
    </row>
    <row r="6" spans="1:21" s="330" customFormat="1" x14ac:dyDescent="0.2">
      <c r="B6" s="331" t="s">
        <v>15</v>
      </c>
      <c r="C6" s="530" t="s">
        <v>13</v>
      </c>
      <c r="D6" s="530"/>
      <c r="E6" s="530"/>
      <c r="F6" s="530"/>
      <c r="G6" s="530"/>
      <c r="H6" s="530"/>
      <c r="I6" s="530"/>
      <c r="P6" s="18"/>
    </row>
    <row r="8" spans="1:21" ht="15.75" x14ac:dyDescent="0.25">
      <c r="A8" s="531" t="s">
        <v>401</v>
      </c>
      <c r="B8" s="532"/>
      <c r="C8" s="532"/>
      <c r="D8" s="532"/>
      <c r="E8" s="532"/>
      <c r="F8" s="532"/>
      <c r="G8" s="532"/>
      <c r="H8" s="532"/>
      <c r="I8" s="533"/>
      <c r="K8" s="21"/>
      <c r="L8" s="284"/>
      <c r="M8" s="21"/>
      <c r="N8" s="21"/>
      <c r="O8" s="21"/>
      <c r="P8" s="21"/>
      <c r="Q8" s="21"/>
      <c r="R8" s="284"/>
    </row>
    <row r="9" spans="1:21" x14ac:dyDescent="0.2">
      <c r="A9" s="278"/>
      <c r="B9" s="255"/>
      <c r="C9" s="255"/>
      <c r="D9" s="255"/>
      <c r="E9" s="255"/>
      <c r="F9" s="255"/>
      <c r="G9" s="255"/>
      <c r="H9" s="255"/>
      <c r="I9" s="264"/>
      <c r="M9" s="21"/>
      <c r="N9" s="21"/>
      <c r="O9" s="329"/>
      <c r="P9" s="328"/>
      <c r="R9" s="327" t="s">
        <v>28</v>
      </c>
    </row>
    <row r="10" spans="1:21" ht="13.5" customHeight="1" x14ac:dyDescent="0.3">
      <c r="A10" s="326" t="s">
        <v>400</v>
      </c>
      <c r="B10" s="325">
        <f>'HTML Frame'!D45</f>
        <v>10</v>
      </c>
      <c r="C10" s="291" t="s">
        <v>55</v>
      </c>
      <c r="D10" s="255"/>
      <c r="E10" s="255"/>
      <c r="F10" s="255"/>
      <c r="G10" s="281" t="s">
        <v>32</v>
      </c>
      <c r="H10" s="24" t="str">
        <f>'HTML Frame'!D17</f>
        <v>C</v>
      </c>
      <c r="I10" s="264"/>
      <c r="K10" s="21"/>
      <c r="L10" s="21"/>
      <c r="M10" s="21"/>
      <c r="N10" s="21"/>
      <c r="O10" s="21"/>
      <c r="P10" s="21"/>
      <c r="S10" s="18" t="s">
        <v>29</v>
      </c>
      <c r="T10" s="18" t="s">
        <v>30</v>
      </c>
      <c r="U10" s="18" t="s">
        <v>31</v>
      </c>
    </row>
    <row r="11" spans="1:21" ht="12.75" customHeight="1" x14ac:dyDescent="0.3">
      <c r="A11" s="271" t="s">
        <v>399</v>
      </c>
      <c r="B11" s="325">
        <f>'HTML Frame'!D30</f>
        <v>15</v>
      </c>
      <c r="C11" s="291" t="s">
        <v>398</v>
      </c>
      <c r="D11" s="255"/>
      <c r="E11" s="324" t="str">
        <f>IF(N20&gt;1,"ERROR: Canopy Height &gt; Eave Height","")</f>
        <v/>
      </c>
      <c r="F11" s="255"/>
      <c r="G11" s="255"/>
      <c r="H11" s="255"/>
      <c r="I11" s="264"/>
      <c r="K11" s="21"/>
      <c r="L11" s="21"/>
      <c r="M11" s="21"/>
      <c r="N11" s="21"/>
      <c r="O11" s="21"/>
      <c r="P11" s="21"/>
      <c r="R11" s="22" t="s">
        <v>1</v>
      </c>
      <c r="S11" s="22">
        <v>7</v>
      </c>
      <c r="T11" s="22">
        <v>1200</v>
      </c>
      <c r="U11" s="22">
        <v>30</v>
      </c>
    </row>
    <row r="12" spans="1:21" ht="13.5" customHeight="1" x14ac:dyDescent="0.3">
      <c r="A12" s="271" t="s">
        <v>54</v>
      </c>
      <c r="B12" s="323">
        <f>'HTML Frame'!D15</f>
        <v>175</v>
      </c>
      <c r="C12" s="268" t="s">
        <v>33</v>
      </c>
      <c r="D12" s="255"/>
      <c r="E12" s="255"/>
      <c r="F12" s="255"/>
      <c r="G12" s="281"/>
      <c r="H12" s="255"/>
      <c r="I12" s="264"/>
      <c r="K12" s="21"/>
      <c r="L12" s="21"/>
      <c r="M12" s="21"/>
      <c r="N12" s="21"/>
      <c r="O12" s="21"/>
      <c r="P12" s="21"/>
      <c r="R12" s="22" t="s">
        <v>2</v>
      </c>
      <c r="S12" s="22">
        <v>9.5</v>
      </c>
      <c r="T12" s="22">
        <v>900</v>
      </c>
      <c r="U12" s="22">
        <v>15</v>
      </c>
    </row>
    <row r="13" spans="1:21" ht="12" customHeight="1" x14ac:dyDescent="0.3">
      <c r="A13" s="271" t="s">
        <v>64</v>
      </c>
      <c r="B13" s="322">
        <v>0.85</v>
      </c>
      <c r="C13" s="268" t="s">
        <v>34</v>
      </c>
      <c r="D13" s="255"/>
      <c r="E13" s="255"/>
      <c r="F13" s="255"/>
      <c r="H13" s="255"/>
      <c r="I13" s="264"/>
      <c r="K13" s="321"/>
      <c r="L13" s="321"/>
      <c r="M13" s="321"/>
      <c r="N13" s="21"/>
      <c r="O13" s="21"/>
      <c r="P13" s="21"/>
      <c r="R13" s="22" t="s">
        <v>3</v>
      </c>
      <c r="S13" s="22">
        <v>11.5</v>
      </c>
      <c r="T13" s="22">
        <v>700</v>
      </c>
      <c r="U13" s="22">
        <v>7</v>
      </c>
    </row>
    <row r="14" spans="1:21" ht="13.5" customHeight="1" x14ac:dyDescent="0.3">
      <c r="A14" s="271" t="s">
        <v>59</v>
      </c>
      <c r="B14" s="320">
        <f>2.01*(MAX(B10,U14)/T14)^(2/S14)</f>
        <v>0.84888415207790313</v>
      </c>
      <c r="C14" s="268" t="s">
        <v>36</v>
      </c>
      <c r="D14" s="255"/>
      <c r="E14" s="255"/>
      <c r="F14" s="255"/>
      <c r="G14" s="281" t="s">
        <v>35</v>
      </c>
      <c r="H14" s="318">
        <v>0</v>
      </c>
      <c r="I14" s="264"/>
      <c r="K14" s="21"/>
      <c r="L14" s="21"/>
      <c r="M14" s="21"/>
      <c r="N14" s="21"/>
      <c r="O14" s="21"/>
      <c r="P14" s="21"/>
      <c r="Q14" s="319"/>
      <c r="R14" s="319" t="str">
        <f>H10</f>
        <v>C</v>
      </c>
      <c r="S14" s="319">
        <f>INDEX($S$11:$S$13, MATCH(R14,R11:R13, 0))</f>
        <v>9.5</v>
      </c>
      <c r="T14" s="319">
        <f>INDEX($T$11:$T$13,MATCH(R14,R11:R13,0))</f>
        <v>900</v>
      </c>
      <c r="U14" s="319">
        <f>INDEX($U$11:$U$13, MATCH(R14,R11:R13, 0))</f>
        <v>15</v>
      </c>
    </row>
    <row r="15" spans="1:21" ht="13.5" customHeight="1" x14ac:dyDescent="0.3">
      <c r="A15" s="271" t="s">
        <v>60</v>
      </c>
      <c r="B15" s="280">
        <v>1</v>
      </c>
      <c r="C15" s="268" t="s">
        <v>38</v>
      </c>
      <c r="D15" s="255"/>
      <c r="E15" s="255"/>
      <c r="F15" s="18"/>
      <c r="G15" s="312" t="s">
        <v>56</v>
      </c>
      <c r="H15" s="318">
        <f>SnowLoad!B56</f>
        <v>0</v>
      </c>
      <c r="I15" s="264"/>
    </row>
    <row r="16" spans="1:21" ht="13.5" customHeight="1" x14ac:dyDescent="0.3">
      <c r="A16" s="312" t="s">
        <v>57</v>
      </c>
      <c r="B16" s="280">
        <v>1</v>
      </c>
      <c r="C16" s="291" t="s">
        <v>58</v>
      </c>
      <c r="D16" s="255"/>
      <c r="E16" s="255"/>
      <c r="F16" s="255"/>
      <c r="G16" s="281" t="s">
        <v>37</v>
      </c>
      <c r="H16" s="318">
        <v>0</v>
      </c>
      <c r="I16" s="264"/>
    </row>
    <row r="17" spans="1:25" x14ac:dyDescent="0.2">
      <c r="A17" s="275"/>
      <c r="B17" s="260"/>
      <c r="C17" s="260"/>
      <c r="D17" s="260"/>
      <c r="E17" s="260"/>
      <c r="F17" s="260"/>
      <c r="G17" s="260"/>
      <c r="H17" s="260"/>
      <c r="I17" s="259"/>
      <c r="S17" s="255"/>
      <c r="T17" s="255"/>
    </row>
    <row r="18" spans="1:25" x14ac:dyDescent="0.2">
      <c r="S18" s="255"/>
      <c r="T18" s="255"/>
    </row>
    <row r="19" spans="1:25" ht="15.75" x14ac:dyDescent="0.25">
      <c r="A19" s="531" t="s">
        <v>402</v>
      </c>
      <c r="B19" s="532"/>
      <c r="C19" s="532"/>
      <c r="D19" s="532"/>
      <c r="E19" s="532"/>
      <c r="F19" s="532"/>
      <c r="G19" s="532"/>
      <c r="H19" s="532"/>
      <c r="I19" s="533"/>
    </row>
    <row r="20" spans="1:25" ht="18" x14ac:dyDescent="0.35">
      <c r="A20" s="278"/>
      <c r="B20" s="255"/>
      <c r="C20" s="255"/>
      <c r="D20" s="255"/>
      <c r="E20" s="255"/>
      <c r="F20" s="255"/>
      <c r="G20" s="255"/>
      <c r="H20" s="255"/>
      <c r="I20" s="264"/>
      <c r="K20" s="21"/>
      <c r="L20" s="317"/>
      <c r="M20" s="316" t="s">
        <v>397</v>
      </c>
      <c r="N20" s="315">
        <f>B10/B11</f>
        <v>0.66666666666666663</v>
      </c>
      <c r="O20" s="21"/>
      <c r="P20" s="21"/>
      <c r="Q20" s="21"/>
      <c r="W20" s="21"/>
      <c r="X20" s="21"/>
      <c r="Y20" s="21"/>
    </row>
    <row r="21" spans="1:25" ht="13.5" customHeight="1" x14ac:dyDescent="0.25">
      <c r="A21" s="270" t="s">
        <v>39</v>
      </c>
      <c r="B21" s="314"/>
      <c r="C21" s="291" t="s">
        <v>396</v>
      </c>
      <c r="D21" s="255"/>
      <c r="E21" s="255"/>
      <c r="F21" s="255"/>
      <c r="G21" s="255"/>
      <c r="H21" s="255"/>
      <c r="I21" s="264"/>
      <c r="K21" s="21"/>
      <c r="L21" s="302"/>
      <c r="M21" s="313"/>
      <c r="N21" s="288"/>
      <c r="O21" s="21"/>
      <c r="P21" s="21"/>
      <c r="Q21" s="21"/>
      <c r="W21" s="21"/>
      <c r="X21" s="21"/>
      <c r="Y21" s="21"/>
    </row>
    <row r="22" spans="1:25" ht="15.75" thickBot="1" x14ac:dyDescent="0.3">
      <c r="A22" s="270" t="s">
        <v>40</v>
      </c>
      <c r="B22" s="314"/>
      <c r="C22" s="291" t="s">
        <v>395</v>
      </c>
      <c r="D22" s="255"/>
      <c r="E22" s="255"/>
      <c r="F22" s="255"/>
      <c r="G22" s="255"/>
      <c r="H22" s="255"/>
      <c r="I22" s="264"/>
      <c r="K22" s="21"/>
      <c r="L22" s="302"/>
      <c r="M22" s="313"/>
      <c r="N22" s="288"/>
      <c r="O22" s="21"/>
      <c r="P22" s="21"/>
      <c r="Q22" s="21"/>
      <c r="W22" s="21"/>
      <c r="X22" s="21"/>
      <c r="Y22" s="21"/>
    </row>
    <row r="23" spans="1:25" ht="15.75" thickBot="1" x14ac:dyDescent="0.3">
      <c r="A23" s="270" t="s">
        <v>41</v>
      </c>
      <c r="B23" s="334">
        <v>10</v>
      </c>
      <c r="C23" s="268" t="s">
        <v>42</v>
      </c>
      <c r="D23" s="255"/>
      <c r="E23" s="255"/>
      <c r="F23" s="285"/>
      <c r="G23" s="285"/>
      <c r="H23" s="255"/>
      <c r="I23" s="264"/>
      <c r="K23" s="21"/>
      <c r="L23" s="311" t="s">
        <v>394</v>
      </c>
      <c r="M23" s="310"/>
      <c r="N23" s="309"/>
      <c r="O23" s="21"/>
      <c r="P23" s="21"/>
      <c r="Q23" s="21"/>
      <c r="S23" s="288" t="s">
        <v>377</v>
      </c>
      <c r="T23" s="288"/>
      <c r="U23" s="288"/>
      <c r="W23" s="21"/>
      <c r="X23" s="21"/>
      <c r="Y23" s="21"/>
    </row>
    <row r="24" spans="1:25" ht="12.75" customHeight="1" thickTop="1" x14ac:dyDescent="0.25">
      <c r="A24" s="278"/>
      <c r="B24" s="255"/>
      <c r="C24" s="255"/>
      <c r="D24" s="255"/>
      <c r="E24" s="255"/>
      <c r="F24" s="255"/>
      <c r="G24" s="255"/>
      <c r="H24" s="255"/>
      <c r="I24" s="264"/>
      <c r="K24" s="21"/>
      <c r="L24" s="308"/>
      <c r="M24" s="307" t="s">
        <v>390</v>
      </c>
      <c r="N24" s="306" t="s">
        <v>389</v>
      </c>
      <c r="O24" s="21"/>
      <c r="P24" s="21"/>
      <c r="Q24" s="21"/>
      <c r="R24" s="21"/>
      <c r="S24" s="288">
        <f>(4.476*0.5)/18.706</f>
        <v>0.11964075697637122</v>
      </c>
      <c r="T24" s="288">
        <f>1-S24</f>
        <v>0.88035924302362878</v>
      </c>
      <c r="U24" s="288" t="s">
        <v>379</v>
      </c>
      <c r="V24" s="21"/>
      <c r="W24" s="21"/>
      <c r="X24" s="21"/>
      <c r="Y24" s="21"/>
    </row>
    <row r="25" spans="1:25" ht="12.75" customHeight="1" x14ac:dyDescent="0.3">
      <c r="A25" s="271" t="s">
        <v>370</v>
      </c>
      <c r="B25" s="280">
        <f>Loading!M38</f>
        <v>0.88035924302362878</v>
      </c>
      <c r="C25" s="291" t="s">
        <v>369</v>
      </c>
      <c r="D25" s="255"/>
      <c r="E25" s="255"/>
      <c r="F25" s="255"/>
      <c r="G25" s="255"/>
      <c r="H25" s="255"/>
      <c r="I25" s="264"/>
      <c r="K25" s="21"/>
      <c r="L25" s="305" t="s">
        <v>387</v>
      </c>
      <c r="M25" s="304">
        <v>100</v>
      </c>
      <c r="N25" s="303">
        <f>T25</f>
        <v>0.64375066823479099</v>
      </c>
      <c r="O25" s="258"/>
      <c r="P25" s="258"/>
      <c r="Q25" s="258"/>
      <c r="R25" s="312"/>
      <c r="S25" s="288">
        <f>(13.328*0.5)/18.706</f>
        <v>0.35624933176520901</v>
      </c>
      <c r="T25" s="288">
        <f>1-S25</f>
        <v>0.64375066823479099</v>
      </c>
      <c r="U25" s="288" t="s">
        <v>376</v>
      </c>
      <c r="V25" s="21"/>
      <c r="X25" s="258"/>
      <c r="Y25" s="258"/>
    </row>
    <row r="26" spans="1:25" ht="13.5" customHeight="1" x14ac:dyDescent="0.3">
      <c r="A26" s="271" t="s">
        <v>368</v>
      </c>
      <c r="B26" s="280">
        <f>Loading!P39</f>
        <v>-0.87904950283331551</v>
      </c>
      <c r="C26" s="291" t="s">
        <v>367</v>
      </c>
      <c r="D26" s="255"/>
      <c r="E26" s="255"/>
      <c r="F26" s="255"/>
      <c r="G26" s="255"/>
      <c r="H26" s="255"/>
      <c r="I26" s="264"/>
      <c r="K26" s="258"/>
      <c r="L26" s="305" t="s">
        <v>386</v>
      </c>
      <c r="M26" s="304">
        <f>B23</f>
        <v>10</v>
      </c>
      <c r="N26" s="303">
        <f>N25-(M25-M26)*(N25-N27)/(M25-M27)</f>
        <v>0.88035924302362878</v>
      </c>
      <c r="O26" s="258"/>
      <c r="P26" s="258"/>
      <c r="Q26" s="258"/>
      <c r="R26" s="21"/>
      <c r="S26" s="21"/>
      <c r="T26" s="21"/>
      <c r="U26" s="21"/>
      <c r="V26" s="21"/>
      <c r="X26" s="258"/>
      <c r="Y26" s="258"/>
    </row>
    <row r="27" spans="1:25" ht="13.5" customHeight="1" thickBot="1" x14ac:dyDescent="0.35">
      <c r="A27" s="271" t="s">
        <v>366</v>
      </c>
      <c r="B27" s="279">
        <f xml:space="preserve"> 0.00256*B14*B15*B13*B16*B12^2</f>
        <v>56.569639894471472</v>
      </c>
      <c r="C27" s="268" t="s">
        <v>43</v>
      </c>
      <c r="D27" s="255"/>
      <c r="E27" s="255"/>
      <c r="F27" s="255"/>
      <c r="G27" s="278" t="s">
        <v>44</v>
      </c>
      <c r="H27" s="255"/>
      <c r="I27" s="264"/>
      <c r="K27" s="258"/>
      <c r="L27" s="301" t="s">
        <v>385</v>
      </c>
      <c r="M27" s="300">
        <v>10</v>
      </c>
      <c r="N27" s="299">
        <f>T24</f>
        <v>0.88035924302362878</v>
      </c>
      <c r="R27" s="288"/>
      <c r="X27" s="258"/>
      <c r="Y27" s="258"/>
    </row>
    <row r="28" spans="1:25" ht="12.75" customHeight="1" x14ac:dyDescent="0.3">
      <c r="A28" s="271" t="s">
        <v>365</v>
      </c>
      <c r="B28" s="279">
        <f>B27*B25</f>
        <v>49.801605355616175</v>
      </c>
      <c r="C28" s="291" t="s">
        <v>393</v>
      </c>
      <c r="D28" s="255"/>
      <c r="E28" s="255"/>
      <c r="F28" s="255"/>
      <c r="G28" s="271" t="s">
        <v>364</v>
      </c>
      <c r="H28" s="279">
        <f>0.42*B28</f>
        <v>20.916674249358792</v>
      </c>
      <c r="I28" s="290" t="s">
        <v>46</v>
      </c>
      <c r="K28" s="258"/>
      <c r="R28" s="288"/>
      <c r="X28" s="258"/>
      <c r="Y28" s="258"/>
    </row>
    <row r="29" spans="1:25" ht="12.75" customHeight="1" thickBot="1" x14ac:dyDescent="0.35">
      <c r="A29" s="271" t="s">
        <v>363</v>
      </c>
      <c r="B29" s="279">
        <f>B27*B26</f>
        <v>-49.727513824694839</v>
      </c>
      <c r="C29" s="291" t="s">
        <v>392</v>
      </c>
      <c r="D29" s="255"/>
      <c r="E29" s="255"/>
      <c r="F29" s="255"/>
      <c r="G29" s="271" t="s">
        <v>362</v>
      </c>
      <c r="H29" s="279">
        <f>0.42*B29</f>
        <v>-20.88555580637183</v>
      </c>
      <c r="I29" s="290" t="s">
        <v>48</v>
      </c>
      <c r="K29" s="258"/>
      <c r="R29" s="288"/>
      <c r="X29" s="258"/>
      <c r="Y29" s="258"/>
    </row>
    <row r="30" spans="1:25" ht="12.75" customHeight="1" thickBot="1" x14ac:dyDescent="0.3">
      <c r="A30" s="270"/>
      <c r="B30" s="279"/>
      <c r="C30" s="268"/>
      <c r="D30" s="255"/>
      <c r="E30" s="255"/>
      <c r="F30" s="255"/>
      <c r="G30" s="278"/>
      <c r="H30" s="255"/>
      <c r="I30" s="264"/>
      <c r="K30" s="258"/>
      <c r="L30" s="311" t="s">
        <v>391</v>
      </c>
      <c r="M30" s="310"/>
      <c r="N30" s="309"/>
      <c r="R30" s="288"/>
      <c r="S30" s="288"/>
      <c r="T30" s="288" t="s">
        <v>374</v>
      </c>
      <c r="U30" s="288"/>
      <c r="V30" s="288"/>
      <c r="X30" s="258"/>
      <c r="Y30" s="258"/>
    </row>
    <row r="31" spans="1:25" ht="12.75" customHeight="1" thickTop="1" x14ac:dyDescent="0.25">
      <c r="A31" s="267" t="s">
        <v>49</v>
      </c>
      <c r="B31" s="276">
        <f>MAX(0.45*B28+0.75*H14+H16,0.45*B28+0.75*H15+H16, H14+H16, H15+H16,0.6*B28+H16)</f>
        <v>29.880963213369704</v>
      </c>
      <c r="C31" s="277" t="str">
        <f>IF(0.6*B28+H16&gt;0.45*B28+0.75*MAX(H14,H15)+H16,
"Critical Positive Dp, 0.6*WLp+DL",
IF(H15+H16&gt;0.45*B28+0.75*MAX(H14,H15)+H16,
"Critical Positive Dp, SL+DL",
IF(0.45*B28+0.75*H14+H16&gt;=0.45*B28+0.75*H15+H16,
"Critical Positive Dp, 0.45*WLp+0.75*LL+DL",
"Critical Positive Dp, 0.45*WLp+0.75*SL+DL")))</f>
        <v>Critical Positive Dp, 0.6*WLp+DL</v>
      </c>
      <c r="D31" s="265"/>
      <c r="E31" s="265"/>
      <c r="F31" s="265"/>
      <c r="G31" s="267" t="s">
        <v>49</v>
      </c>
      <c r="H31" s="276">
        <f>MAX(0.45*H28+0.75*H14+H16,0.45*H28+0.75*H15+H16, H14+H16, H15+H16,0.6*H28+H16)</f>
        <v>12.550004549615275</v>
      </c>
      <c r="I31" s="264"/>
      <c r="K31" s="258"/>
      <c r="L31" s="308"/>
      <c r="M31" s="307" t="s">
        <v>390</v>
      </c>
      <c r="N31" s="306" t="s">
        <v>389</v>
      </c>
      <c r="R31" s="288"/>
      <c r="S31" s="302" t="s">
        <v>388</v>
      </c>
      <c r="T31" s="288">
        <f>-((50.737*0.5)/18.706)</f>
        <v>-1.3561691435902921</v>
      </c>
      <c r="U31" s="288"/>
      <c r="V31" s="288" t="s">
        <v>379</v>
      </c>
      <c r="W31" s="258"/>
      <c r="X31" s="258"/>
      <c r="Y31" s="258"/>
    </row>
    <row r="32" spans="1:25" ht="12.75" customHeight="1" x14ac:dyDescent="0.25">
      <c r="A32" s="267" t="s">
        <v>50</v>
      </c>
      <c r="B32" s="276">
        <f>(0.6*B29+0.6*H16)</f>
        <v>-29.836508294816902</v>
      </c>
      <c r="C32" s="265" t="s">
        <v>51</v>
      </c>
      <c r="D32" s="265"/>
      <c r="E32" s="265"/>
      <c r="F32" s="265"/>
      <c r="G32" s="267" t="s">
        <v>50</v>
      </c>
      <c r="H32" s="276">
        <f>H29+0.6*H16</f>
        <v>-20.88555580637183</v>
      </c>
      <c r="I32" s="264"/>
      <c r="K32" s="258"/>
      <c r="L32" s="305" t="s">
        <v>387</v>
      </c>
      <c r="M32" s="304">
        <v>100</v>
      </c>
      <c r="N32" s="303">
        <f>IF((B10/B11)&lt;=0.5,
T38,IF(AND(0.5&lt;(B10/B11),
(Loading!B10/Loading!B11)&lt;0.9),
Loading!T35,IF(AND((Loading!B10/Loading!B11)&gt;=0.9,
(Loading!B10/Loading!B11)&lt;=1),
Loading!T32,"Retry")))</f>
        <v>-0.63947396557254355</v>
      </c>
      <c r="R32" s="288"/>
      <c r="S32" s="302"/>
      <c r="T32" s="288">
        <f>-((41.712*0.5)/18.706)</f>
        <v>-1.1149363840478992</v>
      </c>
      <c r="U32" s="288"/>
      <c r="V32" s="288" t="s">
        <v>376</v>
      </c>
      <c r="W32" s="258"/>
      <c r="X32" s="258"/>
      <c r="Y32" s="258"/>
    </row>
    <row r="33" spans="1:25" ht="12.75" customHeight="1" x14ac:dyDescent="0.25">
      <c r="A33" s="275"/>
      <c r="B33" s="260"/>
      <c r="C33" s="260"/>
      <c r="D33" s="260"/>
      <c r="E33" s="260"/>
      <c r="F33" s="260"/>
      <c r="G33" s="260"/>
      <c r="H33" s="260"/>
      <c r="I33" s="259"/>
      <c r="K33" s="258"/>
      <c r="L33" s="305" t="s">
        <v>386</v>
      </c>
      <c r="M33" s="304">
        <f>B23</f>
        <v>10</v>
      </c>
      <c r="N33" s="303">
        <f>N32-(M32-M33)*(N32-N34)/(M32-M34)</f>
        <v>-0.87904950283331551</v>
      </c>
      <c r="R33" s="288"/>
      <c r="S33" s="302"/>
      <c r="T33" s="288"/>
      <c r="U33" s="288"/>
      <c r="V33" s="288"/>
      <c r="W33" s="258"/>
      <c r="X33" s="258"/>
      <c r="Y33" s="258"/>
    </row>
    <row r="34" spans="1:25" ht="13.5" customHeight="1" thickBot="1" x14ac:dyDescent="0.3">
      <c r="K34" s="258"/>
      <c r="L34" s="301" t="s">
        <v>385</v>
      </c>
      <c r="M34" s="300">
        <v>10</v>
      </c>
      <c r="N34" s="299">
        <f>IF((B10/B11)&lt;=0.5,
T37,IF(AND(0.5&lt;(B10/B11),
(Loading!B10/Loading!B11)&lt;0.9),
Loading!T34,IF(AND((Loading!B10/Loading!B11)&gt;=0.9,
(Loading!B10/Loading!B11)&lt;=1),
Loading!T31,"Retry")))</f>
        <v>-0.87904950283331551</v>
      </c>
      <c r="R34" s="288"/>
      <c r="S34" s="298" t="s">
        <v>384</v>
      </c>
      <c r="T34" s="288">
        <f>-(32.887*0.5)/18.706</f>
        <v>-0.87904950283331551</v>
      </c>
      <c r="U34" s="288"/>
      <c r="V34" s="288" t="s">
        <v>379</v>
      </c>
      <c r="W34" s="258"/>
      <c r="X34" s="258"/>
      <c r="Y34" s="258"/>
    </row>
    <row r="35" spans="1:25" ht="15.75" x14ac:dyDescent="0.25">
      <c r="A35" s="531" t="s">
        <v>61</v>
      </c>
      <c r="B35" s="532"/>
      <c r="C35" s="532"/>
      <c r="D35" s="532"/>
      <c r="E35" s="532"/>
      <c r="F35" s="532"/>
      <c r="G35" s="532"/>
      <c r="H35" s="532"/>
      <c r="I35" s="533"/>
      <c r="K35" s="258"/>
      <c r="R35" s="288"/>
      <c r="S35" s="288"/>
      <c r="T35" s="288">
        <f>-(23.924*0.5)/18.706</f>
        <v>-0.63947396557254355</v>
      </c>
      <c r="U35" s="288"/>
      <c r="V35" s="288" t="s">
        <v>376</v>
      </c>
      <c r="W35" s="258"/>
      <c r="X35" s="258"/>
      <c r="Y35" s="258"/>
    </row>
    <row r="36" spans="1:25" ht="15" x14ac:dyDescent="0.25">
      <c r="A36" s="278"/>
      <c r="B36" s="255"/>
      <c r="C36" s="255"/>
      <c r="D36" s="255"/>
      <c r="E36" s="255"/>
      <c r="F36" s="255"/>
      <c r="G36" s="255"/>
      <c r="H36" s="255"/>
      <c r="I36" s="264"/>
      <c r="K36" s="258"/>
      <c r="L36" s="288"/>
      <c r="M36" s="288"/>
      <c r="N36" s="297" t="s">
        <v>383</v>
      </c>
      <c r="O36" s="288"/>
      <c r="P36" s="288"/>
      <c r="Q36" s="288"/>
      <c r="R36" s="21"/>
      <c r="S36" s="288"/>
      <c r="T36" s="288"/>
      <c r="U36" s="288"/>
      <c r="V36" s="288"/>
      <c r="W36" s="258"/>
      <c r="X36" s="258"/>
      <c r="Y36" s="258"/>
    </row>
    <row r="37" spans="1:25" ht="15" x14ac:dyDescent="0.25">
      <c r="A37" s="270" t="s">
        <v>62</v>
      </c>
      <c r="B37" s="295">
        <v>12</v>
      </c>
      <c r="C37" s="268" t="s">
        <v>382</v>
      </c>
      <c r="D37" s="255"/>
      <c r="E37" s="255"/>
      <c r="F37" s="255"/>
      <c r="G37" s="255"/>
      <c r="H37" s="255"/>
      <c r="I37" s="264"/>
      <c r="K37" s="258"/>
      <c r="L37" s="288"/>
      <c r="M37" s="529" t="s">
        <v>381</v>
      </c>
      <c r="N37" s="529"/>
      <c r="O37" s="529"/>
      <c r="P37" s="288"/>
      <c r="Q37" s="288"/>
      <c r="R37" s="21"/>
      <c r="S37" s="296" t="s">
        <v>380</v>
      </c>
      <c r="T37" s="288">
        <f>-(20.876*0.5)/18.706</f>
        <v>-0.55800277985673052</v>
      </c>
      <c r="U37" s="288"/>
      <c r="V37" s="288" t="s">
        <v>379</v>
      </c>
      <c r="X37" s="288"/>
      <c r="Y37" s="258"/>
    </row>
    <row r="38" spans="1:25" ht="15" x14ac:dyDescent="0.25">
      <c r="A38" s="270" t="s">
        <v>63</v>
      </c>
      <c r="B38" s="295">
        <v>14</v>
      </c>
      <c r="C38" s="268" t="s">
        <v>378</v>
      </c>
      <c r="D38" s="255"/>
      <c r="E38" s="255"/>
      <c r="F38" s="255"/>
      <c r="G38" s="255"/>
      <c r="H38" s="255"/>
      <c r="I38" s="264"/>
      <c r="K38" s="258"/>
      <c r="L38" s="288" t="s">
        <v>377</v>
      </c>
      <c r="M38" s="288">
        <f>IF(OR(B23&lt;10,B23=10),T24,IF(AND(B23&gt;10,B23&lt;100),N26,IF(AND(OR(B23&gt;100,B23=100),OR(B23&lt;1000,B23=1000)),T25,"Retry")))</f>
        <v>0.88035924302362878</v>
      </c>
      <c r="N38" s="288"/>
      <c r="O38" s="288"/>
      <c r="P38" s="288"/>
      <c r="Q38" s="288"/>
      <c r="R38" s="21"/>
      <c r="S38" s="288"/>
      <c r="T38" s="288">
        <f>-(17.336*0.5)/18.706</f>
        <v>-0.46338073345450653</v>
      </c>
      <c r="U38" s="288"/>
      <c r="V38" s="288" t="s">
        <v>376</v>
      </c>
      <c r="X38" s="288"/>
      <c r="Y38" s="258"/>
    </row>
    <row r="39" spans="1:25" ht="15" x14ac:dyDescent="0.25">
      <c r="A39" s="270" t="s">
        <v>41</v>
      </c>
      <c r="B39" s="294">
        <f>B37*B38</f>
        <v>168</v>
      </c>
      <c r="C39" s="268" t="s">
        <v>375</v>
      </c>
      <c r="D39" s="255"/>
      <c r="E39" s="255"/>
      <c r="F39" s="285"/>
      <c r="G39" s="285"/>
      <c r="H39" s="255"/>
      <c r="I39" s="264"/>
      <c r="K39" s="258"/>
      <c r="L39" s="288" t="s">
        <v>374</v>
      </c>
      <c r="M39" s="288">
        <f>IF(OR($B$23&lt;10,$B$23=10),T31,IF(AND($B$23&gt;10,$B$23&lt;100),N33,IF(AND(OR($B$23&gt;100,$B$23=100),OR($B$23&lt;1000,$B$23=1000)),T32,"Retry")))</f>
        <v>-1.3561691435902921</v>
      </c>
      <c r="N39" s="288">
        <f>IF(OR($B$23&lt;10,$B$23=10),T34,IF(AND($B$23&gt;10,$B$23&lt;100),N33,IF(AND(OR($B$23&gt;100,$B$23=100),OR($B$23&lt;1000,$B$23=1000)),T35,"Retry")))</f>
        <v>-0.87904950283331551</v>
      </c>
      <c r="O39" s="288">
        <f>IF(OR($B$23&lt;10,$B$23=10),T37,IF(AND($B$23&gt;10,$B$23&lt;100),N33,IF(AND(OR($B$23&gt;100,$B$23=100),OR($B$23&lt;1000,$B$23=1000)),T38,"Retry")))</f>
        <v>-0.55800277985673052</v>
      </c>
      <c r="P39" s="288">
        <f>IF(N20&lt;=0.5,O39,IF(AND(N20&gt;0.5,N20&lt;0.9),N39,IF(AND(N20&gt;=0.9,N20&lt;=1),M39,IF(N20&gt;1,"Canopy Height above Eave","Retry"))))</f>
        <v>-0.87904950283331551</v>
      </c>
      <c r="Q39" s="288"/>
      <c r="R39" s="21"/>
      <c r="X39" s="288"/>
      <c r="Y39" s="258"/>
    </row>
    <row r="40" spans="1:25" ht="15" x14ac:dyDescent="0.25">
      <c r="A40" s="278"/>
      <c r="B40" s="255"/>
      <c r="C40" s="255"/>
      <c r="D40" s="255"/>
      <c r="E40" s="255"/>
      <c r="F40" s="255"/>
      <c r="G40" s="255"/>
      <c r="H40" s="255"/>
      <c r="I40" s="264"/>
      <c r="K40" s="258"/>
      <c r="L40" s="288"/>
      <c r="M40" s="293" t="s">
        <v>373</v>
      </c>
      <c r="N40" s="293" t="s">
        <v>372</v>
      </c>
      <c r="O40" s="292" t="s">
        <v>371</v>
      </c>
      <c r="Q40" s="288"/>
      <c r="R40" s="21"/>
      <c r="X40" s="288"/>
      <c r="Y40" s="258"/>
    </row>
    <row r="41" spans="1:25" ht="13.5" customHeight="1" x14ac:dyDescent="0.3">
      <c r="A41" s="271" t="s">
        <v>370</v>
      </c>
      <c r="B41" s="280">
        <f>Loading!M38</f>
        <v>0.88035924302362878</v>
      </c>
      <c r="C41" s="291" t="s">
        <v>369</v>
      </c>
      <c r="D41" s="255"/>
      <c r="E41" s="255"/>
      <c r="F41" s="255"/>
      <c r="G41" s="255"/>
      <c r="H41" s="255"/>
      <c r="I41" s="264"/>
      <c r="K41" s="258"/>
      <c r="L41" s="258"/>
      <c r="M41" s="258"/>
      <c r="N41" s="258"/>
      <c r="O41" s="258"/>
      <c r="P41" s="258"/>
      <c r="Q41" s="258"/>
      <c r="R41" s="21"/>
      <c r="X41" s="288"/>
      <c r="Y41" s="258"/>
    </row>
    <row r="42" spans="1:25" ht="13.5" customHeight="1" x14ac:dyDescent="0.3">
      <c r="A42" s="271" t="s">
        <v>368</v>
      </c>
      <c r="B42" s="280">
        <f>Loading!P39</f>
        <v>-0.87904950283331551</v>
      </c>
      <c r="C42" s="291" t="s">
        <v>367</v>
      </c>
      <c r="D42" s="255"/>
      <c r="E42" s="255"/>
      <c r="F42" s="255"/>
      <c r="G42" s="255"/>
      <c r="H42" s="255"/>
      <c r="I42" s="264"/>
      <c r="K42" s="258"/>
      <c r="L42" s="258"/>
      <c r="M42" s="258"/>
      <c r="N42" s="258"/>
      <c r="O42" s="258"/>
      <c r="P42" s="258"/>
      <c r="Q42" s="258"/>
      <c r="R42" s="21"/>
      <c r="X42" s="288"/>
      <c r="Y42" s="258"/>
    </row>
    <row r="43" spans="1:25" ht="12.75" customHeight="1" x14ac:dyDescent="0.3">
      <c r="A43" s="271" t="s">
        <v>366</v>
      </c>
      <c r="B43" s="279">
        <f xml:space="preserve"> 0.00256*B14*B15*B13*B16*B12^2</f>
        <v>56.569639894471472</v>
      </c>
      <c r="C43" s="268" t="s">
        <v>43</v>
      </c>
      <c r="D43" s="255"/>
      <c r="E43" s="255"/>
      <c r="F43" s="255"/>
      <c r="G43" s="278" t="s">
        <v>44</v>
      </c>
      <c r="H43" s="255"/>
      <c r="I43" s="264"/>
      <c r="K43" s="258"/>
      <c r="L43" s="258"/>
      <c r="M43" s="258"/>
      <c r="N43" s="258"/>
      <c r="O43" s="258"/>
      <c r="P43" s="258"/>
      <c r="Q43" s="258"/>
      <c r="R43" s="21"/>
      <c r="X43" s="288"/>
      <c r="Y43" s="258"/>
    </row>
    <row r="44" spans="1:25" ht="12.75" customHeight="1" x14ac:dyDescent="0.3">
      <c r="A44" s="271" t="s">
        <v>365</v>
      </c>
      <c r="B44" s="279">
        <f>B43*B41</f>
        <v>49.801605355616175</v>
      </c>
      <c r="C44" s="268" t="s">
        <v>45</v>
      </c>
      <c r="D44" s="255"/>
      <c r="E44" s="255"/>
      <c r="F44" s="255"/>
      <c r="G44" s="271" t="s">
        <v>364</v>
      </c>
      <c r="H44" s="279">
        <f>0.42*B44</f>
        <v>20.916674249358792</v>
      </c>
      <c r="I44" s="290" t="s">
        <v>46</v>
      </c>
      <c r="K44" s="258"/>
      <c r="Q44" s="258"/>
      <c r="R44" s="21"/>
      <c r="X44" s="288"/>
      <c r="Y44" s="258"/>
    </row>
    <row r="45" spans="1:25" ht="12.75" customHeight="1" x14ac:dyDescent="0.3">
      <c r="A45" s="271" t="s">
        <v>363</v>
      </c>
      <c r="B45" s="279">
        <f>B43*B42</f>
        <v>-49.727513824694839</v>
      </c>
      <c r="C45" s="268" t="s">
        <v>47</v>
      </c>
      <c r="D45" s="255"/>
      <c r="E45" s="255"/>
      <c r="F45" s="255"/>
      <c r="G45" s="271" t="s">
        <v>362</v>
      </c>
      <c r="H45" s="279">
        <f>0.42*B45</f>
        <v>-20.88555580637183</v>
      </c>
      <c r="I45" s="290" t="s">
        <v>48</v>
      </c>
      <c r="K45" s="258"/>
      <c r="Q45" s="258"/>
      <c r="R45" s="21"/>
      <c r="X45" s="288"/>
      <c r="Y45" s="258"/>
    </row>
    <row r="46" spans="1:25" x14ac:dyDescent="0.2">
      <c r="A46" s="270"/>
      <c r="B46" s="279"/>
      <c r="C46" s="268"/>
      <c r="D46" s="255"/>
      <c r="E46" s="255"/>
      <c r="F46" s="255"/>
      <c r="G46" s="278"/>
      <c r="H46" s="255"/>
      <c r="I46" s="264"/>
      <c r="K46" s="258"/>
      <c r="Q46" s="258"/>
      <c r="R46" s="21"/>
      <c r="S46" s="258"/>
      <c r="T46" s="258"/>
      <c r="U46" s="258"/>
      <c r="V46" s="258"/>
      <c r="W46" s="258"/>
      <c r="X46" s="258"/>
      <c r="Y46" s="258"/>
    </row>
    <row r="47" spans="1:25" x14ac:dyDescent="0.2">
      <c r="A47" s="267" t="s">
        <v>49</v>
      </c>
      <c r="B47" s="276">
        <f>MAX(0.45*B44+0.75*H14+H16, H14+H16, 0.6*B44+H16)</f>
        <v>29.880963213369704</v>
      </c>
      <c r="C47" s="277" t="str">
        <f>IF(B47=0.45*B44+0.75*H14+H16, "Critical Positive DP, 0.45*WLp+0.75*LL+DL", IF(B47=H14+H16, "Critical Positive DP, LL+DL", "Critical Positive DP, 0.6*WLp+DL"))</f>
        <v>Critical Positive DP, 0.6*WLp+DL</v>
      </c>
      <c r="D47" s="265"/>
      <c r="E47" s="265"/>
      <c r="F47" s="265"/>
      <c r="G47" s="267" t="s">
        <v>49</v>
      </c>
      <c r="H47" s="276">
        <f>MAX(0.45*H44+0.75*H14+H16, H14+H16, H44+H16)</f>
        <v>20.916674249358792</v>
      </c>
      <c r="I47" s="264"/>
      <c r="K47" s="258"/>
      <c r="L47" s="258"/>
      <c r="M47" s="258"/>
      <c r="Q47" s="258"/>
      <c r="R47" s="21"/>
      <c r="S47" s="258"/>
      <c r="T47" s="258"/>
      <c r="U47" s="258"/>
      <c r="V47" s="258"/>
      <c r="W47" s="258"/>
      <c r="X47" s="258"/>
      <c r="Y47" s="258"/>
    </row>
    <row r="48" spans="1:25" x14ac:dyDescent="0.2">
      <c r="A48" s="267" t="s">
        <v>50</v>
      </c>
      <c r="B48" s="276">
        <f>0.6*B45+0.6*H16</f>
        <v>-29.836508294816902</v>
      </c>
      <c r="C48" s="265" t="s">
        <v>51</v>
      </c>
      <c r="D48" s="265"/>
      <c r="E48" s="265"/>
      <c r="F48" s="265"/>
      <c r="G48" s="267" t="s">
        <v>50</v>
      </c>
      <c r="H48" s="276">
        <f>H45+0.6*H16</f>
        <v>-20.88555580637183</v>
      </c>
      <c r="I48" s="264"/>
      <c r="K48" s="258"/>
      <c r="L48" s="258"/>
      <c r="M48" s="258"/>
      <c r="Q48" s="258"/>
      <c r="R48" s="21"/>
      <c r="S48" s="258"/>
      <c r="T48" s="258"/>
      <c r="X48" s="258"/>
      <c r="Y48" s="258"/>
    </row>
    <row r="49" spans="1:25" x14ac:dyDescent="0.2">
      <c r="A49" s="275"/>
      <c r="B49" s="260"/>
      <c r="C49" s="260"/>
      <c r="D49" s="260"/>
      <c r="E49" s="260"/>
      <c r="F49" s="260"/>
      <c r="G49" s="260"/>
      <c r="H49" s="260"/>
      <c r="I49" s="259"/>
      <c r="K49" s="258"/>
      <c r="L49" s="258"/>
      <c r="M49" s="258"/>
      <c r="Q49" s="258"/>
      <c r="R49" s="21"/>
      <c r="S49" s="258"/>
      <c r="T49" s="258"/>
      <c r="X49" s="258"/>
      <c r="Y49" s="258"/>
    </row>
    <row r="50" spans="1:25" ht="15" x14ac:dyDescent="0.25">
      <c r="K50" s="258"/>
      <c r="L50" s="258"/>
      <c r="M50" s="258"/>
      <c r="N50" s="288"/>
      <c r="O50" s="288"/>
      <c r="P50" s="288"/>
      <c r="Q50" s="258"/>
      <c r="R50" s="21"/>
      <c r="S50" s="258"/>
      <c r="T50" s="258"/>
      <c r="X50" s="258"/>
      <c r="Y50" s="258"/>
    </row>
    <row r="51" spans="1:25" ht="15.75" x14ac:dyDescent="0.25">
      <c r="A51" s="531" t="s">
        <v>361</v>
      </c>
      <c r="B51" s="534"/>
      <c r="C51" s="534"/>
      <c r="D51" s="534"/>
      <c r="E51" s="534"/>
      <c r="F51" s="534"/>
      <c r="G51" s="534"/>
      <c r="H51" s="534"/>
      <c r="I51" s="535"/>
      <c r="K51" s="258"/>
      <c r="L51" s="258"/>
      <c r="M51" s="258"/>
      <c r="N51" s="288"/>
      <c r="O51" s="288"/>
      <c r="P51" s="288"/>
      <c r="Q51" s="258"/>
      <c r="R51" s="21"/>
      <c r="S51" s="258"/>
      <c r="T51" s="258"/>
      <c r="U51" s="258"/>
      <c r="V51" s="258"/>
      <c r="W51" s="258"/>
      <c r="X51" s="258"/>
      <c r="Y51" s="258"/>
    </row>
    <row r="52" spans="1:25" ht="15" x14ac:dyDescent="0.25">
      <c r="A52" s="537"/>
      <c r="B52" s="538"/>
      <c r="C52" s="538"/>
      <c r="D52" s="538"/>
      <c r="E52" s="538"/>
      <c r="F52" s="538"/>
      <c r="G52" s="538"/>
      <c r="H52" s="538"/>
      <c r="I52" s="539"/>
      <c r="K52" s="258"/>
      <c r="L52" s="258"/>
      <c r="M52" s="258"/>
      <c r="N52" s="289"/>
      <c r="O52" s="288"/>
      <c r="P52" s="288"/>
      <c r="Q52" s="258"/>
      <c r="R52" s="21"/>
      <c r="S52" s="258"/>
      <c r="T52" s="258"/>
      <c r="U52" s="258"/>
      <c r="V52" s="258"/>
      <c r="W52" s="258"/>
      <c r="X52" s="258"/>
      <c r="Y52" s="258"/>
    </row>
    <row r="53" spans="1:25" x14ac:dyDescent="0.2">
      <c r="A53" s="278"/>
      <c r="B53" s="255"/>
      <c r="C53" s="255"/>
      <c r="D53" s="255"/>
      <c r="E53" s="255"/>
      <c r="F53" s="255"/>
      <c r="G53" s="255"/>
      <c r="H53" s="255"/>
      <c r="I53" s="264"/>
      <c r="K53" s="286"/>
      <c r="L53" s="287"/>
      <c r="M53" s="286"/>
      <c r="Q53" s="286"/>
      <c r="R53" s="21"/>
      <c r="S53" s="286"/>
      <c r="T53" s="287"/>
      <c r="U53" s="286"/>
      <c r="V53" s="286"/>
      <c r="W53" s="286"/>
      <c r="X53" s="286"/>
      <c r="Y53" s="286"/>
    </row>
    <row r="54" spans="1:25" x14ac:dyDescent="0.2">
      <c r="A54" s="282"/>
      <c r="B54" s="255"/>
      <c r="C54" s="255"/>
      <c r="D54" s="255"/>
      <c r="E54" s="255"/>
      <c r="F54" s="285"/>
      <c r="G54" s="255"/>
      <c r="H54" s="255"/>
      <c r="I54" s="264"/>
      <c r="K54" s="258"/>
      <c r="L54" s="258"/>
      <c r="M54" s="258"/>
      <c r="Q54" s="258"/>
      <c r="R54" s="21"/>
      <c r="S54" s="21"/>
      <c r="T54" s="21"/>
      <c r="U54" s="21"/>
      <c r="V54" s="21"/>
      <c r="W54" s="21"/>
      <c r="X54" s="21"/>
      <c r="Y54" s="21"/>
    </row>
    <row r="55" spans="1:25" x14ac:dyDescent="0.2">
      <c r="A55" s="270"/>
      <c r="B55" s="280"/>
      <c r="C55" s="255"/>
      <c r="D55" s="255"/>
      <c r="E55" s="255"/>
      <c r="F55" s="281"/>
      <c r="G55" s="280"/>
      <c r="H55" s="255"/>
      <c r="I55" s="264"/>
      <c r="K55" s="21"/>
      <c r="L55" s="21"/>
      <c r="M55" s="21"/>
      <c r="Q55" s="21"/>
      <c r="R55" s="21"/>
      <c r="S55" s="21"/>
      <c r="T55" s="21"/>
      <c r="U55" s="21"/>
      <c r="V55" s="21"/>
      <c r="W55" s="21"/>
      <c r="X55" s="21"/>
      <c r="Y55" s="21"/>
    </row>
    <row r="56" spans="1:25" x14ac:dyDescent="0.2">
      <c r="A56" s="270"/>
      <c r="B56" s="280"/>
      <c r="C56" s="255"/>
      <c r="D56" s="255"/>
      <c r="E56" s="255"/>
      <c r="F56" s="281"/>
      <c r="G56" s="280"/>
      <c r="H56" s="255"/>
      <c r="I56" s="264"/>
      <c r="K56" s="21"/>
      <c r="L56" s="21"/>
      <c r="M56" s="21"/>
      <c r="Q56" s="21"/>
      <c r="R56" s="21"/>
      <c r="S56" s="21"/>
      <c r="T56" s="21"/>
      <c r="U56" s="21"/>
      <c r="V56" s="21"/>
      <c r="W56" s="21"/>
      <c r="X56" s="21"/>
      <c r="Y56" s="21"/>
    </row>
    <row r="57" spans="1:25" x14ac:dyDescent="0.2">
      <c r="A57" s="270"/>
      <c r="B57" s="280"/>
      <c r="C57" s="255"/>
      <c r="D57" s="255"/>
      <c r="E57" s="255"/>
      <c r="F57" s="281"/>
      <c r="G57" s="280"/>
      <c r="H57" s="255"/>
      <c r="I57" s="264"/>
      <c r="K57" s="21"/>
      <c r="L57" s="284"/>
      <c r="M57" s="21"/>
      <c r="Q57" s="21"/>
      <c r="R57" s="21"/>
      <c r="S57" s="21"/>
      <c r="T57" s="21"/>
      <c r="U57" s="21"/>
      <c r="V57" s="21"/>
      <c r="W57" s="21"/>
      <c r="X57" s="21"/>
      <c r="Y57" s="21"/>
    </row>
    <row r="58" spans="1:25" x14ac:dyDescent="0.2">
      <c r="A58" s="270"/>
      <c r="B58" s="280"/>
      <c r="C58" s="255"/>
      <c r="D58" s="255"/>
      <c r="E58" s="255"/>
      <c r="F58" s="281"/>
      <c r="G58" s="280"/>
      <c r="H58" s="255"/>
      <c r="I58" s="264"/>
      <c r="K58" s="21"/>
      <c r="L58" s="284"/>
      <c r="M58" s="21"/>
      <c r="N58" s="21"/>
      <c r="O58" s="21"/>
      <c r="P58" s="21"/>
      <c r="Q58" s="21"/>
      <c r="R58" s="21"/>
      <c r="S58" s="21"/>
      <c r="T58" s="21"/>
      <c r="U58" s="21"/>
      <c r="V58" s="21"/>
      <c r="W58" s="21"/>
      <c r="X58" s="21"/>
      <c r="Y58" s="21"/>
    </row>
    <row r="59" spans="1:25" x14ac:dyDescent="0.2">
      <c r="A59" s="278"/>
      <c r="B59" s="255"/>
      <c r="C59" s="255"/>
      <c r="D59" s="255"/>
      <c r="E59" s="255"/>
      <c r="F59" s="255"/>
      <c r="G59" s="255"/>
      <c r="H59" s="255"/>
      <c r="I59" s="264"/>
      <c r="K59" s="21"/>
      <c r="L59" s="536"/>
      <c r="M59" s="536"/>
      <c r="N59" s="536"/>
      <c r="O59" s="536"/>
      <c r="P59" s="536"/>
      <c r="Q59" s="536"/>
      <c r="R59" s="536"/>
      <c r="S59" s="536"/>
      <c r="T59" s="536"/>
      <c r="U59" s="536"/>
      <c r="V59" s="21"/>
      <c r="W59" s="283"/>
      <c r="X59" s="21"/>
      <c r="Y59" s="21"/>
    </row>
    <row r="60" spans="1:25" x14ac:dyDescent="0.2">
      <c r="A60" s="282"/>
      <c r="G60" s="255"/>
      <c r="H60" s="255"/>
      <c r="I60" s="264"/>
      <c r="K60" s="21"/>
      <c r="L60" s="536"/>
      <c r="M60" s="536"/>
      <c r="N60" s="536"/>
      <c r="O60" s="536"/>
      <c r="P60" s="536"/>
      <c r="Q60" s="536"/>
      <c r="R60" s="536"/>
      <c r="S60" s="536"/>
      <c r="T60" s="536"/>
      <c r="U60" s="536"/>
      <c r="V60" s="21"/>
      <c r="W60" s="536"/>
      <c r="X60" s="536"/>
      <c r="Y60" s="536"/>
    </row>
    <row r="61" spans="1:25" x14ac:dyDescent="0.2">
      <c r="A61" s="270"/>
      <c r="B61" s="269"/>
      <c r="C61" s="255"/>
      <c r="D61" s="255"/>
      <c r="E61" s="255"/>
      <c r="F61" s="281"/>
      <c r="G61" s="269"/>
      <c r="H61" s="255"/>
      <c r="I61" s="264"/>
      <c r="K61" s="21"/>
      <c r="L61" s="536"/>
      <c r="M61" s="536"/>
      <c r="S61" s="257"/>
      <c r="T61" s="257"/>
      <c r="U61" s="257"/>
      <c r="V61" s="21"/>
      <c r="W61" s="536"/>
      <c r="X61" s="536"/>
      <c r="Y61" s="536"/>
    </row>
    <row r="62" spans="1:25" x14ac:dyDescent="0.2">
      <c r="A62" s="278"/>
      <c r="B62" s="255"/>
      <c r="C62" s="255"/>
      <c r="D62" s="255"/>
      <c r="E62" s="255"/>
      <c r="F62" s="255"/>
      <c r="G62" s="255"/>
      <c r="H62" s="255"/>
      <c r="I62" s="264"/>
      <c r="K62" s="258"/>
      <c r="L62" s="257"/>
      <c r="M62" s="257"/>
      <c r="S62" s="257"/>
      <c r="T62" s="257"/>
      <c r="U62" s="257"/>
      <c r="V62" s="21"/>
      <c r="W62" s="258"/>
      <c r="X62" s="258"/>
      <c r="Y62" s="258"/>
    </row>
    <row r="63" spans="1:25" x14ac:dyDescent="0.2">
      <c r="A63" s="270"/>
      <c r="B63" s="280"/>
      <c r="C63" s="268"/>
      <c r="D63" s="255"/>
      <c r="E63" s="255"/>
      <c r="F63" s="255"/>
      <c r="G63" s="255"/>
      <c r="H63" s="255"/>
      <c r="I63" s="264"/>
      <c r="K63" s="258"/>
      <c r="L63" s="257"/>
      <c r="M63" s="257"/>
      <c r="S63" s="257"/>
      <c r="T63" s="257"/>
      <c r="U63" s="257"/>
      <c r="V63" s="21"/>
      <c r="W63" s="258"/>
      <c r="X63" s="258"/>
      <c r="Y63" s="258"/>
    </row>
    <row r="64" spans="1:25" x14ac:dyDescent="0.2">
      <c r="A64" s="270"/>
      <c r="B64" s="280"/>
      <c r="C64" s="268"/>
      <c r="D64" s="255"/>
      <c r="E64" s="255"/>
      <c r="F64" s="255"/>
      <c r="G64" s="255"/>
      <c r="H64" s="255"/>
      <c r="I64" s="264"/>
      <c r="K64" s="258"/>
      <c r="L64" s="257"/>
      <c r="M64" s="257"/>
      <c r="N64" s="257"/>
      <c r="O64" s="257"/>
      <c r="P64" s="257"/>
      <c r="Q64" s="257"/>
      <c r="R64" s="257"/>
      <c r="S64" s="257"/>
      <c r="T64" s="257"/>
      <c r="U64" s="257"/>
      <c r="V64" s="21"/>
      <c r="W64" s="21"/>
      <c r="X64" s="21"/>
      <c r="Y64" s="21"/>
    </row>
    <row r="65" spans="1:25" x14ac:dyDescent="0.2">
      <c r="A65" s="278"/>
      <c r="B65" s="255"/>
      <c r="C65" s="255"/>
      <c r="D65" s="255"/>
      <c r="E65" s="255"/>
      <c r="F65" s="255"/>
      <c r="G65" s="255"/>
      <c r="H65" s="255"/>
      <c r="I65" s="264"/>
      <c r="K65" s="258"/>
      <c r="L65" s="257"/>
      <c r="M65" s="257"/>
      <c r="N65" s="257"/>
      <c r="O65" s="257"/>
      <c r="P65" s="257"/>
      <c r="Q65" s="257"/>
      <c r="R65" s="257"/>
      <c r="S65" s="257"/>
      <c r="T65" s="257"/>
      <c r="U65" s="257"/>
      <c r="V65" s="21"/>
      <c r="W65" s="21"/>
      <c r="X65" s="21"/>
      <c r="Y65" s="21"/>
    </row>
    <row r="66" spans="1:25" x14ac:dyDescent="0.2">
      <c r="A66" s="270"/>
      <c r="B66" s="279"/>
      <c r="C66" s="268"/>
      <c r="D66" s="255"/>
      <c r="E66" s="255"/>
      <c r="F66" s="255"/>
      <c r="G66" s="255"/>
      <c r="H66" s="255"/>
      <c r="I66" s="264"/>
      <c r="K66" s="258"/>
      <c r="L66" s="258"/>
      <c r="M66" s="257"/>
      <c r="N66" s="258"/>
      <c r="O66" s="258"/>
      <c r="P66" s="258"/>
      <c r="Q66" s="258"/>
      <c r="R66" s="258"/>
      <c r="S66" s="258"/>
      <c r="T66" s="258"/>
      <c r="U66" s="258"/>
      <c r="V66" s="21"/>
      <c r="W66" s="21"/>
      <c r="X66" s="21"/>
      <c r="Y66" s="21"/>
    </row>
    <row r="67" spans="1:25" x14ac:dyDescent="0.2">
      <c r="A67" s="270"/>
      <c r="B67" s="279"/>
      <c r="C67" s="268"/>
      <c r="D67" s="255"/>
      <c r="E67" s="255"/>
      <c r="F67" s="255"/>
      <c r="G67" s="255"/>
      <c r="H67" s="255"/>
      <c r="I67" s="264"/>
      <c r="K67" s="258"/>
      <c r="L67" s="258"/>
      <c r="M67" s="257"/>
      <c r="N67" s="258"/>
      <c r="O67" s="258"/>
      <c r="P67" s="258"/>
      <c r="Q67" s="258"/>
      <c r="R67" s="258"/>
      <c r="S67" s="258"/>
      <c r="T67" s="258"/>
      <c r="U67" s="258"/>
      <c r="V67" s="21"/>
      <c r="W67" s="21"/>
      <c r="X67" s="21"/>
      <c r="Y67" s="21"/>
    </row>
    <row r="68" spans="1:25" x14ac:dyDescent="0.2">
      <c r="A68" s="278"/>
      <c r="B68" s="255"/>
      <c r="C68" s="255"/>
      <c r="D68" s="255"/>
      <c r="E68" s="255"/>
      <c r="F68" s="255"/>
      <c r="G68" s="255"/>
      <c r="H68" s="255"/>
      <c r="I68" s="264"/>
      <c r="K68" s="258"/>
      <c r="L68" s="257"/>
      <c r="M68" s="257"/>
      <c r="N68" s="257"/>
      <c r="O68" s="257"/>
      <c r="P68" s="257"/>
      <c r="Q68" s="257"/>
      <c r="R68" s="257"/>
      <c r="S68" s="257"/>
      <c r="T68" s="257"/>
      <c r="U68" s="257"/>
      <c r="V68" s="21"/>
      <c r="W68" s="21"/>
      <c r="X68" s="21"/>
      <c r="Y68" s="21"/>
    </row>
    <row r="69" spans="1:25" x14ac:dyDescent="0.2">
      <c r="A69" s="267"/>
      <c r="B69" s="276"/>
      <c r="C69" s="277"/>
      <c r="D69" s="255"/>
      <c r="E69" s="255"/>
      <c r="F69" s="255"/>
      <c r="G69" s="255"/>
      <c r="H69" s="255"/>
      <c r="I69" s="264"/>
      <c r="K69" s="258"/>
      <c r="L69" s="257"/>
      <c r="M69" s="257"/>
      <c r="N69" s="257"/>
      <c r="O69" s="257"/>
      <c r="P69" s="257"/>
      <c r="Q69" s="257"/>
      <c r="R69" s="257"/>
      <c r="S69" s="257"/>
      <c r="T69" s="257"/>
      <c r="U69" s="257"/>
      <c r="V69" s="21"/>
      <c r="W69" s="21"/>
      <c r="X69" s="21"/>
      <c r="Y69" s="21"/>
    </row>
    <row r="70" spans="1:25" x14ac:dyDescent="0.2">
      <c r="A70" s="267"/>
      <c r="B70" s="276"/>
      <c r="C70" s="265"/>
      <c r="D70" s="255"/>
      <c r="E70" s="255"/>
      <c r="F70" s="255"/>
      <c r="G70" s="255"/>
      <c r="H70" s="255"/>
      <c r="I70" s="264"/>
      <c r="K70" s="258"/>
      <c r="L70" s="258"/>
      <c r="M70" s="257"/>
      <c r="N70" s="258"/>
      <c r="O70" s="258"/>
      <c r="P70" s="258"/>
      <c r="Q70" s="258"/>
      <c r="R70" s="258"/>
      <c r="S70" s="258"/>
      <c r="T70" s="258"/>
      <c r="U70" s="258"/>
      <c r="V70" s="21"/>
      <c r="W70" s="21"/>
      <c r="X70" s="21"/>
      <c r="Y70" s="21"/>
    </row>
    <row r="71" spans="1:25" x14ac:dyDescent="0.2">
      <c r="A71" s="275"/>
      <c r="B71" s="260"/>
      <c r="C71" s="260"/>
      <c r="D71" s="260"/>
      <c r="E71" s="260"/>
      <c r="F71" s="260"/>
      <c r="G71" s="260"/>
      <c r="H71" s="260"/>
      <c r="I71" s="259"/>
      <c r="K71" s="258"/>
      <c r="L71" s="258"/>
      <c r="M71" s="257"/>
      <c r="N71" s="258"/>
      <c r="O71" s="258"/>
      <c r="P71" s="258"/>
      <c r="Q71" s="258"/>
      <c r="R71" s="258"/>
      <c r="S71" s="258"/>
      <c r="T71" s="258"/>
      <c r="U71" s="258"/>
      <c r="V71" s="21"/>
      <c r="W71" s="21"/>
      <c r="X71" s="21"/>
      <c r="Y71" s="21"/>
    </row>
    <row r="72" spans="1:25" x14ac:dyDescent="0.2">
      <c r="K72" s="258"/>
      <c r="L72" s="257"/>
      <c r="M72" s="257"/>
      <c r="N72" s="257"/>
      <c r="O72" s="257"/>
      <c r="P72" s="257"/>
      <c r="Q72" s="257"/>
      <c r="R72" s="257"/>
      <c r="S72" s="257"/>
      <c r="T72" s="257"/>
      <c r="U72" s="257"/>
      <c r="V72" s="21"/>
      <c r="W72" s="21"/>
      <c r="X72" s="21"/>
      <c r="Y72" s="21"/>
    </row>
    <row r="73" spans="1:25" ht="15.75" x14ac:dyDescent="0.25">
      <c r="A73" s="531" t="s">
        <v>52</v>
      </c>
      <c r="B73" s="534"/>
      <c r="C73" s="534"/>
      <c r="D73" s="534"/>
      <c r="E73" s="534"/>
      <c r="F73" s="534"/>
      <c r="G73" s="534"/>
      <c r="H73" s="534"/>
      <c r="I73" s="535"/>
      <c r="K73" s="258"/>
      <c r="L73" s="257"/>
      <c r="M73" s="257"/>
      <c r="N73" s="257"/>
      <c r="O73" s="257"/>
      <c r="P73" s="257"/>
      <c r="Q73" s="257"/>
      <c r="R73" s="257"/>
      <c r="S73" s="257"/>
      <c r="T73" s="257"/>
      <c r="U73" s="257"/>
      <c r="V73" s="21"/>
      <c r="W73" s="21"/>
      <c r="X73" s="21"/>
      <c r="Y73" s="21"/>
    </row>
    <row r="74" spans="1:25" ht="12.75" customHeight="1" x14ac:dyDescent="0.25">
      <c r="A74" s="274"/>
      <c r="B74" s="273"/>
      <c r="C74" s="273"/>
      <c r="D74" s="273"/>
      <c r="E74" s="273"/>
      <c r="F74" s="273"/>
      <c r="G74" s="273"/>
      <c r="H74" s="273"/>
      <c r="I74" s="272"/>
      <c r="K74" s="258"/>
      <c r="L74" s="258"/>
      <c r="M74" s="257"/>
      <c r="N74" s="258"/>
      <c r="O74" s="258"/>
      <c r="P74" s="258"/>
      <c r="Q74" s="258"/>
      <c r="R74" s="258"/>
      <c r="S74" s="258"/>
      <c r="T74" s="258"/>
      <c r="U74" s="258"/>
      <c r="V74" s="21"/>
      <c r="W74" s="21"/>
      <c r="X74" s="21"/>
      <c r="Y74" s="21"/>
    </row>
    <row r="75" spans="1:25" ht="12.75" customHeight="1" x14ac:dyDescent="0.3">
      <c r="A75" s="271" t="s">
        <v>360</v>
      </c>
      <c r="B75" s="269">
        <v>1.5</v>
      </c>
      <c r="C75" s="268" t="s">
        <v>359</v>
      </c>
      <c r="D75" s="255"/>
      <c r="E75" s="255"/>
      <c r="F75" s="255"/>
      <c r="G75" s="255"/>
      <c r="H75" s="255"/>
      <c r="I75" s="264"/>
      <c r="K75" s="258"/>
      <c r="L75" s="258"/>
      <c r="M75" s="257"/>
      <c r="N75" s="258"/>
      <c r="O75" s="258"/>
      <c r="P75" s="258"/>
      <c r="Q75" s="258"/>
      <c r="R75" s="258"/>
      <c r="S75" s="258"/>
      <c r="T75" s="258"/>
      <c r="U75" s="258"/>
      <c r="V75" s="21"/>
      <c r="W75" s="21"/>
      <c r="X75" s="21"/>
      <c r="Y75" s="21"/>
    </row>
    <row r="76" spans="1:25" ht="15.75" x14ac:dyDescent="0.3">
      <c r="A76" s="271" t="s">
        <v>358</v>
      </c>
      <c r="B76" s="269">
        <v>-1</v>
      </c>
      <c r="C76" s="268" t="s">
        <v>357</v>
      </c>
      <c r="D76" s="255"/>
      <c r="E76" s="255"/>
      <c r="F76" s="255"/>
      <c r="G76" s="255"/>
      <c r="H76" s="255"/>
      <c r="I76" s="264"/>
      <c r="K76" s="258"/>
      <c r="L76" s="257"/>
      <c r="M76" s="257"/>
      <c r="N76" s="257"/>
      <c r="O76" s="257"/>
      <c r="P76" s="257"/>
      <c r="Q76" s="257"/>
      <c r="R76" s="257"/>
      <c r="S76" s="257"/>
      <c r="T76" s="257"/>
      <c r="U76" s="257"/>
      <c r="V76" s="21"/>
      <c r="W76" s="21"/>
      <c r="X76" s="21"/>
      <c r="Y76" s="21"/>
    </row>
    <row r="77" spans="1:25" x14ac:dyDescent="0.2">
      <c r="A77" s="270"/>
      <c r="B77" s="269"/>
      <c r="C77" s="268"/>
      <c r="D77" s="255"/>
      <c r="E77" s="255"/>
      <c r="F77" s="255"/>
      <c r="G77" s="255"/>
      <c r="H77" s="255"/>
      <c r="I77" s="264"/>
      <c r="K77" s="258"/>
      <c r="L77" s="257"/>
      <c r="M77" s="257"/>
      <c r="N77" s="257"/>
      <c r="O77" s="257"/>
      <c r="P77" s="257"/>
      <c r="Q77" s="257"/>
      <c r="R77" s="257"/>
      <c r="S77" s="257"/>
      <c r="T77" s="257"/>
      <c r="U77" s="257"/>
      <c r="V77" s="21"/>
      <c r="W77" s="21"/>
      <c r="X77" s="21"/>
      <c r="Y77" s="21"/>
    </row>
    <row r="78" spans="1:25" ht="12.75" customHeight="1" x14ac:dyDescent="0.25">
      <c r="A78" s="267" t="s">
        <v>356</v>
      </c>
      <c r="B78" s="266">
        <f>0.6*AVERAGE(ABS(B75))*B43</f>
        <v>50.912675905024322</v>
      </c>
      <c r="C78" s="265" t="s">
        <v>355</v>
      </c>
      <c r="D78" s="255"/>
      <c r="E78" s="255"/>
      <c r="F78" s="255"/>
      <c r="G78" s="255"/>
      <c r="H78" s="255"/>
      <c r="I78" s="264"/>
      <c r="K78" s="258"/>
      <c r="L78" s="258"/>
      <c r="M78" s="257"/>
      <c r="N78" s="258"/>
      <c r="O78" s="258"/>
      <c r="P78" s="258"/>
      <c r="Q78" s="258"/>
      <c r="R78" s="258"/>
      <c r="S78" s="258"/>
      <c r="T78" s="258"/>
      <c r="U78" s="258"/>
      <c r="V78" s="21"/>
      <c r="W78" s="21"/>
      <c r="X78" s="21"/>
      <c r="Y78" s="21"/>
    </row>
    <row r="79" spans="1:25" ht="12" customHeight="1" x14ac:dyDescent="0.25">
      <c r="A79" s="267" t="s">
        <v>354</v>
      </c>
      <c r="B79" s="266">
        <f>0.6*AVERAGE((B76))*B43</f>
        <v>-33.941783936682882</v>
      </c>
      <c r="C79" s="265" t="s">
        <v>353</v>
      </c>
      <c r="D79" s="255"/>
      <c r="E79" s="255"/>
      <c r="F79" s="255"/>
      <c r="G79" s="255"/>
      <c r="H79" s="255"/>
      <c r="I79" s="264"/>
      <c r="K79" s="258"/>
      <c r="L79" s="258"/>
      <c r="M79" s="257"/>
      <c r="N79" s="258"/>
      <c r="O79" s="258"/>
      <c r="P79" s="258"/>
      <c r="Q79" s="258"/>
      <c r="R79" s="258"/>
      <c r="S79" s="258"/>
      <c r="T79" s="258"/>
      <c r="U79" s="258"/>
      <c r="V79" s="21"/>
      <c r="W79" s="21"/>
      <c r="X79" s="21"/>
      <c r="Y79" s="21"/>
    </row>
    <row r="80" spans="1:25" x14ac:dyDescent="0.2">
      <c r="A80" s="263" t="s">
        <v>53</v>
      </c>
      <c r="B80" s="262">
        <f>AVERAGE(B78,ABS(B79))</f>
        <v>42.427229920853605</v>
      </c>
      <c r="C80" s="261" t="s">
        <v>352</v>
      </c>
      <c r="D80" s="260"/>
      <c r="E80" s="260"/>
      <c r="F80" s="260"/>
      <c r="G80" s="260"/>
      <c r="H80" s="260"/>
      <c r="I80" s="259"/>
      <c r="K80" s="258"/>
      <c r="L80" s="257"/>
      <c r="M80" s="257"/>
      <c r="N80" s="257"/>
      <c r="O80" s="257"/>
      <c r="P80" s="257"/>
      <c r="Q80" s="257"/>
      <c r="R80" s="257"/>
      <c r="S80" s="257"/>
      <c r="T80" s="257"/>
      <c r="U80" s="257"/>
      <c r="V80" s="21"/>
      <c r="W80" s="21"/>
      <c r="X80" s="21"/>
      <c r="Y80" s="21"/>
    </row>
    <row r="81" spans="1:25" x14ac:dyDescent="0.2">
      <c r="K81" s="258"/>
      <c r="L81" s="257"/>
      <c r="M81" s="257"/>
      <c r="N81" s="257"/>
      <c r="O81" s="257"/>
      <c r="P81" s="257"/>
      <c r="Q81" s="257"/>
      <c r="R81" s="257"/>
      <c r="S81" s="257"/>
      <c r="T81" s="257"/>
      <c r="U81" s="257"/>
      <c r="V81" s="21"/>
      <c r="W81" s="21"/>
      <c r="X81" s="21"/>
      <c r="Y81" s="21"/>
    </row>
    <row r="82" spans="1:25" x14ac:dyDescent="0.2">
      <c r="K82" s="258"/>
      <c r="L82" s="258"/>
      <c r="M82" s="257"/>
      <c r="N82" s="258"/>
      <c r="O82" s="258"/>
      <c r="P82" s="258"/>
      <c r="Q82" s="258"/>
      <c r="R82" s="258"/>
      <c r="S82" s="258"/>
      <c r="T82" s="258"/>
      <c r="U82" s="258"/>
      <c r="V82" s="21"/>
      <c r="W82" s="21"/>
      <c r="X82" s="21"/>
      <c r="Y82" s="21"/>
    </row>
    <row r="83" spans="1:25" x14ac:dyDescent="0.2">
      <c r="K83" s="258"/>
      <c r="L83" s="258"/>
      <c r="M83" s="257"/>
      <c r="N83" s="258"/>
      <c r="O83" s="258"/>
      <c r="P83" s="258"/>
      <c r="Q83" s="258"/>
      <c r="R83" s="258"/>
      <c r="S83" s="258"/>
      <c r="T83" s="258"/>
      <c r="U83" s="258"/>
      <c r="V83" s="21"/>
      <c r="W83" s="21"/>
      <c r="X83" s="21"/>
      <c r="Y83" s="21"/>
    </row>
    <row r="84" spans="1:25" x14ac:dyDescent="0.2">
      <c r="K84" s="258"/>
      <c r="L84" s="257"/>
      <c r="M84" s="257"/>
      <c r="N84" s="257"/>
      <c r="O84" s="257"/>
      <c r="P84" s="257"/>
      <c r="Q84" s="257"/>
      <c r="R84" s="257"/>
      <c r="S84" s="257"/>
      <c r="T84" s="257"/>
      <c r="U84" s="257"/>
      <c r="V84" s="21"/>
      <c r="W84" s="21"/>
      <c r="X84" s="21"/>
      <c r="Y84" s="21"/>
    </row>
    <row r="85" spans="1:25" x14ac:dyDescent="0.2">
      <c r="K85" s="258"/>
      <c r="L85" s="257"/>
      <c r="M85" s="257"/>
      <c r="N85" s="257"/>
      <c r="O85" s="257"/>
      <c r="P85" s="257"/>
      <c r="Q85" s="257"/>
      <c r="R85" s="257"/>
      <c r="S85" s="257"/>
      <c r="T85" s="257"/>
      <c r="U85" s="257"/>
      <c r="V85" s="21"/>
      <c r="W85" s="21"/>
      <c r="X85" s="21"/>
      <c r="Y85" s="21"/>
    </row>
    <row r="86" spans="1:25" x14ac:dyDescent="0.2">
      <c r="K86" s="256"/>
      <c r="L86" s="256"/>
      <c r="M86" s="256"/>
      <c r="N86" s="256"/>
      <c r="O86" s="256"/>
      <c r="P86" s="256"/>
      <c r="Q86" s="256"/>
      <c r="R86" s="256"/>
      <c r="S86" s="256"/>
      <c r="T86" s="256"/>
      <c r="U86" s="256"/>
      <c r="V86" s="21"/>
      <c r="W86" s="21"/>
      <c r="X86" s="21"/>
      <c r="Y86" s="21"/>
    </row>
    <row r="87" spans="1:25" x14ac:dyDescent="0.2">
      <c r="K87" s="256"/>
      <c r="L87" s="256"/>
      <c r="M87" s="256"/>
      <c r="N87" s="256"/>
      <c r="O87" s="256"/>
      <c r="P87" s="256"/>
      <c r="Q87" s="256"/>
      <c r="R87" s="256"/>
      <c r="S87" s="256"/>
      <c r="T87" s="256"/>
      <c r="U87" s="256"/>
      <c r="V87" s="21"/>
      <c r="W87" s="21"/>
      <c r="X87" s="21"/>
      <c r="Y87" s="21"/>
    </row>
    <row r="88" spans="1:25" x14ac:dyDescent="0.2">
      <c r="K88" s="21"/>
      <c r="L88" s="21"/>
      <c r="M88" s="21"/>
      <c r="N88" s="21"/>
      <c r="O88" s="21"/>
      <c r="P88" s="21"/>
      <c r="Q88" s="21"/>
      <c r="R88" s="21"/>
      <c r="S88" s="21"/>
      <c r="T88" s="21"/>
      <c r="U88" s="21"/>
      <c r="V88" s="21"/>
      <c r="W88" s="21"/>
      <c r="X88" s="21"/>
      <c r="Y88" s="21"/>
    </row>
    <row r="95" spans="1:25" x14ac:dyDescent="0.2">
      <c r="A95" s="255"/>
      <c r="B95" s="255"/>
      <c r="C95" s="255"/>
      <c r="D95" s="255"/>
      <c r="E95" s="255"/>
      <c r="F95" s="255"/>
      <c r="G95" s="255"/>
      <c r="H95" s="255"/>
      <c r="I95" s="255"/>
    </row>
    <row r="96" spans="1:25" x14ac:dyDescent="0.2">
      <c r="A96" s="255"/>
      <c r="B96" s="255"/>
      <c r="C96" s="255"/>
      <c r="D96" s="255"/>
      <c r="E96" s="255"/>
      <c r="F96" s="255"/>
      <c r="G96" s="255"/>
      <c r="H96" s="255"/>
      <c r="I96" s="255"/>
    </row>
    <row r="97" spans="1:9" x14ac:dyDescent="0.2">
      <c r="A97" s="255"/>
      <c r="B97" s="255"/>
      <c r="C97" s="255"/>
      <c r="D97" s="255"/>
      <c r="E97" s="255"/>
      <c r="F97" s="255"/>
      <c r="G97" s="255"/>
      <c r="H97" s="255"/>
      <c r="I97" s="255"/>
    </row>
    <row r="98" spans="1:9" x14ac:dyDescent="0.2">
      <c r="A98" s="255"/>
      <c r="B98" s="255"/>
      <c r="C98" s="255"/>
      <c r="D98" s="255"/>
      <c r="E98" s="255"/>
      <c r="F98" s="255"/>
      <c r="G98" s="255"/>
      <c r="H98" s="255"/>
      <c r="I98" s="255"/>
    </row>
    <row r="99" spans="1:9" x14ac:dyDescent="0.2">
      <c r="A99" s="255"/>
      <c r="B99" s="255"/>
      <c r="C99" s="255"/>
      <c r="D99" s="255"/>
      <c r="E99" s="255"/>
      <c r="F99" s="255"/>
      <c r="G99" s="255"/>
      <c r="H99" s="255"/>
      <c r="I99" s="255"/>
    </row>
    <row r="100" spans="1:9" x14ac:dyDescent="0.2">
      <c r="A100" s="255"/>
      <c r="B100" s="255"/>
      <c r="C100" s="255"/>
      <c r="D100" s="255"/>
      <c r="E100" s="255"/>
      <c r="F100" s="255"/>
      <c r="G100" s="255"/>
      <c r="H100" s="255"/>
      <c r="I100" s="255"/>
    </row>
  </sheetData>
  <mergeCells count="20">
    <mergeCell ref="A51:I51"/>
    <mergeCell ref="W60:W61"/>
    <mergeCell ref="X60:X61"/>
    <mergeCell ref="Y60:Y61"/>
    <mergeCell ref="A73:I73"/>
    <mergeCell ref="A52:I52"/>
    <mergeCell ref="L59:L61"/>
    <mergeCell ref="M59:M61"/>
    <mergeCell ref="N59:Q59"/>
    <mergeCell ref="R59:U59"/>
    <mergeCell ref="N60:O60"/>
    <mergeCell ref="P60:Q60"/>
    <mergeCell ref="R60:S60"/>
    <mergeCell ref="T60:U60"/>
    <mergeCell ref="M37:O37"/>
    <mergeCell ref="C5:I5"/>
    <mergeCell ref="C6:I6"/>
    <mergeCell ref="A8:I8"/>
    <mergeCell ref="A19:I19"/>
    <mergeCell ref="A35:I35"/>
  </mergeCells>
  <pageMargins left="0.7" right="0.7" top="0.75" bottom="0.75" header="0.3" footer="0.3"/>
  <pageSetup scale="96" orientation="portrait" r:id="rId1"/>
  <headerFooter>
    <oddFooter>&amp;C&amp;8______________________________________________________________________________
160 SW 12TH AVENUE SUITE 106, DEERFIELD BEACH, FLORIDA 33442
PHONE: (954) 354-0660 – FAX: (954) 354-0443
ENGINEERINGEXPRESS.COM</oddFooter>
  </headerFooter>
  <rowBreaks count="1" manualBreakCount="1">
    <brk id="49" max="8" man="1"/>
  </rowBreaks>
  <colBreaks count="1" manualBreakCount="1">
    <brk id="9" max="105" man="1"/>
  </colBreaks>
  <customProperties>
    <customPr name="SSC_SHEET_GUID" r:id="rId2"/>
  </customProperties>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W57"/>
  <sheetViews>
    <sheetView view="pageBreakPreview" zoomScale="115" zoomScaleNormal="100" zoomScaleSheetLayoutView="115" workbookViewId="0">
      <selection activeCell="C11" sqref="C11"/>
    </sheetView>
  </sheetViews>
  <sheetFormatPr defaultRowHeight="15.75" customHeight="1" x14ac:dyDescent="0.25"/>
  <cols>
    <col min="1" max="1" width="9.140625" style="181"/>
    <col min="2" max="2" width="9.5703125" style="181" bestFit="1" customWidth="1"/>
    <col min="3" max="9" width="9.140625" style="181"/>
    <col min="10" max="10" width="10.42578125" style="181" customWidth="1"/>
    <col min="11" max="18" width="9.140625" style="181"/>
    <col min="19" max="19" width="9.140625" style="181" customWidth="1"/>
    <col min="20" max="23" width="9.140625" style="181" hidden="1" customWidth="1"/>
    <col min="24" max="24" width="9.140625" style="181" customWidth="1"/>
    <col min="25" max="16384" width="9.140625" style="181"/>
  </cols>
  <sheetData>
    <row r="1" spans="1:22" ht="21" customHeight="1" x14ac:dyDescent="0.2">
      <c r="A1" s="216"/>
      <c r="B1" s="216"/>
      <c r="C1" s="215"/>
      <c r="D1" s="540"/>
      <c r="E1" s="540"/>
      <c r="F1" s="540"/>
      <c r="G1" s="540"/>
      <c r="H1" s="540"/>
      <c r="I1" s="540"/>
      <c r="J1" s="540"/>
    </row>
    <row r="2" spans="1:22" ht="26.25" customHeight="1" x14ac:dyDescent="0.2">
      <c r="A2" s="16"/>
      <c r="B2" s="16"/>
      <c r="C2" s="16"/>
      <c r="D2" s="540"/>
      <c r="E2" s="540"/>
      <c r="F2" s="540"/>
      <c r="G2" s="540"/>
      <c r="H2" s="540"/>
      <c r="I2" s="540"/>
      <c r="J2" s="540"/>
    </row>
    <row r="3" spans="1:22" ht="12.75" x14ac:dyDescent="0.2">
      <c r="A3" s="543" t="s">
        <v>14</v>
      </c>
      <c r="B3" s="543"/>
      <c r="C3" s="544"/>
      <c r="D3" s="544"/>
      <c r="E3" s="544"/>
      <c r="F3" s="544"/>
      <c r="G3" s="544"/>
      <c r="H3" s="544"/>
      <c r="I3" s="544"/>
      <c r="J3" s="16"/>
    </row>
    <row r="4" spans="1:22" ht="12.75" x14ac:dyDescent="0.2">
      <c r="A4" s="20"/>
      <c r="B4" s="20" t="s">
        <v>15</v>
      </c>
      <c r="C4" s="544"/>
      <c r="D4" s="544"/>
      <c r="E4" s="544"/>
      <c r="F4" s="544"/>
      <c r="G4" s="544"/>
      <c r="H4" s="544"/>
      <c r="I4" s="544"/>
      <c r="J4" s="16"/>
    </row>
    <row r="5" spans="1:22" ht="12.75" hidden="1" customHeight="1" x14ac:dyDescent="0.25">
      <c r="A5" s="540" t="s">
        <v>273</v>
      </c>
      <c r="B5" s="540"/>
      <c r="C5" s="540"/>
      <c r="D5" s="540"/>
      <c r="E5" s="540"/>
      <c r="F5" s="540"/>
      <c r="G5" s="540"/>
      <c r="H5" s="540"/>
      <c r="I5" s="540"/>
      <c r="J5" s="540"/>
    </row>
    <row r="6" spans="1:22" ht="12.75" hidden="1" x14ac:dyDescent="0.25">
      <c r="A6" s="540"/>
      <c r="B6" s="540"/>
      <c r="C6" s="540"/>
      <c r="D6" s="540"/>
      <c r="E6" s="540"/>
      <c r="F6" s="540"/>
      <c r="G6" s="540"/>
      <c r="H6" s="540"/>
      <c r="I6" s="540"/>
      <c r="J6" s="540"/>
    </row>
    <row r="7" spans="1:22" ht="12.75" hidden="1" x14ac:dyDescent="0.25">
      <c r="A7" s="540"/>
      <c r="B7" s="540"/>
      <c r="C7" s="540"/>
      <c r="D7" s="540"/>
      <c r="E7" s="540"/>
      <c r="F7" s="540"/>
      <c r="G7" s="540"/>
      <c r="H7" s="540"/>
      <c r="I7" s="540"/>
      <c r="J7" s="540"/>
    </row>
    <row r="8" spans="1:22" ht="12.75" hidden="1" x14ac:dyDescent="0.25">
      <c r="A8" s="540"/>
      <c r="B8" s="540"/>
      <c r="C8" s="540"/>
      <c r="D8" s="540"/>
      <c r="E8" s="540"/>
      <c r="F8" s="540"/>
      <c r="G8" s="540"/>
      <c r="H8" s="540"/>
      <c r="I8" s="540"/>
      <c r="J8" s="540"/>
    </row>
    <row r="9" spans="1:22" ht="12.75" hidden="1" x14ac:dyDescent="0.25">
      <c r="A9" s="540"/>
      <c r="B9" s="540"/>
      <c r="C9" s="540"/>
      <c r="D9" s="540"/>
      <c r="E9" s="540"/>
      <c r="F9" s="540"/>
      <c r="G9" s="540"/>
      <c r="H9" s="540"/>
      <c r="I9" s="540"/>
      <c r="J9" s="540"/>
    </row>
    <row r="10" spans="1:22" ht="12.75" hidden="1" x14ac:dyDescent="0.25">
      <c r="A10" s="540"/>
      <c r="B10" s="540"/>
      <c r="C10" s="540"/>
      <c r="D10" s="540"/>
      <c r="E10" s="540"/>
      <c r="F10" s="540"/>
      <c r="G10" s="540"/>
      <c r="H10" s="540"/>
      <c r="I10" s="540"/>
      <c r="J10" s="540"/>
    </row>
    <row r="11" spans="1:22" ht="12.75" x14ac:dyDescent="0.2">
      <c r="A11" s="162"/>
      <c r="B11" s="162"/>
      <c r="C11" s="162"/>
      <c r="D11" s="162"/>
      <c r="E11" s="162"/>
      <c r="F11" s="162"/>
      <c r="G11" s="162"/>
      <c r="H11" s="162"/>
      <c r="I11" s="162"/>
      <c r="J11" s="162"/>
    </row>
    <row r="12" spans="1:22" ht="12.75" customHeight="1" x14ac:dyDescent="0.2">
      <c r="A12" s="214"/>
      <c r="B12" s="16"/>
      <c r="C12" s="16"/>
      <c r="D12" s="16"/>
      <c r="E12" s="16"/>
      <c r="F12" s="16"/>
      <c r="G12" s="16"/>
      <c r="H12" s="16"/>
      <c r="I12" s="16"/>
      <c r="J12" s="213"/>
    </row>
    <row r="13" spans="1:22" ht="15.75" customHeight="1" x14ac:dyDescent="0.25">
      <c r="A13" s="199" t="s">
        <v>272</v>
      </c>
      <c r="B13" s="186"/>
      <c r="C13" s="186"/>
      <c r="D13" s="186"/>
      <c r="E13" s="186"/>
      <c r="F13" s="186"/>
      <c r="G13" s="186"/>
      <c r="H13" s="186"/>
      <c r="I13" s="186"/>
      <c r="J13" s="185"/>
      <c r="U13" s="212">
        <v>2</v>
      </c>
    </row>
    <row r="14" spans="1:22" ht="15.75" customHeight="1" x14ac:dyDescent="0.25">
      <c r="A14" s="211" t="s">
        <v>271</v>
      </c>
      <c r="B14" s="210">
        <f>'HTML Frame'!D25</f>
        <v>0</v>
      </c>
      <c r="C14" s="186" t="s">
        <v>270</v>
      </c>
      <c r="D14" s="186"/>
      <c r="E14" s="186"/>
      <c r="F14" s="186"/>
      <c r="G14" s="186"/>
      <c r="H14" s="186"/>
      <c r="I14" s="186"/>
      <c r="J14" s="185"/>
      <c r="U14" s="541" t="s">
        <v>269</v>
      </c>
      <c r="V14" s="542"/>
    </row>
    <row r="15" spans="1:22" ht="15.75" customHeight="1" x14ac:dyDescent="0.25">
      <c r="A15" s="193" t="s">
        <v>268</v>
      </c>
      <c r="B15" s="207">
        <v>1</v>
      </c>
      <c r="C15" s="191" t="s">
        <v>267</v>
      </c>
      <c r="D15" s="186"/>
      <c r="E15" s="186"/>
      <c r="F15" s="186"/>
      <c r="G15" s="186"/>
      <c r="H15" s="186"/>
      <c r="I15" s="186"/>
      <c r="J15" s="185"/>
      <c r="U15" s="541" t="s">
        <v>266</v>
      </c>
      <c r="V15" s="542"/>
    </row>
    <row r="16" spans="1:22" ht="15.75" customHeight="1" x14ac:dyDescent="0.25">
      <c r="A16" s="193" t="s">
        <v>265</v>
      </c>
      <c r="B16" s="207">
        <v>1.2</v>
      </c>
      <c r="C16" s="191" t="s">
        <v>264</v>
      </c>
      <c r="D16" s="186"/>
      <c r="E16" s="186"/>
      <c r="F16" s="186"/>
      <c r="G16" s="186"/>
      <c r="H16" s="186"/>
      <c r="I16" s="186"/>
      <c r="J16" s="185"/>
      <c r="U16" s="209" t="s">
        <v>263</v>
      </c>
      <c r="V16" s="208"/>
    </row>
    <row r="17" spans="1:22" ht="15.75" customHeight="1" x14ac:dyDescent="0.25">
      <c r="A17" s="193" t="s">
        <v>262</v>
      </c>
      <c r="B17" s="207">
        <f>IF('HTML Frame'!D19="I",0.8,
IF('HTML Frame'!D19="III",1.1,
IF('HTML Frame'!D19="IV",1.2,
1)))</f>
        <v>1</v>
      </c>
      <c r="C17" s="191" t="s">
        <v>261</v>
      </c>
      <c r="D17" s="186"/>
      <c r="E17" s="186"/>
      <c r="F17" s="186"/>
      <c r="G17" s="186"/>
      <c r="H17" s="186"/>
      <c r="I17" s="186"/>
      <c r="J17" s="185"/>
      <c r="U17" s="205" t="s">
        <v>260</v>
      </c>
      <c r="V17" s="204"/>
    </row>
    <row r="18" spans="1:22" ht="15.75" customHeight="1" x14ac:dyDescent="0.25">
      <c r="A18" s="193" t="s">
        <v>259</v>
      </c>
      <c r="B18" s="206">
        <v>1</v>
      </c>
      <c r="C18" s="191" t="s">
        <v>258</v>
      </c>
      <c r="D18" s="186"/>
      <c r="E18" s="186"/>
      <c r="F18" s="186"/>
      <c r="G18" s="186"/>
      <c r="H18" s="186"/>
      <c r="I18" s="186"/>
      <c r="J18" s="185"/>
      <c r="U18" s="205" t="s">
        <v>257</v>
      </c>
      <c r="V18" s="204"/>
    </row>
    <row r="19" spans="1:22" ht="15.75" customHeight="1" x14ac:dyDescent="0.25">
      <c r="A19" s="193" t="s">
        <v>256</v>
      </c>
      <c r="B19" s="203">
        <f>1/(TAN(B18*PI()/180))</f>
        <v>57.289961630759429</v>
      </c>
      <c r="C19" s="191" t="s">
        <v>255</v>
      </c>
      <c r="D19" s="186"/>
      <c r="E19" s="186"/>
      <c r="F19" s="186"/>
      <c r="G19" s="186"/>
      <c r="H19" s="186"/>
      <c r="I19" s="186"/>
      <c r="J19" s="185"/>
    </row>
    <row r="20" spans="1:22" ht="15.75" customHeight="1" x14ac:dyDescent="0.25">
      <c r="A20" s="193" t="s">
        <v>27</v>
      </c>
      <c r="B20" s="198">
        <f>'HTML Frame'!D37</f>
        <v>8</v>
      </c>
      <c r="C20" s="191" t="s">
        <v>254</v>
      </c>
      <c r="D20" s="186"/>
      <c r="E20" s="186"/>
      <c r="F20" s="186"/>
      <c r="G20" s="186"/>
      <c r="H20" s="186"/>
      <c r="I20" s="186"/>
      <c r="J20" s="185"/>
    </row>
    <row r="21" spans="1:22" ht="15.75" customHeight="1" x14ac:dyDescent="0.25">
      <c r="A21" s="193" t="s">
        <v>253</v>
      </c>
      <c r="B21" s="202">
        <f>MIN(0.13*Pg+14,30)</f>
        <v>14</v>
      </c>
      <c r="C21" s="191" t="s">
        <v>252</v>
      </c>
      <c r="D21" s="186"/>
      <c r="E21" s="186"/>
      <c r="F21" s="186"/>
      <c r="G21" s="186"/>
      <c r="H21" s="186"/>
      <c r="I21" s="186"/>
      <c r="J21" s="185"/>
    </row>
    <row r="22" spans="1:22" ht="15.75" customHeight="1" x14ac:dyDescent="0.25">
      <c r="A22" s="193" t="str">
        <f>IF($U$13=3,"Cs2 =",IF($U$13=2,"Cs =",""))</f>
        <v>Cs =</v>
      </c>
      <c r="B22" s="201">
        <v>1</v>
      </c>
      <c r="C22" s="191" t="str">
        <f>IF(OR($U$13=3,$U$13=2),CONCATENATE("Slope factor at ",ROUND(B18,2),"° (Figure 7-2)"),"")</f>
        <v>Slope factor at 1° (Figure 7-2)</v>
      </c>
      <c r="D22" s="186"/>
      <c r="E22" s="186"/>
      <c r="F22" s="186"/>
      <c r="G22" s="186"/>
      <c r="H22" s="186"/>
      <c r="I22" s="186"/>
      <c r="J22" s="185"/>
    </row>
    <row r="23" spans="1:22" ht="15.75" customHeight="1" x14ac:dyDescent="0.25">
      <c r="A23" s="190"/>
      <c r="B23" s="186"/>
      <c r="C23" s="186"/>
      <c r="D23" s="186"/>
      <c r="E23" s="186"/>
      <c r="F23" s="186"/>
      <c r="G23" s="186"/>
      <c r="H23" s="186"/>
      <c r="I23" s="186"/>
      <c r="J23" s="185"/>
    </row>
    <row r="24" spans="1:22" ht="15.75" customHeight="1" x14ac:dyDescent="0.25">
      <c r="A24" s="199" t="s">
        <v>251</v>
      </c>
      <c r="B24" s="186"/>
      <c r="C24" s="186"/>
      <c r="D24" s="186"/>
      <c r="E24" s="186"/>
      <c r="F24" s="186"/>
      <c r="G24" s="186"/>
      <c r="H24" s="186"/>
      <c r="I24" s="186"/>
      <c r="J24" s="185"/>
    </row>
    <row r="25" spans="1:22" ht="15.75" customHeight="1" x14ac:dyDescent="0.25">
      <c r="A25" s="193" t="s">
        <v>250</v>
      </c>
      <c r="B25" s="200">
        <f>IF(Pg&lt;=20,MAX(I*Pg,0.7*Ce*Ct*I*Pg,5),MAX(20*I,0.7*Ce*Ct*I*Pg,5))</f>
        <v>5</v>
      </c>
      <c r="C25" s="191" t="str">
        <f>IF(Pg=20,"Snow load on flat roofs (slope &lt; 5°): Pf = max[(I)(Pg),(0.7)(Ce)(Ct)(I)(Pg)]","Snow load on flat roofs (slope &lt; 5°): Pf = max[(I)(20),(0.7)(Ce)(Ct)(I)(Pg)]")</f>
        <v>Snow load on flat roofs (slope &lt; 5°): Pf = max[(I)(20),(0.7)(Ce)(Ct)(I)(Pg)]</v>
      </c>
      <c r="D25" s="186"/>
      <c r="E25" s="186"/>
      <c r="F25" s="186"/>
      <c r="G25" s="186"/>
      <c r="H25" s="186"/>
      <c r="I25" s="186"/>
      <c r="J25" s="185"/>
    </row>
    <row r="26" spans="1:22" ht="15.75" customHeight="1" x14ac:dyDescent="0.25">
      <c r="A26" s="193" t="s">
        <v>249</v>
      </c>
      <c r="B26" s="200">
        <f>IF($U$13=1,"",B25*B22)</f>
        <v>5</v>
      </c>
      <c r="C26" s="191" t="str">
        <f>IF($U$13=1,"",IF($U$13=2,"Sloped roof snow loads (slope &gt; 5°): Ps = (Cs)(Pf)",IF($U$13=3,"Sloped roof snow loads at eave: Ps = (Pf)(Cs1)","??")))</f>
        <v>Sloped roof snow loads (slope &gt; 5°): Ps = (Cs)(Pf)</v>
      </c>
      <c r="D26" s="186"/>
      <c r="E26" s="186"/>
      <c r="F26" s="186"/>
      <c r="G26" s="186"/>
      <c r="H26" s="186"/>
      <c r="I26" s="186"/>
      <c r="J26" s="185"/>
    </row>
    <row r="27" spans="1:22" ht="15.75" hidden="1" customHeight="1" x14ac:dyDescent="0.25">
      <c r="A27" s="193" t="str">
        <f>IF($U$13&lt;3,"","Ps =")</f>
        <v/>
      </c>
      <c r="B27" s="192" t="str">
        <f>IF($U$13&lt;3,"",B25*B22)</f>
        <v/>
      </c>
      <c r="C27" s="191" t="str">
        <f>IF($U$13=1,"",IF($U$13=2,"",IF($U$13=3,CONCATENATE("Sloped roof snow loads at ",ROUND(B18,2),"° : Ps = (Pf)(Cs2)"))))</f>
        <v/>
      </c>
      <c r="D27" s="186"/>
      <c r="E27" s="186"/>
      <c r="F27" s="186"/>
      <c r="G27" s="186"/>
      <c r="H27" s="186"/>
      <c r="I27" s="186"/>
      <c r="J27" s="185"/>
    </row>
    <row r="28" spans="1:22" ht="15.75" hidden="1" customHeight="1" x14ac:dyDescent="0.25">
      <c r="A28" s="190"/>
      <c r="B28" s="186"/>
      <c r="C28" s="186"/>
      <c r="D28" s="186"/>
      <c r="E28" s="186"/>
      <c r="F28" s="186"/>
      <c r="G28" s="186"/>
      <c r="H28" s="186"/>
      <c r="I28" s="186"/>
      <c r="J28" s="185"/>
    </row>
    <row r="29" spans="1:22" ht="15.75" hidden="1" customHeight="1" x14ac:dyDescent="0.25">
      <c r="A29" s="199" t="s">
        <v>248</v>
      </c>
      <c r="B29" s="186"/>
      <c r="C29" s="186"/>
      <c r="D29" s="186"/>
      <c r="E29" s="186"/>
      <c r="F29" s="186"/>
      <c r="G29" s="186"/>
      <c r="H29" s="186"/>
      <c r="I29" s="186"/>
      <c r="J29" s="185"/>
    </row>
    <row r="30" spans="1:22" ht="15.75" hidden="1" customHeight="1" x14ac:dyDescent="0.25">
      <c r="A30" s="193" t="s">
        <v>247</v>
      </c>
      <c r="B30" s="195">
        <f>0.43*W^(1/3)*(Pg+10)^(1/4)-1.5</f>
        <v>2.9320292633473466E-2</v>
      </c>
      <c r="C30" s="191" t="s">
        <v>246</v>
      </c>
      <c r="D30" s="186"/>
      <c r="E30" s="186"/>
      <c r="F30" s="186"/>
      <c r="G30" s="186"/>
      <c r="H30" s="186"/>
      <c r="I30" s="186"/>
      <c r="J30" s="185"/>
    </row>
    <row r="31" spans="1:22" ht="15.75" hidden="1" customHeight="1" x14ac:dyDescent="0.25">
      <c r="A31" s="190"/>
      <c r="B31" s="192">
        <f>hd*B21/S^0.5</f>
        <v>5.423218101541008E-2</v>
      </c>
      <c r="C31" s="191" t="s">
        <v>245</v>
      </c>
      <c r="D31" s="186"/>
      <c r="E31" s="186"/>
      <c r="F31" s="186"/>
      <c r="G31" s="186"/>
      <c r="H31" s="186"/>
      <c r="I31" s="186"/>
      <c r="J31" s="185"/>
    </row>
    <row r="32" spans="1:22" ht="15.75" hidden="1" customHeight="1" x14ac:dyDescent="0.25">
      <c r="A32" s="190"/>
      <c r="B32" s="195">
        <f>8/3*hd*S^0.5</f>
        <v>0.591801822766713</v>
      </c>
      <c r="C32" s="191" t="s">
        <v>244</v>
      </c>
      <c r="D32" s="186"/>
      <c r="E32" s="186"/>
      <c r="F32" s="186"/>
      <c r="G32" s="186"/>
      <c r="H32" s="186"/>
      <c r="I32" s="186"/>
      <c r="J32" s="185"/>
    </row>
    <row r="33" spans="1:10" ht="15.75" hidden="1" customHeight="1" x14ac:dyDescent="0.25">
      <c r="A33" s="190"/>
      <c r="B33" s="195"/>
      <c r="C33" s="191"/>
      <c r="D33" s="186"/>
      <c r="E33" s="186"/>
      <c r="F33" s="186"/>
      <c r="G33" s="186"/>
      <c r="H33" s="186"/>
      <c r="I33" s="186"/>
      <c r="J33" s="185"/>
    </row>
    <row r="34" spans="1:10" ht="15.75" hidden="1" customHeight="1" x14ac:dyDescent="0.25">
      <c r="A34" s="193" t="s">
        <v>241</v>
      </c>
      <c r="B34" s="192">
        <f>0.3*B26</f>
        <v>1.5</v>
      </c>
      <c r="C34" s="191" t="s">
        <v>243</v>
      </c>
      <c r="D34" s="186"/>
      <c r="E34" s="186"/>
      <c r="F34" s="186"/>
      <c r="G34" s="186"/>
      <c r="H34" s="186"/>
      <c r="I34" s="186"/>
      <c r="J34" s="185"/>
    </row>
    <row r="35" spans="1:10" ht="15.75" hidden="1" customHeight="1" x14ac:dyDescent="0.25">
      <c r="A35" s="193" t="s">
        <v>241</v>
      </c>
      <c r="B35" s="192">
        <f>B26</f>
        <v>5</v>
      </c>
      <c r="C35" s="191" t="s">
        <v>242</v>
      </c>
      <c r="D35" s="186"/>
      <c r="E35" s="186"/>
      <c r="F35" s="186"/>
      <c r="G35" s="186"/>
      <c r="H35" s="186"/>
      <c r="I35" s="186"/>
      <c r="J35" s="185"/>
    </row>
    <row r="36" spans="1:10" ht="15.75" hidden="1" customHeight="1" x14ac:dyDescent="0.25">
      <c r="A36" s="193" t="s">
        <v>241</v>
      </c>
      <c r="B36" s="192">
        <f>B35+B31</f>
        <v>5.0542321810154105</v>
      </c>
      <c r="C36" s="191" t="s">
        <v>240</v>
      </c>
      <c r="D36" s="186"/>
      <c r="E36" s="186"/>
      <c r="F36" s="186"/>
      <c r="G36" s="186"/>
      <c r="H36" s="186"/>
      <c r="I36" s="186"/>
      <c r="J36" s="185"/>
    </row>
    <row r="37" spans="1:10" ht="15.75" hidden="1" customHeight="1" x14ac:dyDescent="0.25">
      <c r="A37" s="193" t="str">
        <f>IF(W&lt;20,"Su =","")</f>
        <v>Su =</v>
      </c>
      <c r="B37" s="192">
        <f>IF(W&lt;20,MAX(I*Pg,20*I),"")</f>
        <v>20</v>
      </c>
      <c r="C37" s="191" t="str">
        <f>IF(W&lt;20,"Leeward side with roof rafter system and W &lt; 20ft : (I)(Pg)","")</f>
        <v>Leeward side with roof rafter system and W &lt; 20ft : (I)(Pg)</v>
      </c>
      <c r="D37" s="186"/>
      <c r="E37" s="186"/>
      <c r="F37" s="186"/>
      <c r="G37" s="186"/>
      <c r="H37" s="186"/>
      <c r="I37" s="186"/>
      <c r="J37" s="185"/>
    </row>
    <row r="38" spans="1:10" ht="15.75" hidden="1" customHeight="1" x14ac:dyDescent="0.25">
      <c r="A38" s="184"/>
      <c r="B38" s="183"/>
      <c r="C38" s="183"/>
      <c r="D38" s="183"/>
      <c r="E38" s="183"/>
      <c r="F38" s="183"/>
      <c r="G38" s="183"/>
      <c r="H38" s="183"/>
      <c r="I38" s="183"/>
      <c r="J38" s="182"/>
    </row>
    <row r="39" spans="1:10" ht="15.75" hidden="1" customHeight="1" x14ac:dyDescent="0.25">
      <c r="A39" s="190"/>
      <c r="B39" s="186"/>
      <c r="C39" s="186"/>
      <c r="D39" s="186"/>
      <c r="E39" s="186"/>
      <c r="F39" s="186"/>
      <c r="G39" s="186"/>
      <c r="H39" s="186"/>
      <c r="I39" s="186"/>
      <c r="J39" s="185"/>
    </row>
    <row r="40" spans="1:10" ht="15.75" customHeight="1" x14ac:dyDescent="0.25">
      <c r="A40" s="190"/>
      <c r="B40" s="186"/>
      <c r="C40" s="186"/>
      <c r="D40" s="186"/>
      <c r="E40" s="186"/>
      <c r="F40" s="186"/>
      <c r="G40" s="186"/>
      <c r="H40" s="186"/>
      <c r="I40" s="186"/>
      <c r="J40" s="185"/>
    </row>
    <row r="41" spans="1:10" ht="15.75" customHeight="1" x14ac:dyDescent="0.25">
      <c r="A41" s="199" t="s">
        <v>239</v>
      </c>
      <c r="B41" s="186"/>
      <c r="C41" s="186"/>
      <c r="D41" s="186"/>
      <c r="E41" s="186"/>
      <c r="F41" s="186"/>
      <c r="G41" s="186"/>
      <c r="H41" s="186"/>
      <c r="I41" s="186"/>
      <c r="J41" s="185"/>
    </row>
    <row r="42" spans="1:10" ht="15.75" customHeight="1" x14ac:dyDescent="0.25">
      <c r="A42" s="193" t="s">
        <v>238</v>
      </c>
      <c r="B42" s="198">
        <f>'HTML Frame'!D32</f>
        <v>60</v>
      </c>
      <c r="C42" s="191" t="s">
        <v>237</v>
      </c>
      <c r="D42" s="186"/>
      <c r="E42" s="186"/>
      <c r="F42" s="186"/>
      <c r="G42" s="186"/>
      <c r="H42" s="186"/>
      <c r="I42" s="186"/>
      <c r="J42" s="185"/>
    </row>
    <row r="43" spans="1:10" ht="15.75" customHeight="1" x14ac:dyDescent="0.25">
      <c r="A43" s="193" t="s">
        <v>236</v>
      </c>
      <c r="B43" s="195">
        <f>W</f>
        <v>8</v>
      </c>
      <c r="C43" s="191" t="s">
        <v>235</v>
      </c>
      <c r="D43" s="186"/>
      <c r="E43" s="186"/>
      <c r="F43" s="186"/>
      <c r="G43" s="186"/>
      <c r="H43" s="186"/>
      <c r="I43" s="186"/>
      <c r="J43" s="185"/>
    </row>
    <row r="44" spans="1:10" ht="15.75" customHeight="1" x14ac:dyDescent="0.25">
      <c r="A44" s="193" t="s">
        <v>234</v>
      </c>
      <c r="B44" s="198">
        <f>MAX(0.01,'HTML Frame'!D30-'HTML Frame'!D45)</f>
        <v>5</v>
      </c>
      <c r="C44" s="191" t="s">
        <v>233</v>
      </c>
      <c r="D44" s="186"/>
      <c r="E44" s="186"/>
      <c r="F44" s="186"/>
      <c r="G44" s="186"/>
      <c r="H44" s="186"/>
      <c r="I44" s="186"/>
      <c r="J44" s="185"/>
    </row>
    <row r="45" spans="1:10" ht="15.75" customHeight="1" x14ac:dyDescent="0.25">
      <c r="A45" s="190"/>
      <c r="B45" s="186"/>
      <c r="C45" s="186"/>
      <c r="D45" s="186"/>
      <c r="E45" s="186"/>
      <c r="F45" s="186"/>
      <c r="G45" s="186"/>
      <c r="H45" s="186"/>
      <c r="I45" s="186"/>
      <c r="J45" s="185"/>
    </row>
    <row r="46" spans="1:10" ht="15.75" customHeight="1" x14ac:dyDescent="0.25">
      <c r="A46" s="197" t="str">
        <f>IF(B44/B47&lt;0.2,"Drift snow not required, hc/hb&lt;0.2", "Drift snow required, hc/hb&gt;0.2")</f>
        <v>Drift snow required, hc/hb&gt;0.2</v>
      </c>
      <c r="B46" s="186"/>
      <c r="C46" s="196"/>
      <c r="D46" s="186"/>
      <c r="E46" s="186"/>
      <c r="F46" s="186"/>
      <c r="G46" s="186"/>
      <c r="H46" s="186"/>
      <c r="I46" s="186"/>
      <c r="J46" s="185"/>
    </row>
    <row r="47" spans="1:10" ht="15.75" customHeight="1" x14ac:dyDescent="0.25">
      <c r="A47" s="193" t="s">
        <v>232</v>
      </c>
      <c r="B47" s="195">
        <f>B26/B21</f>
        <v>0.35714285714285715</v>
      </c>
      <c r="C47" s="191" t="s">
        <v>231</v>
      </c>
      <c r="D47" s="186"/>
      <c r="E47" s="186"/>
      <c r="F47" s="186"/>
      <c r="G47" s="186"/>
      <c r="H47" s="186"/>
      <c r="I47" s="186"/>
      <c r="J47" s="185"/>
    </row>
    <row r="48" spans="1:10" ht="15.75" customHeight="1" x14ac:dyDescent="0.25">
      <c r="A48" s="193" t="s">
        <v>230</v>
      </c>
      <c r="B48" s="195">
        <f>IF(B42&lt;25,0.43*(25)^(1/3)*(Pg+10)^(1/4)-1.5,0.43*(B42)^(1/3)*(Pg+10)^(1/4)-1.5)</f>
        <v>1.4935432633068415</v>
      </c>
      <c r="C48" s="191" t="s">
        <v>229</v>
      </c>
      <c r="D48" s="186"/>
      <c r="E48" s="186"/>
      <c r="F48" s="186"/>
      <c r="G48" s="186"/>
      <c r="H48" s="186"/>
      <c r="I48" s="186"/>
      <c r="J48" s="185"/>
    </row>
    <row r="49" spans="1:10" ht="15.75" customHeight="1" x14ac:dyDescent="0.25">
      <c r="A49" s="193" t="s">
        <v>228</v>
      </c>
      <c r="B49" s="194">
        <f>(0.43*(B43)^(1/3)*(Pg+10)^(1/4)-1.5)*(0.75)</f>
        <v>2.1990219475105099E-2</v>
      </c>
      <c r="C49" s="191" t="s">
        <v>227</v>
      </c>
      <c r="D49" s="186"/>
      <c r="E49" s="186"/>
      <c r="F49" s="186"/>
      <c r="G49" s="186"/>
      <c r="H49" s="186"/>
      <c r="I49" s="186"/>
      <c r="J49" s="185"/>
    </row>
    <row r="50" spans="1:10" ht="15.75" customHeight="1" x14ac:dyDescent="0.25">
      <c r="A50" s="193"/>
      <c r="B50" s="194"/>
      <c r="C50" s="191"/>
      <c r="D50" s="186"/>
      <c r="E50" s="186"/>
      <c r="F50" s="186"/>
      <c r="G50" s="186"/>
      <c r="H50" s="186"/>
      <c r="I50" s="186"/>
      <c r="J50" s="185"/>
    </row>
    <row r="51" spans="1:10" ht="15.75" customHeight="1" x14ac:dyDescent="0.25">
      <c r="A51" s="193" t="s">
        <v>226</v>
      </c>
      <c r="B51" s="194">
        <f>IF(MAX(B48:B49)&lt;=B44,MAX(B48:B49),B44)</f>
        <v>1.4935432633068415</v>
      </c>
      <c r="C51" s="191" t="s">
        <v>225</v>
      </c>
      <c r="D51" s="186"/>
      <c r="E51" s="186"/>
      <c r="F51" s="186"/>
      <c r="G51" s="186"/>
      <c r="H51" s="186"/>
      <c r="I51" s="186"/>
      <c r="J51" s="185"/>
    </row>
    <row r="52" spans="1:10" ht="15.75" customHeight="1" x14ac:dyDescent="0.25">
      <c r="A52" s="193" t="s">
        <v>224</v>
      </c>
      <c r="B52" s="195">
        <f>MIN(IF(MAX(B48:B49)&lt;=B44,4*MAX(B48:B49),4*MAX(B48:B49)^2/B44),8*B44)</f>
        <v>5.974173053227366</v>
      </c>
      <c r="C52" s="191" t="s">
        <v>223</v>
      </c>
      <c r="D52" s="186"/>
      <c r="E52" s="186"/>
      <c r="F52" s="186"/>
      <c r="G52" s="186"/>
      <c r="H52" s="186"/>
      <c r="I52" s="186"/>
      <c r="J52" s="185"/>
    </row>
    <row r="53" spans="1:10" ht="15.75" customHeight="1" x14ac:dyDescent="0.25">
      <c r="A53" s="193" t="s">
        <v>222</v>
      </c>
      <c r="B53" s="194">
        <f>MAX(B51*(B52-B43)/B52,0)</f>
        <v>0</v>
      </c>
      <c r="C53" s="191" t="s">
        <v>221</v>
      </c>
      <c r="D53" s="186"/>
      <c r="E53" s="186"/>
      <c r="F53" s="186"/>
      <c r="G53" s="186"/>
      <c r="H53" s="186"/>
      <c r="I53" s="186"/>
      <c r="J53" s="185"/>
    </row>
    <row r="54" spans="1:10" ht="15.75" customHeight="1" x14ac:dyDescent="0.25">
      <c r="A54" s="193" t="s">
        <v>220</v>
      </c>
      <c r="B54" s="192">
        <f>(IF(B53=0,0.5*B51*B52/B52, (B51-B53)*0.5+B53))*B21</f>
        <v>10.45480284314789</v>
      </c>
      <c r="C54" s="191" t="s">
        <v>219</v>
      </c>
      <c r="D54" s="186"/>
      <c r="E54" s="186"/>
      <c r="F54" s="186"/>
      <c r="G54" s="186"/>
      <c r="H54" s="186"/>
      <c r="I54" s="186"/>
      <c r="J54" s="185"/>
    </row>
    <row r="55" spans="1:10" ht="15.75" customHeight="1" x14ac:dyDescent="0.25">
      <c r="A55" s="190"/>
      <c r="B55" s="186"/>
      <c r="C55" s="186"/>
      <c r="D55" s="186"/>
      <c r="E55" s="186"/>
      <c r="F55" s="186"/>
      <c r="G55" s="186"/>
      <c r="H55" s="186"/>
      <c r="I55" s="186"/>
      <c r="J55" s="185"/>
    </row>
    <row r="56" spans="1:10" ht="15.75" customHeight="1" x14ac:dyDescent="0.25">
      <c r="A56" s="189" t="s">
        <v>218</v>
      </c>
      <c r="B56" s="188">
        <f>IF(B14=0,0,SUM(B54,B26))</f>
        <v>0</v>
      </c>
      <c r="C56" s="187" t="s">
        <v>217</v>
      </c>
      <c r="D56" s="186"/>
      <c r="E56" s="186"/>
      <c r="F56" s="186"/>
      <c r="G56" s="186"/>
      <c r="H56" s="186"/>
      <c r="I56" s="186"/>
      <c r="J56" s="185"/>
    </row>
    <row r="57" spans="1:10" ht="15.75" customHeight="1" x14ac:dyDescent="0.25">
      <c r="A57" s="184"/>
      <c r="B57" s="183"/>
      <c r="C57" s="183"/>
      <c r="D57" s="183"/>
      <c r="E57" s="183"/>
      <c r="F57" s="183"/>
      <c r="G57" s="183"/>
      <c r="H57" s="183"/>
      <c r="I57" s="183"/>
      <c r="J57" s="182"/>
    </row>
  </sheetData>
  <mergeCells count="10">
    <mergeCell ref="A5:J10"/>
    <mergeCell ref="U14:V14"/>
    <mergeCell ref="U15:V15"/>
    <mergeCell ref="D1:H1"/>
    <mergeCell ref="I1:J1"/>
    <mergeCell ref="D2:H2"/>
    <mergeCell ref="I2:J2"/>
    <mergeCell ref="A3:B3"/>
    <mergeCell ref="C3:I3"/>
    <mergeCell ref="C4:I4"/>
  </mergeCells>
  <printOptions horizontalCentered="1"/>
  <pageMargins left="0.7" right="0.7" top="0.75" bottom="0.75" header="0.3" footer="0.3"/>
  <pageSetup scale="90" orientation="portrait" r:id="rId1"/>
  <headerFooter alignWithMargins="0">
    <oddFooter>&amp;C&amp;"Verdana,Regular"&amp;8______________________________________________________________________________
160 SW 12TH AVENUE SUITE 106, DEERFIELD BEACH, FLORIDA 33442
PHONE: (954) 354-0660 – FAX: (954) 354-0443
ENGINEERINGEXPRESS.COM</oddFooter>
  </headerFooter>
  <customProperties>
    <customPr name="SSC_SHEET_GUID" r:id="rId2"/>
  </customProperties>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61"/>
  <sheetViews>
    <sheetView topLeftCell="D1" zoomScale="85" zoomScaleNormal="85" workbookViewId="0">
      <selection activeCell="E201" sqref="E201:F202"/>
    </sheetView>
  </sheetViews>
  <sheetFormatPr defaultRowHeight="12.75" x14ac:dyDescent="0.2"/>
  <cols>
    <col min="1" max="1" width="5.85546875" style="128" customWidth="1"/>
    <col min="2" max="3" width="7.42578125" style="128" customWidth="1"/>
    <col min="4" max="4" width="8" style="128" customWidth="1"/>
    <col min="5" max="5" width="14.140625" style="128" customWidth="1"/>
    <col min="6" max="6" width="8.5703125" style="128" customWidth="1"/>
    <col min="7" max="7" width="8.85546875" style="128" customWidth="1"/>
    <col min="8" max="8" width="10" style="128" customWidth="1"/>
    <col min="9" max="15" width="9.140625" style="128" customWidth="1"/>
    <col min="16" max="16" width="9.7109375" style="128" customWidth="1"/>
    <col min="17" max="17" width="9.140625" style="128" customWidth="1"/>
    <col min="18" max="18" width="6.42578125" style="128" customWidth="1"/>
    <col min="19" max="19" width="7.42578125" style="128" customWidth="1"/>
    <col min="20" max="20" width="7.85546875" style="128" customWidth="1"/>
    <col min="21" max="21" width="7.28515625" style="128" customWidth="1"/>
    <col min="22" max="22" width="9.42578125" style="128" customWidth="1"/>
    <col min="23" max="23" width="8.5703125" style="128" customWidth="1"/>
    <col min="24" max="26" width="9.140625" style="128" customWidth="1"/>
    <col min="27" max="27" width="6.5703125" style="128" customWidth="1"/>
    <col min="28" max="28" width="6.42578125" style="128" customWidth="1"/>
    <col min="29" max="29" width="7" style="128" customWidth="1"/>
    <col min="30" max="30" width="9.140625" style="128" customWidth="1"/>
    <col min="31" max="31" width="9.5703125" style="128" customWidth="1"/>
    <col min="32" max="35" width="9.140625" style="128"/>
    <col min="36" max="36" width="9.7109375" style="128" bestFit="1" customWidth="1"/>
    <col min="37" max="44" width="9.140625" style="128"/>
    <col min="45" max="45" width="11" style="128" customWidth="1"/>
    <col min="46" max="16384" width="9.140625" style="128"/>
  </cols>
  <sheetData>
    <row r="1" spans="1:46" x14ac:dyDescent="0.2">
      <c r="F1" s="129"/>
      <c r="G1" s="145" t="s">
        <v>116</v>
      </c>
      <c r="H1" s="145" t="s">
        <v>115</v>
      </c>
    </row>
    <row r="2" spans="1:46" x14ac:dyDescent="0.2">
      <c r="E2" s="146" t="s">
        <v>114</v>
      </c>
      <c r="F2" s="145" t="s">
        <v>113</v>
      </c>
      <c r="G2" s="129">
        <v>85</v>
      </c>
      <c r="H2" s="129">
        <v>41.72</v>
      </c>
    </row>
    <row r="3" spans="1:46" x14ac:dyDescent="0.2">
      <c r="E3" s="146" t="s">
        <v>112</v>
      </c>
      <c r="F3" s="145" t="s">
        <v>111</v>
      </c>
      <c r="G3" s="129">
        <v>36.700000000000003</v>
      </c>
      <c r="H3" s="129">
        <v>85</v>
      </c>
      <c r="M3" s="152"/>
      <c r="N3" s="152"/>
      <c r="O3" s="152"/>
      <c r="P3" s="152"/>
      <c r="Q3" s="152"/>
      <c r="R3" s="152"/>
      <c r="S3" s="152"/>
      <c r="T3" s="152"/>
      <c r="U3" s="152"/>
      <c r="V3" s="152"/>
      <c r="W3" s="152"/>
      <c r="X3" s="152"/>
      <c r="Y3" s="248" t="s">
        <v>20</v>
      </c>
      <c r="Z3" s="247">
        <v>16.11</v>
      </c>
      <c r="AA3" s="151"/>
      <c r="AB3" s="151"/>
      <c r="AF3" s="145" t="s">
        <v>21</v>
      </c>
      <c r="AG3" s="247">
        <v>7.21</v>
      </c>
    </row>
    <row r="4" spans="1:46" x14ac:dyDescent="0.2">
      <c r="A4" s="144" t="s">
        <v>149</v>
      </c>
      <c r="C4" s="143"/>
      <c r="D4" s="143"/>
      <c r="E4" s="146" t="s">
        <v>110</v>
      </c>
      <c r="F4" s="145" t="s">
        <v>109</v>
      </c>
      <c r="G4" s="129">
        <v>62.47</v>
      </c>
      <c r="H4" s="129">
        <v>30</v>
      </c>
      <c r="S4" s="144" t="s">
        <v>89</v>
      </c>
      <c r="T4" s="144" t="s">
        <v>89</v>
      </c>
      <c r="U4" s="144" t="s">
        <v>89</v>
      </c>
      <c r="V4" s="144" t="s">
        <v>89</v>
      </c>
      <c r="AB4" s="144" t="s">
        <v>90</v>
      </c>
      <c r="AC4" s="144"/>
    </row>
    <row r="5" spans="1:46" ht="12.75" customHeight="1" x14ac:dyDescent="0.2">
      <c r="A5" s="142"/>
      <c r="B5" s="141"/>
      <c r="C5" s="141"/>
      <c r="D5" s="141"/>
      <c r="E5" s="141"/>
      <c r="F5" s="141"/>
      <c r="G5" s="141"/>
      <c r="H5" s="141"/>
      <c r="I5" s="141"/>
      <c r="J5" s="141"/>
      <c r="K5" s="141"/>
      <c r="L5" s="150"/>
      <c r="M5" s="150"/>
      <c r="N5" s="150"/>
      <c r="O5" s="140" t="s">
        <v>107</v>
      </c>
      <c r="P5" s="139"/>
      <c r="Q5" s="139"/>
      <c r="R5" s="139"/>
      <c r="S5" s="139"/>
      <c r="T5" s="139"/>
      <c r="U5" s="139"/>
      <c r="V5" s="139"/>
      <c r="W5" s="139"/>
      <c r="X5" s="139"/>
      <c r="Y5" s="139"/>
      <c r="Z5" s="139"/>
      <c r="AA5" s="139"/>
      <c r="AB5" s="140" t="s">
        <v>148</v>
      </c>
      <c r="AC5" s="139"/>
      <c r="AD5" s="139"/>
      <c r="AE5" s="139"/>
      <c r="AF5" s="139"/>
      <c r="AG5" s="139"/>
      <c r="AH5" s="139"/>
      <c r="AI5" s="138"/>
      <c r="AJ5" s="545" t="s">
        <v>303</v>
      </c>
      <c r="AK5" s="546"/>
      <c r="AL5" s="547" t="s">
        <v>147</v>
      </c>
      <c r="AM5" s="545"/>
      <c r="AN5" s="545"/>
      <c r="AO5" s="545"/>
      <c r="AP5" s="545"/>
      <c r="AQ5" s="545"/>
      <c r="AR5" s="545"/>
      <c r="AS5" s="545"/>
      <c r="AT5" s="548"/>
    </row>
    <row r="6" spans="1:46" ht="76.5" x14ac:dyDescent="0.2">
      <c r="A6" s="137" t="s">
        <v>106</v>
      </c>
      <c r="B6" s="135" t="s">
        <v>105</v>
      </c>
      <c r="C6" s="149" t="s">
        <v>146</v>
      </c>
      <c r="D6" s="137" t="s">
        <v>145</v>
      </c>
      <c r="E6" s="149" t="s">
        <v>104</v>
      </c>
      <c r="F6" s="135" t="s">
        <v>144</v>
      </c>
      <c r="G6" s="137" t="s">
        <v>103</v>
      </c>
      <c r="H6" s="137" t="s">
        <v>102</v>
      </c>
      <c r="I6" s="137" t="s">
        <v>143</v>
      </c>
      <c r="J6" s="137" t="s">
        <v>142</v>
      </c>
      <c r="K6" s="137" t="s">
        <v>141</v>
      </c>
      <c r="L6" s="137" t="s">
        <v>140</v>
      </c>
      <c r="M6" s="137" t="s">
        <v>139</v>
      </c>
      <c r="N6" s="137" t="s">
        <v>138</v>
      </c>
      <c r="O6" s="135" t="s">
        <v>131</v>
      </c>
      <c r="P6" s="135" t="s">
        <v>130</v>
      </c>
      <c r="Q6" s="135" t="s">
        <v>137</v>
      </c>
      <c r="R6" s="135" t="s">
        <v>136</v>
      </c>
      <c r="S6" s="135" t="s">
        <v>135</v>
      </c>
      <c r="T6" s="135" t="s">
        <v>134</v>
      </c>
      <c r="U6" s="135" t="s">
        <v>133</v>
      </c>
      <c r="V6" s="135" t="s">
        <v>132</v>
      </c>
      <c r="W6" s="135" t="s">
        <v>99</v>
      </c>
      <c r="X6" s="135" t="s">
        <v>98</v>
      </c>
      <c r="Y6" s="135" t="s">
        <v>97</v>
      </c>
      <c r="Z6" s="135" t="s">
        <v>96</v>
      </c>
      <c r="AA6" s="135" t="s">
        <v>94</v>
      </c>
      <c r="AB6" s="148" t="s">
        <v>131</v>
      </c>
      <c r="AC6" s="148" t="s">
        <v>130</v>
      </c>
      <c r="AD6" s="148" t="s">
        <v>129</v>
      </c>
      <c r="AE6" s="148" t="s">
        <v>128</v>
      </c>
      <c r="AF6" s="148" t="s">
        <v>97</v>
      </c>
      <c r="AG6" s="148" t="s">
        <v>127</v>
      </c>
      <c r="AH6" s="148" t="s">
        <v>126</v>
      </c>
      <c r="AI6" s="148" t="s">
        <v>125</v>
      </c>
      <c r="AJ6" s="148" t="s">
        <v>124</v>
      </c>
      <c r="AK6" s="148" t="s">
        <v>123</v>
      </c>
      <c r="AL6" s="367" t="s">
        <v>495</v>
      </c>
      <c r="AM6" s="367" t="s">
        <v>496</v>
      </c>
      <c r="AN6" s="367" t="s">
        <v>490</v>
      </c>
      <c r="AO6" s="367" t="s">
        <v>491</v>
      </c>
      <c r="AP6" s="367" t="s">
        <v>497</v>
      </c>
      <c r="AQ6" s="367" t="s">
        <v>498</v>
      </c>
      <c r="AR6" s="147" t="s">
        <v>119</v>
      </c>
      <c r="AS6" s="147" t="s">
        <v>118</v>
      </c>
      <c r="AT6" s="137" t="s">
        <v>117</v>
      </c>
    </row>
    <row r="7" spans="1:46" x14ac:dyDescent="0.2">
      <c r="A7" s="134">
        <v>8</v>
      </c>
      <c r="B7" s="132">
        <v>21</v>
      </c>
      <c r="C7" s="132">
        <v>19.440000000000001</v>
      </c>
      <c r="D7" s="133">
        <v>30</v>
      </c>
      <c r="E7" s="132">
        <f t="shared" ref="E7:E19" si="0">32/A7</f>
        <v>4</v>
      </c>
      <c r="F7" s="132">
        <f>SQRT(8/((MAX(S7:T7)/12/(Z7*B7*1000))+(MAX(AB7:AC7)/12/(AG7*C7*1000))))/12</f>
        <v>2.9110039303423432</v>
      </c>
      <c r="G7" s="133">
        <v>85</v>
      </c>
      <c r="H7" s="133">
        <v>41.72</v>
      </c>
      <c r="I7" s="130">
        <f t="shared" ref="I7:I19" si="1">A7*1/2*G7*E7</f>
        <v>1360</v>
      </c>
      <c r="J7" s="130">
        <f t="shared" ref="J7:J19" si="2">A7*1/2*H7*E7</f>
        <v>667.52</v>
      </c>
      <c r="K7" s="130">
        <f t="shared" ref="K7:K19" si="3">(I7*A7*(1/3))/(A7*2/3)</f>
        <v>680</v>
      </c>
      <c r="L7" s="130">
        <f t="shared" ref="L7:L19" si="4">(J7*A7*(1/3))/(A7*2/3)</f>
        <v>333.76</v>
      </c>
      <c r="M7" s="130">
        <f t="shared" ref="M7:M19" si="5">(I7+K7)*(2/3)*A7/((TAN(D7/180*PI()))*(A7*2/3))</f>
        <v>3533.3836474405102</v>
      </c>
      <c r="N7" s="130">
        <f t="shared" ref="N7:N19" si="6">(J7+L7)*(2/3)*A7/((TAN(D7/180*PI()))*(A7*2/3))</f>
        <v>1734.2678326025657</v>
      </c>
      <c r="O7" s="130">
        <f t="shared" ref="O7:O19" si="7">K7/E7</f>
        <v>170</v>
      </c>
      <c r="P7" s="130">
        <f t="shared" ref="P7:P19" si="8">L7/E7</f>
        <v>83.44</v>
      </c>
      <c r="Q7" s="130">
        <f t="shared" ref="Q7:Q19" si="9">((1/2)*A7)*G7</f>
        <v>340</v>
      </c>
      <c r="R7" s="130">
        <f t="shared" ref="R7:R19" si="10">((1/2)*A7)*H7</f>
        <v>166.88</v>
      </c>
      <c r="S7" s="130">
        <f>Q7+O7</f>
        <v>510</v>
      </c>
      <c r="T7" s="130">
        <f>R7+P7</f>
        <v>250.32</v>
      </c>
      <c r="U7" s="130">
        <f t="shared" ref="U7:U19" si="11">Q7-O7</f>
        <v>170</v>
      </c>
      <c r="V7" s="130">
        <f t="shared" ref="V7:V19" si="12">R7-P7</f>
        <v>83.44</v>
      </c>
      <c r="W7" s="132">
        <f t="shared" ref="W7:W19" si="13">(S7*(F7^2))/8/1000</f>
        <v>0.54021392250737132</v>
      </c>
      <c r="X7" s="130">
        <f t="shared" ref="X7:X19" si="14">(T7*(F7^2))/8/1000</f>
        <v>0.26514970408244154</v>
      </c>
      <c r="Y7" s="130">
        <f t="shared" ref="Y7:Y19" si="15">MAX(W7,X7)</f>
        <v>0.54021392250737132</v>
      </c>
      <c r="Z7" s="131">
        <v>1.494</v>
      </c>
      <c r="AA7" s="132">
        <f t="shared" ref="AA7:AA19" si="16">(((Y7*12)/Z7)/B7)</f>
        <v>0.20662226907912462</v>
      </c>
      <c r="AB7" s="130">
        <f>M7/E7</f>
        <v>883.34591186012756</v>
      </c>
      <c r="AC7" s="130">
        <f t="shared" ref="AC7:AC19" si="17">N7/E7</f>
        <v>433.56695815064143</v>
      </c>
      <c r="AD7" s="132">
        <f t="shared" ref="AD7:AD19" si="18">(AB7*(F7^2))/8/1000</f>
        <v>0.93567796073884346</v>
      </c>
      <c r="AE7" s="132">
        <f t="shared" ref="AE7:AE19" si="19">(AC7*(F7^2))/8/1000</f>
        <v>0.45925275908264179</v>
      </c>
      <c r="AF7" s="130">
        <f t="shared" ref="AF7:AF19" si="20">MAX(AD7,AE7)</f>
        <v>0.93567796073884346</v>
      </c>
      <c r="AG7" s="131">
        <v>0.72799999999999998</v>
      </c>
      <c r="AH7" s="132">
        <f t="shared" ref="AH7:AH19" si="21">(((AF7*12)/AG7)/C7)</f>
        <v>0.79337773092087527</v>
      </c>
      <c r="AI7" s="130">
        <f t="shared" ref="AI7:AI19" si="22">AH7+AA7</f>
        <v>0.99999999999999989</v>
      </c>
      <c r="AJ7" s="130">
        <f t="shared" ref="AJ7:AJ19" si="23">MAX(M7:N7)*(F7/E7)</f>
        <v>2571.4234212766723</v>
      </c>
      <c r="AK7" s="130">
        <f t="shared" ref="AK7:AK19" si="24">MAX(K7:L7)*(F7/E7)</f>
        <v>494.87066815819833</v>
      </c>
      <c r="AL7" s="130">
        <f>(MIN((1/((V7)/$G$53)),(1/((U7/$G$53+(AB7/$F$53))))))</f>
        <v>0.72279140990600454</v>
      </c>
      <c r="AM7" s="130">
        <f>(MIN((1/((V7)/$G$54)),(1/((U7/$G$54+(AB7/$F$54))))))</f>
        <v>0.45791138116125046</v>
      </c>
      <c r="AN7" s="130">
        <f>(MIN((1/((V7)/$G$55)),(1/((U7/$G$55+(AB7/$F$55))))))</f>
        <v>0.95451563282114815</v>
      </c>
      <c r="AO7" s="130">
        <f>(MIN((1/((V7)/$G$56)),(1/((U7/$G$56+(AB7/$F$56))))))</f>
        <v>0.88223858370483621</v>
      </c>
      <c r="AP7" s="130">
        <f>(MIN((1/((V7)/$G$57)),(1/((U7/$G$57+(AB7/$F$57))))))</f>
        <v>0.39702692566461545</v>
      </c>
      <c r="AQ7" s="130">
        <f>(MIN((1/((V7)/$G$58)),(1/((U7/$G$58+(AB7/$F$58))))))</f>
        <v>0.38276534717173244</v>
      </c>
      <c r="AR7" s="130">
        <f>(MIN((1/((V7)/$G$59)),(1/((U7/$G$59+(AB7/$F$59))))))</f>
        <v>1.1264307197531849</v>
      </c>
      <c r="AS7" s="130">
        <f>(MIN((1/((V7)/$G$60)),(1/((U7/$G$60+(AB7/$F$60))))))</f>
        <v>1.5858143219129446</v>
      </c>
      <c r="AT7" s="130">
        <f>(MIN((1/((V7)/$G$61)),(1/((U7/$G$61+(AB7/$F$61))))))</f>
        <v>4.1162753986076721</v>
      </c>
    </row>
    <row r="8" spans="1:46" x14ac:dyDescent="0.2">
      <c r="A8" s="134">
        <v>7.5</v>
      </c>
      <c r="B8" s="132">
        <v>20.9</v>
      </c>
      <c r="C8" s="132">
        <v>19.440000000000001</v>
      </c>
      <c r="D8" s="133">
        <v>30</v>
      </c>
      <c r="E8" s="132">
        <f t="shared" si="0"/>
        <v>4.2666666666666666</v>
      </c>
      <c r="F8" s="132">
        <f t="shared" ref="F8:F19" si="25">SQRT(8/((MAX(S8:T8)/12/(Z8*B8*1000))+(MAX(AB8:AC8)/12/(AG8*C8*1000))))/12</f>
        <v>3.0049868983724681</v>
      </c>
      <c r="G8" s="133">
        <v>85</v>
      </c>
      <c r="H8" s="133">
        <v>41.72</v>
      </c>
      <c r="I8" s="130">
        <f t="shared" si="1"/>
        <v>1360</v>
      </c>
      <c r="J8" s="130">
        <f t="shared" si="2"/>
        <v>667.52</v>
      </c>
      <c r="K8" s="130">
        <f t="shared" si="3"/>
        <v>680</v>
      </c>
      <c r="L8" s="130">
        <f t="shared" si="4"/>
        <v>333.75999999999993</v>
      </c>
      <c r="M8" s="130">
        <f t="shared" si="5"/>
        <v>3533.3836474405098</v>
      </c>
      <c r="N8" s="130">
        <f t="shared" si="6"/>
        <v>1734.2678326025655</v>
      </c>
      <c r="O8" s="130">
        <f t="shared" si="7"/>
        <v>159.375</v>
      </c>
      <c r="P8" s="130">
        <f t="shared" si="8"/>
        <v>78.22499999999998</v>
      </c>
      <c r="Q8" s="130">
        <f t="shared" si="9"/>
        <v>318.75</v>
      </c>
      <c r="R8" s="130">
        <f t="shared" si="10"/>
        <v>156.44999999999999</v>
      </c>
      <c r="S8" s="130">
        <f t="shared" ref="S8:S19" si="26">Q8+O8</f>
        <v>478.125</v>
      </c>
      <c r="T8" s="130">
        <f t="shared" ref="T8:T19" si="27">R8+P8</f>
        <v>234.67499999999995</v>
      </c>
      <c r="U8" s="130">
        <f t="shared" si="11"/>
        <v>159.375</v>
      </c>
      <c r="V8" s="130">
        <f t="shared" si="12"/>
        <v>78.225000000000009</v>
      </c>
      <c r="W8" s="132">
        <f t="shared" si="13"/>
        <v>0.53968038190886658</v>
      </c>
      <c r="X8" s="130">
        <f t="shared" si="14"/>
        <v>0.26488782980279896</v>
      </c>
      <c r="Y8" s="130">
        <f t="shared" si="15"/>
        <v>0.53968038190886658</v>
      </c>
      <c r="Z8" s="131">
        <v>1.494</v>
      </c>
      <c r="AA8" s="132">
        <f t="shared" si="16"/>
        <v>0.20740584612473498</v>
      </c>
      <c r="AB8" s="130">
        <f t="shared" ref="AB8:AB19" si="28">M8/E8</f>
        <v>828.13679236886946</v>
      </c>
      <c r="AC8" s="130">
        <f t="shared" si="17"/>
        <v>406.46902326622632</v>
      </c>
      <c r="AD8" s="132">
        <f t="shared" si="18"/>
        <v>0.93475384131433259</v>
      </c>
      <c r="AE8" s="130">
        <f t="shared" si="19"/>
        <v>0.45879917952510541</v>
      </c>
      <c r="AF8" s="130">
        <f t="shared" si="20"/>
        <v>0.93475384131433259</v>
      </c>
      <c r="AG8" s="131">
        <v>0.72799999999999998</v>
      </c>
      <c r="AH8" s="132">
        <f t="shared" si="21"/>
        <v>0.792594153875265</v>
      </c>
      <c r="AI8" s="130">
        <f t="shared" si="22"/>
        <v>1</v>
      </c>
      <c r="AJ8" s="130">
        <f t="shared" si="23"/>
        <v>2488.5402111286539</v>
      </c>
      <c r="AK8" s="130">
        <f t="shared" si="24"/>
        <v>478.91978692811216</v>
      </c>
      <c r="AL8" s="130">
        <f t="shared" ref="AL8:AL19" si="29">(MIN((1/((V8)/$G$53)),(1/((U8/$G$53+(AB8/$F$53))))))</f>
        <v>0.7709775038997384</v>
      </c>
      <c r="AM8" s="130">
        <f t="shared" ref="AM8:AM19" si="30">(MIN((1/((V8)/$G$54)),(1/((U8/$G$54+(AB8/$F$54))))))</f>
        <v>0.48843880657200056</v>
      </c>
      <c r="AN8" s="130">
        <f t="shared" ref="AN8:AN19" si="31">(MIN((1/((V8)/$G$55)),(1/((U8/$G$55+(AB8/$F$55))))))</f>
        <v>1.0181500083425581</v>
      </c>
      <c r="AO8" s="130">
        <f t="shared" ref="AO8:AO19" si="32">(MIN((1/((V8)/$G$56)),(1/((U8/$G$56+(AB8/$F$56))))))</f>
        <v>0.94105448928515878</v>
      </c>
      <c r="AP8" s="130">
        <f t="shared" ref="AP8:AP19" si="33">(MIN((1/((V8)/$G$57)),(1/((U8/$G$57+(AB8/$F$57))))))</f>
        <v>0.42349538737558984</v>
      </c>
      <c r="AQ8" s="130">
        <f t="shared" ref="AQ8:AQ19" si="34">(MIN((1/((V8)/$G$58)),(1/((U8/$G$58+(AB8/$F$58))))))</f>
        <v>0.40828303698318125</v>
      </c>
      <c r="AR8" s="130">
        <f t="shared" ref="AR8:AR19" si="35">(MIN((1/((V8)/$G$59)),(1/((U8/$G$59+(AB8/$F$59))))))</f>
        <v>1.201526101070064</v>
      </c>
      <c r="AS8" s="130">
        <f t="shared" ref="AS8:AS19" si="36">(MIN((1/((V8)/$G$60)),(1/((U8/$G$60+(AB8/$F$60))))))</f>
        <v>1.6915352767071408</v>
      </c>
      <c r="AT8" s="130">
        <f t="shared" ref="AT8:AT19" si="37">(MIN((1/((V8)/$G$61)),(1/((U8/$G$61+(AB8/$F$61))))))</f>
        <v>4.3906937585148507</v>
      </c>
    </row>
    <row r="9" spans="1:46" x14ac:dyDescent="0.2">
      <c r="A9" s="134">
        <v>7</v>
      </c>
      <c r="B9" s="132">
        <v>20.8</v>
      </c>
      <c r="C9" s="132">
        <v>19.440000000000001</v>
      </c>
      <c r="D9" s="133">
        <v>30</v>
      </c>
      <c r="E9" s="132">
        <f t="shared" si="0"/>
        <v>4.5714285714285712</v>
      </c>
      <c r="F9" s="132">
        <f t="shared" si="25"/>
        <v>3.1089073201175048</v>
      </c>
      <c r="G9" s="133">
        <v>85</v>
      </c>
      <c r="H9" s="133">
        <v>41.72</v>
      </c>
      <c r="I9" s="130">
        <f t="shared" si="1"/>
        <v>1360</v>
      </c>
      <c r="J9" s="130">
        <f t="shared" si="2"/>
        <v>667.51999999999987</v>
      </c>
      <c r="K9" s="130">
        <f t="shared" si="3"/>
        <v>679.99999999999989</v>
      </c>
      <c r="L9" s="130">
        <f t="shared" si="4"/>
        <v>333.75999999999993</v>
      </c>
      <c r="M9" s="130">
        <f t="shared" si="5"/>
        <v>3533.3836474405098</v>
      </c>
      <c r="N9" s="130">
        <f t="shared" si="6"/>
        <v>1734.2678326025648</v>
      </c>
      <c r="O9" s="130">
        <f t="shared" si="7"/>
        <v>148.74999999999997</v>
      </c>
      <c r="P9" s="130">
        <f t="shared" si="8"/>
        <v>73.009999999999991</v>
      </c>
      <c r="Q9" s="130">
        <f t="shared" si="9"/>
        <v>297.5</v>
      </c>
      <c r="R9" s="130">
        <f t="shared" si="10"/>
        <v>146.01999999999998</v>
      </c>
      <c r="S9" s="130">
        <f t="shared" si="26"/>
        <v>446.25</v>
      </c>
      <c r="T9" s="130">
        <f t="shared" si="27"/>
        <v>219.02999999999997</v>
      </c>
      <c r="U9" s="130">
        <f t="shared" si="11"/>
        <v>148.75000000000003</v>
      </c>
      <c r="V9" s="130">
        <f t="shared" si="12"/>
        <v>73.009999999999991</v>
      </c>
      <c r="W9" s="132">
        <f t="shared" si="13"/>
        <v>0.53914277919588016</v>
      </c>
      <c r="X9" s="130">
        <f t="shared" si="14"/>
        <v>0.26462396174178965</v>
      </c>
      <c r="Y9" s="130">
        <f t="shared" si="15"/>
        <v>0.53914277919588016</v>
      </c>
      <c r="Z9" s="131">
        <v>1.494</v>
      </c>
      <c r="AA9" s="132">
        <f t="shared" si="16"/>
        <v>0.20819538893878595</v>
      </c>
      <c r="AB9" s="130">
        <f t="shared" si="28"/>
        <v>772.9276728776116</v>
      </c>
      <c r="AC9" s="130">
        <f t="shared" si="17"/>
        <v>379.37108838181109</v>
      </c>
      <c r="AD9" s="132">
        <f t="shared" si="18"/>
        <v>0.93382268610115327</v>
      </c>
      <c r="AE9" s="130">
        <f t="shared" si="19"/>
        <v>0.45834214663694234</v>
      </c>
      <c r="AF9" s="130">
        <f t="shared" si="20"/>
        <v>0.93382268610115327</v>
      </c>
      <c r="AG9" s="131">
        <v>0.72799999999999998</v>
      </c>
      <c r="AH9" s="132">
        <f t="shared" si="21"/>
        <v>0.7918046110612138</v>
      </c>
      <c r="AI9" s="130">
        <f t="shared" si="22"/>
        <v>0.99999999999999978</v>
      </c>
      <c r="AJ9" s="130">
        <f t="shared" si="23"/>
        <v>2402.9605001305949</v>
      </c>
      <c r="AK9" s="130">
        <f t="shared" si="24"/>
        <v>462.4499638674788</v>
      </c>
      <c r="AL9" s="130">
        <f t="shared" si="29"/>
        <v>0.82604732560686245</v>
      </c>
      <c r="AM9" s="130">
        <f t="shared" si="30"/>
        <v>0.52332729275571488</v>
      </c>
      <c r="AN9" s="130">
        <f t="shared" si="31"/>
        <v>1.0908750089384551</v>
      </c>
      <c r="AO9" s="130">
        <f t="shared" si="32"/>
        <v>1.0082726670912414</v>
      </c>
      <c r="AP9" s="130">
        <f t="shared" si="33"/>
        <v>0.45374505790241765</v>
      </c>
      <c r="AQ9" s="130">
        <f t="shared" si="34"/>
        <v>0.43744611105340847</v>
      </c>
      <c r="AR9" s="130">
        <f t="shared" si="35"/>
        <v>1.2873493940036398</v>
      </c>
      <c r="AS9" s="130">
        <f t="shared" si="36"/>
        <v>1.8123592250433649</v>
      </c>
      <c r="AT9" s="130">
        <f t="shared" si="37"/>
        <v>4.7043147412659101</v>
      </c>
    </row>
    <row r="10" spans="1:46" x14ac:dyDescent="0.2">
      <c r="A10" s="134">
        <v>6.5</v>
      </c>
      <c r="B10" s="132">
        <v>20.68</v>
      </c>
      <c r="C10" s="132">
        <v>19.440000000000001</v>
      </c>
      <c r="D10" s="133">
        <v>30</v>
      </c>
      <c r="E10" s="132">
        <f t="shared" si="0"/>
        <v>4.9230769230769234</v>
      </c>
      <c r="F10" s="132">
        <f t="shared" si="25"/>
        <v>3.2243185402873067</v>
      </c>
      <c r="G10" s="133">
        <v>85</v>
      </c>
      <c r="H10" s="133">
        <v>41.72</v>
      </c>
      <c r="I10" s="130">
        <f t="shared" si="1"/>
        <v>1360</v>
      </c>
      <c r="J10" s="130">
        <f t="shared" si="2"/>
        <v>667.5200000000001</v>
      </c>
      <c r="K10" s="130">
        <f t="shared" si="3"/>
        <v>680</v>
      </c>
      <c r="L10" s="130">
        <f t="shared" si="4"/>
        <v>333.76000000000005</v>
      </c>
      <c r="M10" s="130">
        <f t="shared" si="5"/>
        <v>3533.3836474405102</v>
      </c>
      <c r="N10" s="130">
        <f t="shared" si="6"/>
        <v>1734.2678326025662</v>
      </c>
      <c r="O10" s="130">
        <f t="shared" si="7"/>
        <v>138.125</v>
      </c>
      <c r="P10" s="130">
        <f t="shared" si="8"/>
        <v>67.795000000000002</v>
      </c>
      <c r="Q10" s="130">
        <f t="shared" si="9"/>
        <v>276.25</v>
      </c>
      <c r="R10" s="130">
        <f t="shared" si="10"/>
        <v>135.59</v>
      </c>
      <c r="S10" s="130">
        <f t="shared" si="26"/>
        <v>414.375</v>
      </c>
      <c r="T10" s="130">
        <f t="shared" si="27"/>
        <v>203.38499999999999</v>
      </c>
      <c r="U10" s="130">
        <f t="shared" si="11"/>
        <v>138.125</v>
      </c>
      <c r="V10" s="130">
        <f t="shared" si="12"/>
        <v>67.795000000000002</v>
      </c>
      <c r="W10" s="132">
        <f t="shared" si="13"/>
        <v>0.53849222833175237</v>
      </c>
      <c r="X10" s="130">
        <f t="shared" si="14"/>
        <v>0.26430465607059661</v>
      </c>
      <c r="Y10" s="130">
        <f t="shared" si="15"/>
        <v>0.53849222833175237</v>
      </c>
      <c r="Z10" s="131">
        <v>1.494</v>
      </c>
      <c r="AA10" s="132">
        <f t="shared" si="16"/>
        <v>0.20915081149812106</v>
      </c>
      <c r="AB10" s="130">
        <f t="shared" si="28"/>
        <v>717.71855338635362</v>
      </c>
      <c r="AC10" s="130">
        <f t="shared" si="17"/>
        <v>352.27315349739621</v>
      </c>
      <c r="AD10" s="132">
        <f t="shared" si="18"/>
        <v>0.93269589895157612</v>
      </c>
      <c r="AE10" s="130">
        <f t="shared" si="19"/>
        <v>0.45778909299129134</v>
      </c>
      <c r="AF10" s="130">
        <f t="shared" si="20"/>
        <v>0.93269589895157612</v>
      </c>
      <c r="AG10" s="131">
        <v>0.72799999999999998</v>
      </c>
      <c r="AH10" s="132">
        <f t="shared" si="21"/>
        <v>0.79084918850187902</v>
      </c>
      <c r="AI10" s="130">
        <f t="shared" si="22"/>
        <v>1</v>
      </c>
      <c r="AJ10" s="130">
        <f t="shared" si="23"/>
        <v>2314.1532383918052</v>
      </c>
      <c r="AK10" s="130">
        <f t="shared" si="24"/>
        <v>445.35899837718426</v>
      </c>
      <c r="AL10" s="130">
        <f t="shared" si="29"/>
        <v>0.88958942757662107</v>
      </c>
      <c r="AM10" s="130">
        <f t="shared" si="30"/>
        <v>0.56358323835230828</v>
      </c>
      <c r="AN10" s="130">
        <f t="shared" si="31"/>
        <v>1.17478847116449</v>
      </c>
      <c r="AO10" s="130">
        <f t="shared" si="32"/>
        <v>1.0858321030213369</v>
      </c>
      <c r="AP10" s="130">
        <f t="shared" si="33"/>
        <v>0.48864852389491137</v>
      </c>
      <c r="AQ10" s="130">
        <f t="shared" si="34"/>
        <v>0.47109581190367067</v>
      </c>
      <c r="AR10" s="130">
        <f t="shared" si="35"/>
        <v>1.3863762704654583</v>
      </c>
      <c r="AS10" s="130">
        <f t="shared" si="36"/>
        <v>1.9517714731236238</v>
      </c>
      <c r="AT10" s="130">
        <f t="shared" si="37"/>
        <v>5.0661851059786738</v>
      </c>
    </row>
    <row r="11" spans="1:46" x14ac:dyDescent="0.2">
      <c r="A11" s="134">
        <v>6</v>
      </c>
      <c r="B11" s="132">
        <v>20.55</v>
      </c>
      <c r="C11" s="132">
        <v>19.440000000000001</v>
      </c>
      <c r="D11" s="133">
        <v>30</v>
      </c>
      <c r="E11" s="132">
        <f t="shared" si="0"/>
        <v>5.333333333333333</v>
      </c>
      <c r="F11" s="132">
        <f t="shared" si="25"/>
        <v>3.3537592004959293</v>
      </c>
      <c r="G11" s="133">
        <v>85</v>
      </c>
      <c r="H11" s="133">
        <v>41.72</v>
      </c>
      <c r="I11" s="130">
        <f t="shared" si="1"/>
        <v>1360</v>
      </c>
      <c r="J11" s="130">
        <f t="shared" si="2"/>
        <v>667.52</v>
      </c>
      <c r="K11" s="130">
        <f t="shared" si="3"/>
        <v>680</v>
      </c>
      <c r="L11" s="130">
        <f t="shared" si="4"/>
        <v>333.76</v>
      </c>
      <c r="M11" s="130">
        <f t="shared" si="5"/>
        <v>3533.3836474405098</v>
      </c>
      <c r="N11" s="130">
        <f t="shared" si="6"/>
        <v>1734.2678326025655</v>
      </c>
      <c r="O11" s="130">
        <f t="shared" si="7"/>
        <v>127.5</v>
      </c>
      <c r="P11" s="130">
        <f t="shared" si="8"/>
        <v>62.58</v>
      </c>
      <c r="Q11" s="130">
        <f t="shared" si="9"/>
        <v>255</v>
      </c>
      <c r="R11" s="130">
        <f t="shared" si="10"/>
        <v>125.16</v>
      </c>
      <c r="S11" s="130">
        <f t="shared" si="26"/>
        <v>382.5</v>
      </c>
      <c r="T11" s="130">
        <f t="shared" si="27"/>
        <v>187.74</v>
      </c>
      <c r="U11" s="130">
        <f t="shared" si="11"/>
        <v>127.5</v>
      </c>
      <c r="V11" s="130">
        <f t="shared" si="12"/>
        <v>62.58</v>
      </c>
      <c r="W11" s="132">
        <f t="shared" si="13"/>
        <v>0.53778069330043676</v>
      </c>
      <c r="X11" s="130">
        <f t="shared" si="14"/>
        <v>0.26395541793522614</v>
      </c>
      <c r="Y11" s="130">
        <f t="shared" si="15"/>
        <v>0.53778069330043676</v>
      </c>
      <c r="Z11" s="131">
        <v>1.494</v>
      </c>
      <c r="AA11" s="132">
        <f t="shared" si="16"/>
        <v>0.21019579761398363</v>
      </c>
      <c r="AB11" s="130">
        <f t="shared" si="28"/>
        <v>662.50943389509564</v>
      </c>
      <c r="AC11" s="130">
        <f t="shared" si="17"/>
        <v>325.17521861298104</v>
      </c>
      <c r="AD11" s="132">
        <f t="shared" si="18"/>
        <v>0.93146348412597224</v>
      </c>
      <c r="AE11" s="130">
        <f t="shared" si="19"/>
        <v>0.45718419479688899</v>
      </c>
      <c r="AF11" s="130">
        <f t="shared" si="20"/>
        <v>0.93146348412597224</v>
      </c>
      <c r="AG11" s="131">
        <v>0.72799999999999998</v>
      </c>
      <c r="AH11" s="132">
        <f t="shared" si="21"/>
        <v>0.78980420238601634</v>
      </c>
      <c r="AI11" s="130">
        <f t="shared" si="22"/>
        <v>1</v>
      </c>
      <c r="AJ11" s="130">
        <f t="shared" si="23"/>
        <v>2221.8971093410264</v>
      </c>
      <c r="AK11" s="130">
        <f t="shared" si="24"/>
        <v>427.604298063231</v>
      </c>
      <c r="AL11" s="130">
        <f t="shared" si="29"/>
        <v>0.96372187987467295</v>
      </c>
      <c r="AM11" s="130">
        <f t="shared" si="30"/>
        <v>0.61054850821500073</v>
      </c>
      <c r="AN11" s="130">
        <f t="shared" si="31"/>
        <v>1.2726875104281976</v>
      </c>
      <c r="AO11" s="130">
        <f t="shared" si="32"/>
        <v>1.1763181116064483</v>
      </c>
      <c r="AP11" s="130">
        <f t="shared" si="33"/>
        <v>0.52936923421948734</v>
      </c>
      <c r="AQ11" s="130">
        <f t="shared" si="34"/>
        <v>0.51035379622897659</v>
      </c>
      <c r="AR11" s="130">
        <f t="shared" si="35"/>
        <v>1.5019076263375799</v>
      </c>
      <c r="AS11" s="130">
        <f t="shared" si="36"/>
        <v>2.1144190958839255</v>
      </c>
      <c r="AT11" s="130">
        <f t="shared" si="37"/>
        <v>5.4883671981435631</v>
      </c>
    </row>
    <row r="12" spans="1:46" x14ac:dyDescent="0.2">
      <c r="A12" s="134">
        <v>5.5</v>
      </c>
      <c r="B12" s="132">
        <v>20.41</v>
      </c>
      <c r="C12" s="132">
        <v>19.440000000000001</v>
      </c>
      <c r="D12" s="133">
        <v>30</v>
      </c>
      <c r="E12" s="132">
        <f t="shared" si="0"/>
        <v>5.8181818181818183</v>
      </c>
      <c r="F12" s="132">
        <f t="shared" si="25"/>
        <v>3.500364714109502</v>
      </c>
      <c r="G12" s="133">
        <v>85</v>
      </c>
      <c r="H12" s="133">
        <v>41.72</v>
      </c>
      <c r="I12" s="130">
        <f t="shared" si="1"/>
        <v>1360</v>
      </c>
      <c r="J12" s="130">
        <f t="shared" si="2"/>
        <v>667.52</v>
      </c>
      <c r="K12" s="130">
        <f t="shared" si="3"/>
        <v>680</v>
      </c>
      <c r="L12" s="130">
        <f t="shared" si="4"/>
        <v>333.75999999999993</v>
      </c>
      <c r="M12" s="130">
        <f t="shared" si="5"/>
        <v>3533.3836474405102</v>
      </c>
      <c r="N12" s="130">
        <f t="shared" si="6"/>
        <v>1734.2678326025657</v>
      </c>
      <c r="O12" s="130">
        <f t="shared" si="7"/>
        <v>116.875</v>
      </c>
      <c r="P12" s="130">
        <f t="shared" si="8"/>
        <v>57.364999999999988</v>
      </c>
      <c r="Q12" s="130">
        <f t="shared" si="9"/>
        <v>233.75</v>
      </c>
      <c r="R12" s="130">
        <f t="shared" si="10"/>
        <v>114.72999999999999</v>
      </c>
      <c r="S12" s="130">
        <f t="shared" si="26"/>
        <v>350.625</v>
      </c>
      <c r="T12" s="130">
        <f t="shared" si="27"/>
        <v>172.09499999999997</v>
      </c>
      <c r="U12" s="130">
        <f t="shared" si="11"/>
        <v>116.875</v>
      </c>
      <c r="V12" s="130">
        <f t="shared" si="12"/>
        <v>57.365000000000002</v>
      </c>
      <c r="W12" s="132">
        <f t="shared" si="13"/>
        <v>0.53700643022892225</v>
      </c>
      <c r="X12" s="130">
        <f t="shared" si="14"/>
        <v>0.26357539140177216</v>
      </c>
      <c r="Y12" s="130">
        <f t="shared" si="15"/>
        <v>0.53700643022892225</v>
      </c>
      <c r="Z12" s="131">
        <v>1.494</v>
      </c>
      <c r="AA12" s="132">
        <f t="shared" si="16"/>
        <v>0.21133290840143415</v>
      </c>
      <c r="AB12" s="130">
        <f t="shared" si="28"/>
        <v>607.30031440383766</v>
      </c>
      <c r="AC12" s="130">
        <f t="shared" si="17"/>
        <v>298.07728372856599</v>
      </c>
      <c r="AD12" s="132">
        <f t="shared" si="18"/>
        <v>0.93012242114768484</v>
      </c>
      <c r="AE12" s="130">
        <f t="shared" si="19"/>
        <v>0.45652596953272251</v>
      </c>
      <c r="AF12" s="130">
        <f t="shared" si="20"/>
        <v>0.93012242114768484</v>
      </c>
      <c r="AG12" s="131">
        <v>0.72799999999999998</v>
      </c>
      <c r="AH12" s="132">
        <f t="shared" si="21"/>
        <v>0.78866709159856607</v>
      </c>
      <c r="AI12" s="130">
        <f t="shared" si="22"/>
        <v>1.0000000000000002</v>
      </c>
      <c r="AJ12" s="130">
        <f t="shared" si="23"/>
        <v>2125.7725914068001</v>
      </c>
      <c r="AK12" s="130">
        <f t="shared" si="24"/>
        <v>409.10512596154808</v>
      </c>
      <c r="AL12" s="130">
        <f t="shared" si="29"/>
        <v>1.0513329598632795</v>
      </c>
      <c r="AM12" s="130">
        <f t="shared" si="30"/>
        <v>0.66605291805272804</v>
      </c>
      <c r="AN12" s="130">
        <f t="shared" si="31"/>
        <v>1.3883863750125791</v>
      </c>
      <c r="AO12" s="130">
        <f t="shared" si="32"/>
        <v>1.2832561217524894</v>
      </c>
      <c r="AP12" s="130">
        <f t="shared" si="33"/>
        <v>0.57749371005762251</v>
      </c>
      <c r="AQ12" s="130">
        <f t="shared" si="34"/>
        <v>0.55674959588615625</v>
      </c>
      <c r="AR12" s="130">
        <f t="shared" si="35"/>
        <v>1.63844468327736</v>
      </c>
      <c r="AS12" s="130">
        <f t="shared" si="36"/>
        <v>2.3066390136915556</v>
      </c>
      <c r="AT12" s="130">
        <f t="shared" si="37"/>
        <v>5.9873096707020697</v>
      </c>
    </row>
    <row r="13" spans="1:46" x14ac:dyDescent="0.2">
      <c r="A13" s="134">
        <v>5</v>
      </c>
      <c r="B13" s="132">
        <v>20.239999999999998</v>
      </c>
      <c r="C13" s="132">
        <v>19.440000000000001</v>
      </c>
      <c r="D13" s="133">
        <v>30</v>
      </c>
      <c r="E13" s="132">
        <f t="shared" si="0"/>
        <v>6.4</v>
      </c>
      <c r="F13" s="132">
        <f t="shared" si="25"/>
        <v>3.6679595593223682</v>
      </c>
      <c r="G13" s="133">
        <v>85</v>
      </c>
      <c r="H13" s="133">
        <v>41.72</v>
      </c>
      <c r="I13" s="130">
        <f t="shared" si="1"/>
        <v>1360</v>
      </c>
      <c r="J13" s="130">
        <f t="shared" si="2"/>
        <v>667.52</v>
      </c>
      <c r="K13" s="130">
        <f t="shared" si="3"/>
        <v>679.99999999999989</v>
      </c>
      <c r="L13" s="130">
        <f t="shared" si="4"/>
        <v>333.76</v>
      </c>
      <c r="M13" s="130">
        <f t="shared" si="5"/>
        <v>3533.3836474405098</v>
      </c>
      <c r="N13" s="130">
        <f t="shared" si="6"/>
        <v>1734.2678326025655</v>
      </c>
      <c r="O13" s="130">
        <f t="shared" si="7"/>
        <v>106.24999999999997</v>
      </c>
      <c r="P13" s="130">
        <f t="shared" si="8"/>
        <v>52.15</v>
      </c>
      <c r="Q13" s="130">
        <f t="shared" si="9"/>
        <v>212.5</v>
      </c>
      <c r="R13" s="130">
        <f t="shared" si="10"/>
        <v>104.3</v>
      </c>
      <c r="S13" s="130">
        <f t="shared" si="26"/>
        <v>318.75</v>
      </c>
      <c r="T13" s="130">
        <f t="shared" si="27"/>
        <v>156.44999999999999</v>
      </c>
      <c r="U13" s="130">
        <f t="shared" si="11"/>
        <v>106.25000000000003</v>
      </c>
      <c r="V13" s="130">
        <f t="shared" si="12"/>
        <v>52.15</v>
      </c>
      <c r="W13" s="132">
        <f t="shared" si="13"/>
        <v>0.53605491700784491</v>
      </c>
      <c r="X13" s="130">
        <f t="shared" si="14"/>
        <v>0.26310836632432105</v>
      </c>
      <c r="Y13" s="130">
        <f t="shared" si="15"/>
        <v>0.53605491700784491</v>
      </c>
      <c r="Z13" s="131">
        <v>1.494</v>
      </c>
      <c r="AA13" s="132">
        <f t="shared" si="16"/>
        <v>0.21273033517780407</v>
      </c>
      <c r="AB13" s="130">
        <f t="shared" si="28"/>
        <v>552.09119491257957</v>
      </c>
      <c r="AC13" s="130">
        <f t="shared" si="17"/>
        <v>270.97934884415082</v>
      </c>
      <c r="AD13" s="132">
        <f t="shared" si="18"/>
        <v>0.92847435190470518</v>
      </c>
      <c r="AE13" s="130">
        <f t="shared" si="19"/>
        <v>0.45571705837016824</v>
      </c>
      <c r="AF13" s="130">
        <f t="shared" si="20"/>
        <v>0.92847435190470518</v>
      </c>
      <c r="AG13" s="131">
        <v>0.72799999999999998</v>
      </c>
      <c r="AH13" s="132">
        <f t="shared" si="21"/>
        <v>0.78726966482219607</v>
      </c>
      <c r="AI13" s="130">
        <f t="shared" si="22"/>
        <v>1.0000000000000002</v>
      </c>
      <c r="AJ13" s="130">
        <f t="shared" si="23"/>
        <v>2025.0481759973052</v>
      </c>
      <c r="AK13" s="130">
        <f t="shared" si="24"/>
        <v>389.72070317800154</v>
      </c>
      <c r="AL13" s="130">
        <f t="shared" si="29"/>
        <v>1.1564662558496077</v>
      </c>
      <c r="AM13" s="130">
        <f t="shared" si="30"/>
        <v>0.73265820985800112</v>
      </c>
      <c r="AN13" s="130">
        <f t="shared" si="31"/>
        <v>1.5272250125138374</v>
      </c>
      <c r="AO13" s="130">
        <f t="shared" si="32"/>
        <v>1.4115817339277383</v>
      </c>
      <c r="AP13" s="130">
        <f t="shared" si="33"/>
        <v>0.63524308106338501</v>
      </c>
      <c r="AQ13" s="130">
        <f t="shared" si="34"/>
        <v>0.61242455547477204</v>
      </c>
      <c r="AR13" s="130">
        <f t="shared" si="35"/>
        <v>1.8022891516050958</v>
      </c>
      <c r="AS13" s="130">
        <f t="shared" si="36"/>
        <v>2.5373029150607112</v>
      </c>
      <c r="AT13" s="130">
        <f t="shared" si="37"/>
        <v>6.5860406377722764</v>
      </c>
    </row>
    <row r="14" spans="1:46" x14ac:dyDescent="0.2">
      <c r="A14" s="134">
        <v>4.5</v>
      </c>
      <c r="B14" s="132">
        <v>20.04</v>
      </c>
      <c r="C14" s="132">
        <v>19.440000000000001</v>
      </c>
      <c r="D14" s="133">
        <v>30</v>
      </c>
      <c r="E14" s="132">
        <f t="shared" si="0"/>
        <v>7.1111111111111107</v>
      </c>
      <c r="F14" s="132">
        <f t="shared" si="25"/>
        <v>3.8622711200681343</v>
      </c>
      <c r="G14" s="133">
        <v>85</v>
      </c>
      <c r="H14" s="133">
        <v>41.72</v>
      </c>
      <c r="I14" s="130">
        <f t="shared" si="1"/>
        <v>1360</v>
      </c>
      <c r="J14" s="130">
        <f t="shared" si="2"/>
        <v>667.52</v>
      </c>
      <c r="K14" s="130">
        <f t="shared" si="3"/>
        <v>680</v>
      </c>
      <c r="L14" s="130">
        <f t="shared" si="4"/>
        <v>333.76</v>
      </c>
      <c r="M14" s="130">
        <f t="shared" si="5"/>
        <v>3533.3836474405098</v>
      </c>
      <c r="N14" s="130">
        <f t="shared" si="6"/>
        <v>1734.2678326025657</v>
      </c>
      <c r="O14" s="130">
        <f t="shared" si="7"/>
        <v>95.625</v>
      </c>
      <c r="P14" s="130">
        <f t="shared" si="8"/>
        <v>46.935000000000002</v>
      </c>
      <c r="Q14" s="130">
        <f t="shared" si="9"/>
        <v>191.25</v>
      </c>
      <c r="R14" s="130">
        <f t="shared" si="10"/>
        <v>93.87</v>
      </c>
      <c r="S14" s="130">
        <f t="shared" si="26"/>
        <v>286.875</v>
      </c>
      <c r="T14" s="130">
        <f t="shared" si="27"/>
        <v>140.80500000000001</v>
      </c>
      <c r="U14" s="130">
        <f t="shared" si="11"/>
        <v>95.625</v>
      </c>
      <c r="V14" s="130">
        <f t="shared" si="12"/>
        <v>46.935000000000002</v>
      </c>
      <c r="W14" s="132">
        <f t="shared" si="13"/>
        <v>0.5349192528167791</v>
      </c>
      <c r="X14" s="130">
        <f t="shared" si="14"/>
        <v>0.26255095561783565</v>
      </c>
      <c r="Y14" s="130">
        <f t="shared" si="15"/>
        <v>0.5349192528167791</v>
      </c>
      <c r="Z14" s="131">
        <v>1.494</v>
      </c>
      <c r="AA14" s="132">
        <f t="shared" si="16"/>
        <v>0.21439821273788934</v>
      </c>
      <c r="AB14" s="130">
        <f t="shared" si="28"/>
        <v>496.8820754213217</v>
      </c>
      <c r="AC14" s="130">
        <f t="shared" si="17"/>
        <v>243.88141395973582</v>
      </c>
      <c r="AD14" s="132">
        <f t="shared" si="18"/>
        <v>0.92650732382544287</v>
      </c>
      <c r="AE14" s="130">
        <f t="shared" si="19"/>
        <v>0.45475159470585275</v>
      </c>
      <c r="AF14" s="130">
        <f t="shared" si="20"/>
        <v>0.92650732382544287</v>
      </c>
      <c r="AG14" s="131">
        <v>0.72799999999999998</v>
      </c>
      <c r="AH14" s="132">
        <f t="shared" si="21"/>
        <v>0.78560178726211061</v>
      </c>
      <c r="AI14" s="130">
        <f t="shared" si="22"/>
        <v>1</v>
      </c>
      <c r="AJ14" s="130">
        <f t="shared" si="23"/>
        <v>1919.0932899792872</v>
      </c>
      <c r="AK14" s="130">
        <f t="shared" si="24"/>
        <v>369.32967585651534</v>
      </c>
      <c r="AL14" s="130">
        <f t="shared" si="29"/>
        <v>1.2849625064995638</v>
      </c>
      <c r="AM14" s="130">
        <f t="shared" si="30"/>
        <v>0.8140646776200009</v>
      </c>
      <c r="AN14" s="130">
        <f t="shared" si="31"/>
        <v>1.6969166805709301</v>
      </c>
      <c r="AO14" s="130">
        <f t="shared" si="32"/>
        <v>1.5684241488085982</v>
      </c>
      <c r="AP14" s="130">
        <f t="shared" si="33"/>
        <v>0.70582564562598316</v>
      </c>
      <c r="AQ14" s="130">
        <f t="shared" si="34"/>
        <v>0.68047172830530223</v>
      </c>
      <c r="AR14" s="130">
        <f t="shared" si="35"/>
        <v>2.0025435017834399</v>
      </c>
      <c r="AS14" s="130">
        <f t="shared" si="36"/>
        <v>2.8192254611785676</v>
      </c>
      <c r="AT14" s="130">
        <f t="shared" si="37"/>
        <v>7.3178229308580853</v>
      </c>
    </row>
    <row r="15" spans="1:46" x14ac:dyDescent="0.2">
      <c r="A15" s="134">
        <v>4</v>
      </c>
      <c r="B15" s="132">
        <v>19.809999999999999</v>
      </c>
      <c r="C15" s="132">
        <v>19.440000000000001</v>
      </c>
      <c r="D15" s="133">
        <v>30</v>
      </c>
      <c r="E15" s="132">
        <f t="shared" si="0"/>
        <v>8</v>
      </c>
      <c r="F15" s="132">
        <f t="shared" si="25"/>
        <v>4.0914680181614118</v>
      </c>
      <c r="G15" s="133">
        <v>85</v>
      </c>
      <c r="H15" s="133">
        <v>41.72</v>
      </c>
      <c r="I15" s="130">
        <f t="shared" si="1"/>
        <v>1360</v>
      </c>
      <c r="J15" s="130">
        <f t="shared" si="2"/>
        <v>667.52</v>
      </c>
      <c r="K15" s="130">
        <f t="shared" si="3"/>
        <v>680</v>
      </c>
      <c r="L15" s="130">
        <f t="shared" si="4"/>
        <v>333.76</v>
      </c>
      <c r="M15" s="130">
        <f t="shared" si="5"/>
        <v>3533.3836474405102</v>
      </c>
      <c r="N15" s="130">
        <f t="shared" si="6"/>
        <v>1734.2678326025657</v>
      </c>
      <c r="O15" s="130">
        <f t="shared" si="7"/>
        <v>85</v>
      </c>
      <c r="P15" s="130">
        <f t="shared" si="8"/>
        <v>41.72</v>
      </c>
      <c r="Q15" s="130">
        <f t="shared" si="9"/>
        <v>170</v>
      </c>
      <c r="R15" s="130">
        <f t="shared" si="10"/>
        <v>83.44</v>
      </c>
      <c r="S15" s="130">
        <f t="shared" si="26"/>
        <v>255</v>
      </c>
      <c r="T15" s="130">
        <f t="shared" si="27"/>
        <v>125.16</v>
      </c>
      <c r="U15" s="130">
        <f t="shared" si="11"/>
        <v>85</v>
      </c>
      <c r="V15" s="130">
        <f t="shared" si="12"/>
        <v>41.72</v>
      </c>
      <c r="W15" s="132">
        <f t="shared" si="13"/>
        <v>0.53359102357845078</v>
      </c>
      <c r="X15" s="130">
        <f t="shared" si="14"/>
        <v>0.26189902945521137</v>
      </c>
      <c r="Y15" s="130">
        <f t="shared" si="15"/>
        <v>0.53359102357845078</v>
      </c>
      <c r="Z15" s="131">
        <v>1.494</v>
      </c>
      <c r="AA15" s="132">
        <f t="shared" si="16"/>
        <v>0.21634889830029894</v>
      </c>
      <c r="AB15" s="130">
        <f t="shared" si="28"/>
        <v>441.67295593006378</v>
      </c>
      <c r="AC15" s="130">
        <f t="shared" si="17"/>
        <v>216.78347907532071</v>
      </c>
      <c r="AD15" s="132">
        <f t="shared" si="18"/>
        <v>0.92420676330055962</v>
      </c>
      <c r="AE15" s="130">
        <f t="shared" si="19"/>
        <v>0.45362242546940407</v>
      </c>
      <c r="AF15" s="130">
        <f t="shared" si="20"/>
        <v>0.92420676330055962</v>
      </c>
      <c r="AG15" s="131">
        <v>0.72799999999999998</v>
      </c>
      <c r="AH15" s="132">
        <f t="shared" si="21"/>
        <v>0.7836511016997012</v>
      </c>
      <c r="AI15" s="130">
        <f t="shared" si="22"/>
        <v>1.0000000000000002</v>
      </c>
      <c r="AJ15" s="130">
        <f t="shared" si="23"/>
        <v>1807.0907736746706</v>
      </c>
      <c r="AK15" s="130">
        <f t="shared" si="24"/>
        <v>347.77478154372</v>
      </c>
      <c r="AL15" s="130">
        <f t="shared" si="29"/>
        <v>1.4455828198120091</v>
      </c>
      <c r="AM15" s="130">
        <f t="shared" si="30"/>
        <v>0.91582276232250093</v>
      </c>
      <c r="AN15" s="130">
        <f t="shared" si="31"/>
        <v>1.9090312656422963</v>
      </c>
      <c r="AO15" s="130">
        <f t="shared" si="32"/>
        <v>1.7644771674096724</v>
      </c>
      <c r="AP15" s="130">
        <f t="shared" si="33"/>
        <v>0.7940538513292309</v>
      </c>
      <c r="AQ15" s="130">
        <f t="shared" si="34"/>
        <v>0.76553069434346488</v>
      </c>
      <c r="AR15" s="130">
        <f t="shared" si="35"/>
        <v>2.2528614395063697</v>
      </c>
      <c r="AS15" s="130">
        <f t="shared" si="36"/>
        <v>3.1716286438258892</v>
      </c>
      <c r="AT15" s="130">
        <f t="shared" si="37"/>
        <v>8.2325507972153442</v>
      </c>
    </row>
    <row r="16" spans="1:46" x14ac:dyDescent="0.2">
      <c r="A16" s="134">
        <v>3.5</v>
      </c>
      <c r="B16" s="132">
        <v>19.53</v>
      </c>
      <c r="C16" s="132">
        <v>19.440000000000001</v>
      </c>
      <c r="D16" s="133">
        <v>30</v>
      </c>
      <c r="E16" s="132">
        <f t="shared" si="0"/>
        <v>9.1428571428571423</v>
      </c>
      <c r="F16" s="132">
        <f t="shared" si="25"/>
        <v>4.3671955072888364</v>
      </c>
      <c r="G16" s="133">
        <v>85</v>
      </c>
      <c r="H16" s="133">
        <v>41.72</v>
      </c>
      <c r="I16" s="130">
        <f t="shared" si="1"/>
        <v>1360</v>
      </c>
      <c r="J16" s="130">
        <f t="shared" si="2"/>
        <v>667.51999999999987</v>
      </c>
      <c r="K16" s="130">
        <f t="shared" si="3"/>
        <v>679.99999999999989</v>
      </c>
      <c r="L16" s="130">
        <f t="shared" si="4"/>
        <v>333.75999999999993</v>
      </c>
      <c r="M16" s="130">
        <f t="shared" si="5"/>
        <v>3533.3836474405098</v>
      </c>
      <c r="N16" s="130">
        <f t="shared" si="6"/>
        <v>1734.2678326025648</v>
      </c>
      <c r="O16" s="130">
        <f t="shared" si="7"/>
        <v>74.374999999999986</v>
      </c>
      <c r="P16" s="130">
        <f t="shared" si="8"/>
        <v>36.504999999999995</v>
      </c>
      <c r="Q16" s="130">
        <f t="shared" si="9"/>
        <v>148.75</v>
      </c>
      <c r="R16" s="130">
        <f t="shared" si="10"/>
        <v>73.009999999999991</v>
      </c>
      <c r="S16" s="130">
        <f t="shared" si="26"/>
        <v>223.125</v>
      </c>
      <c r="T16" s="130">
        <f t="shared" si="27"/>
        <v>109.51499999999999</v>
      </c>
      <c r="U16" s="130">
        <f t="shared" si="11"/>
        <v>74.375000000000014</v>
      </c>
      <c r="V16" s="130">
        <f t="shared" si="12"/>
        <v>36.504999999999995</v>
      </c>
      <c r="W16" s="132">
        <f t="shared" si="13"/>
        <v>0.53194106139074349</v>
      </c>
      <c r="X16" s="130">
        <f t="shared" si="14"/>
        <v>0.26108918919084489</v>
      </c>
      <c r="Y16" s="130">
        <f t="shared" si="15"/>
        <v>0.53194106139074349</v>
      </c>
      <c r="Z16" s="131">
        <v>1.494</v>
      </c>
      <c r="AA16" s="132">
        <f t="shared" si="16"/>
        <v>0.21877209252401042</v>
      </c>
      <c r="AB16" s="130">
        <f t="shared" si="28"/>
        <v>386.4638364388058</v>
      </c>
      <c r="AC16" s="130">
        <f t="shared" si="17"/>
        <v>189.68554419090555</v>
      </c>
      <c r="AD16" s="132">
        <f t="shared" si="18"/>
        <v>0.92134894496088304</v>
      </c>
      <c r="AE16" s="130">
        <f t="shared" si="19"/>
        <v>0.45221974098550616</v>
      </c>
      <c r="AF16" s="130">
        <f t="shared" si="20"/>
        <v>0.92134894496088304</v>
      </c>
      <c r="AG16" s="131">
        <v>0.72799999999999998</v>
      </c>
      <c r="AH16" s="132">
        <f t="shared" si="21"/>
        <v>0.78122790747598958</v>
      </c>
      <c r="AI16" s="130">
        <f t="shared" si="22"/>
        <v>1</v>
      </c>
      <c r="AJ16" s="130">
        <f t="shared" si="23"/>
        <v>1687.7631302251605</v>
      </c>
      <c r="AK16" s="130">
        <f t="shared" si="24"/>
        <v>324.81016585460719</v>
      </c>
      <c r="AL16" s="130">
        <f t="shared" si="29"/>
        <v>1.6520946512137249</v>
      </c>
      <c r="AM16" s="130">
        <f t="shared" si="30"/>
        <v>1.0466545855114298</v>
      </c>
      <c r="AN16" s="130">
        <f t="shared" si="31"/>
        <v>2.1817500178769103</v>
      </c>
      <c r="AO16" s="130">
        <f t="shared" si="32"/>
        <v>2.0165453341824828</v>
      </c>
      <c r="AP16" s="130">
        <f t="shared" si="33"/>
        <v>0.9074901158048353</v>
      </c>
      <c r="AQ16" s="130">
        <f t="shared" si="34"/>
        <v>0.87489222210681694</v>
      </c>
      <c r="AR16" s="130">
        <f t="shared" si="35"/>
        <v>2.5746987880072796</v>
      </c>
      <c r="AS16" s="130">
        <f t="shared" si="36"/>
        <v>3.6247184500867298</v>
      </c>
      <c r="AT16" s="130">
        <f t="shared" si="37"/>
        <v>9.4086294825318202</v>
      </c>
    </row>
    <row r="17" spans="1:46" x14ac:dyDescent="0.2">
      <c r="A17" s="134">
        <v>3</v>
      </c>
      <c r="B17" s="132">
        <v>19.18</v>
      </c>
      <c r="C17" s="132">
        <v>19.440000000000001</v>
      </c>
      <c r="D17" s="133">
        <v>30</v>
      </c>
      <c r="E17" s="132">
        <f t="shared" si="0"/>
        <v>10.666666666666666</v>
      </c>
      <c r="F17" s="132">
        <f t="shared" si="25"/>
        <v>4.7077225720984845</v>
      </c>
      <c r="G17" s="133">
        <v>85</v>
      </c>
      <c r="H17" s="133">
        <v>41.72</v>
      </c>
      <c r="I17" s="130">
        <f t="shared" si="1"/>
        <v>1360</v>
      </c>
      <c r="J17" s="130">
        <f t="shared" si="2"/>
        <v>667.52</v>
      </c>
      <c r="K17" s="130">
        <f t="shared" si="3"/>
        <v>680</v>
      </c>
      <c r="L17" s="130">
        <f t="shared" si="4"/>
        <v>333.76</v>
      </c>
      <c r="M17" s="130">
        <f t="shared" si="5"/>
        <v>3533.3836474405098</v>
      </c>
      <c r="N17" s="130">
        <f t="shared" si="6"/>
        <v>1734.2678326025655</v>
      </c>
      <c r="O17" s="130">
        <f t="shared" si="7"/>
        <v>63.75</v>
      </c>
      <c r="P17" s="130">
        <f t="shared" si="8"/>
        <v>31.29</v>
      </c>
      <c r="Q17" s="130">
        <f t="shared" si="9"/>
        <v>127.5</v>
      </c>
      <c r="R17" s="130">
        <f t="shared" si="10"/>
        <v>62.58</v>
      </c>
      <c r="S17" s="130">
        <f t="shared" si="26"/>
        <v>191.25</v>
      </c>
      <c r="T17" s="130">
        <f t="shared" si="27"/>
        <v>93.87</v>
      </c>
      <c r="U17" s="130">
        <f t="shared" si="11"/>
        <v>63.75</v>
      </c>
      <c r="V17" s="130">
        <f t="shared" si="12"/>
        <v>31.29</v>
      </c>
      <c r="W17" s="132">
        <f t="shared" si="13"/>
        <v>0.52982589497255816</v>
      </c>
      <c r="X17" s="130">
        <f t="shared" si="14"/>
        <v>0.26005101574417794</v>
      </c>
      <c r="Y17" s="130">
        <f t="shared" si="15"/>
        <v>0.52982589497255816</v>
      </c>
      <c r="Z17" s="131">
        <v>1.494</v>
      </c>
      <c r="AA17" s="132">
        <f t="shared" si="16"/>
        <v>0.22187850252838601</v>
      </c>
      <c r="AB17" s="130">
        <f t="shared" si="28"/>
        <v>331.25471694754782</v>
      </c>
      <c r="AC17" s="130">
        <f t="shared" si="17"/>
        <v>162.58760930649052</v>
      </c>
      <c r="AD17" s="132">
        <f t="shared" si="18"/>
        <v>0.91768536925812272</v>
      </c>
      <c r="AE17" s="130">
        <f t="shared" si="19"/>
        <v>0.45042157182881026</v>
      </c>
      <c r="AF17" s="130">
        <f t="shared" si="20"/>
        <v>0.91768536925812272</v>
      </c>
      <c r="AG17" s="131">
        <v>0.72799999999999998</v>
      </c>
      <c r="AH17" s="132">
        <f t="shared" si="21"/>
        <v>0.77812149747161397</v>
      </c>
      <c r="AI17" s="130">
        <f t="shared" si="22"/>
        <v>1</v>
      </c>
      <c r="AJ17" s="130">
        <f t="shared" si="23"/>
        <v>1559.4553080880651</v>
      </c>
      <c r="AK17" s="130">
        <f t="shared" si="24"/>
        <v>300.11731397127841</v>
      </c>
      <c r="AL17" s="130">
        <f t="shared" si="29"/>
        <v>1.9274437597493459</v>
      </c>
      <c r="AM17" s="130">
        <f t="shared" si="30"/>
        <v>1.2210970164300015</v>
      </c>
      <c r="AN17" s="130">
        <f t="shared" si="31"/>
        <v>2.5453750208563952</v>
      </c>
      <c r="AO17" s="130">
        <f t="shared" si="32"/>
        <v>2.3526362232128966</v>
      </c>
      <c r="AP17" s="130">
        <f t="shared" si="33"/>
        <v>1.0587384684389747</v>
      </c>
      <c r="AQ17" s="130">
        <f t="shared" si="34"/>
        <v>1.0207075924579532</v>
      </c>
      <c r="AR17" s="130">
        <f t="shared" si="35"/>
        <v>3.0038152526751598</v>
      </c>
      <c r="AS17" s="130">
        <f t="shared" si="36"/>
        <v>4.228838191767851</v>
      </c>
      <c r="AT17" s="130">
        <f t="shared" si="37"/>
        <v>10.976734396287126</v>
      </c>
    </row>
    <row r="18" spans="1:46" x14ac:dyDescent="0.2">
      <c r="A18" s="134">
        <v>2.5</v>
      </c>
      <c r="B18" s="132">
        <v>18.739999999999998</v>
      </c>
      <c r="C18" s="132">
        <v>19.440000000000001</v>
      </c>
      <c r="D18" s="133">
        <v>30</v>
      </c>
      <c r="E18" s="132">
        <f t="shared" si="0"/>
        <v>12.8</v>
      </c>
      <c r="F18" s="132">
        <f t="shared" si="25"/>
        <v>5.1436710511838433</v>
      </c>
      <c r="G18" s="133">
        <v>85</v>
      </c>
      <c r="H18" s="133">
        <v>41.72</v>
      </c>
      <c r="I18" s="130">
        <f t="shared" si="1"/>
        <v>1360</v>
      </c>
      <c r="J18" s="130">
        <f t="shared" si="2"/>
        <v>667.52</v>
      </c>
      <c r="K18" s="130">
        <f t="shared" si="3"/>
        <v>679.99999999999989</v>
      </c>
      <c r="L18" s="130">
        <f t="shared" si="4"/>
        <v>333.76</v>
      </c>
      <c r="M18" s="130">
        <f t="shared" si="5"/>
        <v>3533.3836474405098</v>
      </c>
      <c r="N18" s="130">
        <f t="shared" si="6"/>
        <v>1734.2678326025655</v>
      </c>
      <c r="O18" s="130">
        <f t="shared" si="7"/>
        <v>53.124999999999986</v>
      </c>
      <c r="P18" s="130">
        <f t="shared" si="8"/>
        <v>26.074999999999999</v>
      </c>
      <c r="Q18" s="130">
        <f t="shared" si="9"/>
        <v>106.25</v>
      </c>
      <c r="R18" s="130">
        <f t="shared" si="10"/>
        <v>52.15</v>
      </c>
      <c r="S18" s="130">
        <f t="shared" si="26"/>
        <v>159.375</v>
      </c>
      <c r="T18" s="130">
        <f t="shared" si="27"/>
        <v>78.224999999999994</v>
      </c>
      <c r="U18" s="130">
        <f t="shared" si="11"/>
        <v>53.125000000000014</v>
      </c>
      <c r="V18" s="130">
        <f t="shared" si="12"/>
        <v>26.074999999999999</v>
      </c>
      <c r="W18" s="132">
        <f t="shared" si="13"/>
        <v>0.52708005703989136</v>
      </c>
      <c r="X18" s="130">
        <f t="shared" si="14"/>
        <v>0.2587032938788737</v>
      </c>
      <c r="Y18" s="130">
        <f t="shared" si="15"/>
        <v>0.52708005703989136</v>
      </c>
      <c r="Z18" s="131">
        <v>1.494</v>
      </c>
      <c r="AA18" s="132">
        <f t="shared" si="16"/>
        <v>0.22591113955925793</v>
      </c>
      <c r="AB18" s="130">
        <f t="shared" si="28"/>
        <v>276.04559745628978</v>
      </c>
      <c r="AC18" s="130">
        <f t="shared" si="17"/>
        <v>135.48967442207541</v>
      </c>
      <c r="AD18" s="132">
        <f t="shared" si="18"/>
        <v>0.91292943844939356</v>
      </c>
      <c r="AE18" s="130">
        <f t="shared" si="19"/>
        <v>0.44808724908363179</v>
      </c>
      <c r="AF18" s="130">
        <f t="shared" si="20"/>
        <v>0.91292943844939356</v>
      </c>
      <c r="AG18" s="131">
        <v>0.72799999999999998</v>
      </c>
      <c r="AH18" s="132">
        <f t="shared" si="21"/>
        <v>0.7740888604407421</v>
      </c>
      <c r="AI18" s="130">
        <f t="shared" si="22"/>
        <v>1</v>
      </c>
      <c r="AJ18" s="130">
        <f t="shared" si="23"/>
        <v>1419.8877484426662</v>
      </c>
      <c r="AK18" s="130">
        <f t="shared" si="24"/>
        <v>273.25752459414161</v>
      </c>
      <c r="AL18" s="130">
        <f t="shared" si="29"/>
        <v>2.3129325116992154</v>
      </c>
      <c r="AM18" s="130">
        <f t="shared" si="30"/>
        <v>1.4653164197160022</v>
      </c>
      <c r="AN18" s="130">
        <f t="shared" si="31"/>
        <v>3.0544500250276747</v>
      </c>
      <c r="AO18" s="130">
        <f t="shared" si="32"/>
        <v>2.8231634678554767</v>
      </c>
      <c r="AP18" s="130">
        <f t="shared" si="33"/>
        <v>1.27048616212677</v>
      </c>
      <c r="AQ18" s="130">
        <f t="shared" si="34"/>
        <v>1.2248491109495441</v>
      </c>
      <c r="AR18" s="130">
        <f t="shared" si="35"/>
        <v>3.6045783032101917</v>
      </c>
      <c r="AS18" s="130">
        <f t="shared" si="36"/>
        <v>5.0746058301214223</v>
      </c>
      <c r="AT18" s="130">
        <f t="shared" si="37"/>
        <v>13.172081275544553</v>
      </c>
    </row>
    <row r="19" spans="1:46" x14ac:dyDescent="0.2">
      <c r="A19" s="134">
        <v>2</v>
      </c>
      <c r="B19" s="132">
        <v>18.13</v>
      </c>
      <c r="C19" s="132">
        <v>19.440000000000001</v>
      </c>
      <c r="D19" s="133">
        <v>30</v>
      </c>
      <c r="E19" s="132">
        <f t="shared" si="0"/>
        <v>16</v>
      </c>
      <c r="F19" s="132">
        <f t="shared" si="25"/>
        <v>5.7290670139432684</v>
      </c>
      <c r="G19" s="133">
        <v>85</v>
      </c>
      <c r="H19" s="133">
        <v>41.72</v>
      </c>
      <c r="I19" s="130">
        <f t="shared" si="1"/>
        <v>1360</v>
      </c>
      <c r="J19" s="130">
        <f t="shared" si="2"/>
        <v>667.52</v>
      </c>
      <c r="K19" s="130">
        <f t="shared" si="3"/>
        <v>680</v>
      </c>
      <c r="L19" s="130">
        <f t="shared" si="4"/>
        <v>333.76</v>
      </c>
      <c r="M19" s="130">
        <f t="shared" si="5"/>
        <v>3533.3836474405102</v>
      </c>
      <c r="N19" s="130">
        <f t="shared" si="6"/>
        <v>1734.2678326025657</v>
      </c>
      <c r="O19" s="130">
        <f t="shared" si="7"/>
        <v>42.5</v>
      </c>
      <c r="P19" s="130">
        <f t="shared" si="8"/>
        <v>20.86</v>
      </c>
      <c r="Q19" s="130">
        <f t="shared" si="9"/>
        <v>85</v>
      </c>
      <c r="R19" s="130">
        <f t="shared" si="10"/>
        <v>41.72</v>
      </c>
      <c r="S19" s="130">
        <f t="shared" si="26"/>
        <v>127.5</v>
      </c>
      <c r="T19" s="130">
        <f t="shared" si="27"/>
        <v>62.58</v>
      </c>
      <c r="U19" s="130">
        <f t="shared" si="11"/>
        <v>42.5</v>
      </c>
      <c r="V19" s="130">
        <f t="shared" si="12"/>
        <v>20.86</v>
      </c>
      <c r="W19" s="132">
        <f t="shared" si="13"/>
        <v>0.52310395355090455</v>
      </c>
      <c r="X19" s="130">
        <f t="shared" si="14"/>
        <v>0.2567517287311028</v>
      </c>
      <c r="Y19" s="130">
        <f t="shared" si="15"/>
        <v>0.52310395355090455</v>
      </c>
      <c r="Z19" s="131">
        <v>1.494</v>
      </c>
      <c r="AA19" s="132">
        <f t="shared" si="16"/>
        <v>0.23175058914129973</v>
      </c>
      <c r="AB19" s="130">
        <f t="shared" si="28"/>
        <v>220.83647796503189</v>
      </c>
      <c r="AC19" s="130">
        <f t="shared" si="17"/>
        <v>108.39173953766036</v>
      </c>
      <c r="AD19" s="132">
        <f t="shared" si="18"/>
        <v>0.90604262519031686</v>
      </c>
      <c r="AE19" s="130">
        <f t="shared" si="19"/>
        <v>0.44470703909341197</v>
      </c>
      <c r="AF19" s="130">
        <f t="shared" si="20"/>
        <v>0.90604262519031686</v>
      </c>
      <c r="AG19" s="131">
        <v>0.72799999999999998</v>
      </c>
      <c r="AH19" s="132">
        <f t="shared" si="21"/>
        <v>0.76824941085870047</v>
      </c>
      <c r="AI19" s="130">
        <f t="shared" si="22"/>
        <v>1.0000000000000002</v>
      </c>
      <c r="AJ19" s="130">
        <f t="shared" si="23"/>
        <v>1265.1869813848737</v>
      </c>
      <c r="AK19" s="130">
        <f t="shared" si="24"/>
        <v>243.48534809258891</v>
      </c>
      <c r="AL19" s="130">
        <f t="shared" si="29"/>
        <v>2.8911656396240182</v>
      </c>
      <c r="AM19" s="130">
        <f t="shared" si="30"/>
        <v>1.8316455246450019</v>
      </c>
      <c r="AN19" s="130">
        <f t="shared" si="31"/>
        <v>3.8180625312845926</v>
      </c>
      <c r="AO19" s="130">
        <f t="shared" si="32"/>
        <v>3.5289543348193448</v>
      </c>
      <c r="AP19" s="130">
        <f t="shared" si="33"/>
        <v>1.5881077026584618</v>
      </c>
      <c r="AQ19" s="130">
        <f t="shared" si="34"/>
        <v>1.5310613886869298</v>
      </c>
      <c r="AR19" s="130">
        <f t="shared" si="35"/>
        <v>4.5057228790127395</v>
      </c>
      <c r="AS19" s="130">
        <f t="shared" si="36"/>
        <v>6.3432572876517783</v>
      </c>
      <c r="AT19" s="130">
        <f t="shared" si="37"/>
        <v>16.465101594430688</v>
      </c>
    </row>
    <row r="20" spans="1:46" ht="13.5" thickBot="1" x14ac:dyDescent="0.25">
      <c r="A20" s="231"/>
      <c r="B20" s="229"/>
      <c r="C20" s="229"/>
      <c r="D20" s="231"/>
      <c r="E20" s="229"/>
      <c r="F20" s="229"/>
      <c r="G20" s="231"/>
      <c r="H20" s="231"/>
      <c r="I20" s="229"/>
      <c r="J20" s="229"/>
      <c r="K20" s="229"/>
      <c r="L20" s="229"/>
      <c r="M20" s="229"/>
      <c r="N20" s="229"/>
      <c r="O20" s="229"/>
      <c r="P20" s="229"/>
      <c r="Q20" s="229"/>
      <c r="R20" s="229"/>
      <c r="S20" s="229"/>
      <c r="T20" s="229"/>
      <c r="U20" s="229"/>
      <c r="V20" s="229"/>
      <c r="W20" s="229"/>
      <c r="X20" s="229"/>
      <c r="Y20" s="229"/>
      <c r="Z20" s="229"/>
      <c r="AA20" s="229"/>
      <c r="AB20" s="229"/>
      <c r="AC20" s="229"/>
      <c r="AD20" s="229"/>
      <c r="AE20" s="229"/>
      <c r="AF20" s="229"/>
      <c r="AG20" s="229"/>
      <c r="AH20" s="229"/>
      <c r="AI20" s="229"/>
      <c r="AJ20" s="229"/>
      <c r="AK20" s="229"/>
      <c r="AL20" s="229"/>
      <c r="AM20" s="229"/>
      <c r="AN20" s="229"/>
      <c r="AO20" s="229"/>
      <c r="AP20" s="229"/>
      <c r="AQ20" s="229"/>
      <c r="AR20" s="229"/>
      <c r="AS20" s="229"/>
      <c r="AT20" s="229"/>
    </row>
    <row r="21" spans="1:46" ht="13.5" thickBot="1" x14ac:dyDescent="0.25">
      <c r="A21" s="233">
        <f>'HTML Frame'!D37</f>
        <v>8</v>
      </c>
      <c r="B21" s="230">
        <v>18.13</v>
      </c>
      <c r="C21" s="230">
        <v>19.440000000000001</v>
      </c>
      <c r="D21" s="230">
        <f>'HTML Frame'!D43</f>
        <v>29.327179490456803</v>
      </c>
      <c r="E21" s="230">
        <v>1</v>
      </c>
      <c r="F21" s="230">
        <f>SQRT(8/((MAX(U21:V21)/12/(Z21*B21*1000))+(MAX(AB21:AC21)/12/(AG21*C21*1000))))/12</f>
        <v>4.5204263656923906</v>
      </c>
      <c r="G21" s="230">
        <f>ABS(Control!H20)</f>
        <v>28.636508294816903</v>
      </c>
      <c r="H21" s="230">
        <f>Control!F20</f>
        <v>39.410722410027276</v>
      </c>
      <c r="I21" s="230">
        <f>A21*1/2*G21*E21</f>
        <v>114.54603317926761</v>
      </c>
      <c r="J21" s="230">
        <f>A21*1/2*H21*E21</f>
        <v>157.6428896401091</v>
      </c>
      <c r="K21" s="230">
        <f>(I21*('HTML Frame'!D39))/(('HTML Frame'!D37-'HTML Frame'!D39))</f>
        <v>57.058510909522816</v>
      </c>
      <c r="L21" s="230">
        <f>(J21*('HTML Frame'!D39))/(('HTML Frame'!D37-'HTML Frame'!D39))</f>
        <v>78.526233416234135</v>
      </c>
      <c r="M21" s="230">
        <f>(I21+K21)*('HTML Frame'!D37-'HTML Frame'!D39)/((TAN(D21/180*PI()))*('HTML Frame'!D37-'HTML Frame'!D39))</f>
        <v>305.45608847804698</v>
      </c>
      <c r="N21" s="230">
        <f>(J21+L21)*('HTML Frame'!D37-'HTML Frame'!D39)/((TAN(D21/180*PI()))*('HTML Frame'!D37-'HTML Frame'!D39))</f>
        <v>420.381039040291</v>
      </c>
      <c r="O21" s="230">
        <f>K21/E21</f>
        <v>57.058510909522816</v>
      </c>
      <c r="P21" s="230">
        <f>L21/E21</f>
        <v>78.526233416234135</v>
      </c>
      <c r="Q21" s="230">
        <f>((1/2)*A21)*G21</f>
        <v>114.54603317926761</v>
      </c>
      <c r="R21" s="230">
        <f>((1/2)*A21)*H21</f>
        <v>157.6428896401091</v>
      </c>
      <c r="S21" s="230">
        <f>Q21+O21</f>
        <v>171.60454408879042</v>
      </c>
      <c r="T21" s="230">
        <f>R21+P21</f>
        <v>236.16912305634324</v>
      </c>
      <c r="U21" s="230">
        <f>ABS(Q21-O21)+0.00001</f>
        <v>57.487532269744797</v>
      </c>
      <c r="V21" s="230">
        <f>ABS(R21-P21)+0.00001</f>
        <v>79.116666223874972</v>
      </c>
      <c r="W21" s="230">
        <f>(S21*(F21^2))/8/1000</f>
        <v>0.43832636650139373</v>
      </c>
      <c r="X21" s="230">
        <f>(T21*(F21^2))/8/1000</f>
        <v>0.60324249651306039</v>
      </c>
      <c r="Y21" s="230">
        <f>MAX(W21,X21)</f>
        <v>0.60324249651306039</v>
      </c>
      <c r="Z21" s="230">
        <f>Z19</f>
        <v>1.494</v>
      </c>
      <c r="AA21" s="230">
        <f>(((Y21*12)/Z21)/B21)</f>
        <v>0.26725434402278081</v>
      </c>
      <c r="AB21" s="230">
        <f>M21/E21</f>
        <v>305.45608847804698</v>
      </c>
      <c r="AC21" s="230">
        <f>N21/E21</f>
        <v>420.381039040291</v>
      </c>
      <c r="AD21" s="230">
        <f>(AB21*(F21^2))/8/1000</f>
        <v>0.78022093237248102</v>
      </c>
      <c r="AE21" s="230">
        <f>(AC21*(F21^2))/8/1000</f>
        <v>1.0737716437932474</v>
      </c>
      <c r="AF21" s="230">
        <f>MAX(AD21,AE21)</f>
        <v>1.0737716437932474</v>
      </c>
      <c r="AG21" s="230">
        <f>AG19</f>
        <v>0.72799999999999998</v>
      </c>
      <c r="AH21" s="230">
        <f>(((AF21*12)/AG21)/C21)</f>
        <v>0.91046978343614104</v>
      </c>
      <c r="AI21" s="230">
        <f>AH21+AA21</f>
        <v>1.1777241274589219</v>
      </c>
      <c r="AJ21" s="230">
        <f>MAX(M21:N21)*(F21/E21)</f>
        <v>1900.3015325148936</v>
      </c>
      <c r="AK21" s="230">
        <f>MAX(K21:L21)*(F21/E21)</f>
        <v>354.97205593325964</v>
      </c>
      <c r="AL21" s="230">
        <f>(MIN((1/((V21)/$G$53)),(1/((U21/$G$53+(AB21/$F$53))))))</f>
        <v>2.0942973797742286</v>
      </c>
      <c r="AM21" s="230">
        <f>(MIN((1/((V21)/$G$54)),(1/((U21/$G$54+(AB21/$F$54))))))</f>
        <v>1.3273672404778447</v>
      </c>
      <c r="AN21" s="230">
        <f>(MIN((1/((V21)/$G$55)),(1/((U21/$G$55+(AB21/$F$55))))))</f>
        <v>2.7645248262236382</v>
      </c>
      <c r="AO21" s="230">
        <f>(MIN((1/((V21)/$G$56)),(1/((U21/$G$56+(AB21/$F$56))))))</f>
        <v>2.5591827891348267</v>
      </c>
      <c r="AP21" s="230">
        <f>(MIN((1/((V21)/$G$57)),(1/((U21/$G$57+(AB21/$F$57))))))</f>
        <v>1.1507174946178009</v>
      </c>
      <c r="AQ21" s="230">
        <f>(MIN((1/((V21)/$G$58)),(1/((U21/$G$58+(AB21/$F$58))))))</f>
        <v>1.110175949345251</v>
      </c>
      <c r="AR21" s="230">
        <f>(MIN((1/((V21)/$G$59)),(1/((U21/$G$59+(AB21/$F$59))))))</f>
        <v>3.2827894217306315</v>
      </c>
      <c r="AS21" s="230">
        <f>(MIN((1/((V21)/$G$60)),(1/((U21/$G$60+(AB21/$F$60))))))</f>
        <v>4.5951695478754297</v>
      </c>
      <c r="AT21" s="232">
        <f>(MIN((1/((V21)/$G$61)),(1/((U21/$G$61+(AB21/$F$61))))))</f>
        <v>11.965758248271703</v>
      </c>
    </row>
    <row r="22" spans="1:46" x14ac:dyDescent="0.2">
      <c r="F22" s="151"/>
      <c r="K22" s="152"/>
      <c r="L22" s="152"/>
      <c r="M22" s="152"/>
      <c r="N22" s="152"/>
    </row>
    <row r="23" spans="1:46" x14ac:dyDescent="0.2">
      <c r="D23" s="129"/>
      <c r="E23" s="145" t="s">
        <v>116</v>
      </c>
      <c r="F23" s="145" t="s">
        <v>115</v>
      </c>
      <c r="U23" s="144" t="s">
        <v>339</v>
      </c>
      <c r="V23" s="144" t="s">
        <v>339</v>
      </c>
      <c r="AB23" s="144" t="s">
        <v>339</v>
      </c>
      <c r="AC23" s="144" t="s">
        <v>339</v>
      </c>
    </row>
    <row r="24" spans="1:46" x14ac:dyDescent="0.2">
      <c r="C24" s="146" t="s">
        <v>114</v>
      </c>
      <c r="D24" s="145" t="s">
        <v>113</v>
      </c>
      <c r="E24" s="129">
        <v>85</v>
      </c>
      <c r="F24" s="129">
        <v>41.72</v>
      </c>
    </row>
    <row r="25" spans="1:46" x14ac:dyDescent="0.2">
      <c r="C25" s="146" t="s">
        <v>112</v>
      </c>
      <c r="D25" s="145" t="s">
        <v>111</v>
      </c>
      <c r="E25" s="129">
        <v>36.700000000000003</v>
      </c>
      <c r="F25" s="129">
        <v>85</v>
      </c>
    </row>
    <row r="26" spans="1:46" x14ac:dyDescent="0.2">
      <c r="C26" s="146" t="s">
        <v>110</v>
      </c>
      <c r="D26" s="145" t="s">
        <v>109</v>
      </c>
      <c r="E26" s="129">
        <v>62.47</v>
      </c>
      <c r="F26" s="129">
        <v>30</v>
      </c>
    </row>
    <row r="27" spans="1:46" x14ac:dyDescent="0.2">
      <c r="A27" s="144" t="s">
        <v>108</v>
      </c>
      <c r="J27" s="143"/>
    </row>
    <row r="28" spans="1:46" x14ac:dyDescent="0.2">
      <c r="A28" s="142"/>
      <c r="B28" s="141"/>
      <c r="C28" s="141"/>
      <c r="D28" s="141"/>
      <c r="E28" s="141"/>
      <c r="F28" s="140" t="s">
        <v>107</v>
      </c>
      <c r="G28" s="139"/>
      <c r="H28" s="139"/>
      <c r="I28" s="139"/>
      <c r="J28" s="139"/>
      <c r="K28" s="139"/>
      <c r="L28" s="139"/>
      <c r="M28" s="139"/>
      <c r="N28" s="139"/>
      <c r="O28" s="139"/>
      <c r="P28" s="138"/>
    </row>
    <row r="29" spans="1:46" ht="63.75" x14ac:dyDescent="0.2">
      <c r="A29" s="137" t="s">
        <v>106</v>
      </c>
      <c r="B29" s="135" t="s">
        <v>105</v>
      </c>
      <c r="C29" s="135" t="s">
        <v>104</v>
      </c>
      <c r="D29" s="137" t="s">
        <v>103</v>
      </c>
      <c r="E29" s="137" t="s">
        <v>102</v>
      </c>
      <c r="F29" s="136" t="s">
        <v>101</v>
      </c>
      <c r="G29" s="136" t="s">
        <v>100</v>
      </c>
      <c r="H29" s="135" t="s">
        <v>99</v>
      </c>
      <c r="I29" s="135" t="s">
        <v>98</v>
      </c>
      <c r="J29" s="135" t="s">
        <v>97</v>
      </c>
      <c r="K29" s="135" t="s">
        <v>96</v>
      </c>
      <c r="L29" s="135" t="s">
        <v>95</v>
      </c>
      <c r="M29" s="135" t="s">
        <v>94</v>
      </c>
      <c r="N29" s="136" t="s">
        <v>93</v>
      </c>
      <c r="O29" s="136" t="s">
        <v>92</v>
      </c>
      <c r="P29" s="135" t="s">
        <v>91</v>
      </c>
    </row>
    <row r="30" spans="1:46" x14ac:dyDescent="0.2">
      <c r="A30" s="134">
        <v>8</v>
      </c>
      <c r="B30" s="132">
        <v>21</v>
      </c>
      <c r="C30" s="132">
        <f t="shared" ref="C30:C42" si="38">32/A30</f>
        <v>4</v>
      </c>
      <c r="D30" s="133">
        <v>85</v>
      </c>
      <c r="E30" s="133">
        <v>41.72</v>
      </c>
      <c r="F30" s="130">
        <f t="shared" ref="F30:F42" si="39">A30*1/2*D30</f>
        <v>340</v>
      </c>
      <c r="G30" s="130">
        <f t="shared" ref="G30:G42" si="40">A30*1/2*E30</f>
        <v>166.88</v>
      </c>
      <c r="H30" s="132">
        <f t="shared" ref="H30:H42" si="41">((F30*(C30^2))/8)/1000</f>
        <v>0.68</v>
      </c>
      <c r="I30" s="130">
        <f t="shared" ref="I30:I42" si="42">(G30*(C30^2))/8/1000</f>
        <v>0.33376</v>
      </c>
      <c r="J30" s="130">
        <f t="shared" ref="J30:J42" si="43">MAX(H30,I30)</f>
        <v>0.68</v>
      </c>
      <c r="K30" s="131">
        <v>1.3520000000000001</v>
      </c>
      <c r="L30" s="131">
        <v>15.42</v>
      </c>
      <c r="M30" s="130">
        <f t="shared" ref="M30:M42" si="44">(((J30*12)/K30)/B30)</f>
        <v>0.28740490278951814</v>
      </c>
      <c r="N30" s="130">
        <f t="shared" ref="N30:N42" si="45">(C30*12)/180</f>
        <v>0.26666666666666666</v>
      </c>
      <c r="O30" s="130">
        <f t="shared" ref="O30:O42" si="46">(5*(MAX(F30,G30)/12)*(C30*12)^4)/(384*10100*1000*L30)</f>
        <v>1.257464267827561E-2</v>
      </c>
      <c r="P30" s="130">
        <f t="shared" ref="P30:P42" si="47">O30/N30</f>
        <v>4.7154910043533539E-2</v>
      </c>
    </row>
    <row r="31" spans="1:46" x14ac:dyDescent="0.2">
      <c r="A31" s="134">
        <v>7.5</v>
      </c>
      <c r="B31" s="132">
        <v>20.9</v>
      </c>
      <c r="C31" s="132">
        <f t="shared" si="38"/>
        <v>4.2666666666666666</v>
      </c>
      <c r="D31" s="133">
        <v>85</v>
      </c>
      <c r="E31" s="133">
        <v>41.72</v>
      </c>
      <c r="F31" s="130">
        <f t="shared" si="39"/>
        <v>318.75</v>
      </c>
      <c r="G31" s="130">
        <f t="shared" si="40"/>
        <v>156.44999999999999</v>
      </c>
      <c r="H31" s="132">
        <f t="shared" si="41"/>
        <v>0.72533333333333339</v>
      </c>
      <c r="I31" s="130">
        <f t="shared" si="42"/>
        <v>0.35601066666666664</v>
      </c>
      <c r="J31" s="130">
        <f t="shared" si="43"/>
        <v>0.72533333333333339</v>
      </c>
      <c r="K31" s="131">
        <v>1.3520000000000001</v>
      </c>
      <c r="L31" s="131">
        <v>15.42</v>
      </c>
      <c r="M31" s="130">
        <f t="shared" si="44"/>
        <v>0.30803204892273722</v>
      </c>
      <c r="N31" s="130">
        <f t="shared" si="45"/>
        <v>0.28444444444444444</v>
      </c>
      <c r="O31" s="130">
        <f t="shared" si="46"/>
        <v>1.526095893636057E-2</v>
      </c>
      <c r="P31" s="130">
        <f t="shared" si="47"/>
        <v>5.3651808760642627E-2</v>
      </c>
    </row>
    <row r="32" spans="1:46" x14ac:dyDescent="0.2">
      <c r="A32" s="134">
        <v>7</v>
      </c>
      <c r="B32" s="132">
        <v>20.8</v>
      </c>
      <c r="C32" s="132">
        <f t="shared" si="38"/>
        <v>4.5714285714285712</v>
      </c>
      <c r="D32" s="133">
        <v>85</v>
      </c>
      <c r="E32" s="133">
        <v>41.72</v>
      </c>
      <c r="F32" s="130">
        <f t="shared" si="39"/>
        <v>297.5</v>
      </c>
      <c r="G32" s="130">
        <f t="shared" si="40"/>
        <v>146.01999999999998</v>
      </c>
      <c r="H32" s="132">
        <f t="shared" si="41"/>
        <v>0.77714285714285714</v>
      </c>
      <c r="I32" s="130">
        <f t="shared" si="42"/>
        <v>0.38143999999999995</v>
      </c>
      <c r="J32" s="130">
        <f t="shared" si="43"/>
        <v>0.77714285714285714</v>
      </c>
      <c r="K32" s="131">
        <v>1.3520000000000001</v>
      </c>
      <c r="L32" s="131">
        <v>15.42</v>
      </c>
      <c r="M32" s="130">
        <f t="shared" si="44"/>
        <v>0.33162104168021322</v>
      </c>
      <c r="N32" s="130">
        <f t="shared" si="45"/>
        <v>0.30476190476190473</v>
      </c>
      <c r="O32" s="130">
        <f t="shared" si="46"/>
        <v>1.877031210284872E-2</v>
      </c>
      <c r="P32" s="130">
        <f t="shared" si="47"/>
        <v>6.1590086587472365E-2</v>
      </c>
    </row>
    <row r="33" spans="1:23" x14ac:dyDescent="0.2">
      <c r="A33" s="134">
        <v>6.5</v>
      </c>
      <c r="B33" s="132">
        <v>20.68</v>
      </c>
      <c r="C33" s="132">
        <f t="shared" si="38"/>
        <v>4.9230769230769234</v>
      </c>
      <c r="D33" s="133">
        <v>85</v>
      </c>
      <c r="E33" s="133">
        <v>41.72</v>
      </c>
      <c r="F33" s="130">
        <f t="shared" si="39"/>
        <v>276.25</v>
      </c>
      <c r="G33" s="130">
        <f t="shared" si="40"/>
        <v>135.59</v>
      </c>
      <c r="H33" s="132">
        <f t="shared" si="41"/>
        <v>0.83692307692307699</v>
      </c>
      <c r="I33" s="130">
        <f t="shared" si="42"/>
        <v>0.41078153846153848</v>
      </c>
      <c r="J33" s="130">
        <f t="shared" si="43"/>
        <v>0.83692307692307699</v>
      </c>
      <c r="K33" s="131">
        <v>1.3520000000000001</v>
      </c>
      <c r="L33" s="131">
        <v>15.42</v>
      </c>
      <c r="M33" s="130">
        <f t="shared" si="44"/>
        <v>0.35920267570777453</v>
      </c>
      <c r="N33" s="130">
        <f t="shared" si="45"/>
        <v>0.3282051282051282</v>
      </c>
      <c r="O33" s="130">
        <f t="shared" si="46"/>
        <v>2.3443667005105556E-2</v>
      </c>
      <c r="P33" s="130">
        <f t="shared" si="47"/>
        <v>7.1429922906180998E-2</v>
      </c>
    </row>
    <row r="34" spans="1:23" x14ac:dyDescent="0.2">
      <c r="A34" s="134">
        <v>6</v>
      </c>
      <c r="B34" s="132">
        <v>20.55</v>
      </c>
      <c r="C34" s="132">
        <f t="shared" si="38"/>
        <v>5.333333333333333</v>
      </c>
      <c r="D34" s="133">
        <v>85</v>
      </c>
      <c r="E34" s="133">
        <v>41.72</v>
      </c>
      <c r="F34" s="130">
        <f t="shared" si="39"/>
        <v>255</v>
      </c>
      <c r="G34" s="130">
        <f t="shared" si="40"/>
        <v>125.16</v>
      </c>
      <c r="H34" s="132">
        <f t="shared" si="41"/>
        <v>0.90666666666666662</v>
      </c>
      <c r="I34" s="130">
        <f t="shared" si="42"/>
        <v>0.44501333333333332</v>
      </c>
      <c r="J34" s="130">
        <f t="shared" si="43"/>
        <v>0.90666666666666662</v>
      </c>
      <c r="K34" s="131">
        <v>1.3520000000000001</v>
      </c>
      <c r="L34" s="131">
        <v>15.42</v>
      </c>
      <c r="M34" s="130">
        <f t="shared" si="44"/>
        <v>0.39159792107574243</v>
      </c>
      <c r="N34" s="130">
        <f t="shared" si="45"/>
        <v>0.35555555555555557</v>
      </c>
      <c r="O34" s="130">
        <f t="shared" si="46"/>
        <v>2.9806560422579224E-2</v>
      </c>
      <c r="P34" s="130">
        <f t="shared" si="47"/>
        <v>8.383095118850406E-2</v>
      </c>
    </row>
    <row r="35" spans="1:23" x14ac:dyDescent="0.2">
      <c r="A35" s="134">
        <v>5.5</v>
      </c>
      <c r="B35" s="132">
        <v>20.41</v>
      </c>
      <c r="C35" s="132">
        <f t="shared" si="38"/>
        <v>5.8181818181818183</v>
      </c>
      <c r="D35" s="133">
        <v>85</v>
      </c>
      <c r="E35" s="133">
        <v>41.72</v>
      </c>
      <c r="F35" s="130">
        <f t="shared" si="39"/>
        <v>233.75</v>
      </c>
      <c r="G35" s="130">
        <f t="shared" si="40"/>
        <v>114.72999999999999</v>
      </c>
      <c r="H35" s="132">
        <f t="shared" si="41"/>
        <v>0.98909090909090913</v>
      </c>
      <c r="I35" s="130">
        <f t="shared" si="42"/>
        <v>0.48546909090909091</v>
      </c>
      <c r="J35" s="130">
        <f t="shared" si="43"/>
        <v>0.98909090909090913</v>
      </c>
      <c r="K35" s="131">
        <v>1.3520000000000001</v>
      </c>
      <c r="L35" s="131">
        <v>15.42</v>
      </c>
      <c r="M35" s="130">
        <f t="shared" si="44"/>
        <v>0.43012804479657074</v>
      </c>
      <c r="N35" s="130">
        <f t="shared" si="45"/>
        <v>0.38787878787878782</v>
      </c>
      <c r="O35" s="130">
        <f t="shared" si="46"/>
        <v>3.8697022096331246E-2</v>
      </c>
      <c r="P35" s="130">
        <f t="shared" si="47"/>
        <v>9.9765760092104014E-2</v>
      </c>
    </row>
    <row r="36" spans="1:23" x14ac:dyDescent="0.2">
      <c r="A36" s="134">
        <v>5</v>
      </c>
      <c r="B36" s="132">
        <v>20.239999999999998</v>
      </c>
      <c r="C36" s="132">
        <f t="shared" si="38"/>
        <v>6.4</v>
      </c>
      <c r="D36" s="133">
        <v>85</v>
      </c>
      <c r="E36" s="133">
        <v>41.72</v>
      </c>
      <c r="F36" s="130">
        <f t="shared" si="39"/>
        <v>212.5</v>
      </c>
      <c r="G36" s="130">
        <f t="shared" si="40"/>
        <v>104.3</v>
      </c>
      <c r="H36" s="132">
        <f t="shared" si="41"/>
        <v>1.0880000000000003</v>
      </c>
      <c r="I36" s="130">
        <f t="shared" si="42"/>
        <v>0.53401600000000005</v>
      </c>
      <c r="J36" s="130">
        <f t="shared" si="43"/>
        <v>1.0880000000000003</v>
      </c>
      <c r="K36" s="131">
        <v>1.3520000000000001</v>
      </c>
      <c r="L36" s="131">
        <v>15.42</v>
      </c>
      <c r="M36" s="130">
        <f t="shared" si="44"/>
        <v>0.47711485838576156</v>
      </c>
      <c r="N36" s="130">
        <f t="shared" si="45"/>
        <v>0.42666666666666675</v>
      </c>
      <c r="O36" s="130">
        <f t="shared" si="46"/>
        <v>5.1505736410216919E-2</v>
      </c>
      <c r="P36" s="130">
        <f t="shared" si="47"/>
        <v>0.12071656971144588</v>
      </c>
    </row>
    <row r="37" spans="1:23" x14ac:dyDescent="0.2">
      <c r="A37" s="134">
        <v>4.5</v>
      </c>
      <c r="B37" s="132">
        <v>20.04</v>
      </c>
      <c r="C37" s="132">
        <f t="shared" si="38"/>
        <v>7.1111111111111107</v>
      </c>
      <c r="D37" s="133">
        <v>85</v>
      </c>
      <c r="E37" s="133">
        <v>41.72</v>
      </c>
      <c r="F37" s="130">
        <f t="shared" si="39"/>
        <v>191.25</v>
      </c>
      <c r="G37" s="130">
        <f t="shared" si="40"/>
        <v>93.87</v>
      </c>
      <c r="H37" s="132">
        <f t="shared" si="41"/>
        <v>1.2088888888888889</v>
      </c>
      <c r="I37" s="130">
        <f t="shared" si="42"/>
        <v>0.59335111111111105</v>
      </c>
      <c r="J37" s="130">
        <f t="shared" si="43"/>
        <v>1.2088888888888889</v>
      </c>
      <c r="K37" s="131">
        <v>1.3520000000000001</v>
      </c>
      <c r="L37" s="131">
        <v>15.42</v>
      </c>
      <c r="M37" s="130">
        <f t="shared" si="44"/>
        <v>0.53541831524328065</v>
      </c>
      <c r="N37" s="130">
        <f t="shared" si="45"/>
        <v>0.47407407407407404</v>
      </c>
      <c r="O37" s="130">
        <f t="shared" si="46"/>
        <v>7.0652587668335931E-2</v>
      </c>
      <c r="P37" s="130">
        <f t="shared" si="47"/>
        <v>0.14903280211289613</v>
      </c>
    </row>
    <row r="38" spans="1:23" x14ac:dyDescent="0.2">
      <c r="A38" s="134">
        <v>4</v>
      </c>
      <c r="B38" s="132">
        <v>19.809999999999999</v>
      </c>
      <c r="C38" s="132">
        <f t="shared" si="38"/>
        <v>8</v>
      </c>
      <c r="D38" s="133">
        <v>85</v>
      </c>
      <c r="E38" s="133">
        <v>41.72</v>
      </c>
      <c r="F38" s="130">
        <f t="shared" si="39"/>
        <v>170</v>
      </c>
      <c r="G38" s="130">
        <f t="shared" si="40"/>
        <v>83.44</v>
      </c>
      <c r="H38" s="132">
        <f t="shared" si="41"/>
        <v>1.36</v>
      </c>
      <c r="I38" s="130">
        <f t="shared" si="42"/>
        <v>0.66752</v>
      </c>
      <c r="J38" s="130">
        <f t="shared" si="43"/>
        <v>1.36</v>
      </c>
      <c r="K38" s="131">
        <v>1.3520000000000001</v>
      </c>
      <c r="L38" s="131">
        <v>15.42</v>
      </c>
      <c r="M38" s="130">
        <f t="shared" si="44"/>
        <v>0.60933901651487954</v>
      </c>
      <c r="N38" s="130">
        <f t="shared" si="45"/>
        <v>0.53333333333333333</v>
      </c>
      <c r="O38" s="130">
        <f t="shared" si="46"/>
        <v>0.10059714142620488</v>
      </c>
      <c r="P38" s="130">
        <f t="shared" si="47"/>
        <v>0.18861964017413416</v>
      </c>
      <c r="W38" s="385"/>
    </row>
    <row r="39" spans="1:23" x14ac:dyDescent="0.2">
      <c r="A39" s="134">
        <v>3.5</v>
      </c>
      <c r="B39" s="132">
        <v>19.53</v>
      </c>
      <c r="C39" s="132">
        <f t="shared" si="38"/>
        <v>9.1428571428571423</v>
      </c>
      <c r="D39" s="133">
        <v>85</v>
      </c>
      <c r="E39" s="133">
        <v>41.72</v>
      </c>
      <c r="F39" s="130">
        <f t="shared" si="39"/>
        <v>148.75</v>
      </c>
      <c r="G39" s="130">
        <f t="shared" si="40"/>
        <v>73.009999999999991</v>
      </c>
      <c r="H39" s="132">
        <f t="shared" si="41"/>
        <v>1.5542857142857143</v>
      </c>
      <c r="I39" s="130">
        <f t="shared" si="42"/>
        <v>0.76287999999999989</v>
      </c>
      <c r="J39" s="130">
        <f t="shared" si="43"/>
        <v>1.5542857142857143</v>
      </c>
      <c r="K39" s="131">
        <v>1.3520000000000001</v>
      </c>
      <c r="L39" s="131">
        <v>15.42</v>
      </c>
      <c r="M39" s="130">
        <f t="shared" si="44"/>
        <v>0.7063714968713195</v>
      </c>
      <c r="N39" s="130">
        <f t="shared" si="45"/>
        <v>0.60952380952380947</v>
      </c>
      <c r="O39" s="130">
        <f t="shared" si="46"/>
        <v>0.15016249682278976</v>
      </c>
      <c r="P39" s="130">
        <f t="shared" si="47"/>
        <v>0.24636034634988946</v>
      </c>
    </row>
    <row r="40" spans="1:23" x14ac:dyDescent="0.2">
      <c r="A40" s="134">
        <v>3</v>
      </c>
      <c r="B40" s="132">
        <v>19.18</v>
      </c>
      <c r="C40" s="132">
        <f t="shared" si="38"/>
        <v>10.666666666666666</v>
      </c>
      <c r="D40" s="133">
        <v>85</v>
      </c>
      <c r="E40" s="133">
        <v>41.72</v>
      </c>
      <c r="F40" s="130">
        <f t="shared" si="39"/>
        <v>127.5</v>
      </c>
      <c r="G40" s="130">
        <f t="shared" si="40"/>
        <v>62.58</v>
      </c>
      <c r="H40" s="132">
        <f t="shared" si="41"/>
        <v>1.8133333333333332</v>
      </c>
      <c r="I40" s="130">
        <f t="shared" si="42"/>
        <v>0.89002666666666663</v>
      </c>
      <c r="J40" s="130">
        <f t="shared" si="43"/>
        <v>1.8133333333333332</v>
      </c>
      <c r="K40" s="131">
        <v>1.3520000000000001</v>
      </c>
      <c r="L40" s="131">
        <v>15.42</v>
      </c>
      <c r="M40" s="130">
        <f t="shared" si="44"/>
        <v>0.83913840230516246</v>
      </c>
      <c r="N40" s="130">
        <f t="shared" si="45"/>
        <v>0.71111111111111114</v>
      </c>
      <c r="O40" s="130">
        <f t="shared" si="46"/>
        <v>0.2384524833806338</v>
      </c>
      <c r="P40" s="130">
        <f t="shared" si="47"/>
        <v>0.33532380475401624</v>
      </c>
    </row>
    <row r="41" spans="1:23" x14ac:dyDescent="0.2">
      <c r="A41" s="134">
        <v>2.5</v>
      </c>
      <c r="B41" s="132">
        <v>18.739999999999998</v>
      </c>
      <c r="C41" s="132">
        <f t="shared" si="38"/>
        <v>12.8</v>
      </c>
      <c r="D41" s="133">
        <v>85</v>
      </c>
      <c r="E41" s="133">
        <v>41.72</v>
      </c>
      <c r="F41" s="130">
        <f t="shared" si="39"/>
        <v>106.25</v>
      </c>
      <c r="G41" s="130">
        <f t="shared" si="40"/>
        <v>52.15</v>
      </c>
      <c r="H41" s="132">
        <f t="shared" si="41"/>
        <v>2.1760000000000006</v>
      </c>
      <c r="I41" s="130">
        <f t="shared" si="42"/>
        <v>1.0680320000000001</v>
      </c>
      <c r="J41" s="130">
        <f t="shared" si="43"/>
        <v>2.1760000000000006</v>
      </c>
      <c r="K41" s="131">
        <v>1.3520000000000001</v>
      </c>
      <c r="L41" s="131">
        <v>15.42</v>
      </c>
      <c r="M41" s="130">
        <f t="shared" si="44"/>
        <v>1.0306088296401084</v>
      </c>
      <c r="N41" s="130">
        <f t="shared" si="45"/>
        <v>0.8533333333333335</v>
      </c>
      <c r="O41" s="130">
        <f t="shared" si="46"/>
        <v>0.41204589128173535</v>
      </c>
      <c r="P41" s="130">
        <f t="shared" si="47"/>
        <v>0.48286627884578354</v>
      </c>
    </row>
    <row r="42" spans="1:23" x14ac:dyDescent="0.2">
      <c r="A42" s="134">
        <v>2</v>
      </c>
      <c r="B42" s="132">
        <v>18.13</v>
      </c>
      <c r="C42" s="132">
        <f t="shared" si="38"/>
        <v>16</v>
      </c>
      <c r="D42" s="133">
        <v>85</v>
      </c>
      <c r="E42" s="133">
        <v>41.72</v>
      </c>
      <c r="F42" s="130">
        <f t="shared" si="39"/>
        <v>85</v>
      </c>
      <c r="G42" s="130">
        <f t="shared" si="40"/>
        <v>41.72</v>
      </c>
      <c r="H42" s="132">
        <f t="shared" si="41"/>
        <v>2.72</v>
      </c>
      <c r="I42" s="130">
        <f t="shared" si="42"/>
        <v>1.33504</v>
      </c>
      <c r="J42" s="130">
        <f t="shared" si="43"/>
        <v>2.72</v>
      </c>
      <c r="K42" s="131">
        <v>1.3520000000000001</v>
      </c>
      <c r="L42" s="131">
        <v>15.42</v>
      </c>
      <c r="M42" s="130">
        <f t="shared" si="44"/>
        <v>1.3316057272101229</v>
      </c>
      <c r="N42" s="130">
        <f t="shared" si="45"/>
        <v>1.0666666666666667</v>
      </c>
      <c r="O42" s="130">
        <f t="shared" si="46"/>
        <v>0.80477713140963902</v>
      </c>
      <c r="P42" s="130">
        <f t="shared" si="47"/>
        <v>0.75447856069653663</v>
      </c>
    </row>
    <row r="44" spans="1:23" x14ac:dyDescent="0.2">
      <c r="F44" s="129"/>
      <c r="G44" s="129"/>
    </row>
    <row r="45" spans="1:23" x14ac:dyDescent="0.2">
      <c r="F45" s="129"/>
      <c r="G45" s="129"/>
    </row>
    <row r="46" spans="1:23" x14ac:dyDescent="0.2">
      <c r="F46" s="129"/>
      <c r="G46" s="129"/>
    </row>
    <row r="47" spans="1:23" x14ac:dyDescent="0.2">
      <c r="F47" s="129"/>
      <c r="G47" s="129"/>
    </row>
    <row r="48" spans="1:23" x14ac:dyDescent="0.2">
      <c r="F48" s="129"/>
      <c r="G48" s="129"/>
    </row>
    <row r="49" spans="1:7" x14ac:dyDescent="0.2">
      <c r="F49" s="129"/>
      <c r="G49" s="129"/>
    </row>
    <row r="50" spans="1:7" x14ac:dyDescent="0.2">
      <c r="F50" s="129"/>
      <c r="G50" s="129"/>
    </row>
    <row r="52" spans="1:7" x14ac:dyDescent="0.2">
      <c r="F52" s="129" t="s">
        <v>90</v>
      </c>
      <c r="G52" s="129" t="s">
        <v>89</v>
      </c>
    </row>
    <row r="53" spans="1:7" x14ac:dyDescent="0.2">
      <c r="A53" s="144" t="s">
        <v>486</v>
      </c>
      <c r="F53" s="129">
        <v>700</v>
      </c>
      <c r="G53" s="129">
        <v>1398</v>
      </c>
    </row>
    <row r="54" spans="1:7" x14ac:dyDescent="0.2">
      <c r="A54" s="144" t="s">
        <v>487</v>
      </c>
      <c r="F54" s="129">
        <v>453</v>
      </c>
      <c r="G54" s="129">
        <v>727</v>
      </c>
    </row>
    <row r="55" spans="1:7" x14ac:dyDescent="0.2">
      <c r="A55" s="144" t="s">
        <v>482</v>
      </c>
      <c r="F55" s="129">
        <v>905</v>
      </c>
      <c r="G55" s="129">
        <v>2375</v>
      </c>
    </row>
    <row r="56" spans="1:7" x14ac:dyDescent="0.2">
      <c r="A56" s="144" t="s">
        <v>483</v>
      </c>
      <c r="F56" s="129">
        <v>905</v>
      </c>
      <c r="G56" s="129">
        <v>1080</v>
      </c>
    </row>
    <row r="57" spans="1:7" x14ac:dyDescent="0.2">
      <c r="A57" s="144" t="s">
        <v>484</v>
      </c>
      <c r="F57" s="129">
        <v>390</v>
      </c>
      <c r="G57" s="129">
        <v>670</v>
      </c>
    </row>
    <row r="58" spans="1:7" x14ac:dyDescent="0.2">
      <c r="A58" s="144" t="s">
        <v>485</v>
      </c>
      <c r="F58" s="129">
        <v>390</v>
      </c>
      <c r="G58" s="129">
        <f>670*0.73</f>
        <v>489.09999999999997</v>
      </c>
    </row>
    <row r="59" spans="1:7" x14ac:dyDescent="0.2">
      <c r="A59" s="128" t="s">
        <v>88</v>
      </c>
      <c r="F59" s="129">
        <f>IF(Control!Q17=0.9,
859,
IF(Control!Q17=1,
955,
IF(Control!Q17=1.15,
1098,
IF(Control!Q17=1.6,
1528))))</f>
        <v>1528</v>
      </c>
      <c r="G59" s="129">
        <f>IF(Control!Q17=0.9,
309,
IF(Control!Q17=1,
343,
IF(Control!Q17=1.15,
394,
IF(Control!Q17=1.6,
549))))</f>
        <v>549</v>
      </c>
    </row>
    <row r="60" spans="1:7" x14ac:dyDescent="0.2">
      <c r="A60" s="128" t="s">
        <v>87</v>
      </c>
      <c r="F60" s="129">
        <v>1540</v>
      </c>
      <c r="G60" s="129">
        <v>2983</v>
      </c>
    </row>
    <row r="61" spans="1:7" x14ac:dyDescent="0.2">
      <c r="A61" s="128" t="s">
        <v>86</v>
      </c>
      <c r="F61" s="129">
        <v>4750</v>
      </c>
      <c r="G61" s="129">
        <v>2984</v>
      </c>
    </row>
  </sheetData>
  <mergeCells count="2">
    <mergeCell ref="AJ5:AK5"/>
    <mergeCell ref="AL5:AT5"/>
  </mergeCells>
  <pageMargins left="0.7" right="0.7" top="0.75" bottom="0.75" header="0.3" footer="0.3"/>
  <pageSetup orientation="portrait" r:id="rId1"/>
  <customProperties>
    <customPr name="SSC_SHEET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61"/>
  <sheetViews>
    <sheetView zoomScale="85" zoomScaleNormal="85" workbookViewId="0">
      <selection activeCell="E201" sqref="E201:F202"/>
    </sheetView>
  </sheetViews>
  <sheetFormatPr defaultRowHeight="12.75" x14ac:dyDescent="0.2"/>
  <cols>
    <col min="1" max="1" width="5.85546875" style="128" customWidth="1"/>
    <col min="2" max="3" width="7.42578125" style="128" customWidth="1"/>
    <col min="4" max="4" width="8" style="128" customWidth="1"/>
    <col min="5" max="5" width="9.28515625" style="128" customWidth="1"/>
    <col min="6" max="6" width="8.5703125" style="128" customWidth="1"/>
    <col min="7" max="7" width="8.85546875" style="128" customWidth="1"/>
    <col min="8" max="8" width="10" style="128" customWidth="1"/>
    <col min="9" max="15" width="9.140625" style="128" customWidth="1"/>
    <col min="16" max="16" width="9.7109375" style="128" customWidth="1"/>
    <col min="17" max="17" width="9.140625" style="128" customWidth="1"/>
    <col min="18" max="18" width="6.42578125" style="128" customWidth="1"/>
    <col min="19" max="19" width="7.42578125" style="128" customWidth="1"/>
    <col min="20" max="20" width="8.42578125" style="128" customWidth="1"/>
    <col min="21" max="21" width="7.28515625" style="128" customWidth="1"/>
    <col min="22" max="23" width="8.5703125" style="128" customWidth="1"/>
    <col min="24" max="26" width="9.140625" style="128" customWidth="1"/>
    <col min="27" max="27" width="6.5703125" style="128" customWidth="1"/>
    <col min="28" max="28" width="6.42578125" style="128" customWidth="1"/>
    <col min="29" max="29" width="7" style="128" customWidth="1"/>
    <col min="30" max="30" width="9.140625" style="128" customWidth="1"/>
    <col min="31" max="31" width="9.5703125" style="128" customWidth="1"/>
    <col min="32" max="35" width="9.140625" style="128"/>
    <col min="36" max="36" width="9.7109375" style="128" bestFit="1" customWidth="1"/>
    <col min="37" max="41" width="9.140625" style="128"/>
    <col min="42" max="42" width="11" style="128" customWidth="1"/>
    <col min="43" max="16384" width="9.140625" style="128"/>
  </cols>
  <sheetData>
    <row r="1" spans="1:43" x14ac:dyDescent="0.2">
      <c r="F1" s="129"/>
      <c r="G1" s="145" t="s">
        <v>116</v>
      </c>
      <c r="H1" s="145" t="s">
        <v>115</v>
      </c>
    </row>
    <row r="2" spans="1:43" x14ac:dyDescent="0.2">
      <c r="E2" s="146" t="s">
        <v>114</v>
      </c>
      <c r="F2" s="145" t="s">
        <v>113</v>
      </c>
      <c r="G2" s="129">
        <v>85</v>
      </c>
      <c r="H2" s="129">
        <v>41.72</v>
      </c>
    </row>
    <row r="3" spans="1:43" x14ac:dyDescent="0.2">
      <c r="E3" s="146" t="s">
        <v>112</v>
      </c>
      <c r="F3" s="145" t="s">
        <v>111</v>
      </c>
      <c r="G3" s="129">
        <v>36.700000000000003</v>
      </c>
      <c r="H3" s="129">
        <v>85</v>
      </c>
      <c r="M3" s="152"/>
      <c r="N3" s="152"/>
      <c r="O3" s="152"/>
      <c r="P3" s="152"/>
      <c r="Q3" s="152"/>
      <c r="R3" s="152"/>
      <c r="S3" s="152"/>
      <c r="T3" s="152"/>
      <c r="U3" s="152"/>
      <c r="V3" s="152"/>
      <c r="W3" s="152"/>
      <c r="X3" s="152"/>
      <c r="Y3" s="151" t="s">
        <v>20</v>
      </c>
      <c r="Z3" s="247">
        <v>64.34</v>
      </c>
      <c r="AA3" s="151"/>
      <c r="AB3" s="151"/>
      <c r="AF3" s="144" t="s">
        <v>21</v>
      </c>
      <c r="AG3" s="247">
        <v>11.95</v>
      </c>
    </row>
    <row r="4" spans="1:43" x14ac:dyDescent="0.2">
      <c r="A4" s="144" t="s">
        <v>340</v>
      </c>
      <c r="C4" s="143"/>
      <c r="D4" s="143"/>
      <c r="E4" s="146" t="s">
        <v>110</v>
      </c>
      <c r="F4" s="145" t="s">
        <v>109</v>
      </c>
      <c r="G4" s="129">
        <v>62.47</v>
      </c>
      <c r="H4" s="129">
        <v>30</v>
      </c>
      <c r="S4" s="144" t="s">
        <v>89</v>
      </c>
      <c r="T4" s="144" t="s">
        <v>89</v>
      </c>
      <c r="U4" s="144" t="s">
        <v>89</v>
      </c>
      <c r="V4" s="144" t="s">
        <v>89</v>
      </c>
      <c r="AB4" s="144" t="s">
        <v>90</v>
      </c>
      <c r="AC4" s="144"/>
    </row>
    <row r="5" spans="1:43" ht="12.75" customHeight="1" x14ac:dyDescent="0.2">
      <c r="A5" s="142"/>
      <c r="B5" s="141"/>
      <c r="C5" s="141"/>
      <c r="D5" s="141"/>
      <c r="E5" s="141"/>
      <c r="F5" s="141"/>
      <c r="G5" s="141"/>
      <c r="H5" s="141"/>
      <c r="I5" s="141"/>
      <c r="J5" s="141"/>
      <c r="K5" s="141"/>
      <c r="L5" s="150"/>
      <c r="M5" s="150"/>
      <c r="N5" s="150"/>
      <c r="O5" s="140" t="s">
        <v>107</v>
      </c>
      <c r="P5" s="139"/>
      <c r="Q5" s="139"/>
      <c r="R5" s="139"/>
      <c r="S5" s="139"/>
      <c r="T5" s="139"/>
      <c r="U5" s="139"/>
      <c r="V5" s="139"/>
      <c r="W5" s="139"/>
      <c r="X5" s="139"/>
      <c r="Y5" s="139"/>
      <c r="Z5" s="139"/>
      <c r="AA5" s="139"/>
      <c r="AB5" s="140" t="s">
        <v>148</v>
      </c>
      <c r="AC5" s="139"/>
      <c r="AD5" s="139"/>
      <c r="AE5" s="139"/>
      <c r="AF5" s="139"/>
      <c r="AG5" s="139"/>
      <c r="AH5" s="139"/>
      <c r="AI5" s="138"/>
      <c r="AJ5" s="545" t="s">
        <v>303</v>
      </c>
      <c r="AK5" s="546"/>
      <c r="AL5" s="234" t="s">
        <v>147</v>
      </c>
      <c r="AM5" s="139"/>
      <c r="AN5" s="139"/>
      <c r="AO5" s="139"/>
      <c r="AP5" s="139"/>
      <c r="AQ5" s="138"/>
    </row>
    <row r="6" spans="1:43" ht="76.5" x14ac:dyDescent="0.2">
      <c r="A6" s="137" t="s">
        <v>106</v>
      </c>
      <c r="B6" s="135" t="s">
        <v>105</v>
      </c>
      <c r="C6" s="149" t="s">
        <v>146</v>
      </c>
      <c r="D6" s="137" t="s">
        <v>145</v>
      </c>
      <c r="E6" s="149" t="s">
        <v>104</v>
      </c>
      <c r="F6" s="135" t="s">
        <v>144</v>
      </c>
      <c r="G6" s="137" t="s">
        <v>103</v>
      </c>
      <c r="H6" s="137" t="s">
        <v>102</v>
      </c>
      <c r="I6" s="137" t="s">
        <v>143</v>
      </c>
      <c r="J6" s="137" t="s">
        <v>142</v>
      </c>
      <c r="K6" s="137" t="s">
        <v>141</v>
      </c>
      <c r="L6" s="137" t="s">
        <v>140</v>
      </c>
      <c r="M6" s="137" t="s">
        <v>139</v>
      </c>
      <c r="N6" s="137" t="s">
        <v>138</v>
      </c>
      <c r="O6" s="135" t="s">
        <v>131</v>
      </c>
      <c r="P6" s="135" t="s">
        <v>130</v>
      </c>
      <c r="Q6" s="135" t="s">
        <v>137</v>
      </c>
      <c r="R6" s="135" t="s">
        <v>136</v>
      </c>
      <c r="S6" s="135" t="s">
        <v>135</v>
      </c>
      <c r="T6" s="135" t="s">
        <v>134</v>
      </c>
      <c r="U6" s="135" t="s">
        <v>133</v>
      </c>
      <c r="V6" s="135" t="s">
        <v>132</v>
      </c>
      <c r="W6" s="135" t="s">
        <v>99</v>
      </c>
      <c r="X6" s="135" t="s">
        <v>98</v>
      </c>
      <c r="Y6" s="135" t="s">
        <v>97</v>
      </c>
      <c r="Z6" s="135" t="s">
        <v>96</v>
      </c>
      <c r="AA6" s="135" t="s">
        <v>94</v>
      </c>
      <c r="AB6" s="148" t="s">
        <v>131</v>
      </c>
      <c r="AC6" s="148" t="s">
        <v>130</v>
      </c>
      <c r="AD6" s="148" t="s">
        <v>129</v>
      </c>
      <c r="AE6" s="148" t="s">
        <v>128</v>
      </c>
      <c r="AF6" s="148" t="s">
        <v>97</v>
      </c>
      <c r="AG6" s="148" t="s">
        <v>127</v>
      </c>
      <c r="AH6" s="148" t="s">
        <v>126</v>
      </c>
      <c r="AI6" s="148" t="s">
        <v>125</v>
      </c>
      <c r="AJ6" s="148" t="s">
        <v>124</v>
      </c>
      <c r="AK6" s="148" t="s">
        <v>123</v>
      </c>
      <c r="AL6" s="147" t="s">
        <v>122</v>
      </c>
      <c r="AM6" s="147" t="s">
        <v>121</v>
      </c>
      <c r="AN6" s="147" t="s">
        <v>120</v>
      </c>
      <c r="AO6" s="147" t="s">
        <v>119</v>
      </c>
      <c r="AP6" s="147" t="s">
        <v>118</v>
      </c>
      <c r="AQ6" s="137" t="s">
        <v>117</v>
      </c>
    </row>
    <row r="7" spans="1:43" x14ac:dyDescent="0.2">
      <c r="A7" s="134">
        <v>8</v>
      </c>
      <c r="B7" s="132">
        <v>3.69</v>
      </c>
      <c r="C7" s="132">
        <v>3.58</v>
      </c>
      <c r="D7" s="133">
        <v>30</v>
      </c>
      <c r="E7" s="132">
        <f t="shared" ref="E7:E19" si="0">32/A7</f>
        <v>4</v>
      </c>
      <c r="F7" s="132">
        <f>SQRT(8/((MAX(S7:T7)/12/(Z7*B7*1000))+(MAX(AB7:AC7)/12/(AG7*C7*1000))))/12</f>
        <v>3.0950082438487612</v>
      </c>
      <c r="G7" s="133">
        <v>85</v>
      </c>
      <c r="H7" s="133">
        <v>41.72</v>
      </c>
      <c r="I7" s="130">
        <f t="shared" ref="I7:I19" si="1">A7*1/2*G7*E7</f>
        <v>1360</v>
      </c>
      <c r="J7" s="130">
        <f t="shared" ref="J7:J19" si="2">A7*1/2*H7*E7</f>
        <v>667.52</v>
      </c>
      <c r="K7" s="130">
        <f t="shared" ref="K7:K19" si="3">(I7*A7*(1/3))/(A7*2/3)</f>
        <v>680</v>
      </c>
      <c r="L7" s="130">
        <f t="shared" ref="L7:L19" si="4">(J7*A7*(1/3))/(A7*2/3)</f>
        <v>333.76</v>
      </c>
      <c r="M7" s="130">
        <f t="shared" ref="M7:M19" si="5">(I7+K7)*(2/3)*A7/((TAN(D7/180*PI()))*(A7*2/3))</f>
        <v>3533.3836474405102</v>
      </c>
      <c r="N7" s="130">
        <f t="shared" ref="N7:N19" si="6">(J7+L7)*(2/3)*A7/((TAN(D7/180*PI()))*(A7*2/3))</f>
        <v>1734.2678326025657</v>
      </c>
      <c r="O7" s="130">
        <f t="shared" ref="O7:O19" si="7">K7/E7</f>
        <v>170</v>
      </c>
      <c r="P7" s="130">
        <f t="shared" ref="P7:P19" si="8">L7/E7</f>
        <v>83.44</v>
      </c>
      <c r="Q7" s="130">
        <f t="shared" ref="Q7:Q19" si="9">((1/2)*A7)*G7</f>
        <v>340</v>
      </c>
      <c r="R7" s="130">
        <f t="shared" ref="R7:R19" si="10">((1/2)*A7)*H7</f>
        <v>166.88</v>
      </c>
      <c r="S7" s="130">
        <f>Q7+O7</f>
        <v>510</v>
      </c>
      <c r="T7" s="130">
        <f>R7+P7</f>
        <v>250.32</v>
      </c>
      <c r="U7" s="130">
        <f t="shared" ref="U7:V19" si="11">Q7-O7</f>
        <v>170</v>
      </c>
      <c r="V7" s="130">
        <f t="shared" si="11"/>
        <v>83.44</v>
      </c>
      <c r="W7" s="132">
        <f t="shared" ref="W7:W19" si="12">(S7*(F7^2))/8/1000</f>
        <v>0.61066609688010176</v>
      </c>
      <c r="X7" s="130">
        <f t="shared" ref="X7:X19" si="13">(T7*(F7^2))/8/1000</f>
        <v>0.29972928896279821</v>
      </c>
      <c r="Y7" s="130">
        <f t="shared" ref="Y7:Y19" si="14">MAX(W7,X7)</f>
        <v>0.61066609688010176</v>
      </c>
      <c r="Z7" s="131">
        <v>7.98</v>
      </c>
      <c r="AA7" s="132">
        <f t="shared" ref="AA7:AA19" si="15">(((Y7*12)/Z7)/B7)</f>
        <v>0.24886040176869073</v>
      </c>
      <c r="AB7" s="130">
        <f>M7/E7</f>
        <v>883.34591186012756</v>
      </c>
      <c r="AC7" s="130">
        <f t="shared" ref="AC7:AC19" si="16">N7/E7</f>
        <v>433.56695815064143</v>
      </c>
      <c r="AD7" s="132">
        <f t="shared" ref="AD7:AD19" si="17">(AB7*(F7^2))/8/1000</f>
        <v>1.0577047062561149</v>
      </c>
      <c r="AE7" s="132">
        <f t="shared" ref="AE7:AE19" si="18">(AC7*(F7^2))/8/1000</f>
        <v>0.51914635700006007</v>
      </c>
      <c r="AF7" s="130">
        <f t="shared" ref="AF7:AF19" si="19">MAX(AD7,AE7)</f>
        <v>1.0577047062561149</v>
      </c>
      <c r="AG7" s="131">
        <v>4.72</v>
      </c>
      <c r="AH7" s="132">
        <f t="shared" ref="AH7:AH19" si="20">(((AF7*12)/AG7)/C7)</f>
        <v>0.7511395982313096</v>
      </c>
      <c r="AI7" s="130">
        <f t="shared" ref="AI7:AI19" si="21">AH7+AA7</f>
        <v>1.0000000000000004</v>
      </c>
      <c r="AJ7" s="130">
        <f t="shared" ref="AJ7:AJ19" si="22">MAX(M7:N7)*(F7/E7)</f>
        <v>2733.9628793771958</v>
      </c>
      <c r="AK7" s="130">
        <f t="shared" ref="AK7:AK19" si="23">MAX(K7:L7)*(F7/E7)</f>
        <v>526.15140145428938</v>
      </c>
      <c r="AL7" s="130" t="e">
        <f>(MIN((1/((V7)/$G$53)),(1/((U7/$G$53+(AB7/$F$53))))))</f>
        <v>#DIV/0!</v>
      </c>
      <c r="AM7" s="130" t="e">
        <f>(MIN((1/((V7)/$G$55)),(1/((U7/$G$55+(AB7/$F$55))))))</f>
        <v>#DIV/0!</v>
      </c>
      <c r="AN7" s="130" t="e">
        <f>(MIN((1/((V7)/$G$57)),(1/((U7/$G$57+(AB7/$F$57))))))</f>
        <v>#DIV/0!</v>
      </c>
      <c r="AO7" s="130" t="e">
        <f>(MIN((1/((V7)/$G$59)),(1/((U7/$G$59+(AB7/$F$59))))))</f>
        <v>#DIV/0!</v>
      </c>
      <c r="AP7" s="130" t="e">
        <f>(MIN((1/((V7)/$G$60)),(1/((U7/$G$60+(AB7/$F$60))))))</f>
        <v>#DIV/0!</v>
      </c>
      <c r="AQ7" s="130" t="e">
        <f>(MIN((1/((V7)/$G$61)),(1/((U7/$G$61+(AB7/$F$61))))))</f>
        <v>#DIV/0!</v>
      </c>
    </row>
    <row r="8" spans="1:43" x14ac:dyDescent="0.2">
      <c r="A8" s="134">
        <v>7.5</v>
      </c>
      <c r="B8" s="132">
        <v>3.69</v>
      </c>
      <c r="C8" s="132">
        <v>3.58</v>
      </c>
      <c r="D8" s="133">
        <v>30</v>
      </c>
      <c r="E8" s="132">
        <f t="shared" si="0"/>
        <v>4.2666666666666666</v>
      </c>
      <c r="F8" s="132">
        <f t="shared" ref="F8:F19" si="24">SQRT(8/((MAX(S8:T8)/12/(Z8*B8*1000))+(MAX(AB8:AC8)/12/(AG8*C8*1000))))/12</f>
        <v>3.1965107692802444</v>
      </c>
      <c r="G8" s="133">
        <v>85</v>
      </c>
      <c r="H8" s="133">
        <v>41.72</v>
      </c>
      <c r="I8" s="130">
        <f t="shared" si="1"/>
        <v>1360</v>
      </c>
      <c r="J8" s="130">
        <f t="shared" si="2"/>
        <v>667.52</v>
      </c>
      <c r="K8" s="130">
        <f t="shared" si="3"/>
        <v>680</v>
      </c>
      <c r="L8" s="130">
        <f t="shared" si="4"/>
        <v>333.75999999999993</v>
      </c>
      <c r="M8" s="130">
        <f t="shared" si="5"/>
        <v>3533.3836474405098</v>
      </c>
      <c r="N8" s="130">
        <f t="shared" si="6"/>
        <v>1734.2678326025655</v>
      </c>
      <c r="O8" s="130">
        <f t="shared" si="7"/>
        <v>159.375</v>
      </c>
      <c r="P8" s="130">
        <f t="shared" si="8"/>
        <v>78.22499999999998</v>
      </c>
      <c r="Q8" s="130">
        <f t="shared" si="9"/>
        <v>318.75</v>
      </c>
      <c r="R8" s="130">
        <f t="shared" si="10"/>
        <v>156.44999999999999</v>
      </c>
      <c r="S8" s="130">
        <f t="shared" ref="S8:T19" si="25">Q8+O8</f>
        <v>478.125</v>
      </c>
      <c r="T8" s="130">
        <f t="shared" si="25"/>
        <v>234.67499999999995</v>
      </c>
      <c r="U8" s="130">
        <f t="shared" si="11"/>
        <v>159.375</v>
      </c>
      <c r="V8" s="130">
        <f t="shared" si="11"/>
        <v>78.225000000000009</v>
      </c>
      <c r="W8" s="132">
        <f t="shared" si="12"/>
        <v>0.61066609688010176</v>
      </c>
      <c r="X8" s="130">
        <f t="shared" si="13"/>
        <v>0.29972928896279816</v>
      </c>
      <c r="Y8" s="130">
        <f t="shared" si="14"/>
        <v>0.61066609688010176</v>
      </c>
      <c r="Z8" s="131">
        <v>7.98</v>
      </c>
      <c r="AA8" s="132">
        <f t="shared" si="15"/>
        <v>0.24886040176869073</v>
      </c>
      <c r="AB8" s="130">
        <f t="shared" ref="AB8:AB19" si="26">M8/E8</f>
        <v>828.13679236886946</v>
      </c>
      <c r="AC8" s="130">
        <f t="shared" si="16"/>
        <v>406.46902326622632</v>
      </c>
      <c r="AD8" s="132">
        <f t="shared" si="17"/>
        <v>1.0577047062561147</v>
      </c>
      <c r="AE8" s="130">
        <f t="shared" si="18"/>
        <v>0.51914635700006007</v>
      </c>
      <c r="AF8" s="130">
        <f t="shared" si="19"/>
        <v>1.0577047062561147</v>
      </c>
      <c r="AG8" s="131">
        <v>4.72</v>
      </c>
      <c r="AH8" s="132">
        <f t="shared" si="20"/>
        <v>0.75113959823130949</v>
      </c>
      <c r="AI8" s="130">
        <f t="shared" si="21"/>
        <v>1.0000000000000002</v>
      </c>
      <c r="AJ8" s="130">
        <f t="shared" si="22"/>
        <v>2647.1481752442887</v>
      </c>
      <c r="AK8" s="130">
        <f t="shared" si="23"/>
        <v>509.44390385403892</v>
      </c>
      <c r="AL8" s="130" t="e">
        <f t="shared" ref="AL8:AL19" si="27">(MIN((1/((V8)/$G$53)),(1/((U8/$G$53+(AB8/$F$53))))))</f>
        <v>#DIV/0!</v>
      </c>
      <c r="AM8" s="130" t="e">
        <f t="shared" ref="AM8:AM19" si="28">(MIN((1/((V8)/$G$55)),(1/((U8/$G$55+(AB8/$F$55))))))</f>
        <v>#DIV/0!</v>
      </c>
      <c r="AN8" s="130" t="e">
        <f t="shared" ref="AN8:AN19" si="29">(MIN((1/((V8)/$G$57)),(1/((U8/$G$57+(AB8/$F$57))))))</f>
        <v>#DIV/0!</v>
      </c>
      <c r="AO8" s="130" t="e">
        <f t="shared" ref="AO8:AO19" si="30">(MIN((1/((V8)/$G$59)),(1/((U8/$G$59+(AB8/$F$59))))))</f>
        <v>#DIV/0!</v>
      </c>
      <c r="AP8" s="130" t="e">
        <f t="shared" ref="AP8:AP19" si="31">(MIN((1/((V8)/$G$60)),(1/((U8/$G$60+(AB8/$F$60))))))</f>
        <v>#DIV/0!</v>
      </c>
      <c r="AQ8" s="130" t="e">
        <f t="shared" ref="AQ8:AQ19" si="32">(MIN((1/((V8)/$G$61)),(1/((U8/$G$61+(AB8/$F$61))))))</f>
        <v>#DIV/0!</v>
      </c>
    </row>
    <row r="9" spans="1:43" x14ac:dyDescent="0.2">
      <c r="A9" s="134">
        <v>7</v>
      </c>
      <c r="B9" s="132">
        <v>3.69</v>
      </c>
      <c r="C9" s="132">
        <v>3.58</v>
      </c>
      <c r="D9" s="133">
        <v>30</v>
      </c>
      <c r="E9" s="132">
        <f t="shared" si="0"/>
        <v>4.5714285714285712</v>
      </c>
      <c r="F9" s="132">
        <f t="shared" si="24"/>
        <v>3.3087029879208458</v>
      </c>
      <c r="G9" s="133">
        <v>85</v>
      </c>
      <c r="H9" s="133">
        <v>41.72</v>
      </c>
      <c r="I9" s="130">
        <f t="shared" si="1"/>
        <v>1360</v>
      </c>
      <c r="J9" s="130">
        <f t="shared" si="2"/>
        <v>667.51999999999987</v>
      </c>
      <c r="K9" s="130">
        <f t="shared" si="3"/>
        <v>679.99999999999989</v>
      </c>
      <c r="L9" s="130">
        <f t="shared" si="4"/>
        <v>333.75999999999993</v>
      </c>
      <c r="M9" s="130">
        <f t="shared" si="5"/>
        <v>3533.3836474405098</v>
      </c>
      <c r="N9" s="130">
        <f t="shared" si="6"/>
        <v>1734.2678326025648</v>
      </c>
      <c r="O9" s="130">
        <f t="shared" si="7"/>
        <v>148.74999999999997</v>
      </c>
      <c r="P9" s="130">
        <f t="shared" si="8"/>
        <v>73.009999999999991</v>
      </c>
      <c r="Q9" s="130">
        <f t="shared" si="9"/>
        <v>297.5</v>
      </c>
      <c r="R9" s="130">
        <f t="shared" si="10"/>
        <v>146.01999999999998</v>
      </c>
      <c r="S9" s="130">
        <f t="shared" si="25"/>
        <v>446.25</v>
      </c>
      <c r="T9" s="130">
        <f t="shared" si="25"/>
        <v>219.02999999999997</v>
      </c>
      <c r="U9" s="130">
        <f t="shared" si="11"/>
        <v>148.75000000000003</v>
      </c>
      <c r="V9" s="130">
        <f t="shared" si="11"/>
        <v>73.009999999999991</v>
      </c>
      <c r="W9" s="132">
        <f t="shared" si="12"/>
        <v>0.61066609688010165</v>
      </c>
      <c r="X9" s="130">
        <f t="shared" si="13"/>
        <v>0.2997292889627981</v>
      </c>
      <c r="Y9" s="130">
        <f t="shared" si="14"/>
        <v>0.61066609688010165</v>
      </c>
      <c r="Z9" s="131">
        <v>7.98</v>
      </c>
      <c r="AA9" s="132">
        <f t="shared" si="15"/>
        <v>0.24886040176869068</v>
      </c>
      <c r="AB9" s="130">
        <f t="shared" si="26"/>
        <v>772.9276728776116</v>
      </c>
      <c r="AC9" s="130">
        <f t="shared" si="16"/>
        <v>379.37108838181109</v>
      </c>
      <c r="AD9" s="132">
        <f t="shared" si="17"/>
        <v>1.0577047062561145</v>
      </c>
      <c r="AE9" s="130">
        <f t="shared" si="18"/>
        <v>0.51914635700005973</v>
      </c>
      <c r="AF9" s="130">
        <f t="shared" si="19"/>
        <v>1.0577047062561145</v>
      </c>
      <c r="AG9" s="131">
        <v>4.72</v>
      </c>
      <c r="AH9" s="132">
        <f t="shared" si="20"/>
        <v>0.75113959823130949</v>
      </c>
      <c r="AI9" s="130">
        <f t="shared" si="21"/>
        <v>1.0000000000000002</v>
      </c>
      <c r="AJ9" s="130">
        <f t="shared" si="22"/>
        <v>2557.3881006968595</v>
      </c>
      <c r="AK9" s="130">
        <f t="shared" si="23"/>
        <v>492.16956945322573</v>
      </c>
      <c r="AL9" s="130" t="e">
        <f t="shared" si="27"/>
        <v>#DIV/0!</v>
      </c>
      <c r="AM9" s="130" t="e">
        <f t="shared" si="28"/>
        <v>#DIV/0!</v>
      </c>
      <c r="AN9" s="130" t="e">
        <f t="shared" si="29"/>
        <v>#DIV/0!</v>
      </c>
      <c r="AO9" s="130" t="e">
        <f t="shared" si="30"/>
        <v>#DIV/0!</v>
      </c>
      <c r="AP9" s="130" t="e">
        <f t="shared" si="31"/>
        <v>#DIV/0!</v>
      </c>
      <c r="AQ9" s="130" t="e">
        <f t="shared" si="32"/>
        <v>#DIV/0!</v>
      </c>
    </row>
    <row r="10" spans="1:43" x14ac:dyDescent="0.2">
      <c r="A10" s="134">
        <v>6.5</v>
      </c>
      <c r="B10" s="132">
        <v>3.69</v>
      </c>
      <c r="C10" s="132">
        <v>3.58</v>
      </c>
      <c r="D10" s="133">
        <v>30</v>
      </c>
      <c r="E10" s="132">
        <f t="shared" si="0"/>
        <v>4.9230769230769234</v>
      </c>
      <c r="F10" s="132">
        <f t="shared" si="24"/>
        <v>3.4336033603632186</v>
      </c>
      <c r="G10" s="133">
        <v>85</v>
      </c>
      <c r="H10" s="133">
        <v>41.72</v>
      </c>
      <c r="I10" s="130">
        <f t="shared" si="1"/>
        <v>1360</v>
      </c>
      <c r="J10" s="130">
        <f t="shared" si="2"/>
        <v>667.5200000000001</v>
      </c>
      <c r="K10" s="130">
        <f t="shared" si="3"/>
        <v>680</v>
      </c>
      <c r="L10" s="130">
        <f t="shared" si="4"/>
        <v>333.76000000000005</v>
      </c>
      <c r="M10" s="130">
        <f t="shared" si="5"/>
        <v>3533.3836474405102</v>
      </c>
      <c r="N10" s="130">
        <f t="shared" si="6"/>
        <v>1734.2678326025662</v>
      </c>
      <c r="O10" s="130">
        <f t="shared" si="7"/>
        <v>138.125</v>
      </c>
      <c r="P10" s="130">
        <f t="shared" si="8"/>
        <v>67.795000000000002</v>
      </c>
      <c r="Q10" s="130">
        <f t="shared" si="9"/>
        <v>276.25</v>
      </c>
      <c r="R10" s="130">
        <f t="shared" si="10"/>
        <v>135.59</v>
      </c>
      <c r="S10" s="130">
        <f t="shared" si="25"/>
        <v>414.375</v>
      </c>
      <c r="T10" s="130">
        <f t="shared" si="25"/>
        <v>203.38499999999999</v>
      </c>
      <c r="U10" s="130">
        <f t="shared" si="11"/>
        <v>138.125</v>
      </c>
      <c r="V10" s="130">
        <f t="shared" si="11"/>
        <v>67.795000000000002</v>
      </c>
      <c r="W10" s="132">
        <f t="shared" si="12"/>
        <v>0.61066609688010154</v>
      </c>
      <c r="X10" s="130">
        <f t="shared" si="13"/>
        <v>0.2997292889627981</v>
      </c>
      <c r="Y10" s="130">
        <f t="shared" si="14"/>
        <v>0.61066609688010154</v>
      </c>
      <c r="Z10" s="131">
        <v>7.98</v>
      </c>
      <c r="AA10" s="132">
        <f t="shared" si="15"/>
        <v>0.24886040176869065</v>
      </c>
      <c r="AB10" s="130">
        <f t="shared" si="26"/>
        <v>717.71855338635362</v>
      </c>
      <c r="AC10" s="130">
        <f t="shared" si="16"/>
        <v>352.27315349739621</v>
      </c>
      <c r="AD10" s="132">
        <f t="shared" si="17"/>
        <v>1.0577047062561145</v>
      </c>
      <c r="AE10" s="130">
        <f t="shared" si="18"/>
        <v>0.51914635700005984</v>
      </c>
      <c r="AF10" s="130">
        <f t="shared" si="19"/>
        <v>1.0577047062561145</v>
      </c>
      <c r="AG10" s="131">
        <v>4.72</v>
      </c>
      <c r="AH10" s="132">
        <f t="shared" si="20"/>
        <v>0.75113959823130949</v>
      </c>
      <c r="AI10" s="130">
        <f t="shared" si="21"/>
        <v>1.0000000000000002</v>
      </c>
      <c r="AJ10" s="130">
        <f t="shared" si="22"/>
        <v>2464.3608367024117</v>
      </c>
      <c r="AK10" s="130">
        <f t="shared" si="23"/>
        <v>474.26646415016955</v>
      </c>
      <c r="AL10" s="130" t="e">
        <f t="shared" si="27"/>
        <v>#DIV/0!</v>
      </c>
      <c r="AM10" s="130" t="e">
        <f t="shared" si="28"/>
        <v>#DIV/0!</v>
      </c>
      <c r="AN10" s="130" t="e">
        <f t="shared" si="29"/>
        <v>#DIV/0!</v>
      </c>
      <c r="AO10" s="130" t="e">
        <f t="shared" si="30"/>
        <v>#DIV/0!</v>
      </c>
      <c r="AP10" s="130" t="e">
        <f t="shared" si="31"/>
        <v>#DIV/0!</v>
      </c>
      <c r="AQ10" s="130" t="e">
        <f t="shared" si="32"/>
        <v>#DIV/0!</v>
      </c>
    </row>
    <row r="11" spans="1:43" x14ac:dyDescent="0.2">
      <c r="A11" s="134">
        <v>6</v>
      </c>
      <c r="B11" s="132">
        <v>3.69</v>
      </c>
      <c r="C11" s="132">
        <v>3.58</v>
      </c>
      <c r="D11" s="133">
        <v>30</v>
      </c>
      <c r="E11" s="132">
        <f t="shared" si="0"/>
        <v>5.333333333333333</v>
      </c>
      <c r="F11" s="132">
        <f t="shared" si="24"/>
        <v>3.5738076854603857</v>
      </c>
      <c r="G11" s="133">
        <v>85</v>
      </c>
      <c r="H11" s="133">
        <v>41.72</v>
      </c>
      <c r="I11" s="130">
        <f t="shared" si="1"/>
        <v>1360</v>
      </c>
      <c r="J11" s="130">
        <f t="shared" si="2"/>
        <v>667.52</v>
      </c>
      <c r="K11" s="130">
        <f t="shared" si="3"/>
        <v>680</v>
      </c>
      <c r="L11" s="130">
        <f t="shared" si="4"/>
        <v>333.76</v>
      </c>
      <c r="M11" s="130">
        <f t="shared" si="5"/>
        <v>3533.3836474405098</v>
      </c>
      <c r="N11" s="130">
        <f t="shared" si="6"/>
        <v>1734.2678326025655</v>
      </c>
      <c r="O11" s="130">
        <f t="shared" si="7"/>
        <v>127.5</v>
      </c>
      <c r="P11" s="130">
        <f t="shared" si="8"/>
        <v>62.58</v>
      </c>
      <c r="Q11" s="130">
        <f t="shared" si="9"/>
        <v>255</v>
      </c>
      <c r="R11" s="130">
        <f t="shared" si="10"/>
        <v>125.16</v>
      </c>
      <c r="S11" s="130">
        <f t="shared" si="25"/>
        <v>382.5</v>
      </c>
      <c r="T11" s="130">
        <f t="shared" si="25"/>
        <v>187.74</v>
      </c>
      <c r="U11" s="130">
        <f t="shared" si="11"/>
        <v>127.5</v>
      </c>
      <c r="V11" s="130">
        <f t="shared" si="11"/>
        <v>62.58</v>
      </c>
      <c r="W11" s="132">
        <f t="shared" si="12"/>
        <v>0.61066609688010154</v>
      </c>
      <c r="X11" s="130">
        <f t="shared" si="13"/>
        <v>0.2997292889627981</v>
      </c>
      <c r="Y11" s="130">
        <f t="shared" si="14"/>
        <v>0.61066609688010154</v>
      </c>
      <c r="Z11" s="131">
        <v>7.98</v>
      </c>
      <c r="AA11" s="132">
        <f t="shared" si="15"/>
        <v>0.24886040176869065</v>
      </c>
      <c r="AB11" s="130">
        <f t="shared" si="26"/>
        <v>662.50943389509564</v>
      </c>
      <c r="AC11" s="130">
        <f t="shared" si="16"/>
        <v>325.17521861298104</v>
      </c>
      <c r="AD11" s="132">
        <f t="shared" si="17"/>
        <v>1.0577047062561145</v>
      </c>
      <c r="AE11" s="130">
        <f t="shared" si="18"/>
        <v>0.51914635700005984</v>
      </c>
      <c r="AF11" s="130">
        <f t="shared" si="19"/>
        <v>1.0577047062561145</v>
      </c>
      <c r="AG11" s="131">
        <v>4.72</v>
      </c>
      <c r="AH11" s="132">
        <f t="shared" si="20"/>
        <v>0.75113959823130949</v>
      </c>
      <c r="AI11" s="130">
        <f t="shared" si="21"/>
        <v>1.0000000000000002</v>
      </c>
      <c r="AJ11" s="130">
        <f t="shared" si="22"/>
        <v>2367.6813065443021</v>
      </c>
      <c r="AK11" s="130">
        <f t="shared" si="23"/>
        <v>455.66047989619921</v>
      </c>
      <c r="AL11" s="130" t="e">
        <f t="shared" si="27"/>
        <v>#DIV/0!</v>
      </c>
      <c r="AM11" s="130" t="e">
        <f t="shared" si="28"/>
        <v>#DIV/0!</v>
      </c>
      <c r="AN11" s="130" t="e">
        <f t="shared" si="29"/>
        <v>#DIV/0!</v>
      </c>
      <c r="AO11" s="130" t="e">
        <f t="shared" si="30"/>
        <v>#DIV/0!</v>
      </c>
      <c r="AP11" s="130" t="e">
        <f t="shared" si="31"/>
        <v>#DIV/0!</v>
      </c>
      <c r="AQ11" s="130" t="e">
        <f t="shared" si="32"/>
        <v>#DIV/0!</v>
      </c>
    </row>
    <row r="12" spans="1:43" x14ac:dyDescent="0.2">
      <c r="A12" s="134">
        <v>5.5</v>
      </c>
      <c r="B12" s="132">
        <v>3.69</v>
      </c>
      <c r="C12" s="132">
        <v>3.58</v>
      </c>
      <c r="D12" s="133">
        <v>30</v>
      </c>
      <c r="E12" s="132">
        <f t="shared" si="0"/>
        <v>5.8181818181818183</v>
      </c>
      <c r="F12" s="132">
        <f t="shared" si="24"/>
        <v>3.7327203883284112</v>
      </c>
      <c r="G12" s="133">
        <v>85</v>
      </c>
      <c r="H12" s="133">
        <v>41.72</v>
      </c>
      <c r="I12" s="130">
        <f t="shared" si="1"/>
        <v>1360</v>
      </c>
      <c r="J12" s="130">
        <f t="shared" si="2"/>
        <v>667.52</v>
      </c>
      <c r="K12" s="130">
        <f t="shared" si="3"/>
        <v>680</v>
      </c>
      <c r="L12" s="130">
        <f t="shared" si="4"/>
        <v>333.75999999999993</v>
      </c>
      <c r="M12" s="130">
        <f t="shared" si="5"/>
        <v>3533.3836474405102</v>
      </c>
      <c r="N12" s="130">
        <f t="shared" si="6"/>
        <v>1734.2678326025657</v>
      </c>
      <c r="O12" s="130">
        <f t="shared" si="7"/>
        <v>116.875</v>
      </c>
      <c r="P12" s="130">
        <f t="shared" si="8"/>
        <v>57.364999999999988</v>
      </c>
      <c r="Q12" s="130">
        <f t="shared" si="9"/>
        <v>233.75</v>
      </c>
      <c r="R12" s="130">
        <f t="shared" si="10"/>
        <v>114.72999999999999</v>
      </c>
      <c r="S12" s="130">
        <f t="shared" si="25"/>
        <v>350.625</v>
      </c>
      <c r="T12" s="130">
        <f t="shared" si="25"/>
        <v>172.09499999999997</v>
      </c>
      <c r="U12" s="130">
        <f t="shared" si="11"/>
        <v>116.875</v>
      </c>
      <c r="V12" s="130">
        <f t="shared" si="11"/>
        <v>57.365000000000002</v>
      </c>
      <c r="W12" s="132">
        <f t="shared" si="12"/>
        <v>0.61066609688010165</v>
      </c>
      <c r="X12" s="130">
        <f t="shared" si="13"/>
        <v>0.2997292889627981</v>
      </c>
      <c r="Y12" s="130">
        <f t="shared" si="14"/>
        <v>0.61066609688010165</v>
      </c>
      <c r="Z12" s="131">
        <v>7.98</v>
      </c>
      <c r="AA12" s="132">
        <f t="shared" si="15"/>
        <v>0.24886040176869068</v>
      </c>
      <c r="AB12" s="130">
        <f t="shared" si="26"/>
        <v>607.30031440383766</v>
      </c>
      <c r="AC12" s="130">
        <f t="shared" si="16"/>
        <v>298.07728372856599</v>
      </c>
      <c r="AD12" s="132">
        <f t="shared" si="17"/>
        <v>1.0577047062561145</v>
      </c>
      <c r="AE12" s="130">
        <f t="shared" si="18"/>
        <v>0.51914635700005995</v>
      </c>
      <c r="AF12" s="130">
        <f t="shared" si="19"/>
        <v>1.0577047062561145</v>
      </c>
      <c r="AG12" s="131">
        <v>4.72</v>
      </c>
      <c r="AH12" s="132">
        <f t="shared" si="20"/>
        <v>0.75113959823130949</v>
      </c>
      <c r="AI12" s="130">
        <f t="shared" si="21"/>
        <v>1.0000000000000002</v>
      </c>
      <c r="AJ12" s="130">
        <f t="shared" si="22"/>
        <v>2266.8822654134592</v>
      </c>
      <c r="AK12" s="130">
        <f t="shared" si="23"/>
        <v>436.26169538588306</v>
      </c>
      <c r="AL12" s="130" t="e">
        <f t="shared" si="27"/>
        <v>#DIV/0!</v>
      </c>
      <c r="AM12" s="130" t="e">
        <f t="shared" si="28"/>
        <v>#DIV/0!</v>
      </c>
      <c r="AN12" s="130" t="e">
        <f t="shared" si="29"/>
        <v>#DIV/0!</v>
      </c>
      <c r="AO12" s="130" t="e">
        <f t="shared" si="30"/>
        <v>#DIV/0!</v>
      </c>
      <c r="AP12" s="130" t="e">
        <f t="shared" si="31"/>
        <v>#DIV/0!</v>
      </c>
      <c r="AQ12" s="130" t="e">
        <f t="shared" si="32"/>
        <v>#DIV/0!</v>
      </c>
    </row>
    <row r="13" spans="1:43" x14ac:dyDescent="0.2">
      <c r="A13" s="134">
        <v>5</v>
      </c>
      <c r="B13" s="132">
        <v>3.69</v>
      </c>
      <c r="C13" s="132">
        <v>3.58</v>
      </c>
      <c r="D13" s="133">
        <v>30</v>
      </c>
      <c r="E13" s="132">
        <f t="shared" si="0"/>
        <v>6.4</v>
      </c>
      <c r="F13" s="132">
        <f t="shared" si="24"/>
        <v>3.914910171023962</v>
      </c>
      <c r="G13" s="133">
        <v>85</v>
      </c>
      <c r="H13" s="133">
        <v>41.72</v>
      </c>
      <c r="I13" s="130">
        <f t="shared" si="1"/>
        <v>1360</v>
      </c>
      <c r="J13" s="130">
        <f t="shared" si="2"/>
        <v>667.52</v>
      </c>
      <c r="K13" s="130">
        <f t="shared" si="3"/>
        <v>679.99999999999989</v>
      </c>
      <c r="L13" s="130">
        <f t="shared" si="4"/>
        <v>333.76</v>
      </c>
      <c r="M13" s="130">
        <f t="shared" si="5"/>
        <v>3533.3836474405098</v>
      </c>
      <c r="N13" s="130">
        <f t="shared" si="6"/>
        <v>1734.2678326025655</v>
      </c>
      <c r="O13" s="130">
        <f t="shared" si="7"/>
        <v>106.24999999999997</v>
      </c>
      <c r="P13" s="130">
        <f t="shared" si="8"/>
        <v>52.15</v>
      </c>
      <c r="Q13" s="130">
        <f t="shared" si="9"/>
        <v>212.5</v>
      </c>
      <c r="R13" s="130">
        <f t="shared" si="10"/>
        <v>104.3</v>
      </c>
      <c r="S13" s="130">
        <f t="shared" si="25"/>
        <v>318.75</v>
      </c>
      <c r="T13" s="130">
        <f t="shared" si="25"/>
        <v>156.44999999999999</v>
      </c>
      <c r="U13" s="130">
        <f t="shared" si="11"/>
        <v>106.25000000000003</v>
      </c>
      <c r="V13" s="130">
        <f t="shared" si="11"/>
        <v>52.15</v>
      </c>
      <c r="W13" s="132">
        <f t="shared" si="12"/>
        <v>0.61066609688010165</v>
      </c>
      <c r="X13" s="130">
        <f t="shared" si="13"/>
        <v>0.29972928896279816</v>
      </c>
      <c r="Y13" s="130">
        <f t="shared" si="14"/>
        <v>0.61066609688010165</v>
      </c>
      <c r="Z13" s="131">
        <v>7.98</v>
      </c>
      <c r="AA13" s="132">
        <f t="shared" si="15"/>
        <v>0.24886040176869068</v>
      </c>
      <c r="AB13" s="130">
        <f t="shared" si="26"/>
        <v>552.09119491257957</v>
      </c>
      <c r="AC13" s="130">
        <f t="shared" si="16"/>
        <v>270.97934884415082</v>
      </c>
      <c r="AD13" s="132">
        <f t="shared" si="17"/>
        <v>1.0577047062561145</v>
      </c>
      <c r="AE13" s="130">
        <f t="shared" si="18"/>
        <v>0.51914635700005984</v>
      </c>
      <c r="AF13" s="130">
        <f t="shared" si="19"/>
        <v>1.0577047062561145</v>
      </c>
      <c r="AG13" s="131">
        <v>4.72</v>
      </c>
      <c r="AH13" s="132">
        <f t="shared" si="20"/>
        <v>0.75113959823130949</v>
      </c>
      <c r="AI13" s="130">
        <f t="shared" si="21"/>
        <v>1.0000000000000002</v>
      </c>
      <c r="AJ13" s="130">
        <f t="shared" si="22"/>
        <v>2161.3874342960307</v>
      </c>
      <c r="AK13" s="130">
        <f t="shared" si="23"/>
        <v>415.95920567129588</v>
      </c>
      <c r="AL13" s="130" t="e">
        <f t="shared" si="27"/>
        <v>#DIV/0!</v>
      </c>
      <c r="AM13" s="130" t="e">
        <f t="shared" si="28"/>
        <v>#DIV/0!</v>
      </c>
      <c r="AN13" s="130" t="e">
        <f t="shared" si="29"/>
        <v>#DIV/0!</v>
      </c>
      <c r="AO13" s="130" t="e">
        <f t="shared" si="30"/>
        <v>#DIV/0!</v>
      </c>
      <c r="AP13" s="130" t="e">
        <f t="shared" si="31"/>
        <v>#DIV/0!</v>
      </c>
      <c r="AQ13" s="130" t="e">
        <f t="shared" si="32"/>
        <v>#DIV/0!</v>
      </c>
    </row>
    <row r="14" spans="1:43" x14ac:dyDescent="0.2">
      <c r="A14" s="134">
        <v>4.5</v>
      </c>
      <c r="B14" s="132">
        <v>3.69</v>
      </c>
      <c r="C14" s="132">
        <v>3.58</v>
      </c>
      <c r="D14" s="133">
        <v>30</v>
      </c>
      <c r="E14" s="132">
        <f t="shared" si="0"/>
        <v>7.1111111111111107</v>
      </c>
      <c r="F14" s="132">
        <f t="shared" si="24"/>
        <v>4.126677658465014</v>
      </c>
      <c r="G14" s="133">
        <v>85</v>
      </c>
      <c r="H14" s="133">
        <v>41.72</v>
      </c>
      <c r="I14" s="130">
        <f t="shared" si="1"/>
        <v>1360</v>
      </c>
      <c r="J14" s="130">
        <f t="shared" si="2"/>
        <v>667.52</v>
      </c>
      <c r="K14" s="130">
        <f t="shared" si="3"/>
        <v>680</v>
      </c>
      <c r="L14" s="130">
        <f t="shared" si="4"/>
        <v>333.76</v>
      </c>
      <c r="M14" s="130">
        <f t="shared" si="5"/>
        <v>3533.3836474405098</v>
      </c>
      <c r="N14" s="130">
        <f t="shared" si="6"/>
        <v>1734.2678326025657</v>
      </c>
      <c r="O14" s="130">
        <f t="shared" si="7"/>
        <v>95.625</v>
      </c>
      <c r="P14" s="130">
        <f t="shared" si="8"/>
        <v>46.935000000000002</v>
      </c>
      <c r="Q14" s="130">
        <f t="shared" si="9"/>
        <v>191.25</v>
      </c>
      <c r="R14" s="130">
        <f t="shared" si="10"/>
        <v>93.87</v>
      </c>
      <c r="S14" s="130">
        <f t="shared" si="25"/>
        <v>286.875</v>
      </c>
      <c r="T14" s="130">
        <f t="shared" si="25"/>
        <v>140.80500000000001</v>
      </c>
      <c r="U14" s="130">
        <f t="shared" si="11"/>
        <v>95.625</v>
      </c>
      <c r="V14" s="130">
        <f t="shared" si="11"/>
        <v>46.935000000000002</v>
      </c>
      <c r="W14" s="132">
        <f t="shared" si="12"/>
        <v>0.61066609688010143</v>
      </c>
      <c r="X14" s="130">
        <f t="shared" si="13"/>
        <v>0.2997292889627981</v>
      </c>
      <c r="Y14" s="130">
        <f t="shared" si="14"/>
        <v>0.61066609688010143</v>
      </c>
      <c r="Z14" s="131">
        <v>7.98</v>
      </c>
      <c r="AA14" s="132">
        <f t="shared" si="15"/>
        <v>0.24886040176869059</v>
      </c>
      <c r="AB14" s="130">
        <f t="shared" si="26"/>
        <v>496.8820754213217</v>
      </c>
      <c r="AC14" s="130">
        <f t="shared" si="16"/>
        <v>243.88141395973582</v>
      </c>
      <c r="AD14" s="132">
        <f t="shared" si="17"/>
        <v>1.0577047062561142</v>
      </c>
      <c r="AE14" s="130">
        <f t="shared" si="18"/>
        <v>0.51914635700005984</v>
      </c>
      <c r="AF14" s="130">
        <f t="shared" si="19"/>
        <v>1.0577047062561142</v>
      </c>
      <c r="AG14" s="131">
        <v>4.72</v>
      </c>
      <c r="AH14" s="132">
        <f t="shared" si="20"/>
        <v>0.75113959823130927</v>
      </c>
      <c r="AI14" s="130">
        <f t="shared" si="21"/>
        <v>0.99999999999999989</v>
      </c>
      <c r="AJ14" s="130">
        <f t="shared" si="22"/>
        <v>2050.4721595328961</v>
      </c>
      <c r="AK14" s="130">
        <f t="shared" si="23"/>
        <v>394.61355109071695</v>
      </c>
      <c r="AL14" s="130" t="e">
        <f t="shared" si="27"/>
        <v>#DIV/0!</v>
      </c>
      <c r="AM14" s="130" t="e">
        <f t="shared" si="28"/>
        <v>#DIV/0!</v>
      </c>
      <c r="AN14" s="130" t="e">
        <f t="shared" si="29"/>
        <v>#DIV/0!</v>
      </c>
      <c r="AO14" s="130" t="e">
        <f t="shared" si="30"/>
        <v>#DIV/0!</v>
      </c>
      <c r="AP14" s="130" t="e">
        <f t="shared" si="31"/>
        <v>#DIV/0!</v>
      </c>
      <c r="AQ14" s="130" t="e">
        <f t="shared" si="32"/>
        <v>#DIV/0!</v>
      </c>
    </row>
    <row r="15" spans="1:43" x14ac:dyDescent="0.2">
      <c r="A15" s="134">
        <v>4</v>
      </c>
      <c r="B15" s="132">
        <v>3.69</v>
      </c>
      <c r="C15" s="132">
        <v>3.58</v>
      </c>
      <c r="D15" s="133">
        <v>30</v>
      </c>
      <c r="E15" s="132">
        <f t="shared" si="0"/>
        <v>8</v>
      </c>
      <c r="F15" s="132">
        <f t="shared" si="24"/>
        <v>4.3770026341074528</v>
      </c>
      <c r="G15" s="133">
        <v>85</v>
      </c>
      <c r="H15" s="133">
        <v>41.72</v>
      </c>
      <c r="I15" s="130">
        <f t="shared" si="1"/>
        <v>1360</v>
      </c>
      <c r="J15" s="130">
        <f t="shared" si="2"/>
        <v>667.52</v>
      </c>
      <c r="K15" s="130">
        <f t="shared" si="3"/>
        <v>680</v>
      </c>
      <c r="L15" s="130">
        <f t="shared" si="4"/>
        <v>333.76</v>
      </c>
      <c r="M15" s="130">
        <f t="shared" si="5"/>
        <v>3533.3836474405102</v>
      </c>
      <c r="N15" s="130">
        <f t="shared" si="6"/>
        <v>1734.2678326025657</v>
      </c>
      <c r="O15" s="130">
        <f t="shared" si="7"/>
        <v>85</v>
      </c>
      <c r="P15" s="130">
        <f t="shared" si="8"/>
        <v>41.72</v>
      </c>
      <c r="Q15" s="130">
        <f t="shared" si="9"/>
        <v>170</v>
      </c>
      <c r="R15" s="130">
        <f t="shared" si="10"/>
        <v>83.44</v>
      </c>
      <c r="S15" s="130">
        <f t="shared" si="25"/>
        <v>255</v>
      </c>
      <c r="T15" s="130">
        <f t="shared" si="25"/>
        <v>125.16</v>
      </c>
      <c r="U15" s="130">
        <f t="shared" si="11"/>
        <v>85</v>
      </c>
      <c r="V15" s="130">
        <f t="shared" si="11"/>
        <v>41.72</v>
      </c>
      <c r="W15" s="132">
        <f t="shared" si="12"/>
        <v>0.61066609688010165</v>
      </c>
      <c r="X15" s="130">
        <f t="shared" si="13"/>
        <v>0.29972928896279816</v>
      </c>
      <c r="Y15" s="130">
        <f t="shared" si="14"/>
        <v>0.61066609688010165</v>
      </c>
      <c r="Z15" s="131">
        <v>7.98</v>
      </c>
      <c r="AA15" s="132">
        <f t="shared" si="15"/>
        <v>0.24886040176869068</v>
      </c>
      <c r="AB15" s="130">
        <f t="shared" si="26"/>
        <v>441.67295593006378</v>
      </c>
      <c r="AC15" s="130">
        <f t="shared" si="16"/>
        <v>216.78347907532071</v>
      </c>
      <c r="AD15" s="132">
        <f t="shared" si="17"/>
        <v>1.0577047062561147</v>
      </c>
      <c r="AE15" s="130">
        <f t="shared" si="18"/>
        <v>0.51914635700005995</v>
      </c>
      <c r="AF15" s="130">
        <f t="shared" si="19"/>
        <v>1.0577047062561147</v>
      </c>
      <c r="AG15" s="131">
        <v>4.72</v>
      </c>
      <c r="AH15" s="132">
        <f t="shared" si="20"/>
        <v>0.75113959823130949</v>
      </c>
      <c r="AI15" s="130">
        <f t="shared" si="21"/>
        <v>1.0000000000000002</v>
      </c>
      <c r="AJ15" s="130">
        <f t="shared" si="22"/>
        <v>1933.2036915199142</v>
      </c>
      <c r="AK15" s="130">
        <f t="shared" si="23"/>
        <v>372.04522389913348</v>
      </c>
      <c r="AL15" s="130" t="e">
        <f t="shared" si="27"/>
        <v>#DIV/0!</v>
      </c>
      <c r="AM15" s="130" t="e">
        <f t="shared" si="28"/>
        <v>#DIV/0!</v>
      </c>
      <c r="AN15" s="130" t="e">
        <f t="shared" si="29"/>
        <v>#DIV/0!</v>
      </c>
      <c r="AO15" s="130" t="e">
        <f t="shared" si="30"/>
        <v>#DIV/0!</v>
      </c>
      <c r="AP15" s="130" t="e">
        <f t="shared" si="31"/>
        <v>#DIV/0!</v>
      </c>
      <c r="AQ15" s="130" t="e">
        <f t="shared" si="32"/>
        <v>#DIV/0!</v>
      </c>
    </row>
    <row r="16" spans="1:43" x14ac:dyDescent="0.2">
      <c r="A16" s="134">
        <v>3.5</v>
      </c>
      <c r="B16" s="132">
        <v>3.69</v>
      </c>
      <c r="C16" s="132">
        <v>3.58</v>
      </c>
      <c r="D16" s="133">
        <v>30</v>
      </c>
      <c r="E16" s="132">
        <f t="shared" si="0"/>
        <v>9.1428571428571423</v>
      </c>
      <c r="F16" s="132">
        <f t="shared" si="24"/>
        <v>4.679212639382043</v>
      </c>
      <c r="G16" s="133">
        <v>85</v>
      </c>
      <c r="H16" s="133">
        <v>41.72</v>
      </c>
      <c r="I16" s="130">
        <f t="shared" si="1"/>
        <v>1360</v>
      </c>
      <c r="J16" s="130">
        <f t="shared" si="2"/>
        <v>667.51999999999987</v>
      </c>
      <c r="K16" s="130">
        <f t="shared" si="3"/>
        <v>679.99999999999989</v>
      </c>
      <c r="L16" s="130">
        <f t="shared" si="4"/>
        <v>333.75999999999993</v>
      </c>
      <c r="M16" s="130">
        <f t="shared" si="5"/>
        <v>3533.3836474405098</v>
      </c>
      <c r="N16" s="130">
        <f t="shared" si="6"/>
        <v>1734.2678326025648</v>
      </c>
      <c r="O16" s="130">
        <f t="shared" si="7"/>
        <v>74.374999999999986</v>
      </c>
      <c r="P16" s="130">
        <f t="shared" si="8"/>
        <v>36.504999999999995</v>
      </c>
      <c r="Q16" s="130">
        <f t="shared" si="9"/>
        <v>148.75</v>
      </c>
      <c r="R16" s="130">
        <f t="shared" si="10"/>
        <v>73.009999999999991</v>
      </c>
      <c r="S16" s="130">
        <f t="shared" si="25"/>
        <v>223.125</v>
      </c>
      <c r="T16" s="130">
        <f t="shared" si="25"/>
        <v>109.51499999999999</v>
      </c>
      <c r="U16" s="130">
        <f t="shared" si="11"/>
        <v>74.375000000000014</v>
      </c>
      <c r="V16" s="130">
        <f t="shared" si="11"/>
        <v>36.504999999999995</v>
      </c>
      <c r="W16" s="132">
        <f t="shared" si="12"/>
        <v>0.61066609688010165</v>
      </c>
      <c r="X16" s="130">
        <f t="shared" si="13"/>
        <v>0.2997292889627981</v>
      </c>
      <c r="Y16" s="130">
        <f t="shared" si="14"/>
        <v>0.61066609688010165</v>
      </c>
      <c r="Z16" s="131">
        <v>7.98</v>
      </c>
      <c r="AA16" s="132">
        <f t="shared" si="15"/>
        <v>0.24886040176869068</v>
      </c>
      <c r="AB16" s="130">
        <f t="shared" si="26"/>
        <v>386.4638364388058</v>
      </c>
      <c r="AC16" s="130">
        <f t="shared" si="16"/>
        <v>189.68554419090555</v>
      </c>
      <c r="AD16" s="132">
        <f t="shared" si="17"/>
        <v>1.0577047062561145</v>
      </c>
      <c r="AE16" s="130">
        <f t="shared" si="18"/>
        <v>0.51914635700005973</v>
      </c>
      <c r="AF16" s="130">
        <f t="shared" si="19"/>
        <v>1.0577047062561145</v>
      </c>
      <c r="AG16" s="131">
        <v>4.72</v>
      </c>
      <c r="AH16" s="132">
        <f t="shared" si="20"/>
        <v>0.75113959823130949</v>
      </c>
      <c r="AI16" s="130">
        <f t="shared" si="21"/>
        <v>1.0000000000000002</v>
      </c>
      <c r="AJ16" s="130">
        <f t="shared" si="22"/>
        <v>1808.3464681285343</v>
      </c>
      <c r="AK16" s="130">
        <f t="shared" si="23"/>
        <v>348.01644005403938</v>
      </c>
      <c r="AL16" s="130" t="e">
        <f t="shared" si="27"/>
        <v>#DIV/0!</v>
      </c>
      <c r="AM16" s="130" t="e">
        <f t="shared" si="28"/>
        <v>#DIV/0!</v>
      </c>
      <c r="AN16" s="130" t="e">
        <f t="shared" si="29"/>
        <v>#DIV/0!</v>
      </c>
      <c r="AO16" s="130" t="e">
        <f t="shared" si="30"/>
        <v>#DIV/0!</v>
      </c>
      <c r="AP16" s="130" t="e">
        <f t="shared" si="31"/>
        <v>#DIV/0!</v>
      </c>
      <c r="AQ16" s="130" t="e">
        <f t="shared" si="32"/>
        <v>#DIV/0!</v>
      </c>
    </row>
    <row r="17" spans="1:43" x14ac:dyDescent="0.2">
      <c r="A17" s="134">
        <v>3</v>
      </c>
      <c r="B17" s="132">
        <v>3.69</v>
      </c>
      <c r="C17" s="132">
        <v>3.58</v>
      </c>
      <c r="D17" s="133">
        <v>30</v>
      </c>
      <c r="E17" s="132">
        <f t="shared" si="0"/>
        <v>10.666666666666666</v>
      </c>
      <c r="F17" s="132">
        <f t="shared" si="24"/>
        <v>5.0541272980912781</v>
      </c>
      <c r="G17" s="133">
        <v>85</v>
      </c>
      <c r="H17" s="133">
        <v>41.72</v>
      </c>
      <c r="I17" s="130">
        <f t="shared" si="1"/>
        <v>1360</v>
      </c>
      <c r="J17" s="130">
        <f t="shared" si="2"/>
        <v>667.52</v>
      </c>
      <c r="K17" s="130">
        <f t="shared" si="3"/>
        <v>680</v>
      </c>
      <c r="L17" s="130">
        <f t="shared" si="4"/>
        <v>333.76</v>
      </c>
      <c r="M17" s="130">
        <f t="shared" si="5"/>
        <v>3533.3836474405098</v>
      </c>
      <c r="N17" s="130">
        <f t="shared" si="6"/>
        <v>1734.2678326025655</v>
      </c>
      <c r="O17" s="130">
        <f t="shared" si="7"/>
        <v>63.75</v>
      </c>
      <c r="P17" s="130">
        <f t="shared" si="8"/>
        <v>31.29</v>
      </c>
      <c r="Q17" s="130">
        <f t="shared" si="9"/>
        <v>127.5</v>
      </c>
      <c r="R17" s="130">
        <f t="shared" si="10"/>
        <v>62.58</v>
      </c>
      <c r="S17" s="130">
        <f t="shared" si="25"/>
        <v>191.25</v>
      </c>
      <c r="T17" s="130">
        <f t="shared" si="25"/>
        <v>93.87</v>
      </c>
      <c r="U17" s="130">
        <f t="shared" si="11"/>
        <v>63.75</v>
      </c>
      <c r="V17" s="130">
        <f t="shared" si="11"/>
        <v>31.29</v>
      </c>
      <c r="W17" s="132">
        <f t="shared" si="12"/>
        <v>0.61066609688010165</v>
      </c>
      <c r="X17" s="130">
        <f t="shared" si="13"/>
        <v>0.29972928896279821</v>
      </c>
      <c r="Y17" s="130">
        <f t="shared" si="14"/>
        <v>0.61066609688010165</v>
      </c>
      <c r="Z17" s="131">
        <v>7.98</v>
      </c>
      <c r="AA17" s="132">
        <f t="shared" si="15"/>
        <v>0.24886040176869068</v>
      </c>
      <c r="AB17" s="130">
        <f t="shared" si="26"/>
        <v>331.25471694754782</v>
      </c>
      <c r="AC17" s="130">
        <f t="shared" si="16"/>
        <v>162.58760930649052</v>
      </c>
      <c r="AD17" s="132">
        <f t="shared" si="17"/>
        <v>1.0577047062561147</v>
      </c>
      <c r="AE17" s="130">
        <f t="shared" si="18"/>
        <v>0.51914635700005995</v>
      </c>
      <c r="AF17" s="130">
        <f t="shared" si="19"/>
        <v>1.0577047062561147</v>
      </c>
      <c r="AG17" s="131">
        <v>4.72</v>
      </c>
      <c r="AH17" s="132">
        <f t="shared" si="20"/>
        <v>0.75113959823130949</v>
      </c>
      <c r="AI17" s="130">
        <f t="shared" si="21"/>
        <v>1.0000000000000002</v>
      </c>
      <c r="AJ17" s="130">
        <f t="shared" si="22"/>
        <v>1674.203507546101</v>
      </c>
      <c r="AK17" s="130">
        <f t="shared" si="23"/>
        <v>322.20061525331903</v>
      </c>
      <c r="AL17" s="130" t="e">
        <f t="shared" si="27"/>
        <v>#DIV/0!</v>
      </c>
      <c r="AM17" s="130" t="e">
        <f t="shared" si="28"/>
        <v>#DIV/0!</v>
      </c>
      <c r="AN17" s="130" t="e">
        <f t="shared" si="29"/>
        <v>#DIV/0!</v>
      </c>
      <c r="AO17" s="130" t="e">
        <f t="shared" si="30"/>
        <v>#DIV/0!</v>
      </c>
      <c r="AP17" s="130" t="e">
        <f t="shared" si="31"/>
        <v>#DIV/0!</v>
      </c>
      <c r="AQ17" s="130" t="e">
        <f t="shared" si="32"/>
        <v>#DIV/0!</v>
      </c>
    </row>
    <row r="18" spans="1:43" x14ac:dyDescent="0.2">
      <c r="A18" s="134">
        <v>2.5</v>
      </c>
      <c r="B18" s="132">
        <v>3.69</v>
      </c>
      <c r="C18" s="132">
        <v>3.58</v>
      </c>
      <c r="D18" s="133">
        <v>30</v>
      </c>
      <c r="E18" s="132">
        <f t="shared" si="0"/>
        <v>12.8</v>
      </c>
      <c r="F18" s="132">
        <f t="shared" si="24"/>
        <v>5.5365190593344593</v>
      </c>
      <c r="G18" s="133">
        <v>85</v>
      </c>
      <c r="H18" s="133">
        <v>41.72</v>
      </c>
      <c r="I18" s="130">
        <f t="shared" si="1"/>
        <v>1360</v>
      </c>
      <c r="J18" s="130">
        <f t="shared" si="2"/>
        <v>667.52</v>
      </c>
      <c r="K18" s="130">
        <f t="shared" si="3"/>
        <v>679.99999999999989</v>
      </c>
      <c r="L18" s="130">
        <f t="shared" si="4"/>
        <v>333.76</v>
      </c>
      <c r="M18" s="130">
        <f t="shared" si="5"/>
        <v>3533.3836474405098</v>
      </c>
      <c r="N18" s="130">
        <f t="shared" si="6"/>
        <v>1734.2678326025655</v>
      </c>
      <c r="O18" s="130">
        <f t="shared" si="7"/>
        <v>53.124999999999986</v>
      </c>
      <c r="P18" s="130">
        <f t="shared" si="8"/>
        <v>26.074999999999999</v>
      </c>
      <c r="Q18" s="130">
        <f t="shared" si="9"/>
        <v>106.25</v>
      </c>
      <c r="R18" s="130">
        <f t="shared" si="10"/>
        <v>52.15</v>
      </c>
      <c r="S18" s="130">
        <f t="shared" si="25"/>
        <v>159.375</v>
      </c>
      <c r="T18" s="130">
        <f t="shared" si="25"/>
        <v>78.224999999999994</v>
      </c>
      <c r="U18" s="130">
        <f t="shared" si="11"/>
        <v>53.125000000000014</v>
      </c>
      <c r="V18" s="130">
        <f t="shared" si="11"/>
        <v>26.074999999999999</v>
      </c>
      <c r="W18" s="132">
        <f t="shared" si="12"/>
        <v>0.61066609688010154</v>
      </c>
      <c r="X18" s="130">
        <f t="shared" si="13"/>
        <v>0.2997292889627981</v>
      </c>
      <c r="Y18" s="130">
        <f t="shared" si="14"/>
        <v>0.61066609688010154</v>
      </c>
      <c r="Z18" s="131">
        <v>7.98</v>
      </c>
      <c r="AA18" s="132">
        <f t="shared" si="15"/>
        <v>0.24886040176869065</v>
      </c>
      <c r="AB18" s="130">
        <f t="shared" si="26"/>
        <v>276.04559745628978</v>
      </c>
      <c r="AC18" s="130">
        <f t="shared" si="16"/>
        <v>135.48967442207541</v>
      </c>
      <c r="AD18" s="132">
        <f t="shared" si="17"/>
        <v>1.0577047062561142</v>
      </c>
      <c r="AE18" s="130">
        <f t="shared" si="18"/>
        <v>0.51914635700005973</v>
      </c>
      <c r="AF18" s="130">
        <f t="shared" si="19"/>
        <v>1.0577047062561142</v>
      </c>
      <c r="AG18" s="131">
        <v>4.72</v>
      </c>
      <c r="AH18" s="132">
        <f t="shared" si="20"/>
        <v>0.75113959823130927</v>
      </c>
      <c r="AI18" s="130">
        <f t="shared" si="21"/>
        <v>0.99999999999999989</v>
      </c>
      <c r="AJ18" s="130">
        <f t="shared" si="22"/>
        <v>1528.3317115621167</v>
      </c>
      <c r="AK18" s="130">
        <f t="shared" si="23"/>
        <v>294.12757502714311</v>
      </c>
      <c r="AL18" s="130" t="e">
        <f t="shared" si="27"/>
        <v>#DIV/0!</v>
      </c>
      <c r="AM18" s="130" t="e">
        <f t="shared" si="28"/>
        <v>#DIV/0!</v>
      </c>
      <c r="AN18" s="130" t="e">
        <f t="shared" si="29"/>
        <v>#DIV/0!</v>
      </c>
      <c r="AO18" s="130" t="e">
        <f t="shared" si="30"/>
        <v>#DIV/0!</v>
      </c>
      <c r="AP18" s="130" t="e">
        <f t="shared" si="31"/>
        <v>#DIV/0!</v>
      </c>
      <c r="AQ18" s="130" t="e">
        <f t="shared" si="32"/>
        <v>#DIV/0!</v>
      </c>
    </row>
    <row r="19" spans="1:43" x14ac:dyDescent="0.2">
      <c r="A19" s="134">
        <v>2</v>
      </c>
      <c r="B19" s="132">
        <v>3.69</v>
      </c>
      <c r="C19" s="132">
        <v>3.58</v>
      </c>
      <c r="D19" s="133">
        <v>30</v>
      </c>
      <c r="E19" s="132">
        <f t="shared" si="0"/>
        <v>16</v>
      </c>
      <c r="F19" s="132">
        <f t="shared" si="24"/>
        <v>6.1900164876975223</v>
      </c>
      <c r="G19" s="133">
        <v>85</v>
      </c>
      <c r="H19" s="133">
        <v>41.72</v>
      </c>
      <c r="I19" s="130">
        <f t="shared" si="1"/>
        <v>1360</v>
      </c>
      <c r="J19" s="130">
        <f t="shared" si="2"/>
        <v>667.52</v>
      </c>
      <c r="K19" s="130">
        <f t="shared" si="3"/>
        <v>680</v>
      </c>
      <c r="L19" s="130">
        <f t="shared" si="4"/>
        <v>333.76</v>
      </c>
      <c r="M19" s="130">
        <f t="shared" si="5"/>
        <v>3533.3836474405102</v>
      </c>
      <c r="N19" s="130">
        <f t="shared" si="6"/>
        <v>1734.2678326025657</v>
      </c>
      <c r="O19" s="130">
        <f t="shared" si="7"/>
        <v>42.5</v>
      </c>
      <c r="P19" s="130">
        <f t="shared" si="8"/>
        <v>20.86</v>
      </c>
      <c r="Q19" s="130">
        <f t="shared" si="9"/>
        <v>85</v>
      </c>
      <c r="R19" s="130">
        <f t="shared" si="10"/>
        <v>41.72</v>
      </c>
      <c r="S19" s="130">
        <f t="shared" si="25"/>
        <v>127.5</v>
      </c>
      <c r="T19" s="130">
        <f t="shared" si="25"/>
        <v>62.58</v>
      </c>
      <c r="U19" s="130">
        <f t="shared" si="11"/>
        <v>42.5</v>
      </c>
      <c r="V19" s="130">
        <f t="shared" si="11"/>
        <v>20.86</v>
      </c>
      <c r="W19" s="132">
        <f t="shared" si="12"/>
        <v>0.61066609688010176</v>
      </c>
      <c r="X19" s="130">
        <f t="shared" si="13"/>
        <v>0.29972928896279821</v>
      </c>
      <c r="Y19" s="130">
        <f t="shared" si="14"/>
        <v>0.61066609688010176</v>
      </c>
      <c r="Z19" s="131">
        <v>7.98</v>
      </c>
      <c r="AA19" s="132">
        <f t="shared" si="15"/>
        <v>0.24886040176869073</v>
      </c>
      <c r="AB19" s="130">
        <f t="shared" si="26"/>
        <v>220.83647796503189</v>
      </c>
      <c r="AC19" s="130">
        <f t="shared" si="16"/>
        <v>108.39173953766036</v>
      </c>
      <c r="AD19" s="132">
        <f t="shared" si="17"/>
        <v>1.0577047062561149</v>
      </c>
      <c r="AE19" s="130">
        <f t="shared" si="18"/>
        <v>0.51914635700006007</v>
      </c>
      <c r="AF19" s="130">
        <f t="shared" si="19"/>
        <v>1.0577047062561149</v>
      </c>
      <c r="AG19" s="131">
        <v>4.72</v>
      </c>
      <c r="AH19" s="132">
        <f t="shared" si="20"/>
        <v>0.7511395982313096</v>
      </c>
      <c r="AI19" s="130">
        <f t="shared" si="21"/>
        <v>1.0000000000000004</v>
      </c>
      <c r="AJ19" s="130">
        <f t="shared" si="22"/>
        <v>1366.9814396885979</v>
      </c>
      <c r="AK19" s="130">
        <f t="shared" si="23"/>
        <v>263.07570072714469</v>
      </c>
      <c r="AL19" s="130" t="e">
        <f t="shared" si="27"/>
        <v>#DIV/0!</v>
      </c>
      <c r="AM19" s="130" t="e">
        <f t="shared" si="28"/>
        <v>#DIV/0!</v>
      </c>
      <c r="AN19" s="130" t="e">
        <f t="shared" si="29"/>
        <v>#DIV/0!</v>
      </c>
      <c r="AO19" s="130" t="e">
        <f t="shared" si="30"/>
        <v>#DIV/0!</v>
      </c>
      <c r="AP19" s="130" t="e">
        <f t="shared" si="31"/>
        <v>#DIV/0!</v>
      </c>
      <c r="AQ19" s="130" t="e">
        <f t="shared" si="32"/>
        <v>#DIV/0!</v>
      </c>
    </row>
    <row r="20" spans="1:43" ht="13.5" thickBot="1" x14ac:dyDescent="0.25">
      <c r="A20" s="231"/>
      <c r="B20" s="229"/>
      <c r="C20" s="229"/>
      <c r="D20" s="231"/>
      <c r="E20" s="229"/>
      <c r="F20" s="229"/>
      <c r="G20" s="231"/>
      <c r="H20" s="231"/>
      <c r="I20" s="229"/>
      <c r="J20" s="229"/>
      <c r="K20" s="229"/>
      <c r="L20" s="229"/>
      <c r="M20" s="229"/>
      <c r="N20" s="229"/>
      <c r="O20" s="229"/>
      <c r="P20" s="229"/>
      <c r="Q20" s="229"/>
      <c r="R20" s="229"/>
      <c r="S20" s="229"/>
      <c r="T20" s="229"/>
      <c r="U20" s="229"/>
      <c r="V20" s="229"/>
      <c r="W20" s="229"/>
      <c r="X20" s="229"/>
      <c r="Y20" s="229"/>
      <c r="Z20" s="229"/>
      <c r="AA20" s="229"/>
      <c r="AB20" s="229"/>
      <c r="AC20" s="229"/>
      <c r="AD20" s="229"/>
      <c r="AE20" s="229"/>
      <c r="AF20" s="229"/>
      <c r="AG20" s="229"/>
      <c r="AH20" s="229"/>
      <c r="AI20" s="229"/>
      <c r="AJ20" s="229"/>
      <c r="AK20" s="229"/>
      <c r="AL20" s="229"/>
      <c r="AM20" s="229"/>
      <c r="AN20" s="229"/>
      <c r="AO20" s="229"/>
      <c r="AP20" s="229"/>
      <c r="AQ20" s="229"/>
    </row>
    <row r="21" spans="1:43" ht="13.5" thickBot="1" x14ac:dyDescent="0.25">
      <c r="A21" s="233">
        <f>'HTML Frame'!D37</f>
        <v>8</v>
      </c>
      <c r="B21" s="230">
        <v>3.69</v>
      </c>
      <c r="C21" s="230">
        <v>3.58</v>
      </c>
      <c r="D21" s="230">
        <f>'HTML Frame'!D43</f>
        <v>29.327179490456803</v>
      </c>
      <c r="E21" s="230">
        <v>1</v>
      </c>
      <c r="F21" s="230">
        <f>SQRT(8/((MAX(U21:V21)/12/(Z21*B21*1000))+(MAX(AB21:AC21)/12/(AG21*C21*1000))))/12</f>
        <v>4.9178535963685155</v>
      </c>
      <c r="G21" s="230">
        <f>ABS(Control!H20)</f>
        <v>28.636508294816903</v>
      </c>
      <c r="H21" s="230">
        <f>Control!F20</f>
        <v>39.410722410027276</v>
      </c>
      <c r="I21" s="230">
        <f>A21*1/2*G21*E21</f>
        <v>114.54603317926761</v>
      </c>
      <c r="J21" s="230">
        <f>A21*1/2*H21*E21</f>
        <v>157.6428896401091</v>
      </c>
      <c r="K21" s="230">
        <f>(I21*('HTML Frame'!D39))/(('HTML Frame'!D37-'HTML Frame'!D39))</f>
        <v>57.058510909522816</v>
      </c>
      <c r="L21" s="230">
        <f>(J21*('HTML Frame'!D39))/('HTML Frame'!D37-'HTML Frame'!D39)</f>
        <v>78.526233416234135</v>
      </c>
      <c r="M21" s="230">
        <f>(I21+K21)*('HTML Frame'!D37-'HTML Frame'!D39)/((TAN(D21/180*PI()))*('HTML Frame'!D37-'HTML Frame'!D39))</f>
        <v>305.45608847804698</v>
      </c>
      <c r="N21" s="230">
        <f>(J21+L21)*('HTML Frame'!D37-'HTML Frame'!D39)/((TAN(D21/180*PI()))*('HTML Frame'!D37-'HTML Frame'!D39))</f>
        <v>420.381039040291</v>
      </c>
      <c r="O21" s="230">
        <f>K21/E21</f>
        <v>57.058510909522816</v>
      </c>
      <c r="P21" s="230">
        <f>L21/E21</f>
        <v>78.526233416234135</v>
      </c>
      <c r="Q21" s="230">
        <f>((1/2)*A21)*G21</f>
        <v>114.54603317926761</v>
      </c>
      <c r="R21" s="230">
        <f>((1/2)*A21)*H21</f>
        <v>157.6428896401091</v>
      </c>
      <c r="S21" s="230">
        <f>Q21+O21</f>
        <v>171.60454408879042</v>
      </c>
      <c r="T21" s="230">
        <f>R21+P21</f>
        <v>236.16912305634324</v>
      </c>
      <c r="U21" s="230">
        <f>ABS(Q21-O21)+0.00001</f>
        <v>57.487532269744797</v>
      </c>
      <c r="V21" s="230">
        <f>ABS(R21-P21)+0.00001</f>
        <v>79.116666223874972</v>
      </c>
      <c r="W21" s="230">
        <f>(S21*(F21^2))/8/1000</f>
        <v>0.51878807920923831</v>
      </c>
      <c r="X21" s="230">
        <f>(T21*(F21^2))/8/1000</f>
        <v>0.71397716400526201</v>
      </c>
      <c r="Y21" s="230">
        <f>MAX(W21,X21)</f>
        <v>0.71397716400526201</v>
      </c>
      <c r="Z21" s="230">
        <f>Z19</f>
        <v>7.98</v>
      </c>
      <c r="AA21" s="230">
        <f>(((Y21*12)/Z21)/B21)</f>
        <v>0.29096202457577358</v>
      </c>
      <c r="AB21" s="230">
        <f>M21/E21</f>
        <v>305.45608847804698</v>
      </c>
      <c r="AC21" s="230">
        <f>N21/E21</f>
        <v>420.381039040291</v>
      </c>
      <c r="AD21" s="230">
        <f>(AB21*(F21^2))/8/1000</f>
        <v>0.92344278099244415</v>
      </c>
      <c r="AE21" s="230">
        <f>(AC21*(F21^2))/8/1000</f>
        <v>1.2708793519293662</v>
      </c>
      <c r="AF21" s="230">
        <f>MAX(AD21,AE21)</f>
        <v>1.2708793519293662</v>
      </c>
      <c r="AG21" s="230">
        <f>AG19</f>
        <v>4.72</v>
      </c>
      <c r="AH21" s="230">
        <f>(((AF21*12)/AG21)/C21)</f>
        <v>0.90252770944704541</v>
      </c>
      <c r="AI21" s="230">
        <f>AH21+AA21</f>
        <v>1.193489734022819</v>
      </c>
      <c r="AJ21" s="230">
        <f>MAX(M21:N21)*(F21/E21)</f>
        <v>2067.3724046894285</v>
      </c>
      <c r="AK21" s="230">
        <f>MAX(K21:L21)*(F21/E21)</f>
        <v>386.18051941530052</v>
      </c>
      <c r="AL21" s="230" t="e">
        <f>(MIN((1/((V21)/$G$53)),(1/((U21/$G$53+(AB21/$F$53))))))</f>
        <v>#DIV/0!</v>
      </c>
      <c r="AM21" s="230" t="e">
        <f>(MIN((1/((V21)/$G$55)),(1/((U21/$G$55+(AB21/$F$55))))))</f>
        <v>#DIV/0!</v>
      </c>
      <c r="AN21" s="230" t="e">
        <f>(MIN((1/((V21)/$G$57)),(1/((U21/$G$57+(AB21/$F$57))))))</f>
        <v>#DIV/0!</v>
      </c>
      <c r="AO21" s="230" t="e">
        <f>(MIN((1/((V21)/$G$59)),(1/((U21/$G$59+(AB21/$F$59))))))</f>
        <v>#DIV/0!</v>
      </c>
      <c r="AP21" s="230" t="e">
        <f>(MIN((1/((V21)/$G$60)),(1/((U21/$G$60+(AB21/$F$60))))))</f>
        <v>#DIV/0!</v>
      </c>
      <c r="AQ21" s="232" t="e">
        <f>(MIN((1/((V21)/$G$61)),(1/((U21/$G$61+(AB21/$F$61))))))</f>
        <v>#DIV/0!</v>
      </c>
    </row>
    <row r="23" spans="1:43" x14ac:dyDescent="0.2">
      <c r="D23" s="129"/>
      <c r="E23" s="145" t="s">
        <v>116</v>
      </c>
      <c r="F23" s="145" t="s">
        <v>115</v>
      </c>
      <c r="S23" s="144" t="s">
        <v>339</v>
      </c>
      <c r="T23" s="144" t="s">
        <v>339</v>
      </c>
      <c r="AB23" s="144" t="s">
        <v>339</v>
      </c>
      <c r="AC23" s="144" t="s">
        <v>339</v>
      </c>
    </row>
    <row r="24" spans="1:43" x14ac:dyDescent="0.2">
      <c r="C24" s="146" t="s">
        <v>114</v>
      </c>
      <c r="D24" s="145" t="s">
        <v>113</v>
      </c>
      <c r="E24" s="129">
        <v>85</v>
      </c>
      <c r="F24" s="129">
        <v>41.72</v>
      </c>
    </row>
    <row r="25" spans="1:43" x14ac:dyDescent="0.2">
      <c r="C25" s="146" t="s">
        <v>112</v>
      </c>
      <c r="D25" s="145" t="s">
        <v>111</v>
      </c>
      <c r="E25" s="129">
        <v>36.700000000000003</v>
      </c>
      <c r="F25" s="129">
        <v>85</v>
      </c>
    </row>
    <row r="26" spans="1:43" x14ac:dyDescent="0.2">
      <c r="C26" s="146" t="s">
        <v>110</v>
      </c>
      <c r="D26" s="145" t="s">
        <v>109</v>
      </c>
      <c r="E26" s="129">
        <v>62.47</v>
      </c>
      <c r="F26" s="129">
        <v>30</v>
      </c>
    </row>
    <row r="27" spans="1:43" x14ac:dyDescent="0.2">
      <c r="A27" s="144" t="s">
        <v>341</v>
      </c>
      <c r="J27" s="143"/>
    </row>
    <row r="28" spans="1:43" x14ac:dyDescent="0.2">
      <c r="A28" s="142"/>
      <c r="B28" s="141"/>
      <c r="C28" s="141"/>
      <c r="D28" s="141"/>
      <c r="E28" s="141"/>
      <c r="F28" s="140" t="s">
        <v>107</v>
      </c>
      <c r="G28" s="139"/>
      <c r="H28" s="139"/>
      <c r="I28" s="139"/>
      <c r="J28" s="139"/>
      <c r="K28" s="139"/>
      <c r="L28" s="139"/>
      <c r="M28" s="139"/>
      <c r="N28" s="139"/>
      <c r="O28" s="139"/>
      <c r="P28" s="138"/>
    </row>
    <row r="29" spans="1:43" ht="63.75" x14ac:dyDescent="0.2">
      <c r="A29" s="137" t="s">
        <v>106</v>
      </c>
      <c r="B29" s="135" t="s">
        <v>105</v>
      </c>
      <c r="C29" s="135" t="s">
        <v>104</v>
      </c>
      <c r="D29" s="137" t="s">
        <v>103</v>
      </c>
      <c r="E29" s="137" t="s">
        <v>102</v>
      </c>
      <c r="F29" s="136" t="s">
        <v>101</v>
      </c>
      <c r="G29" s="136" t="s">
        <v>100</v>
      </c>
      <c r="H29" s="135" t="s">
        <v>99</v>
      </c>
      <c r="I29" s="135" t="s">
        <v>98</v>
      </c>
      <c r="J29" s="135" t="s">
        <v>97</v>
      </c>
      <c r="K29" s="135" t="s">
        <v>96</v>
      </c>
      <c r="L29" s="135" t="s">
        <v>95</v>
      </c>
      <c r="M29" s="135" t="s">
        <v>94</v>
      </c>
      <c r="N29" s="136" t="s">
        <v>93</v>
      </c>
      <c r="O29" s="136" t="s">
        <v>92</v>
      </c>
      <c r="P29" s="135" t="s">
        <v>91</v>
      </c>
    </row>
    <row r="30" spans="1:43" x14ac:dyDescent="0.2">
      <c r="A30" s="134">
        <v>8</v>
      </c>
      <c r="B30" s="132">
        <v>3.69</v>
      </c>
      <c r="C30" s="132">
        <f t="shared" ref="C30:C42" si="33">32/A30</f>
        <v>4</v>
      </c>
      <c r="D30" s="133">
        <v>85</v>
      </c>
      <c r="E30" s="133">
        <v>41.72</v>
      </c>
      <c r="F30" s="130">
        <f t="shared" ref="F30:F42" si="34">A30*1/2*D30</f>
        <v>340</v>
      </c>
      <c r="G30" s="130">
        <f t="shared" ref="G30:G42" si="35">A30*1/2*E30</f>
        <v>166.88</v>
      </c>
      <c r="H30" s="132">
        <f t="shared" ref="H30:H42" si="36">((F30*(C30^2))/8)/1000</f>
        <v>0.68</v>
      </c>
      <c r="I30" s="130">
        <f t="shared" ref="I30:I42" si="37">(G30*(C30^2))/8/1000</f>
        <v>0.33376</v>
      </c>
      <c r="J30" s="130">
        <f t="shared" ref="J30:J42" si="38">MAX(H30,I30)</f>
        <v>0.68</v>
      </c>
      <c r="K30" s="131">
        <v>7.98</v>
      </c>
      <c r="L30" s="131">
        <v>63.6</v>
      </c>
      <c r="M30" s="130">
        <f t="shared" ref="M30:M42" si="39">(((J30*12)/K30)/B30)</f>
        <v>0.2771155531104183</v>
      </c>
      <c r="N30" s="130">
        <f t="shared" ref="N30:N42" si="40">(C30*12)/180</f>
        <v>0.26666666666666666</v>
      </c>
      <c r="O30" s="130">
        <f t="shared" ref="O30:O42" si="41">(5*(MAX(F30,G30)/12)*(C30*12)^4)/(384*10100*1000*L30)</f>
        <v>3.048757705959275E-3</v>
      </c>
      <c r="P30" s="130">
        <f t="shared" ref="P30:P42" si="42">O30/N30</f>
        <v>1.1432841397347281E-2</v>
      </c>
    </row>
    <row r="31" spans="1:43" x14ac:dyDescent="0.2">
      <c r="A31" s="134">
        <v>7.5</v>
      </c>
      <c r="B31" s="132">
        <v>3.69</v>
      </c>
      <c r="C31" s="132">
        <f t="shared" si="33"/>
        <v>4.2666666666666666</v>
      </c>
      <c r="D31" s="133">
        <v>85</v>
      </c>
      <c r="E31" s="133">
        <v>41.72</v>
      </c>
      <c r="F31" s="130">
        <f t="shared" si="34"/>
        <v>318.75</v>
      </c>
      <c r="G31" s="130">
        <f t="shared" si="35"/>
        <v>156.44999999999999</v>
      </c>
      <c r="H31" s="132">
        <f t="shared" si="36"/>
        <v>0.72533333333333339</v>
      </c>
      <c r="I31" s="130">
        <f t="shared" si="37"/>
        <v>0.35601066666666664</v>
      </c>
      <c r="J31" s="130">
        <f t="shared" si="38"/>
        <v>0.72533333333333339</v>
      </c>
      <c r="K31" s="131">
        <v>7.98</v>
      </c>
      <c r="L31" s="131">
        <v>63.6</v>
      </c>
      <c r="M31" s="130">
        <f t="shared" si="39"/>
        <v>0.29558992331777956</v>
      </c>
      <c r="N31" s="130">
        <f t="shared" si="40"/>
        <v>0.28444444444444444</v>
      </c>
      <c r="O31" s="130">
        <f t="shared" si="41"/>
        <v>3.7000626855138363E-3</v>
      </c>
      <c r="P31" s="130">
        <f t="shared" si="42"/>
        <v>1.300803287875958E-2</v>
      </c>
    </row>
    <row r="32" spans="1:43" x14ac:dyDescent="0.2">
      <c r="A32" s="134">
        <v>7</v>
      </c>
      <c r="B32" s="132">
        <v>3.69</v>
      </c>
      <c r="C32" s="132">
        <f t="shared" si="33"/>
        <v>4.5714285714285712</v>
      </c>
      <c r="D32" s="133">
        <v>85</v>
      </c>
      <c r="E32" s="133">
        <v>41.72</v>
      </c>
      <c r="F32" s="130">
        <f t="shared" si="34"/>
        <v>297.5</v>
      </c>
      <c r="G32" s="130">
        <f t="shared" si="35"/>
        <v>146.01999999999998</v>
      </c>
      <c r="H32" s="132">
        <f t="shared" si="36"/>
        <v>0.77714285714285714</v>
      </c>
      <c r="I32" s="130">
        <f t="shared" si="37"/>
        <v>0.38143999999999995</v>
      </c>
      <c r="J32" s="130">
        <f t="shared" si="38"/>
        <v>0.77714285714285714</v>
      </c>
      <c r="K32" s="131">
        <v>7.98</v>
      </c>
      <c r="L32" s="131">
        <v>63.6</v>
      </c>
      <c r="M32" s="130">
        <f t="shared" si="39"/>
        <v>0.31670348926904945</v>
      </c>
      <c r="N32" s="130">
        <f t="shared" si="40"/>
        <v>0.30476190476190473</v>
      </c>
      <c r="O32" s="130">
        <f t="shared" si="41"/>
        <v>4.5509152928604919E-3</v>
      </c>
      <c r="P32" s="130">
        <f t="shared" si="42"/>
        <v>1.493269080469849E-2</v>
      </c>
    </row>
    <row r="33" spans="1:16" x14ac:dyDescent="0.2">
      <c r="A33" s="134">
        <v>6.5</v>
      </c>
      <c r="B33" s="132">
        <v>3.69</v>
      </c>
      <c r="C33" s="132">
        <f t="shared" si="33"/>
        <v>4.9230769230769234</v>
      </c>
      <c r="D33" s="133">
        <v>85</v>
      </c>
      <c r="E33" s="133">
        <v>41.72</v>
      </c>
      <c r="F33" s="130">
        <f t="shared" si="34"/>
        <v>276.25</v>
      </c>
      <c r="G33" s="130">
        <f t="shared" si="35"/>
        <v>135.59</v>
      </c>
      <c r="H33" s="132">
        <f t="shared" si="36"/>
        <v>0.83692307692307699</v>
      </c>
      <c r="I33" s="130">
        <f t="shared" si="37"/>
        <v>0.41078153846153848</v>
      </c>
      <c r="J33" s="130">
        <f t="shared" si="38"/>
        <v>0.83692307692307699</v>
      </c>
      <c r="K33" s="131">
        <v>7.98</v>
      </c>
      <c r="L33" s="131">
        <v>63.6</v>
      </c>
      <c r="M33" s="130">
        <f t="shared" si="39"/>
        <v>0.34106529613589948</v>
      </c>
      <c r="N33" s="130">
        <f t="shared" si="40"/>
        <v>0.3282051282051282</v>
      </c>
      <c r="O33" s="130">
        <f t="shared" si="41"/>
        <v>5.6839834153888007E-3</v>
      </c>
      <c r="P33" s="130">
        <f t="shared" si="42"/>
        <v>1.7318386968762752E-2</v>
      </c>
    </row>
    <row r="34" spans="1:16" x14ac:dyDescent="0.2">
      <c r="A34" s="134">
        <v>6</v>
      </c>
      <c r="B34" s="132">
        <v>3.69</v>
      </c>
      <c r="C34" s="132">
        <f t="shared" si="33"/>
        <v>5.333333333333333</v>
      </c>
      <c r="D34" s="133">
        <v>85</v>
      </c>
      <c r="E34" s="133">
        <v>41.72</v>
      </c>
      <c r="F34" s="130">
        <f t="shared" si="34"/>
        <v>255</v>
      </c>
      <c r="G34" s="130">
        <f t="shared" si="35"/>
        <v>125.16</v>
      </c>
      <c r="H34" s="132">
        <f t="shared" si="36"/>
        <v>0.90666666666666662</v>
      </c>
      <c r="I34" s="130">
        <f t="shared" si="37"/>
        <v>0.44501333333333332</v>
      </c>
      <c r="J34" s="130">
        <f t="shared" si="38"/>
        <v>0.90666666666666662</v>
      </c>
      <c r="K34" s="131">
        <v>7.98</v>
      </c>
      <c r="L34" s="131">
        <v>63.6</v>
      </c>
      <c r="M34" s="130">
        <f t="shared" si="39"/>
        <v>0.36948740414722436</v>
      </c>
      <c r="N34" s="130">
        <f t="shared" si="40"/>
        <v>0.35555555555555557</v>
      </c>
      <c r="O34" s="130">
        <f t="shared" si="41"/>
        <v>7.2266849326442081E-3</v>
      </c>
      <c r="P34" s="130">
        <f t="shared" si="42"/>
        <v>2.0325051373061835E-2</v>
      </c>
    </row>
    <row r="35" spans="1:16" x14ac:dyDescent="0.2">
      <c r="A35" s="134">
        <v>5.5</v>
      </c>
      <c r="B35" s="132">
        <v>3.69</v>
      </c>
      <c r="C35" s="132">
        <f t="shared" si="33"/>
        <v>5.8181818181818183</v>
      </c>
      <c r="D35" s="133">
        <v>85</v>
      </c>
      <c r="E35" s="133">
        <v>41.72</v>
      </c>
      <c r="F35" s="130">
        <f t="shared" si="34"/>
        <v>233.75</v>
      </c>
      <c r="G35" s="130">
        <f t="shared" si="35"/>
        <v>114.72999999999999</v>
      </c>
      <c r="H35" s="132">
        <f t="shared" si="36"/>
        <v>0.98909090909090913</v>
      </c>
      <c r="I35" s="130">
        <f t="shared" si="37"/>
        <v>0.48546909090909091</v>
      </c>
      <c r="J35" s="130">
        <f t="shared" si="38"/>
        <v>0.98909090909090913</v>
      </c>
      <c r="K35" s="131">
        <v>7.98</v>
      </c>
      <c r="L35" s="131">
        <v>63.6</v>
      </c>
      <c r="M35" s="130">
        <f t="shared" si="39"/>
        <v>0.40307716816060846</v>
      </c>
      <c r="N35" s="130">
        <f t="shared" si="40"/>
        <v>0.38787878787878782</v>
      </c>
      <c r="O35" s="130">
        <f t="shared" si="41"/>
        <v>9.3822025271293671E-3</v>
      </c>
      <c r="P35" s="130">
        <f t="shared" si="42"/>
        <v>2.4188490890255404E-2</v>
      </c>
    </row>
    <row r="36" spans="1:16" x14ac:dyDescent="0.2">
      <c r="A36" s="134">
        <v>5</v>
      </c>
      <c r="B36" s="132">
        <v>3.69</v>
      </c>
      <c r="C36" s="132">
        <f t="shared" si="33"/>
        <v>6.4</v>
      </c>
      <c r="D36" s="133">
        <v>85</v>
      </c>
      <c r="E36" s="133">
        <v>41.72</v>
      </c>
      <c r="F36" s="130">
        <f t="shared" si="34"/>
        <v>212.5</v>
      </c>
      <c r="G36" s="130">
        <f t="shared" si="35"/>
        <v>104.3</v>
      </c>
      <c r="H36" s="132">
        <f t="shared" si="36"/>
        <v>1.0880000000000003</v>
      </c>
      <c r="I36" s="130">
        <f t="shared" si="37"/>
        <v>0.53401600000000005</v>
      </c>
      <c r="J36" s="130">
        <f t="shared" si="38"/>
        <v>1.0880000000000003</v>
      </c>
      <c r="K36" s="131">
        <v>7.98</v>
      </c>
      <c r="L36" s="131">
        <v>63.6</v>
      </c>
      <c r="M36" s="130">
        <f t="shared" si="39"/>
        <v>0.44338488497666945</v>
      </c>
      <c r="N36" s="130">
        <f t="shared" si="40"/>
        <v>0.42666666666666675</v>
      </c>
      <c r="O36" s="130">
        <f t="shared" si="41"/>
        <v>1.2487711563609196E-2</v>
      </c>
      <c r="P36" s="130">
        <f t="shared" si="42"/>
        <v>2.9268073977209048E-2</v>
      </c>
    </row>
    <row r="37" spans="1:16" x14ac:dyDescent="0.2">
      <c r="A37" s="134">
        <v>4.5</v>
      </c>
      <c r="B37" s="132">
        <v>3.69</v>
      </c>
      <c r="C37" s="132">
        <f t="shared" si="33"/>
        <v>7.1111111111111107</v>
      </c>
      <c r="D37" s="133">
        <v>85</v>
      </c>
      <c r="E37" s="133">
        <v>41.72</v>
      </c>
      <c r="F37" s="130">
        <f t="shared" si="34"/>
        <v>191.25</v>
      </c>
      <c r="G37" s="130">
        <f t="shared" si="35"/>
        <v>93.87</v>
      </c>
      <c r="H37" s="132">
        <f t="shared" si="36"/>
        <v>1.2088888888888889</v>
      </c>
      <c r="I37" s="130">
        <f t="shared" si="37"/>
        <v>0.59335111111111105</v>
      </c>
      <c r="J37" s="130">
        <f t="shared" si="38"/>
        <v>1.2088888888888889</v>
      </c>
      <c r="K37" s="131">
        <v>7.98</v>
      </c>
      <c r="L37" s="131">
        <v>63.6</v>
      </c>
      <c r="M37" s="130">
        <f t="shared" si="39"/>
        <v>0.4926498721962993</v>
      </c>
      <c r="N37" s="130">
        <f t="shared" si="40"/>
        <v>0.47407407407407404</v>
      </c>
      <c r="O37" s="130">
        <f t="shared" si="41"/>
        <v>1.7129919840341824E-2</v>
      </c>
      <c r="P37" s="130">
        <f t="shared" si="42"/>
        <v>3.6133424663221038E-2</v>
      </c>
    </row>
    <row r="38" spans="1:16" x14ac:dyDescent="0.2">
      <c r="A38" s="134">
        <v>4</v>
      </c>
      <c r="B38" s="132">
        <v>3.69</v>
      </c>
      <c r="C38" s="132">
        <f t="shared" si="33"/>
        <v>8</v>
      </c>
      <c r="D38" s="133">
        <v>85</v>
      </c>
      <c r="E38" s="133">
        <v>41.72</v>
      </c>
      <c r="F38" s="130">
        <f t="shared" si="34"/>
        <v>170</v>
      </c>
      <c r="G38" s="130">
        <f t="shared" si="35"/>
        <v>83.44</v>
      </c>
      <c r="H38" s="132">
        <f t="shared" si="36"/>
        <v>1.36</v>
      </c>
      <c r="I38" s="130">
        <f t="shared" si="37"/>
        <v>0.66752</v>
      </c>
      <c r="J38" s="130">
        <f t="shared" si="38"/>
        <v>1.36</v>
      </c>
      <c r="K38" s="131">
        <v>7.98</v>
      </c>
      <c r="L38" s="131">
        <v>63.6</v>
      </c>
      <c r="M38" s="130">
        <f t="shared" si="39"/>
        <v>0.5542311062208366</v>
      </c>
      <c r="N38" s="130">
        <f t="shared" si="40"/>
        <v>0.53333333333333333</v>
      </c>
      <c r="O38" s="130">
        <f t="shared" si="41"/>
        <v>2.43900616476742E-2</v>
      </c>
      <c r="P38" s="130">
        <f t="shared" si="42"/>
        <v>4.5731365589389124E-2</v>
      </c>
    </row>
    <row r="39" spans="1:16" x14ac:dyDescent="0.2">
      <c r="A39" s="134">
        <v>3.5</v>
      </c>
      <c r="B39" s="132">
        <v>3.69</v>
      </c>
      <c r="C39" s="132">
        <f t="shared" si="33"/>
        <v>9.1428571428571423</v>
      </c>
      <c r="D39" s="133">
        <v>85</v>
      </c>
      <c r="E39" s="133">
        <v>41.72</v>
      </c>
      <c r="F39" s="130">
        <f t="shared" si="34"/>
        <v>148.75</v>
      </c>
      <c r="G39" s="130">
        <f t="shared" si="35"/>
        <v>73.009999999999991</v>
      </c>
      <c r="H39" s="132">
        <f t="shared" si="36"/>
        <v>1.5542857142857143</v>
      </c>
      <c r="I39" s="130">
        <f t="shared" si="37"/>
        <v>0.76287999999999989</v>
      </c>
      <c r="J39" s="130">
        <f t="shared" si="38"/>
        <v>1.5542857142857143</v>
      </c>
      <c r="K39" s="131">
        <v>7.98</v>
      </c>
      <c r="L39" s="131">
        <v>63.6</v>
      </c>
      <c r="M39" s="130">
        <f t="shared" si="39"/>
        <v>0.63340697853809891</v>
      </c>
      <c r="N39" s="130">
        <f t="shared" si="40"/>
        <v>0.60952380952380947</v>
      </c>
      <c r="O39" s="130">
        <f t="shared" si="41"/>
        <v>3.6407322342883935E-2</v>
      </c>
      <c r="P39" s="130">
        <f t="shared" si="42"/>
        <v>5.9730763218793961E-2</v>
      </c>
    </row>
    <row r="40" spans="1:16" x14ac:dyDescent="0.2">
      <c r="A40" s="134">
        <v>3</v>
      </c>
      <c r="B40" s="132">
        <v>3.69</v>
      </c>
      <c r="C40" s="132">
        <f t="shared" si="33"/>
        <v>10.666666666666666</v>
      </c>
      <c r="D40" s="133">
        <v>85</v>
      </c>
      <c r="E40" s="133">
        <v>41.72</v>
      </c>
      <c r="F40" s="130">
        <f t="shared" si="34"/>
        <v>127.5</v>
      </c>
      <c r="G40" s="130">
        <f t="shared" si="35"/>
        <v>62.58</v>
      </c>
      <c r="H40" s="132">
        <f t="shared" si="36"/>
        <v>1.8133333333333332</v>
      </c>
      <c r="I40" s="130">
        <f t="shared" si="37"/>
        <v>0.89002666666666663</v>
      </c>
      <c r="J40" s="130">
        <f t="shared" si="38"/>
        <v>1.8133333333333332</v>
      </c>
      <c r="K40" s="131">
        <v>7.98</v>
      </c>
      <c r="L40" s="131">
        <v>63.6</v>
      </c>
      <c r="M40" s="130">
        <f t="shared" si="39"/>
        <v>0.73897480829444873</v>
      </c>
      <c r="N40" s="130">
        <f t="shared" si="40"/>
        <v>0.71111111111111114</v>
      </c>
      <c r="O40" s="130">
        <f t="shared" si="41"/>
        <v>5.7813479461153665E-2</v>
      </c>
      <c r="P40" s="130">
        <f t="shared" si="42"/>
        <v>8.130020549224734E-2</v>
      </c>
    </row>
    <row r="41" spans="1:16" x14ac:dyDescent="0.2">
      <c r="A41" s="134">
        <v>2.5</v>
      </c>
      <c r="B41" s="132">
        <v>3.69</v>
      </c>
      <c r="C41" s="132">
        <f t="shared" si="33"/>
        <v>12.8</v>
      </c>
      <c r="D41" s="133">
        <v>85</v>
      </c>
      <c r="E41" s="133">
        <v>41.72</v>
      </c>
      <c r="F41" s="130">
        <f t="shared" si="34"/>
        <v>106.25</v>
      </c>
      <c r="G41" s="130">
        <f t="shared" si="35"/>
        <v>52.15</v>
      </c>
      <c r="H41" s="132">
        <f t="shared" si="36"/>
        <v>2.1760000000000006</v>
      </c>
      <c r="I41" s="130">
        <f t="shared" si="37"/>
        <v>1.0680320000000001</v>
      </c>
      <c r="J41" s="130">
        <f t="shared" si="38"/>
        <v>2.1760000000000006</v>
      </c>
      <c r="K41" s="131">
        <v>7.98</v>
      </c>
      <c r="L41" s="131">
        <v>63.6</v>
      </c>
      <c r="M41" s="130">
        <f t="shared" si="39"/>
        <v>0.88676976995333889</v>
      </c>
      <c r="N41" s="130">
        <f t="shared" si="40"/>
        <v>0.8533333333333335</v>
      </c>
      <c r="O41" s="130">
        <f t="shared" si="41"/>
        <v>9.9901692508873569E-2</v>
      </c>
      <c r="P41" s="130">
        <f t="shared" si="42"/>
        <v>0.11707229590883619</v>
      </c>
    </row>
    <row r="42" spans="1:16" x14ac:dyDescent="0.2">
      <c r="A42" s="134">
        <v>2</v>
      </c>
      <c r="B42" s="132">
        <v>3.69</v>
      </c>
      <c r="C42" s="132">
        <f t="shared" si="33"/>
        <v>16</v>
      </c>
      <c r="D42" s="133">
        <v>85</v>
      </c>
      <c r="E42" s="133">
        <v>41.72</v>
      </c>
      <c r="F42" s="130">
        <f t="shared" si="34"/>
        <v>85</v>
      </c>
      <c r="G42" s="130">
        <f t="shared" si="35"/>
        <v>41.72</v>
      </c>
      <c r="H42" s="132">
        <f t="shared" si="36"/>
        <v>2.72</v>
      </c>
      <c r="I42" s="130">
        <f t="shared" si="37"/>
        <v>1.33504</v>
      </c>
      <c r="J42" s="130">
        <f t="shared" si="38"/>
        <v>2.72</v>
      </c>
      <c r="K42" s="131">
        <v>7.98</v>
      </c>
      <c r="L42" s="131">
        <v>63.6</v>
      </c>
      <c r="M42" s="130">
        <f t="shared" si="39"/>
        <v>1.1084622124416732</v>
      </c>
      <c r="N42" s="130">
        <f t="shared" si="40"/>
        <v>1.0666666666666667</v>
      </c>
      <c r="O42" s="130">
        <f t="shared" si="41"/>
        <v>0.1951204931813936</v>
      </c>
      <c r="P42" s="130">
        <f t="shared" si="42"/>
        <v>0.1829254623575565</v>
      </c>
    </row>
    <row r="44" spans="1:16" x14ac:dyDescent="0.2">
      <c r="F44" s="129"/>
      <c r="G44" s="129"/>
    </row>
    <row r="45" spans="1:16" x14ac:dyDescent="0.2">
      <c r="F45" s="129"/>
      <c r="G45" s="129"/>
    </row>
    <row r="46" spans="1:16" x14ac:dyDescent="0.2">
      <c r="F46" s="129"/>
      <c r="G46" s="129"/>
    </row>
    <row r="47" spans="1:16" x14ac:dyDescent="0.2">
      <c r="F47" s="129"/>
      <c r="G47" s="129"/>
    </row>
    <row r="48" spans="1:16" x14ac:dyDescent="0.2">
      <c r="F48" s="129"/>
      <c r="G48" s="129"/>
    </row>
    <row r="49" spans="1:7" x14ac:dyDescent="0.2">
      <c r="F49" s="129"/>
      <c r="G49" s="129"/>
    </row>
    <row r="50" spans="1:7" x14ac:dyDescent="0.2">
      <c r="F50" s="129"/>
      <c r="G50" s="129"/>
    </row>
    <row r="52" spans="1:7" x14ac:dyDescent="0.2">
      <c r="F52" s="129"/>
      <c r="G52" s="129"/>
    </row>
    <row r="53" spans="1:7" x14ac:dyDescent="0.2">
      <c r="F53" s="129"/>
      <c r="G53" s="129"/>
    </row>
    <row r="54" spans="1:7" x14ac:dyDescent="0.2">
      <c r="F54" s="129"/>
      <c r="G54" s="129"/>
    </row>
    <row r="55" spans="1:7" x14ac:dyDescent="0.2">
      <c r="F55" s="129"/>
      <c r="G55" s="129"/>
    </row>
    <row r="56" spans="1:7" x14ac:dyDescent="0.2">
      <c r="F56" s="129"/>
      <c r="G56" s="129"/>
    </row>
    <row r="57" spans="1:7" x14ac:dyDescent="0.2">
      <c r="F57" s="129"/>
      <c r="G57" s="129"/>
    </row>
    <row r="58" spans="1:7" x14ac:dyDescent="0.2">
      <c r="F58" s="129"/>
      <c r="G58" s="129"/>
    </row>
    <row r="59" spans="1:7" x14ac:dyDescent="0.2">
      <c r="F59" s="129"/>
      <c r="G59" s="129"/>
    </row>
    <row r="60" spans="1:7" x14ac:dyDescent="0.2">
      <c r="A60" s="144"/>
      <c r="F60" s="129"/>
      <c r="G60" s="129"/>
    </row>
    <row r="61" spans="1:7" x14ac:dyDescent="0.2">
      <c r="F61" s="129"/>
      <c r="G61" s="129"/>
    </row>
  </sheetData>
  <mergeCells count="1">
    <mergeCell ref="AJ5:AK5"/>
  </mergeCells>
  <pageMargins left="0.7" right="0.7" top="0.75" bottom="0.75" header="0.3" footer="0.3"/>
  <pageSetup orientation="portrait" r:id="rId1"/>
  <customProperties>
    <customPr name="SSC_SHEET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2:AF825"/>
  <sheetViews>
    <sheetView view="pageBreakPreview" zoomScale="115" zoomScaleNormal="85" zoomScaleSheetLayoutView="115" workbookViewId="0">
      <selection activeCell="AT21" sqref="AT21"/>
    </sheetView>
  </sheetViews>
  <sheetFormatPr defaultRowHeight="12.75" x14ac:dyDescent="0.2"/>
  <cols>
    <col min="1" max="2" width="9.140625" style="16"/>
    <col min="3" max="3" width="11.7109375" style="16" bestFit="1" customWidth="1"/>
    <col min="4" max="4" width="9.7109375" style="16" customWidth="1"/>
    <col min="5" max="5" width="20.85546875" style="16" customWidth="1"/>
    <col min="6" max="6" width="14.85546875" style="16" bestFit="1" customWidth="1"/>
    <col min="7" max="7" width="14.7109375" style="16" bestFit="1" customWidth="1"/>
    <col min="8" max="23" width="12.28515625" style="16" customWidth="1"/>
    <col min="24" max="24" width="9.140625" style="16" customWidth="1"/>
    <col min="25" max="25" width="9.140625" style="16"/>
    <col min="26" max="26" width="11.7109375" style="16" bestFit="1" customWidth="1"/>
    <col min="27" max="28" width="11.28515625" style="16" bestFit="1" customWidth="1"/>
    <col min="29" max="29" width="10.85546875" style="16" customWidth="1"/>
    <col min="30" max="30" width="9.7109375" style="16" bestFit="1" customWidth="1"/>
    <col min="31" max="31" width="9.85546875" style="16" customWidth="1"/>
    <col min="32" max="16384" width="9.140625" style="16"/>
  </cols>
  <sheetData>
    <row r="2" spans="1:32" x14ac:dyDescent="0.2">
      <c r="AD2" s="165"/>
      <c r="AE2" s="174" t="s">
        <v>116</v>
      </c>
      <c r="AF2" s="174" t="s">
        <v>115</v>
      </c>
    </row>
    <row r="3" spans="1:32" x14ac:dyDescent="0.2">
      <c r="Z3" s="179" t="s">
        <v>196</v>
      </c>
      <c r="AA3" s="251">
        <f>ABS(Control!H20)</f>
        <v>28.636508294816903</v>
      </c>
      <c r="AC3" s="174" t="s">
        <v>114</v>
      </c>
      <c r="AD3" s="174" t="s">
        <v>113</v>
      </c>
      <c r="AE3" s="165">
        <v>85</v>
      </c>
      <c r="AF3" s="165">
        <v>41.72</v>
      </c>
    </row>
    <row r="4" spans="1:32" x14ac:dyDescent="0.2">
      <c r="A4" s="25"/>
      <c r="B4" s="25"/>
      <c r="C4" s="25"/>
      <c r="D4" s="25"/>
      <c r="E4" s="25"/>
      <c r="F4" s="25"/>
      <c r="G4" s="25"/>
      <c r="J4" s="176"/>
      <c r="K4" s="176"/>
      <c r="L4" s="176"/>
      <c r="M4" s="176"/>
      <c r="N4" s="176"/>
      <c r="O4" s="176"/>
      <c r="P4" s="176"/>
      <c r="Q4" s="176"/>
      <c r="R4" s="176"/>
      <c r="S4" s="176"/>
      <c r="T4" s="176"/>
      <c r="U4" s="176"/>
      <c r="V4" s="176"/>
      <c r="W4" s="176"/>
      <c r="Y4" s="26"/>
      <c r="Z4" s="179" t="s">
        <v>195</v>
      </c>
      <c r="AA4" s="251">
        <f>Control!F20</f>
        <v>39.410722410027276</v>
      </c>
      <c r="AC4" s="174" t="s">
        <v>112</v>
      </c>
      <c r="AD4" s="174" t="s">
        <v>111</v>
      </c>
      <c r="AE4" s="165">
        <v>36.700000000000003</v>
      </c>
      <c r="AF4" s="165">
        <v>85</v>
      </c>
    </row>
    <row r="5" spans="1:32" x14ac:dyDescent="0.2">
      <c r="A5" s="169"/>
      <c r="B5" s="169"/>
      <c r="C5" s="169"/>
      <c r="D5" s="178"/>
      <c r="E5" s="178"/>
      <c r="F5" s="178"/>
      <c r="G5" s="178"/>
      <c r="H5" s="177"/>
      <c r="I5" s="177"/>
      <c r="K5" s="176" t="s">
        <v>17</v>
      </c>
      <c r="L5" s="19" t="s">
        <v>194</v>
      </c>
      <c r="M5" s="19"/>
      <c r="N5" s="19"/>
      <c r="O5" s="19"/>
      <c r="P5" s="19"/>
      <c r="Q5" s="19"/>
      <c r="R5" s="19"/>
      <c r="S5" s="19"/>
      <c r="T5" s="19"/>
      <c r="U5" s="19"/>
      <c r="V5" s="19"/>
      <c r="X5" s="175"/>
      <c r="Y5" s="23"/>
      <c r="AC5" s="174" t="s">
        <v>110</v>
      </c>
      <c r="AD5" s="174" t="s">
        <v>109</v>
      </c>
      <c r="AE5" s="165">
        <v>62.47</v>
      </c>
      <c r="AF5" s="165">
        <v>30</v>
      </c>
    </row>
    <row r="6" spans="1:32" ht="15.75" x14ac:dyDescent="0.25">
      <c r="A6" s="550" t="s">
        <v>193</v>
      </c>
      <c r="B6" s="550"/>
      <c r="C6" s="550"/>
      <c r="D6" s="550"/>
      <c r="E6" s="550"/>
      <c r="F6" s="550"/>
      <c r="G6" s="550"/>
      <c r="H6" s="550"/>
      <c r="I6" s="550"/>
      <c r="J6" s="550"/>
      <c r="K6" s="550"/>
      <c r="L6" s="550"/>
      <c r="M6" s="172"/>
      <c r="N6" s="172"/>
      <c r="O6" s="172"/>
      <c r="P6" s="172"/>
      <c r="Q6" s="172"/>
      <c r="R6" s="172"/>
      <c r="S6" s="172"/>
      <c r="T6" s="172"/>
      <c r="U6" s="172"/>
      <c r="V6" s="172"/>
      <c r="W6" s="172"/>
      <c r="X6" s="173"/>
      <c r="Y6" s="26"/>
    </row>
    <row r="7" spans="1:32" ht="15.75" x14ac:dyDescent="0.2">
      <c r="A7" s="550" t="s">
        <v>192</v>
      </c>
      <c r="B7" s="550"/>
      <c r="C7" s="550"/>
      <c r="D7" s="550"/>
      <c r="E7" s="550"/>
      <c r="F7" s="550"/>
      <c r="G7" s="550"/>
      <c r="H7" s="550"/>
      <c r="I7" s="550"/>
      <c r="J7" s="550"/>
      <c r="K7" s="550"/>
      <c r="L7" s="550"/>
      <c r="M7" s="172"/>
      <c r="N7" s="172"/>
      <c r="O7" s="172"/>
      <c r="P7" s="172"/>
      <c r="Q7" s="172"/>
      <c r="R7" s="172"/>
      <c r="S7" s="172"/>
      <c r="T7" s="172"/>
      <c r="U7" s="172"/>
      <c r="V7" s="172"/>
      <c r="W7" s="172"/>
      <c r="Y7" s="26"/>
      <c r="Z7" s="165" t="s">
        <v>191</v>
      </c>
      <c r="AA7" s="165">
        <v>1.9</v>
      </c>
      <c r="AB7" s="165">
        <v>1.9</v>
      </c>
      <c r="AC7" s="165">
        <v>2.375</v>
      </c>
      <c r="AD7" s="165">
        <v>2.375</v>
      </c>
      <c r="AE7" s="165">
        <v>2</v>
      </c>
    </row>
    <row r="8" spans="1:32" x14ac:dyDescent="0.2">
      <c r="W8" s="171"/>
      <c r="Z8" s="165" t="s">
        <v>190</v>
      </c>
      <c r="AA8" s="165">
        <v>0.14499999999999999</v>
      </c>
      <c r="AB8" s="165">
        <v>0.2</v>
      </c>
      <c r="AC8" s="165">
        <v>0.154</v>
      </c>
      <c r="AD8" s="165">
        <v>0.22</v>
      </c>
      <c r="AE8" s="170">
        <v>0.25</v>
      </c>
    </row>
    <row r="9" spans="1:32" x14ac:dyDescent="0.2">
      <c r="A9" s="169" t="s">
        <v>189</v>
      </c>
      <c r="B9" s="169"/>
      <c r="C9" s="169"/>
      <c r="Z9" s="165" t="s">
        <v>20</v>
      </c>
      <c r="AA9" s="153">
        <f>PI()*(AA7^4-(AA7-2*AA8)^4)/64</f>
        <v>0.30989443503113295</v>
      </c>
      <c r="AB9" s="153">
        <f>PI()*(AB7^4-(AB7-2*AB8)^4)/64</f>
        <v>0.39120682518826899</v>
      </c>
      <c r="AC9" s="153">
        <f>PI()*(AC7^4-(AC7-2*AC8)^4)/64</f>
        <v>0.66574707954528234</v>
      </c>
      <c r="AD9" s="153">
        <f>PI()*(AD7^4-(AD7-2*AD8)^4)/64</f>
        <v>0.87362927961946824</v>
      </c>
      <c r="AE9" s="153">
        <f>(AE7*AE7^3-(AE7-2*AE8)*(AE7-2*AE8)^3)/12</f>
        <v>0.91145833333333337</v>
      </c>
    </row>
    <row r="10" spans="1:32" x14ac:dyDescent="0.2">
      <c r="A10" s="168" t="s">
        <v>188</v>
      </c>
      <c r="B10" s="168"/>
      <c r="C10" s="168"/>
      <c r="Z10" s="165" t="s">
        <v>4</v>
      </c>
      <c r="AA10" s="153">
        <f>PI()*(AA7^2-(AA7-2*AA8)^2)/4</f>
        <v>0.79945679052226293</v>
      </c>
      <c r="AB10" s="153">
        <f>PI()*(AB7^2-(AB7-2*AB8)^2)/4</f>
        <v>1.0681415022205296</v>
      </c>
      <c r="AC10" s="153">
        <f>PI()*(AC7^2-(AC7-2*AC8)^2)/4</f>
        <v>1.0745315016779304</v>
      </c>
      <c r="AD10" s="153">
        <f>PI()*(AD7^2-(AD7-2*AD8)^2)/4</f>
        <v>1.4894290770669207</v>
      </c>
      <c r="AE10" s="165">
        <f>AE7*AE7-(AE7-2*AE8)*(AE7-2*AE8)</f>
        <v>1.75</v>
      </c>
    </row>
    <row r="11" spans="1:32" x14ac:dyDescent="0.2">
      <c r="A11" s="169" t="s">
        <v>187</v>
      </c>
      <c r="B11" s="169"/>
      <c r="C11" s="169"/>
      <c r="Z11" s="165" t="s">
        <v>22</v>
      </c>
      <c r="AA11" s="153">
        <f>SQRT(AA9/AA10)</f>
        <v>0.62260039351095819</v>
      </c>
      <c r="AB11" s="153">
        <f>SQRT(AB9/AB10)</f>
        <v>0.60518592184551023</v>
      </c>
      <c r="AC11" s="153">
        <f>SQRT(AC9/AC10)</f>
        <v>0.78712745156041919</v>
      </c>
      <c r="AD11" s="153">
        <f>SQRT(AD9/AD10)</f>
        <v>0.76586756361658248</v>
      </c>
      <c r="AE11" s="153">
        <f>SQRT(AE9/AE10)</f>
        <v>0.72168783648703227</v>
      </c>
    </row>
    <row r="12" spans="1:32" x14ac:dyDescent="0.2">
      <c r="A12" s="168" t="s">
        <v>186</v>
      </c>
      <c r="B12" s="168"/>
      <c r="C12" s="168"/>
      <c r="Z12" s="165" t="s">
        <v>23</v>
      </c>
      <c r="AA12" s="153">
        <v>39.365267000000003</v>
      </c>
      <c r="AB12" s="153">
        <v>39.365267000000003</v>
      </c>
      <c r="AC12" s="153">
        <v>39.365267000000003</v>
      </c>
      <c r="AD12" s="153">
        <v>39.365267000000003</v>
      </c>
      <c r="AE12" s="153">
        <v>39.365267000000003</v>
      </c>
    </row>
    <row r="13" spans="1:32" x14ac:dyDescent="0.2">
      <c r="A13" s="169" t="s">
        <v>185</v>
      </c>
      <c r="B13" s="169"/>
      <c r="C13" s="169"/>
      <c r="Z13" s="165" t="s">
        <v>24</v>
      </c>
      <c r="AA13" s="153">
        <v>0.24575881999999999</v>
      </c>
      <c r="AB13" s="153">
        <v>0.24575881999999999</v>
      </c>
      <c r="AC13" s="153">
        <v>0.24575881999999999</v>
      </c>
      <c r="AD13" s="153">
        <v>0.24575881999999999</v>
      </c>
      <c r="AE13" s="153">
        <v>0.24575881999999999</v>
      </c>
    </row>
    <row r="14" spans="1:32" x14ac:dyDescent="0.2">
      <c r="A14" s="168" t="s">
        <v>184</v>
      </c>
      <c r="B14" s="168"/>
      <c r="C14" s="168"/>
      <c r="Z14" s="165" t="s">
        <v>25</v>
      </c>
      <c r="AA14" s="165">
        <v>0</v>
      </c>
      <c r="AB14" s="165">
        <v>0</v>
      </c>
      <c r="AC14" s="165">
        <v>0</v>
      </c>
      <c r="AD14" s="165">
        <v>0</v>
      </c>
      <c r="AE14" s="165">
        <v>0</v>
      </c>
    </row>
    <row r="15" spans="1:32" x14ac:dyDescent="0.2">
      <c r="A15" s="169" t="s">
        <v>183</v>
      </c>
      <c r="B15" s="169"/>
      <c r="C15" s="169"/>
      <c r="W15" s="26"/>
      <c r="Z15" s="165" t="s">
        <v>26</v>
      </c>
      <c r="AA15" s="153">
        <v>65.673164444099996</v>
      </c>
      <c r="AB15" s="153">
        <v>65.673164444099996</v>
      </c>
      <c r="AC15" s="153">
        <v>65.673164444099996</v>
      </c>
      <c r="AD15" s="153">
        <v>65.673164444099996</v>
      </c>
      <c r="AE15" s="153">
        <v>65.673164444099996</v>
      </c>
    </row>
    <row r="16" spans="1:32" x14ac:dyDescent="0.2">
      <c r="A16" s="168" t="s">
        <v>182</v>
      </c>
      <c r="B16" s="168"/>
      <c r="C16" s="168"/>
      <c r="Z16" s="165" t="s">
        <v>181</v>
      </c>
      <c r="AA16" s="165">
        <v>1.65</v>
      </c>
      <c r="AB16" s="165">
        <v>1.65</v>
      </c>
      <c r="AC16" s="165">
        <v>1.65</v>
      </c>
      <c r="AD16" s="165">
        <v>1.65</v>
      </c>
      <c r="AE16" s="165">
        <v>1.65</v>
      </c>
    </row>
    <row r="17" spans="2:31" x14ac:dyDescent="0.2">
      <c r="Z17" s="165" t="s">
        <v>180</v>
      </c>
      <c r="AA17" s="153">
        <v>19.489999999999998</v>
      </c>
      <c r="AB17" s="153">
        <v>19.489999999999998</v>
      </c>
      <c r="AC17" s="153">
        <v>19.489999999999998</v>
      </c>
      <c r="AD17" s="153">
        <v>19.489999999999998</v>
      </c>
      <c r="AE17" s="165">
        <v>19.489999999999998</v>
      </c>
    </row>
    <row r="18" spans="2:31" ht="13.5" thickBot="1" x14ac:dyDescent="0.25">
      <c r="S18" s="166" t="s">
        <v>161</v>
      </c>
      <c r="T18" s="166" t="s">
        <v>160</v>
      </c>
      <c r="U18" s="166" t="s">
        <v>159</v>
      </c>
      <c r="V18" s="166" t="s">
        <v>158</v>
      </c>
      <c r="Z18" s="165"/>
      <c r="AA18" s="153"/>
      <c r="AB18" s="153"/>
      <c r="AC18" s="153"/>
      <c r="AD18" s="153"/>
      <c r="AE18" s="165"/>
    </row>
    <row r="19" spans="2:31" ht="13.5" thickBot="1" x14ac:dyDescent="0.25">
      <c r="B19" s="236">
        <f>'HTML Frame'!D37</f>
        <v>8</v>
      </c>
      <c r="C19" s="237">
        <v>16</v>
      </c>
      <c r="D19" s="241">
        <f>'HTML Frame'!D43</f>
        <v>29.327179490456803</v>
      </c>
      <c r="E19" s="238">
        <f>'HTML Frame'!D41*12</f>
        <v>36</v>
      </c>
      <c r="F19" s="368">
        <f>((B19*12)-('HTML Frame'!D39*12))/COS(RADIANS(D19))</f>
        <v>73.499975510200002</v>
      </c>
      <c r="G19" s="368"/>
      <c r="H19" s="239"/>
      <c r="I19" s="239"/>
      <c r="J19" s="239"/>
      <c r="K19" s="239"/>
      <c r="L19" s="239"/>
      <c r="M19" s="240"/>
      <c r="N19" s="240"/>
      <c r="O19" s="240"/>
      <c r="P19" s="240"/>
      <c r="Q19" s="240"/>
      <c r="R19" s="240"/>
      <c r="S19" s="369">
        <f>($AA$4*($B19/2)*$C19*(3/2))/SIN(ATAN($E19/(('HTML Frame'!D37-'HTML Frame'!D39)*12)))*COS(RADIANS($D19))/16</f>
        <v>420.9065153390913</v>
      </c>
      <c r="T19" s="369">
        <f>($AA$4*($B19/2)*$C19*(3/2))/SIN(ATAN($E19/(('HTML Frame'!D37-'HTML Frame'!D39)*12)))*SIN(RADIANS($D19))/16</f>
        <v>236.46433446016366</v>
      </c>
      <c r="U19" s="369">
        <f>($AA$3*($B19/2)*$C19*(3/2))/SIN(ATAN($E19/(('HTML Frame'!D37-'HTML Frame'!D39)*12)))*COS(RADIANS($D19))/16</f>
        <v>305.8379085886445</v>
      </c>
      <c r="V19" s="370">
        <f>($AA$3*($B19/2)*$C19*(3/2))/SIN(ATAN($E19/(('HTML Frame'!D37-'HTML Frame'!D39)*12)))*SIN(RADIANS($D19))/16</f>
        <v>171.81904976890141</v>
      </c>
      <c r="Z19" s="165"/>
      <c r="AA19" s="153"/>
      <c r="AB19" s="153"/>
      <c r="AC19" s="153"/>
      <c r="AD19" s="153"/>
      <c r="AE19" s="165"/>
    </row>
    <row r="21" spans="2:31" x14ac:dyDescent="0.2">
      <c r="Z21" s="165"/>
      <c r="AA21" s="153"/>
      <c r="AB21" s="153"/>
      <c r="AC21" s="153"/>
      <c r="AD21" s="153"/>
      <c r="AE21" s="165"/>
    </row>
    <row r="22" spans="2:31" ht="15.75" x14ac:dyDescent="0.25">
      <c r="B22" s="549" t="s">
        <v>179</v>
      </c>
      <c r="C22" s="549"/>
      <c r="D22" s="549"/>
      <c r="E22" s="549"/>
      <c r="F22" s="549"/>
      <c r="G22" s="549"/>
      <c r="H22" s="549"/>
      <c r="I22" s="549"/>
      <c r="J22" s="549"/>
      <c r="K22" s="549"/>
      <c r="L22" s="549"/>
      <c r="M22" s="167"/>
      <c r="N22" s="167"/>
      <c r="O22" s="167"/>
      <c r="P22" s="167"/>
      <c r="Q22" s="167"/>
      <c r="R22" s="167"/>
      <c r="S22" s="167"/>
      <c r="T22" s="167"/>
      <c r="U22" s="167"/>
      <c r="V22" s="167"/>
    </row>
    <row r="23" spans="2:31" x14ac:dyDescent="0.2">
      <c r="Z23" s="165"/>
    </row>
    <row r="24" spans="2:31" x14ac:dyDescent="0.2">
      <c r="B24" s="166" t="s">
        <v>106</v>
      </c>
      <c r="C24" s="166" t="s">
        <v>172</v>
      </c>
      <c r="D24" s="166" t="s">
        <v>171</v>
      </c>
      <c r="E24" s="166" t="s">
        <v>170</v>
      </c>
      <c r="F24" s="166" t="s">
        <v>169</v>
      </c>
      <c r="G24" s="166" t="s">
        <v>168</v>
      </c>
      <c r="H24" s="166" t="s">
        <v>167</v>
      </c>
      <c r="I24" s="166" t="s">
        <v>166</v>
      </c>
      <c r="J24" s="166" t="s">
        <v>165</v>
      </c>
      <c r="K24" s="166" t="s">
        <v>164</v>
      </c>
      <c r="L24" s="166" t="s">
        <v>163</v>
      </c>
      <c r="M24" s="166" t="s">
        <v>162</v>
      </c>
      <c r="N24" s="166" t="s">
        <v>121</v>
      </c>
      <c r="O24" s="166" t="s">
        <v>120</v>
      </c>
      <c r="P24" s="166" t="s">
        <v>119</v>
      </c>
      <c r="Q24" s="166" t="s">
        <v>118</v>
      </c>
      <c r="R24" s="166" t="s">
        <v>117</v>
      </c>
      <c r="S24" s="166" t="s">
        <v>161</v>
      </c>
      <c r="T24" s="166" t="s">
        <v>160</v>
      </c>
      <c r="U24" s="166" t="s">
        <v>159</v>
      </c>
      <c r="V24" s="166" t="s">
        <v>158</v>
      </c>
    </row>
    <row r="25" spans="2:31" x14ac:dyDescent="0.2">
      <c r="B25" s="161">
        <v>2</v>
      </c>
      <c r="C25" s="160">
        <v>16</v>
      </c>
      <c r="D25" s="159">
        <v>30</v>
      </c>
      <c r="E25" s="158">
        <f t="shared" ref="E25:E37" si="0">TAN(RADIANS(D25))*(B25*12)*(2/3)</f>
        <v>9.2376043070340117</v>
      </c>
      <c r="F25" s="158">
        <f t="shared" ref="F25:F37" si="1">((B25*12)*(2/3))/COS(RADIANS(D25))</f>
        <v>18.475208614068023</v>
      </c>
      <c r="G25" s="158">
        <f t="shared" ref="G25:G37" si="2">(((B25*12)+(6/12))*(2/3))/COS(RADIANS(D25))</f>
        <v>18.860108793527772</v>
      </c>
      <c r="H25" s="157" t="str">
        <f t="shared" ref="H25:H37" si="3">IF(((($AA$3*($B25/2)*$C25*(3/2))/SIN(ATAN($E25/(($B25*12)*(2/3)+6))))/1000/AA$10/AA721)&lt;=1,"✓","")</f>
        <v>✓</v>
      </c>
      <c r="I25" s="157" t="str">
        <f t="shared" ref="I25:I37" si="4">IF(((($AA$3*($B25/2)*$C25*(3/2))/SIN(ATAN($E25/(($B25*12)*(2/3)+6))))/1000/AB$10/AB721)&lt;=1,"✓","")</f>
        <v>✓</v>
      </c>
      <c r="J25" s="157" t="str">
        <f t="shared" ref="J25:J37" si="5">IF(((($AA$3*($B25/2)*$C25*(3/2))/SIN(ATAN($E25/(($B25*12)*(2/3)+6))))/1000/AC$10/AC721)&lt;=1,"✓","")</f>
        <v>✓</v>
      </c>
      <c r="K25" s="157" t="str">
        <f t="shared" ref="K25:K37" si="6">IF(((($AA$3*($B25/2)*$C25*(3/2))/SIN(ATAN($E25/(($B25*12)*(2/3)+6))))/1000/AD$10/AD721)&lt;=1,"✓","")</f>
        <v>✓</v>
      </c>
      <c r="L25" s="157" t="str">
        <f t="shared" ref="L25:L37" si="7">IF(((($AA$3*($B25/2)*$C25*(3/2))/SIN(ATAN($E25/(($B25*12)*(2/3)+6))))/1000/AE$10/AE721)&lt;=1,"✓","")</f>
        <v>✓</v>
      </c>
      <c r="M25" s="156" t="str">
        <f t="shared" ref="M25:M37" si="8">IF(AND((S25/$G$149)^(5/3)+(T25/$H$149)^(5/3)&lt;=1,V25/$H$149&lt;=1),"✓","")</f>
        <v>✓</v>
      </c>
      <c r="N25" s="156" t="str">
        <f t="shared" ref="N25:N37" si="9">IF(AND((S25/$G$157)^(1)+(T25/$H$157)^(1)&lt;=1,V25/$H$157&lt;=1),"✓","")</f>
        <v>✓</v>
      </c>
      <c r="O25" s="156" t="str">
        <f t="shared" ref="O25:O37" si="10">IF(AND((S25/$G$159)^(1)+(T25/$H$159)^(1)&lt;=1,V25/$H$159&lt;=1),"✓","")</f>
        <v/>
      </c>
      <c r="P25" s="156" t="str">
        <f t="shared" ref="P25:P37" si="11">IF(AND((S25/$G$161)^(1)+(T25/$H$161)^(1)&lt;=1,V25/$H$161&lt;=1),"✓","")</f>
        <v>✓</v>
      </c>
      <c r="Q25" s="156" t="str">
        <f t="shared" ref="Q25:Q37" si="12">IF(AND((S25/$G$162)^(1)+(T25/$H$162)^(1)&lt;=1,V25/$H$162&lt;=1),"✓","")</f>
        <v>✓</v>
      </c>
      <c r="R25" s="156" t="str">
        <f t="shared" ref="R25:R37" si="13">IF(AND((S25/$G$163)^(1)+(T25/$H$163)^(1)&lt;=1,V25/$H$163&lt;=1),"✓","")</f>
        <v>✓</v>
      </c>
      <c r="S25" s="155">
        <f>($AA$4*($B25/2)*$C25*(3/2))/SIN(ATAN($E25/(($B25*12)*(2/3)+6)))*COS(RADIANS($D25))</f>
        <v>2115.8273155144384</v>
      </c>
      <c r="T25" s="155">
        <f>($AA$4*($B25/2)*$C25*(3/2))/SIN(ATAN($E25/(($B25*12)*(2/3)+6)))*SIN(RADIANS($D25))</f>
        <v>1221.5734701710239</v>
      </c>
      <c r="U25" s="155">
        <f>($AA$3*($B25/2)*$C25*(3/2))/SIN(ATAN($E25/(($B25*12)*(2/3)+6)))*COS(RADIANS($D25))</f>
        <v>1537.3964943031212</v>
      </c>
      <c r="V25" s="155">
        <f>($AA$3*($B25/2)*$C25*(3/2))/SIN(ATAN($E25/(($B25*12)*(2/3)+6)))*SIN(RADIANS($D25))</f>
        <v>887.61627983709377</v>
      </c>
    </row>
    <row r="26" spans="2:31" x14ac:dyDescent="0.2">
      <c r="B26" s="161">
        <v>2.5</v>
      </c>
      <c r="C26" s="160">
        <v>12.8</v>
      </c>
      <c r="D26" s="159">
        <v>30</v>
      </c>
      <c r="E26" s="158">
        <f t="shared" si="0"/>
        <v>11.547005383792513</v>
      </c>
      <c r="F26" s="158">
        <f t="shared" si="1"/>
        <v>23.094010767585029</v>
      </c>
      <c r="G26" s="158">
        <f t="shared" si="2"/>
        <v>23.478910947044778</v>
      </c>
      <c r="H26" s="157" t="str">
        <f t="shared" si="3"/>
        <v>✓</v>
      </c>
      <c r="I26" s="157" t="str">
        <f t="shared" si="4"/>
        <v>✓</v>
      </c>
      <c r="J26" s="157" t="str">
        <f t="shared" si="5"/>
        <v>✓</v>
      </c>
      <c r="K26" s="157" t="str">
        <f t="shared" si="6"/>
        <v>✓</v>
      </c>
      <c r="L26" s="157" t="str">
        <f t="shared" si="7"/>
        <v>✓</v>
      </c>
      <c r="M26" s="156" t="str">
        <f t="shared" si="8"/>
        <v>✓</v>
      </c>
      <c r="N26" s="156" t="str">
        <f t="shared" si="9"/>
        <v>✓</v>
      </c>
      <c r="O26" s="156" t="str">
        <f t="shared" si="10"/>
        <v/>
      </c>
      <c r="P26" s="156" t="str">
        <f t="shared" si="11"/>
        <v>✓</v>
      </c>
      <c r="Q26" s="156" t="str">
        <f t="shared" si="12"/>
        <v>✓</v>
      </c>
      <c r="R26" s="156" t="str">
        <f t="shared" si="13"/>
        <v>✓</v>
      </c>
      <c r="S26" s="155">
        <f t="shared" ref="S26:S37" si="14">($AA$4*($B26/2)*$C26*(3/2))/SIN(ATAN($E26/(($B26*12)*(2/3)+6)))*COS(RADIANS($D26))</f>
        <v>2018.1368601751881</v>
      </c>
      <c r="T26" s="155">
        <f t="shared" ref="T26:T37" si="15">($AA$4*($B26/2)*$C26*(3/2))/SIN(ATAN($E26/(($B26*12)*(2/3)+6)))*SIN(RADIANS($D26))</f>
        <v>1165.1718594836507</v>
      </c>
      <c r="U26" s="155">
        <f t="shared" ref="U26:U37" si="16">($AA$3*($B26/2)*$C26*(3/2))/SIN(ATAN($E26/(($B26*12)*(2/3)+6)))*COS(RADIANS($D26))</f>
        <v>1466.4129303495938</v>
      </c>
      <c r="V26" s="155">
        <f t="shared" ref="V26:V37" si="17">($AA$3*($B26/2)*$C26*(3/2))/SIN(ATAN($E26/(($B26*12)*(2/3)+6)))*SIN(RADIANS($D26))</f>
        <v>846.63390008048577</v>
      </c>
    </row>
    <row r="27" spans="2:31" x14ac:dyDescent="0.2">
      <c r="B27" s="161">
        <v>3</v>
      </c>
      <c r="C27" s="160">
        <v>10.67</v>
      </c>
      <c r="D27" s="159">
        <v>30</v>
      </c>
      <c r="E27" s="158">
        <f t="shared" si="0"/>
        <v>13.856406460551018</v>
      </c>
      <c r="F27" s="158">
        <f t="shared" si="1"/>
        <v>27.712812921102035</v>
      </c>
      <c r="G27" s="158">
        <f t="shared" si="2"/>
        <v>28.097713100561784</v>
      </c>
      <c r="H27" s="157" t="str">
        <f t="shared" si="3"/>
        <v>✓</v>
      </c>
      <c r="I27" s="157" t="str">
        <f t="shared" si="4"/>
        <v>✓</v>
      </c>
      <c r="J27" s="157" t="str">
        <f t="shared" si="5"/>
        <v>✓</v>
      </c>
      <c r="K27" s="157" t="str">
        <f t="shared" si="6"/>
        <v>✓</v>
      </c>
      <c r="L27" s="157" t="str">
        <f t="shared" si="7"/>
        <v>✓</v>
      </c>
      <c r="M27" s="156" t="str">
        <f t="shared" si="8"/>
        <v>✓</v>
      </c>
      <c r="N27" s="156" t="str">
        <f t="shared" si="9"/>
        <v>✓</v>
      </c>
      <c r="O27" s="156" t="str">
        <f t="shared" si="10"/>
        <v/>
      </c>
      <c r="P27" s="156" t="str">
        <f t="shared" si="11"/>
        <v>✓</v>
      </c>
      <c r="Q27" s="156" t="str">
        <f t="shared" si="12"/>
        <v>✓</v>
      </c>
      <c r="R27" s="156" t="str">
        <f t="shared" si="13"/>
        <v>✓</v>
      </c>
      <c r="S27" s="155">
        <f t="shared" si="14"/>
        <v>1954.1264796864659</v>
      </c>
      <c r="T27" s="155">
        <f t="shared" si="15"/>
        <v>1128.2154490775565</v>
      </c>
      <c r="U27" s="155">
        <f t="shared" si="16"/>
        <v>1419.901887675753</v>
      </c>
      <c r="V27" s="155">
        <f t="shared" si="17"/>
        <v>819.78073707245358</v>
      </c>
    </row>
    <row r="28" spans="2:31" x14ac:dyDescent="0.2">
      <c r="B28" s="161">
        <v>3.5</v>
      </c>
      <c r="C28" s="160">
        <v>9.14</v>
      </c>
      <c r="D28" s="159">
        <v>30</v>
      </c>
      <c r="E28" s="158">
        <f t="shared" si="0"/>
        <v>16.165807537309519</v>
      </c>
      <c r="F28" s="158">
        <f t="shared" si="1"/>
        <v>32.331615074619037</v>
      </c>
      <c r="G28" s="158">
        <f t="shared" si="2"/>
        <v>32.716515254078793</v>
      </c>
      <c r="H28" s="157" t="str">
        <f t="shared" si="3"/>
        <v>✓</v>
      </c>
      <c r="I28" s="157" t="str">
        <f t="shared" si="4"/>
        <v>✓</v>
      </c>
      <c r="J28" s="157" t="str">
        <f t="shared" si="5"/>
        <v>✓</v>
      </c>
      <c r="K28" s="157" t="str">
        <f t="shared" si="6"/>
        <v>✓</v>
      </c>
      <c r="L28" s="157" t="str">
        <f t="shared" si="7"/>
        <v>✓</v>
      </c>
      <c r="M28" s="156" t="str">
        <f t="shared" si="8"/>
        <v>✓</v>
      </c>
      <c r="N28" s="156" t="str">
        <f t="shared" si="9"/>
        <v>✓</v>
      </c>
      <c r="O28" s="156" t="str">
        <f t="shared" si="10"/>
        <v/>
      </c>
      <c r="P28" s="156" t="str">
        <f t="shared" si="11"/>
        <v>✓</v>
      </c>
      <c r="Q28" s="156" t="str">
        <f t="shared" si="12"/>
        <v>✓</v>
      </c>
      <c r="R28" s="156" t="str">
        <f t="shared" si="13"/>
        <v>✓</v>
      </c>
      <c r="S28" s="155">
        <f t="shared" si="14"/>
        <v>1907.0370360262268</v>
      </c>
      <c r="T28" s="155">
        <f t="shared" si="15"/>
        <v>1101.0283461043277</v>
      </c>
      <c r="U28" s="155">
        <f t="shared" si="16"/>
        <v>1385.6858885386337</v>
      </c>
      <c r="V28" s="155">
        <f t="shared" si="17"/>
        <v>800.02612076004573</v>
      </c>
    </row>
    <row r="29" spans="2:31" x14ac:dyDescent="0.2">
      <c r="B29" s="161">
        <v>4</v>
      </c>
      <c r="C29" s="160">
        <v>8</v>
      </c>
      <c r="D29" s="159">
        <v>30</v>
      </c>
      <c r="E29" s="158">
        <f t="shared" si="0"/>
        <v>18.475208614068023</v>
      </c>
      <c r="F29" s="158">
        <f t="shared" si="1"/>
        <v>36.950417228136047</v>
      </c>
      <c r="G29" s="158">
        <f t="shared" si="2"/>
        <v>37.335317407595788</v>
      </c>
      <c r="H29" s="157" t="str">
        <f t="shared" si="3"/>
        <v>✓</v>
      </c>
      <c r="I29" s="157" t="str">
        <f t="shared" si="4"/>
        <v>✓</v>
      </c>
      <c r="J29" s="157" t="str">
        <f t="shared" si="5"/>
        <v>✓</v>
      </c>
      <c r="K29" s="157" t="str">
        <f t="shared" si="6"/>
        <v>✓</v>
      </c>
      <c r="L29" s="157" t="str">
        <f t="shared" si="7"/>
        <v>✓</v>
      </c>
      <c r="M29" s="156" t="str">
        <f t="shared" si="8"/>
        <v>✓</v>
      </c>
      <c r="N29" s="156" t="str">
        <f t="shared" si="9"/>
        <v>✓</v>
      </c>
      <c r="O29" s="156" t="str">
        <f t="shared" si="10"/>
        <v/>
      </c>
      <c r="P29" s="156" t="str">
        <f t="shared" si="11"/>
        <v>✓</v>
      </c>
      <c r="Q29" s="156" t="str">
        <f t="shared" si="12"/>
        <v>✓</v>
      </c>
      <c r="R29" s="156" t="str">
        <f t="shared" si="13"/>
        <v>✓</v>
      </c>
      <c r="S29" s="155">
        <f t="shared" si="14"/>
        <v>1873.3830001320944</v>
      </c>
      <c r="T29" s="155">
        <f t="shared" si="15"/>
        <v>1081.5981794215331</v>
      </c>
      <c r="U29" s="155">
        <f t="shared" si="16"/>
        <v>1361.2322876122221</v>
      </c>
      <c r="V29" s="155">
        <f t="shared" si="17"/>
        <v>785.90782768252632</v>
      </c>
    </row>
    <row r="30" spans="2:31" x14ac:dyDescent="0.2">
      <c r="B30" s="161">
        <v>4.5</v>
      </c>
      <c r="C30" s="160">
        <v>7.11</v>
      </c>
      <c r="D30" s="159">
        <v>30</v>
      </c>
      <c r="E30" s="158">
        <f t="shared" si="0"/>
        <v>20.784609690826525</v>
      </c>
      <c r="F30" s="158">
        <f t="shared" si="1"/>
        <v>41.569219381653049</v>
      </c>
      <c r="G30" s="158">
        <f t="shared" si="2"/>
        <v>41.954119561112797</v>
      </c>
      <c r="H30" s="157" t="str">
        <f t="shared" si="3"/>
        <v>✓</v>
      </c>
      <c r="I30" s="157" t="str">
        <f t="shared" si="4"/>
        <v>✓</v>
      </c>
      <c r="J30" s="157" t="str">
        <f t="shared" si="5"/>
        <v>✓</v>
      </c>
      <c r="K30" s="157" t="str">
        <f t="shared" si="6"/>
        <v>✓</v>
      </c>
      <c r="L30" s="157" t="str">
        <f t="shared" si="7"/>
        <v>✓</v>
      </c>
      <c r="M30" s="156" t="str">
        <f t="shared" si="8"/>
        <v>✓</v>
      </c>
      <c r="N30" s="156" t="str">
        <f t="shared" si="9"/>
        <v>✓</v>
      </c>
      <c r="O30" s="156" t="str">
        <f t="shared" si="10"/>
        <v/>
      </c>
      <c r="P30" s="156" t="str">
        <f t="shared" si="11"/>
        <v>✓</v>
      </c>
      <c r="Q30" s="156" t="str">
        <f t="shared" si="12"/>
        <v>✓</v>
      </c>
      <c r="R30" s="156" t="str">
        <f t="shared" si="13"/>
        <v>✓</v>
      </c>
      <c r="S30" s="155">
        <f t="shared" si="14"/>
        <v>1846.5569219729168</v>
      </c>
      <c r="T30" s="155">
        <f t="shared" si="15"/>
        <v>1066.1101359750301</v>
      </c>
      <c r="U30" s="155">
        <f t="shared" si="16"/>
        <v>1341.7399981349997</v>
      </c>
      <c r="V30" s="155">
        <f t="shared" si="17"/>
        <v>774.65394910572991</v>
      </c>
    </row>
    <row r="31" spans="2:31" x14ac:dyDescent="0.2">
      <c r="B31" s="161">
        <v>5</v>
      </c>
      <c r="C31" s="160">
        <v>6.4</v>
      </c>
      <c r="D31" s="159">
        <v>30</v>
      </c>
      <c r="E31" s="158">
        <f t="shared" si="0"/>
        <v>23.094010767585026</v>
      </c>
      <c r="F31" s="158">
        <f t="shared" si="1"/>
        <v>46.188021535170058</v>
      </c>
      <c r="G31" s="158">
        <f t="shared" si="2"/>
        <v>46.5729217146298</v>
      </c>
      <c r="H31" s="157" t="str">
        <f t="shared" si="3"/>
        <v>✓</v>
      </c>
      <c r="I31" s="157" t="str">
        <f t="shared" si="4"/>
        <v>✓</v>
      </c>
      <c r="J31" s="157" t="str">
        <f t="shared" si="5"/>
        <v>✓</v>
      </c>
      <c r="K31" s="157" t="str">
        <f t="shared" si="6"/>
        <v>✓</v>
      </c>
      <c r="L31" s="157" t="str">
        <f t="shared" si="7"/>
        <v>✓</v>
      </c>
      <c r="M31" s="156" t="str">
        <f t="shared" si="8"/>
        <v>✓</v>
      </c>
      <c r="N31" s="156" t="str">
        <f t="shared" si="9"/>
        <v>✓</v>
      </c>
      <c r="O31" s="156" t="str">
        <f t="shared" si="10"/>
        <v/>
      </c>
      <c r="P31" s="156" t="str">
        <f t="shared" si="11"/>
        <v>✓</v>
      </c>
      <c r="Q31" s="156" t="str">
        <f t="shared" si="12"/>
        <v>✓</v>
      </c>
      <c r="R31" s="156" t="str">
        <f t="shared" si="13"/>
        <v>✓</v>
      </c>
      <c r="S31" s="155">
        <f t="shared" si="14"/>
        <v>1825.6823079406042</v>
      </c>
      <c r="T31" s="155">
        <f t="shared" si="15"/>
        <v>1054.0581719442448</v>
      </c>
      <c r="U31" s="155">
        <f t="shared" si="16"/>
        <v>1326.5721447861526</v>
      </c>
      <c r="V31" s="155">
        <f t="shared" si="17"/>
        <v>765.89678489174423</v>
      </c>
    </row>
    <row r="32" spans="2:31" x14ac:dyDescent="0.2">
      <c r="B32" s="161">
        <v>5.5</v>
      </c>
      <c r="C32" s="160">
        <v>5.82</v>
      </c>
      <c r="D32" s="159">
        <v>30</v>
      </c>
      <c r="E32" s="158">
        <f t="shared" si="0"/>
        <v>25.40341184434353</v>
      </c>
      <c r="F32" s="158">
        <f t="shared" si="1"/>
        <v>50.806823688687061</v>
      </c>
      <c r="G32" s="158">
        <f t="shared" si="2"/>
        <v>51.191723868146809</v>
      </c>
      <c r="H32" s="157" t="str">
        <f t="shared" si="3"/>
        <v>✓</v>
      </c>
      <c r="I32" s="157" t="str">
        <f t="shared" si="4"/>
        <v>✓</v>
      </c>
      <c r="J32" s="157" t="str">
        <f t="shared" si="5"/>
        <v>✓</v>
      </c>
      <c r="K32" s="157" t="str">
        <f t="shared" si="6"/>
        <v>✓</v>
      </c>
      <c r="L32" s="157" t="str">
        <f t="shared" si="7"/>
        <v>✓</v>
      </c>
      <c r="M32" s="156" t="str">
        <f t="shared" si="8"/>
        <v>✓</v>
      </c>
      <c r="N32" s="156" t="str">
        <f t="shared" si="9"/>
        <v>✓</v>
      </c>
      <c r="O32" s="156" t="str">
        <f t="shared" si="10"/>
        <v/>
      </c>
      <c r="P32" s="156" t="str">
        <f t="shared" si="11"/>
        <v>✓</v>
      </c>
      <c r="Q32" s="156" t="str">
        <f t="shared" si="12"/>
        <v>✓</v>
      </c>
      <c r="R32" s="156" t="str">
        <f t="shared" si="13"/>
        <v>✓</v>
      </c>
      <c r="S32" s="155">
        <f t="shared" si="14"/>
        <v>1808.9778723038296</v>
      </c>
      <c r="T32" s="155">
        <f t="shared" si="15"/>
        <v>1044.4138615326922</v>
      </c>
      <c r="U32" s="155">
        <f t="shared" si="16"/>
        <v>1314.4344147365503</v>
      </c>
      <c r="V32" s="155">
        <f t="shared" si="17"/>
        <v>758.88906318025533</v>
      </c>
    </row>
    <row r="33" spans="2:22" x14ac:dyDescent="0.2">
      <c r="B33" s="161">
        <v>6</v>
      </c>
      <c r="C33" s="160">
        <v>5.33</v>
      </c>
      <c r="D33" s="159">
        <v>30</v>
      </c>
      <c r="E33" s="158">
        <f t="shared" si="0"/>
        <v>27.712812921102035</v>
      </c>
      <c r="F33" s="158">
        <f t="shared" si="1"/>
        <v>55.42562584220407</v>
      </c>
      <c r="G33" s="158">
        <f t="shared" si="2"/>
        <v>55.810526021663811</v>
      </c>
      <c r="H33" s="157" t="str">
        <f t="shared" si="3"/>
        <v>✓</v>
      </c>
      <c r="I33" s="157" t="str">
        <f t="shared" si="4"/>
        <v>✓</v>
      </c>
      <c r="J33" s="157" t="str">
        <f t="shared" si="5"/>
        <v>✓</v>
      </c>
      <c r="K33" s="157" t="str">
        <f t="shared" si="6"/>
        <v>✓</v>
      </c>
      <c r="L33" s="157" t="str">
        <f t="shared" si="7"/>
        <v>✓</v>
      </c>
      <c r="M33" s="156" t="str">
        <f t="shared" si="8"/>
        <v>✓</v>
      </c>
      <c r="N33" s="156" t="str">
        <f t="shared" si="9"/>
        <v>✓</v>
      </c>
      <c r="O33" s="156" t="str">
        <f t="shared" si="10"/>
        <v/>
      </c>
      <c r="P33" s="156" t="str">
        <f t="shared" si="11"/>
        <v>✓</v>
      </c>
      <c r="Q33" s="156" t="str">
        <f t="shared" si="12"/>
        <v>✓</v>
      </c>
      <c r="R33" s="156" t="str">
        <f t="shared" si="13"/>
        <v>✓</v>
      </c>
      <c r="S33" s="155">
        <f t="shared" si="14"/>
        <v>1792.9325466421219</v>
      </c>
      <c r="T33" s="155">
        <f t="shared" si="15"/>
        <v>1035.15008844267</v>
      </c>
      <c r="U33" s="155">
        <f t="shared" si="16"/>
        <v>1302.7756053236167</v>
      </c>
      <c r="V33" s="155">
        <f t="shared" si="17"/>
        <v>752.1578464272676</v>
      </c>
    </row>
    <row r="34" spans="2:22" x14ac:dyDescent="0.2">
      <c r="B34" s="161">
        <v>6.5</v>
      </c>
      <c r="C34" s="160">
        <v>4.92</v>
      </c>
      <c r="D34" s="159">
        <v>30</v>
      </c>
      <c r="E34" s="158">
        <f t="shared" si="0"/>
        <v>30.022213997860536</v>
      </c>
      <c r="F34" s="158">
        <f t="shared" si="1"/>
        <v>60.044427995721072</v>
      </c>
      <c r="G34" s="158">
        <f t="shared" si="2"/>
        <v>60.429328175180821</v>
      </c>
      <c r="H34" s="157" t="str">
        <f t="shared" si="3"/>
        <v>✓</v>
      </c>
      <c r="I34" s="157" t="str">
        <f t="shared" si="4"/>
        <v>✓</v>
      </c>
      <c r="J34" s="157" t="str">
        <f t="shared" si="5"/>
        <v>✓</v>
      </c>
      <c r="K34" s="157" t="str">
        <f t="shared" si="6"/>
        <v>✓</v>
      </c>
      <c r="L34" s="157" t="str">
        <f t="shared" si="7"/>
        <v>✓</v>
      </c>
      <c r="M34" s="156" t="str">
        <f t="shared" si="8"/>
        <v>✓</v>
      </c>
      <c r="N34" s="156" t="str">
        <f t="shared" si="9"/>
        <v>✓</v>
      </c>
      <c r="O34" s="156" t="str">
        <f t="shared" si="10"/>
        <v/>
      </c>
      <c r="P34" s="156" t="str">
        <f t="shared" si="11"/>
        <v>✓</v>
      </c>
      <c r="Q34" s="156" t="str">
        <f t="shared" si="12"/>
        <v>✓</v>
      </c>
      <c r="R34" s="156" t="str">
        <f t="shared" si="13"/>
        <v>✓</v>
      </c>
      <c r="S34" s="155">
        <f t="shared" si="14"/>
        <v>1780.8138401223746</v>
      </c>
      <c r="T34" s="155">
        <f t="shared" si="15"/>
        <v>1028.1533499712639</v>
      </c>
      <c r="U34" s="155">
        <f t="shared" si="16"/>
        <v>1293.969944869981</v>
      </c>
      <c r="V34" s="155">
        <f t="shared" si="17"/>
        <v>747.07389599396856</v>
      </c>
    </row>
    <row r="35" spans="2:22" x14ac:dyDescent="0.2">
      <c r="B35" s="161">
        <v>7</v>
      </c>
      <c r="C35" s="160">
        <v>4.57</v>
      </c>
      <c r="D35" s="159">
        <v>30</v>
      </c>
      <c r="E35" s="158">
        <f t="shared" si="0"/>
        <v>32.331615074619037</v>
      </c>
      <c r="F35" s="158">
        <f t="shared" si="1"/>
        <v>64.663230149238075</v>
      </c>
      <c r="G35" s="158">
        <f t="shared" si="2"/>
        <v>65.048130328697823</v>
      </c>
      <c r="H35" s="157" t="str">
        <f t="shared" si="3"/>
        <v>✓</v>
      </c>
      <c r="I35" s="157" t="str">
        <f t="shared" si="4"/>
        <v>✓</v>
      </c>
      <c r="J35" s="157" t="str">
        <f t="shared" si="5"/>
        <v>✓</v>
      </c>
      <c r="K35" s="157" t="str">
        <f t="shared" si="6"/>
        <v>✓</v>
      </c>
      <c r="L35" s="157" t="str">
        <f t="shared" si="7"/>
        <v>✓</v>
      </c>
      <c r="M35" s="156" t="str">
        <f t="shared" si="8"/>
        <v>✓</v>
      </c>
      <c r="N35" s="156" t="str">
        <f t="shared" si="9"/>
        <v>✓</v>
      </c>
      <c r="O35" s="156" t="str">
        <f t="shared" si="10"/>
        <v/>
      </c>
      <c r="P35" s="156" t="str">
        <f t="shared" si="11"/>
        <v>✓</v>
      </c>
      <c r="Q35" s="156" t="str">
        <f t="shared" si="12"/>
        <v>✓</v>
      </c>
      <c r="R35" s="156" t="str">
        <f t="shared" si="13"/>
        <v>✓</v>
      </c>
      <c r="S35" s="155">
        <f t="shared" si="14"/>
        <v>1770.9975259638309</v>
      </c>
      <c r="T35" s="155">
        <f t="shared" si="15"/>
        <v>1022.4858983493788</v>
      </c>
      <c r="U35" s="155">
        <f t="shared" si="16"/>
        <v>1286.8372422795271</v>
      </c>
      <c r="V35" s="155">
        <f t="shared" si="17"/>
        <v>742.95582823332052</v>
      </c>
    </row>
    <row r="36" spans="2:22" x14ac:dyDescent="0.2">
      <c r="B36" s="161">
        <v>7.5</v>
      </c>
      <c r="C36" s="160">
        <v>4.2699999999999996</v>
      </c>
      <c r="D36" s="159">
        <v>30</v>
      </c>
      <c r="E36" s="158">
        <f t="shared" si="0"/>
        <v>34.641016151377542</v>
      </c>
      <c r="F36" s="158">
        <f t="shared" si="1"/>
        <v>69.282032302755084</v>
      </c>
      <c r="G36" s="158">
        <f t="shared" si="2"/>
        <v>69.666932482214833</v>
      </c>
      <c r="H36" s="157" t="str">
        <f t="shared" si="3"/>
        <v>✓</v>
      </c>
      <c r="I36" s="157" t="str">
        <f t="shared" si="4"/>
        <v>✓</v>
      </c>
      <c r="J36" s="157" t="str">
        <f t="shared" si="5"/>
        <v>✓</v>
      </c>
      <c r="K36" s="157" t="str">
        <f t="shared" si="6"/>
        <v>✓</v>
      </c>
      <c r="L36" s="157" t="str">
        <f t="shared" si="7"/>
        <v>✓</v>
      </c>
      <c r="M36" s="156" t="str">
        <f t="shared" si="8"/>
        <v>✓</v>
      </c>
      <c r="N36" s="156" t="str">
        <f t="shared" si="9"/>
        <v>✓</v>
      </c>
      <c r="O36" s="156" t="str">
        <f t="shared" si="10"/>
        <v/>
      </c>
      <c r="P36" s="156" t="str">
        <f t="shared" si="11"/>
        <v>✓</v>
      </c>
      <c r="Q36" s="156" t="str">
        <f t="shared" si="12"/>
        <v>✓</v>
      </c>
      <c r="R36" s="156" t="str">
        <f t="shared" si="13"/>
        <v>✓</v>
      </c>
      <c r="S36" s="155">
        <f t="shared" si="14"/>
        <v>1763.9485947087385</v>
      </c>
      <c r="T36" s="155">
        <f t="shared" si="15"/>
        <v>1018.416195991752</v>
      </c>
      <c r="U36" s="155">
        <f t="shared" si="16"/>
        <v>1281.7153676725113</v>
      </c>
      <c r="V36" s="155">
        <f t="shared" si="17"/>
        <v>739.99871255020446</v>
      </c>
    </row>
    <row r="37" spans="2:22" x14ac:dyDescent="0.2">
      <c r="B37" s="161">
        <v>8</v>
      </c>
      <c r="C37" s="160">
        <v>4</v>
      </c>
      <c r="D37" s="159">
        <v>30</v>
      </c>
      <c r="E37" s="158">
        <f t="shared" si="0"/>
        <v>36.950417228136047</v>
      </c>
      <c r="F37" s="158">
        <f t="shared" si="1"/>
        <v>73.900834456272094</v>
      </c>
      <c r="G37" s="158">
        <f t="shared" si="2"/>
        <v>74.285734635731842</v>
      </c>
      <c r="H37" s="157" t="str">
        <f t="shared" si="3"/>
        <v>✓</v>
      </c>
      <c r="I37" s="157" t="str">
        <f t="shared" si="4"/>
        <v>✓</v>
      </c>
      <c r="J37" s="157" t="str">
        <f t="shared" si="5"/>
        <v>✓</v>
      </c>
      <c r="K37" s="157" t="str">
        <f t="shared" si="6"/>
        <v>✓</v>
      </c>
      <c r="L37" s="157" t="str">
        <f t="shared" si="7"/>
        <v>✓</v>
      </c>
      <c r="M37" s="156" t="str">
        <f t="shared" si="8"/>
        <v>✓</v>
      </c>
      <c r="N37" s="156" t="str">
        <f t="shared" si="9"/>
        <v>✓</v>
      </c>
      <c r="O37" s="156" t="str">
        <f t="shared" si="10"/>
        <v/>
      </c>
      <c r="P37" s="156" t="str">
        <f t="shared" si="11"/>
        <v>✓</v>
      </c>
      <c r="Q37" s="156" t="str">
        <f t="shared" si="12"/>
        <v>✓</v>
      </c>
      <c r="R37" s="156" t="str">
        <f t="shared" si="13"/>
        <v>✓</v>
      </c>
      <c r="S37" s="155">
        <f t="shared" si="14"/>
        <v>1754.7247965831289</v>
      </c>
      <c r="T37" s="155">
        <f t="shared" si="15"/>
        <v>1013.0908336609806</v>
      </c>
      <c r="U37" s="155">
        <f t="shared" si="16"/>
        <v>1275.0131974157562</v>
      </c>
      <c r="V37" s="155">
        <f t="shared" si="17"/>
        <v>736.12921274831206</v>
      </c>
    </row>
    <row r="40" spans="2:22" ht="15.75" x14ac:dyDescent="0.25">
      <c r="B40" s="549" t="s">
        <v>178</v>
      </c>
      <c r="C40" s="549"/>
      <c r="D40" s="549"/>
      <c r="E40" s="549"/>
      <c r="F40" s="549"/>
      <c r="G40" s="549"/>
      <c r="H40" s="549"/>
      <c r="I40" s="549"/>
      <c r="J40" s="549"/>
      <c r="K40" s="549"/>
      <c r="L40" s="549"/>
      <c r="M40" s="167"/>
      <c r="N40" s="167"/>
      <c r="O40" s="167"/>
      <c r="P40" s="167"/>
      <c r="Q40" s="167"/>
      <c r="R40" s="167"/>
      <c r="S40" s="167"/>
      <c r="T40" s="167"/>
      <c r="U40" s="167"/>
      <c r="V40" s="167"/>
    </row>
    <row r="42" spans="2:22" x14ac:dyDescent="0.2">
      <c r="B42" s="166" t="s">
        <v>106</v>
      </c>
      <c r="C42" s="166" t="s">
        <v>172</v>
      </c>
      <c r="D42" s="166" t="s">
        <v>171</v>
      </c>
      <c r="E42" s="166" t="s">
        <v>170</v>
      </c>
      <c r="F42" s="166" t="s">
        <v>169</v>
      </c>
      <c r="G42" s="166" t="s">
        <v>168</v>
      </c>
      <c r="H42" s="166" t="s">
        <v>167</v>
      </c>
      <c r="I42" s="166" t="s">
        <v>166</v>
      </c>
      <c r="J42" s="166" t="s">
        <v>165</v>
      </c>
      <c r="K42" s="166" t="s">
        <v>164</v>
      </c>
      <c r="L42" s="166" t="s">
        <v>163</v>
      </c>
      <c r="M42" s="166" t="s">
        <v>162</v>
      </c>
      <c r="N42" s="166" t="s">
        <v>121</v>
      </c>
      <c r="O42" s="166" t="s">
        <v>120</v>
      </c>
      <c r="P42" s="166" t="s">
        <v>119</v>
      </c>
      <c r="Q42" s="166" t="s">
        <v>118</v>
      </c>
      <c r="R42" s="166" t="s">
        <v>117</v>
      </c>
      <c r="S42" s="166" t="s">
        <v>161</v>
      </c>
      <c r="T42" s="166" t="s">
        <v>160</v>
      </c>
      <c r="U42" s="166" t="s">
        <v>159</v>
      </c>
      <c r="V42" s="166" t="s">
        <v>158</v>
      </c>
    </row>
    <row r="43" spans="2:22" x14ac:dyDescent="0.2">
      <c r="B43" s="161">
        <v>2</v>
      </c>
      <c r="C43" s="160">
        <v>16</v>
      </c>
      <c r="D43" s="159">
        <v>35</v>
      </c>
      <c r="E43" s="158">
        <f t="shared" ref="E43:E55" si="18">TAN(RADIANS(D43))*(B43*12)*(2/3)</f>
        <v>11.203320611355355</v>
      </c>
      <c r="F43" s="158">
        <f t="shared" ref="F43:F55" si="19">((B43*12)*(2/3))/COS(RADIANS(D43))</f>
        <v>19.532393420183297</v>
      </c>
      <c r="G43" s="158">
        <f t="shared" ref="G43:G55" si="20">(((B43*12)+(6/12))*(2/3))/COS(RADIANS(D43))</f>
        <v>19.939318283103781</v>
      </c>
      <c r="H43" s="157" t="str">
        <f t="shared" ref="H43:H55" si="21">IF(((($AA$3*($B43/2)*$C43*(3/2))/SIN(ATAN($E43/(($B43*12)*(2/3)+6))))/1000/AA$10/AA736)&lt;=1,"✓","")</f>
        <v>✓</v>
      </c>
      <c r="I43" s="157" t="str">
        <f t="shared" ref="I43:I55" si="22">IF(((($AA$3*($B43/2)*$C43*(3/2))/SIN(ATAN($E43/(($B43*12)*(2/3)+6))))/1000/AB$10/AB736)&lt;=1,"✓","")</f>
        <v>✓</v>
      </c>
      <c r="J43" s="157" t="str">
        <f t="shared" ref="J43:J55" si="23">IF(((($AA$3*($B43/2)*$C43*(3/2))/SIN(ATAN($E43/(($B43*12)*(2/3)+6))))/1000/AC$10/AC736)&lt;=1,"✓","")</f>
        <v>✓</v>
      </c>
      <c r="K43" s="157" t="str">
        <f t="shared" ref="K43:K55" si="24">IF(((($AA$3*($B43/2)*$C43*(3/2))/SIN(ATAN($E43/(($B43*12)*(2/3)+6))))/1000/AD$10/AD736)&lt;=1,"✓","")</f>
        <v>✓</v>
      </c>
      <c r="L43" s="157" t="str">
        <f t="shared" ref="L43:L55" si="25">IF(((($AA$3*($B43/2)*$C43*(3/2))/SIN(ATAN($E43/(($B43*12)*(2/3)+6))))/1000/AE$10/AE736)&lt;=1,"✓","")</f>
        <v>✓</v>
      </c>
      <c r="M43" s="156" t="str">
        <f t="shared" ref="M43:M55" si="26">IF(AND((S43/$G$149)^(5/3)+(T43/$H$149)^(5/3)&lt;=1,V43/$H$149&lt;=1),"✓","")</f>
        <v>✓</v>
      </c>
      <c r="N43" s="156" t="str">
        <f t="shared" ref="N43:N55" si="27">IF(AND((S43/$G$157)^(1)+(T43/$H$157)^(1)&lt;=1,V43/$H$157&lt;=1),"✓","")</f>
        <v>✓</v>
      </c>
      <c r="O43" s="156" t="str">
        <f t="shared" ref="O43:O55" si="28">IF(AND((S43/$G$159)^(1)+(T43/$H$159)^(1)&lt;=1,V43/$H$159&lt;=1),"✓","")</f>
        <v/>
      </c>
      <c r="P43" s="156" t="str">
        <f t="shared" ref="P43:P55" si="29">IF(AND((S43/$G$161)^(1)+(T43/$H$161)^(1)&lt;=1,V43/$H$161&lt;=1),"✓","")</f>
        <v>✓</v>
      </c>
      <c r="Q43" s="156" t="str">
        <f t="shared" ref="Q43:Q55" si="30">IF(AND((S43/$G$162)^(1)+(T43/$H$162)^(1)&lt;=1,V43/$H$162&lt;=1),"✓","")</f>
        <v>✓</v>
      </c>
      <c r="R43" s="156" t="str">
        <f t="shared" ref="R43:R55" si="31">IF(AND((S43/$G$163)^(1)+(T43/$H$163)^(1)&lt;=1,V43/$H$163&lt;=1),"✓","")</f>
        <v>✓</v>
      </c>
      <c r="S43" s="155">
        <f t="shared" ref="S43:S55" si="32">($AA$4*($B43/2)*$C43*(3/2))/SIN(ATAN($E43/(($B43*12)*(2/3)+6)))*COS(RADIANS($D43))</f>
        <v>1707.4003843995108</v>
      </c>
      <c r="T43" s="155">
        <f t="shared" ref="T43:T55" si="33">($AA$4*($B43/2)*$C43*(3/2))/SIN(ATAN($E43/(($B43*12)*(2/3)+6)))*SIN(RADIANS($D43))</f>
        <v>1195.5346198986936</v>
      </c>
      <c r="U43" s="155">
        <f t="shared" ref="U43:U55" si="34">($AA$3*($B43/2)*$C43*(3/2))/SIN(ATAN($E43/(($B43*12)*(2/3)+6)))*COS(RADIANS($D43))</f>
        <v>1240.6264661109094</v>
      </c>
      <c r="V43" s="155">
        <f t="shared" ref="V43:V55" si="35">($AA$3*($B43/2)*$C43*(3/2))/SIN(ATAN($E43/(($B43*12)*(2/3)+6)))*SIN(RADIANS($D43))</f>
        <v>868.69600367333169</v>
      </c>
    </row>
    <row r="44" spans="2:22" x14ac:dyDescent="0.2">
      <c r="B44" s="161">
        <v>2.5</v>
      </c>
      <c r="C44" s="160">
        <v>12.8</v>
      </c>
      <c r="D44" s="159">
        <v>35</v>
      </c>
      <c r="E44" s="158">
        <f t="shared" si="18"/>
        <v>14.004150764194193</v>
      </c>
      <c r="F44" s="158">
        <f t="shared" si="19"/>
        <v>24.415491775229121</v>
      </c>
      <c r="G44" s="158">
        <f t="shared" si="20"/>
        <v>24.822416638149605</v>
      </c>
      <c r="H44" s="157" t="str">
        <f t="shared" si="21"/>
        <v>✓</v>
      </c>
      <c r="I44" s="157" t="str">
        <f t="shared" si="22"/>
        <v>✓</v>
      </c>
      <c r="J44" s="157" t="str">
        <f t="shared" si="23"/>
        <v>✓</v>
      </c>
      <c r="K44" s="157" t="str">
        <f t="shared" si="24"/>
        <v>✓</v>
      </c>
      <c r="L44" s="157" t="str">
        <f t="shared" si="25"/>
        <v>✓</v>
      </c>
      <c r="M44" s="156" t="str">
        <f t="shared" si="26"/>
        <v>✓</v>
      </c>
      <c r="N44" s="156" t="str">
        <f t="shared" si="27"/>
        <v>✓</v>
      </c>
      <c r="O44" s="156" t="str">
        <f t="shared" si="28"/>
        <v/>
      </c>
      <c r="P44" s="156" t="str">
        <f t="shared" si="29"/>
        <v>✓</v>
      </c>
      <c r="Q44" s="156" t="str">
        <f t="shared" si="30"/>
        <v>✓</v>
      </c>
      <c r="R44" s="156" t="str">
        <f t="shared" si="31"/>
        <v>✓</v>
      </c>
      <c r="S44" s="155">
        <f t="shared" si="32"/>
        <v>1633.8815389170738</v>
      </c>
      <c r="T44" s="155">
        <f t="shared" si="33"/>
        <v>1144.0561700914163</v>
      </c>
      <c r="U44" s="155">
        <f t="shared" si="34"/>
        <v>1187.2064093410918</v>
      </c>
      <c r="V44" s="155">
        <f t="shared" si="35"/>
        <v>831.29087723151486</v>
      </c>
    </row>
    <row r="45" spans="2:22" x14ac:dyDescent="0.2">
      <c r="B45" s="161">
        <v>3</v>
      </c>
      <c r="C45" s="160">
        <v>10.67</v>
      </c>
      <c r="D45" s="159">
        <v>35</v>
      </c>
      <c r="E45" s="158">
        <f t="shared" si="18"/>
        <v>16.804980917033031</v>
      </c>
      <c r="F45" s="158">
        <f t="shared" si="19"/>
        <v>29.298590130274945</v>
      </c>
      <c r="G45" s="158">
        <f t="shared" si="20"/>
        <v>29.705514993195429</v>
      </c>
      <c r="H45" s="157" t="str">
        <f t="shared" si="21"/>
        <v>✓</v>
      </c>
      <c r="I45" s="157" t="str">
        <f t="shared" si="22"/>
        <v>✓</v>
      </c>
      <c r="J45" s="157" t="str">
        <f t="shared" si="23"/>
        <v>✓</v>
      </c>
      <c r="K45" s="157" t="str">
        <f t="shared" si="24"/>
        <v>✓</v>
      </c>
      <c r="L45" s="157" t="str">
        <f t="shared" si="25"/>
        <v>✓</v>
      </c>
      <c r="M45" s="156" t="str">
        <f t="shared" si="26"/>
        <v>✓</v>
      </c>
      <c r="N45" s="156" t="str">
        <f t="shared" si="27"/>
        <v>✓</v>
      </c>
      <c r="O45" s="156" t="str">
        <f t="shared" si="28"/>
        <v/>
      </c>
      <c r="P45" s="156" t="str">
        <f t="shared" si="29"/>
        <v>✓</v>
      </c>
      <c r="Q45" s="156" t="str">
        <f t="shared" si="30"/>
        <v>✓</v>
      </c>
      <c r="R45" s="156" t="str">
        <f t="shared" si="31"/>
        <v>✓</v>
      </c>
      <c r="S45" s="155">
        <f t="shared" si="32"/>
        <v>1585.883919629121</v>
      </c>
      <c r="T45" s="155">
        <f t="shared" si="33"/>
        <v>1110.4478752498719</v>
      </c>
      <c r="U45" s="155">
        <f t="shared" si="34"/>
        <v>1152.3305141831484</v>
      </c>
      <c r="V45" s="155">
        <f t="shared" si="35"/>
        <v>806.87051254011135</v>
      </c>
    </row>
    <row r="46" spans="2:22" x14ac:dyDescent="0.2">
      <c r="B46" s="161">
        <v>3.5</v>
      </c>
      <c r="C46" s="160">
        <v>9.14</v>
      </c>
      <c r="D46" s="159">
        <v>35</v>
      </c>
      <c r="E46" s="158">
        <f t="shared" si="18"/>
        <v>19.605811069871869</v>
      </c>
      <c r="F46" s="158">
        <f t="shared" si="19"/>
        <v>34.18168848532077</v>
      </c>
      <c r="G46" s="158">
        <f t="shared" si="20"/>
        <v>34.588613348241253</v>
      </c>
      <c r="H46" s="157" t="str">
        <f t="shared" si="21"/>
        <v>✓</v>
      </c>
      <c r="I46" s="157" t="str">
        <f t="shared" si="22"/>
        <v>✓</v>
      </c>
      <c r="J46" s="157" t="str">
        <f t="shared" si="23"/>
        <v>✓</v>
      </c>
      <c r="K46" s="157" t="str">
        <f t="shared" si="24"/>
        <v>✓</v>
      </c>
      <c r="L46" s="157" t="str">
        <f t="shared" si="25"/>
        <v>✓</v>
      </c>
      <c r="M46" s="156" t="str">
        <f t="shared" si="26"/>
        <v>✓</v>
      </c>
      <c r="N46" s="156" t="str">
        <f t="shared" si="27"/>
        <v>✓</v>
      </c>
      <c r="O46" s="156" t="str">
        <f t="shared" si="28"/>
        <v/>
      </c>
      <c r="P46" s="156" t="str">
        <f t="shared" si="29"/>
        <v>✓</v>
      </c>
      <c r="Q46" s="156" t="str">
        <f t="shared" si="30"/>
        <v>✓</v>
      </c>
      <c r="R46" s="156" t="str">
        <f t="shared" si="31"/>
        <v>✓</v>
      </c>
      <c r="S46" s="155">
        <f t="shared" si="32"/>
        <v>1550.5459621930765</v>
      </c>
      <c r="T46" s="155">
        <f t="shared" si="33"/>
        <v>1085.7039710682197</v>
      </c>
      <c r="U46" s="155">
        <f t="shared" si="34"/>
        <v>1126.6533469211322</v>
      </c>
      <c r="V46" s="155">
        <f t="shared" si="35"/>
        <v>788.89116646337607</v>
      </c>
    </row>
    <row r="47" spans="2:22" x14ac:dyDescent="0.2">
      <c r="B47" s="161">
        <v>4</v>
      </c>
      <c r="C47" s="160">
        <v>8</v>
      </c>
      <c r="D47" s="159">
        <v>35</v>
      </c>
      <c r="E47" s="158">
        <f t="shared" si="18"/>
        <v>22.406641222710711</v>
      </c>
      <c r="F47" s="158">
        <f t="shared" si="19"/>
        <v>39.064786840366594</v>
      </c>
      <c r="G47" s="158">
        <f t="shared" si="20"/>
        <v>39.47171170328707</v>
      </c>
      <c r="H47" s="157" t="str">
        <f t="shared" si="21"/>
        <v>✓</v>
      </c>
      <c r="I47" s="157" t="str">
        <f t="shared" si="22"/>
        <v>✓</v>
      </c>
      <c r="J47" s="157" t="str">
        <f t="shared" si="23"/>
        <v>✓</v>
      </c>
      <c r="K47" s="157" t="str">
        <f t="shared" si="24"/>
        <v>✓</v>
      </c>
      <c r="L47" s="157" t="str">
        <f t="shared" si="25"/>
        <v>✓</v>
      </c>
      <c r="M47" s="156" t="str">
        <f t="shared" si="26"/>
        <v>✓</v>
      </c>
      <c r="N47" s="156" t="str">
        <f t="shared" si="27"/>
        <v>✓</v>
      </c>
      <c r="O47" s="156" t="str">
        <f t="shared" si="28"/>
        <v/>
      </c>
      <c r="P47" s="156" t="str">
        <f t="shared" si="29"/>
        <v>✓</v>
      </c>
      <c r="Q47" s="156" t="str">
        <f t="shared" si="30"/>
        <v>✓</v>
      </c>
      <c r="R47" s="156" t="str">
        <f t="shared" si="31"/>
        <v>✓</v>
      </c>
      <c r="S47" s="155">
        <f t="shared" si="32"/>
        <v>1525.4263307272734</v>
      </c>
      <c r="T47" s="155">
        <f t="shared" si="33"/>
        <v>1068.1150157588145</v>
      </c>
      <c r="U47" s="155">
        <f t="shared" si="34"/>
        <v>1108.40099094173</v>
      </c>
      <c r="V47" s="155">
        <f t="shared" si="35"/>
        <v>776.11072921651146</v>
      </c>
    </row>
    <row r="48" spans="2:22" x14ac:dyDescent="0.2">
      <c r="B48" s="161">
        <v>4.5</v>
      </c>
      <c r="C48" s="160">
        <v>7.11</v>
      </c>
      <c r="D48" s="159">
        <v>35</v>
      </c>
      <c r="E48" s="158">
        <f t="shared" si="18"/>
        <v>25.207471375549549</v>
      </c>
      <c r="F48" s="158">
        <f t="shared" si="19"/>
        <v>43.947885195412418</v>
      </c>
      <c r="G48" s="158">
        <f t="shared" si="20"/>
        <v>44.354810058332895</v>
      </c>
      <c r="H48" s="157" t="str">
        <f t="shared" si="21"/>
        <v>✓</v>
      </c>
      <c r="I48" s="157" t="str">
        <f t="shared" si="22"/>
        <v>✓</v>
      </c>
      <c r="J48" s="157" t="str">
        <f t="shared" si="23"/>
        <v>✓</v>
      </c>
      <c r="K48" s="157" t="str">
        <f t="shared" si="24"/>
        <v>✓</v>
      </c>
      <c r="L48" s="157" t="str">
        <f t="shared" si="25"/>
        <v>✓</v>
      </c>
      <c r="M48" s="156" t="str">
        <f t="shared" si="26"/>
        <v>✓</v>
      </c>
      <c r="N48" s="156" t="str">
        <f t="shared" si="27"/>
        <v>✓</v>
      </c>
      <c r="O48" s="156" t="str">
        <f t="shared" si="28"/>
        <v/>
      </c>
      <c r="P48" s="156" t="str">
        <f t="shared" si="29"/>
        <v>✓</v>
      </c>
      <c r="Q48" s="156" t="str">
        <f t="shared" si="30"/>
        <v>✓</v>
      </c>
      <c r="R48" s="156" t="str">
        <f t="shared" si="31"/>
        <v>✓</v>
      </c>
      <c r="S48" s="155">
        <f t="shared" si="32"/>
        <v>1505.3789574308032</v>
      </c>
      <c r="T48" s="155">
        <f t="shared" si="33"/>
        <v>1054.0776938553222</v>
      </c>
      <c r="U48" s="155">
        <f t="shared" si="34"/>
        <v>1093.8342249301634</v>
      </c>
      <c r="V48" s="155">
        <f t="shared" si="35"/>
        <v>765.91096984787555</v>
      </c>
    </row>
    <row r="49" spans="2:31" x14ac:dyDescent="0.2">
      <c r="B49" s="161">
        <v>5</v>
      </c>
      <c r="C49" s="160">
        <v>6.4</v>
      </c>
      <c r="D49" s="159">
        <v>35</v>
      </c>
      <c r="E49" s="158">
        <f t="shared" si="18"/>
        <v>28.008301528388387</v>
      </c>
      <c r="F49" s="158">
        <f t="shared" si="19"/>
        <v>48.830983550458242</v>
      </c>
      <c r="G49" s="158">
        <f t="shared" si="20"/>
        <v>49.237908413378719</v>
      </c>
      <c r="H49" s="157" t="str">
        <f t="shared" si="21"/>
        <v>✓</v>
      </c>
      <c r="I49" s="157" t="str">
        <f t="shared" si="22"/>
        <v>✓</v>
      </c>
      <c r="J49" s="157" t="str">
        <f t="shared" si="23"/>
        <v>✓</v>
      </c>
      <c r="K49" s="157" t="str">
        <f t="shared" si="24"/>
        <v>✓</v>
      </c>
      <c r="L49" s="157" t="str">
        <f t="shared" si="25"/>
        <v>✓</v>
      </c>
      <c r="M49" s="156" t="str">
        <f t="shared" si="26"/>
        <v>✓</v>
      </c>
      <c r="N49" s="156" t="str">
        <f t="shared" si="27"/>
        <v>✓</v>
      </c>
      <c r="O49" s="156" t="str">
        <f t="shared" si="28"/>
        <v/>
      </c>
      <c r="P49" s="156" t="str">
        <f t="shared" si="29"/>
        <v>✓</v>
      </c>
      <c r="Q49" s="156" t="str">
        <f t="shared" si="30"/>
        <v>✓</v>
      </c>
      <c r="R49" s="156" t="str">
        <f t="shared" si="31"/>
        <v>✓</v>
      </c>
      <c r="S49" s="155">
        <f t="shared" si="32"/>
        <v>1489.8316450548134</v>
      </c>
      <c r="T49" s="155">
        <f t="shared" si="33"/>
        <v>1043.191348530753</v>
      </c>
      <c r="U49" s="155">
        <f t="shared" si="34"/>
        <v>1082.5372805304876</v>
      </c>
      <c r="V49" s="155">
        <f t="shared" si="35"/>
        <v>758.00076422048664</v>
      </c>
      <c r="Z49" s="16" t="s">
        <v>150</v>
      </c>
      <c r="AA49" s="16" t="s">
        <v>167</v>
      </c>
      <c r="AB49" s="16" t="s">
        <v>166</v>
      </c>
      <c r="AC49" s="16" t="s">
        <v>165</v>
      </c>
      <c r="AD49" s="16" t="s">
        <v>164</v>
      </c>
      <c r="AE49" s="166" t="s">
        <v>163</v>
      </c>
    </row>
    <row r="50" spans="2:31" x14ac:dyDescent="0.2">
      <c r="B50" s="161">
        <v>5.5</v>
      </c>
      <c r="C50" s="160">
        <v>5.82</v>
      </c>
      <c r="D50" s="159">
        <v>35</v>
      </c>
      <c r="E50" s="158">
        <f t="shared" si="18"/>
        <v>30.809131681227228</v>
      </c>
      <c r="F50" s="158">
        <f t="shared" si="19"/>
        <v>53.714081905504067</v>
      </c>
      <c r="G50" s="158">
        <f t="shared" si="20"/>
        <v>54.121006768424543</v>
      </c>
      <c r="H50" s="157" t="str">
        <f t="shared" si="21"/>
        <v>✓</v>
      </c>
      <c r="I50" s="157" t="str">
        <f t="shared" si="22"/>
        <v>✓</v>
      </c>
      <c r="J50" s="157" t="str">
        <f t="shared" si="23"/>
        <v>✓</v>
      </c>
      <c r="K50" s="157" t="str">
        <f t="shared" si="24"/>
        <v>✓</v>
      </c>
      <c r="L50" s="157" t="str">
        <f t="shared" si="25"/>
        <v>✓</v>
      </c>
      <c r="M50" s="156" t="str">
        <f t="shared" si="26"/>
        <v>✓</v>
      </c>
      <c r="N50" s="156" t="str">
        <f t="shared" si="27"/>
        <v>✓</v>
      </c>
      <c r="O50" s="156" t="str">
        <f t="shared" si="28"/>
        <v/>
      </c>
      <c r="P50" s="156" t="str">
        <f t="shared" si="29"/>
        <v>✓</v>
      </c>
      <c r="Q50" s="156" t="str">
        <f t="shared" si="30"/>
        <v>✓</v>
      </c>
      <c r="R50" s="156" t="str">
        <f t="shared" si="31"/>
        <v>✓</v>
      </c>
      <c r="S50" s="155">
        <f t="shared" si="32"/>
        <v>1477.4260298266795</v>
      </c>
      <c r="T50" s="155">
        <f t="shared" si="33"/>
        <v>1034.5048432318845</v>
      </c>
      <c r="U50" s="155">
        <f t="shared" si="34"/>
        <v>1073.5231472779496</v>
      </c>
      <c r="V50" s="155">
        <f t="shared" si="35"/>
        <v>751.68900016663281</v>
      </c>
      <c r="Z50" s="165">
        <v>0</v>
      </c>
      <c r="AA50" s="153">
        <f t="shared" ref="AA50:AE68" si="36">IF(($Z50/AA$11)&lt;AA$15,0.85*(AA$12-AA$13*($Z50/AA$11)),(0.85*(PI())^2*(10100)/(($Z50/AA$11)^2)))/AA$16</f>
        <v>20.279076939393942</v>
      </c>
      <c r="AB50" s="153">
        <f t="shared" si="36"/>
        <v>20.279076939393942</v>
      </c>
      <c r="AC50" s="153">
        <f t="shared" si="36"/>
        <v>20.279076939393942</v>
      </c>
      <c r="AD50" s="153">
        <f t="shared" si="36"/>
        <v>20.279076939393942</v>
      </c>
      <c r="AE50" s="153">
        <f t="shared" si="36"/>
        <v>20.279076939393942</v>
      </c>
    </row>
    <row r="51" spans="2:31" x14ac:dyDescent="0.2">
      <c r="B51" s="161">
        <v>6</v>
      </c>
      <c r="C51" s="160">
        <v>5.33</v>
      </c>
      <c r="D51" s="159">
        <v>35</v>
      </c>
      <c r="E51" s="158">
        <f t="shared" si="18"/>
        <v>33.609961834066063</v>
      </c>
      <c r="F51" s="158">
        <f t="shared" si="19"/>
        <v>58.597180260549891</v>
      </c>
      <c r="G51" s="158">
        <f t="shared" si="20"/>
        <v>59.004105123470367</v>
      </c>
      <c r="H51" s="157" t="str">
        <f t="shared" si="21"/>
        <v>✓</v>
      </c>
      <c r="I51" s="157" t="str">
        <f t="shared" si="22"/>
        <v>✓</v>
      </c>
      <c r="J51" s="157" t="str">
        <f t="shared" si="23"/>
        <v>✓</v>
      </c>
      <c r="K51" s="157" t="str">
        <f t="shared" si="24"/>
        <v>✓</v>
      </c>
      <c r="L51" s="157" t="str">
        <f t="shared" si="25"/>
        <v>✓</v>
      </c>
      <c r="M51" s="156" t="str">
        <f t="shared" si="26"/>
        <v>✓</v>
      </c>
      <c r="N51" s="156" t="str">
        <f t="shared" si="27"/>
        <v>✓</v>
      </c>
      <c r="O51" s="156" t="str">
        <f t="shared" si="28"/>
        <v/>
      </c>
      <c r="P51" s="156" t="str">
        <f t="shared" si="29"/>
        <v>✓</v>
      </c>
      <c r="Q51" s="156" t="str">
        <f t="shared" si="30"/>
        <v>✓</v>
      </c>
      <c r="R51" s="156" t="str">
        <f t="shared" si="31"/>
        <v>✓</v>
      </c>
      <c r="S51" s="155">
        <f t="shared" si="32"/>
        <v>1465.3577790383135</v>
      </c>
      <c r="T51" s="155">
        <f t="shared" si="33"/>
        <v>1026.0545630568654</v>
      </c>
      <c r="U51" s="155">
        <f t="shared" si="34"/>
        <v>1064.754148825969</v>
      </c>
      <c r="V51" s="155">
        <f t="shared" si="35"/>
        <v>745.54888134800672</v>
      </c>
      <c r="Z51" s="165">
        <v>1</v>
      </c>
      <c r="AA51" s="153">
        <f t="shared" si="36"/>
        <v>20.075731374880384</v>
      </c>
      <c r="AB51" s="153">
        <f t="shared" si="36"/>
        <v>20.069880023347427</v>
      </c>
      <c r="AC51" s="153">
        <f t="shared" si="36"/>
        <v>20.118235098299635</v>
      </c>
      <c r="AD51" s="153">
        <f t="shared" si="36"/>
        <v>20.113770253879018</v>
      </c>
      <c r="AE51" s="153">
        <f t="shared" si="36"/>
        <v>20.103650637211665</v>
      </c>
    </row>
    <row r="52" spans="2:31" x14ac:dyDescent="0.2">
      <c r="B52" s="161">
        <v>6.5</v>
      </c>
      <c r="C52" s="160">
        <v>4.92</v>
      </c>
      <c r="D52" s="159">
        <v>35</v>
      </c>
      <c r="E52" s="158">
        <f t="shared" si="18"/>
        <v>36.410791986904904</v>
      </c>
      <c r="F52" s="158">
        <f t="shared" si="19"/>
        <v>63.480278615595715</v>
      </c>
      <c r="G52" s="158">
        <f t="shared" si="20"/>
        <v>63.887203478516192</v>
      </c>
      <c r="H52" s="157" t="str">
        <f t="shared" si="21"/>
        <v>✓</v>
      </c>
      <c r="I52" s="157" t="str">
        <f t="shared" si="22"/>
        <v>✓</v>
      </c>
      <c r="J52" s="157" t="str">
        <f t="shared" si="23"/>
        <v>✓</v>
      </c>
      <c r="K52" s="157" t="str">
        <f t="shared" si="24"/>
        <v>✓</v>
      </c>
      <c r="L52" s="157" t="str">
        <f t="shared" si="25"/>
        <v>✓</v>
      </c>
      <c r="M52" s="156" t="str">
        <f t="shared" si="26"/>
        <v>✓</v>
      </c>
      <c r="N52" s="156" t="str">
        <f t="shared" si="27"/>
        <v>✓</v>
      </c>
      <c r="O52" s="156" t="str">
        <f t="shared" si="28"/>
        <v/>
      </c>
      <c r="P52" s="156" t="str">
        <f t="shared" si="29"/>
        <v>✓</v>
      </c>
      <c r="Q52" s="156" t="str">
        <f t="shared" si="30"/>
        <v>✓</v>
      </c>
      <c r="R52" s="156" t="str">
        <f t="shared" si="31"/>
        <v>✓</v>
      </c>
      <c r="S52" s="155">
        <f t="shared" si="32"/>
        <v>1456.3412897254768</v>
      </c>
      <c r="T52" s="155">
        <f t="shared" si="33"/>
        <v>1019.7411492718297</v>
      </c>
      <c r="U52" s="155">
        <f t="shared" si="34"/>
        <v>1058.202612715799</v>
      </c>
      <c r="V52" s="155">
        <f t="shared" si="35"/>
        <v>740.96144637681255</v>
      </c>
      <c r="Z52" s="165">
        <v>2</v>
      </c>
      <c r="AA52" s="153">
        <f t="shared" si="36"/>
        <v>19.872385810366829</v>
      </c>
      <c r="AB52" s="153">
        <f t="shared" si="36"/>
        <v>19.860683107300911</v>
      </c>
      <c r="AC52" s="153">
        <f t="shared" si="36"/>
        <v>19.957393257205325</v>
      </c>
      <c r="AD52" s="153">
        <f t="shared" si="36"/>
        <v>19.94846356836409</v>
      </c>
      <c r="AE52" s="153">
        <f t="shared" si="36"/>
        <v>19.928224335029388</v>
      </c>
    </row>
    <row r="53" spans="2:31" x14ac:dyDescent="0.2">
      <c r="B53" s="161">
        <v>7</v>
      </c>
      <c r="C53" s="160">
        <v>4.57</v>
      </c>
      <c r="D53" s="159">
        <v>35</v>
      </c>
      <c r="E53" s="158">
        <f t="shared" si="18"/>
        <v>39.211622139743739</v>
      </c>
      <c r="F53" s="158">
        <f t="shared" si="19"/>
        <v>68.363376970641539</v>
      </c>
      <c r="G53" s="158">
        <f t="shared" si="20"/>
        <v>68.770301833562016</v>
      </c>
      <c r="H53" s="157" t="str">
        <f t="shared" si="21"/>
        <v>✓</v>
      </c>
      <c r="I53" s="157" t="str">
        <f t="shared" si="22"/>
        <v>✓</v>
      </c>
      <c r="J53" s="157" t="str">
        <f t="shared" si="23"/>
        <v>✓</v>
      </c>
      <c r="K53" s="157" t="str">
        <f t="shared" si="24"/>
        <v>✓</v>
      </c>
      <c r="L53" s="157" t="str">
        <f t="shared" si="25"/>
        <v>✓</v>
      </c>
      <c r="M53" s="156" t="str">
        <f t="shared" si="26"/>
        <v>✓</v>
      </c>
      <c r="N53" s="156" t="str">
        <f t="shared" si="27"/>
        <v>✓</v>
      </c>
      <c r="O53" s="156" t="str">
        <f t="shared" si="28"/>
        <v/>
      </c>
      <c r="P53" s="156" t="str">
        <f t="shared" si="29"/>
        <v>✓</v>
      </c>
      <c r="Q53" s="156" t="str">
        <f t="shared" si="30"/>
        <v>✓</v>
      </c>
      <c r="R53" s="156" t="str">
        <f t="shared" si="31"/>
        <v>✓</v>
      </c>
      <c r="S53" s="155">
        <f t="shared" si="32"/>
        <v>1449.0833031044324</v>
      </c>
      <c r="T53" s="155">
        <f t="shared" si="33"/>
        <v>1014.6590523275493</v>
      </c>
      <c r="U53" s="155">
        <f t="shared" si="34"/>
        <v>1052.9288348866387</v>
      </c>
      <c r="V53" s="155">
        <f t="shared" si="35"/>
        <v>737.26870738599121</v>
      </c>
      <c r="Z53" s="165">
        <v>3</v>
      </c>
      <c r="AA53" s="153">
        <f t="shared" si="36"/>
        <v>19.669040245853271</v>
      </c>
      <c r="AB53" s="153">
        <f t="shared" si="36"/>
        <v>19.651486191254392</v>
      </c>
      <c r="AC53" s="153">
        <f t="shared" si="36"/>
        <v>19.796551416111019</v>
      </c>
      <c r="AD53" s="153">
        <f t="shared" si="36"/>
        <v>19.783156882849163</v>
      </c>
      <c r="AE53" s="153">
        <f t="shared" si="36"/>
        <v>19.752798032847107</v>
      </c>
    </row>
    <row r="54" spans="2:31" x14ac:dyDescent="0.2">
      <c r="B54" s="161">
        <v>7.5</v>
      </c>
      <c r="C54" s="160">
        <v>4.2699999999999996</v>
      </c>
      <c r="D54" s="159">
        <v>35</v>
      </c>
      <c r="E54" s="158">
        <f t="shared" si="18"/>
        <v>42.01245229258258</v>
      </c>
      <c r="F54" s="158">
        <f t="shared" si="19"/>
        <v>73.246475325687356</v>
      </c>
      <c r="G54" s="158">
        <f t="shared" si="20"/>
        <v>73.653400188607847</v>
      </c>
      <c r="H54" s="157" t="str">
        <f t="shared" si="21"/>
        <v>✓</v>
      </c>
      <c r="I54" s="157" t="str">
        <f t="shared" si="22"/>
        <v>✓</v>
      </c>
      <c r="J54" s="157" t="str">
        <f t="shared" si="23"/>
        <v>✓</v>
      </c>
      <c r="K54" s="157" t="str">
        <f t="shared" si="24"/>
        <v>✓</v>
      </c>
      <c r="L54" s="157" t="str">
        <f t="shared" si="25"/>
        <v>✓</v>
      </c>
      <c r="M54" s="156" t="str">
        <f t="shared" si="26"/>
        <v>✓</v>
      </c>
      <c r="N54" s="156" t="str">
        <f t="shared" si="27"/>
        <v>✓</v>
      </c>
      <c r="O54" s="156" t="str">
        <f t="shared" si="28"/>
        <v/>
      </c>
      <c r="P54" s="156" t="str">
        <f t="shared" si="29"/>
        <v>✓</v>
      </c>
      <c r="Q54" s="156" t="str">
        <f t="shared" si="30"/>
        <v>✓</v>
      </c>
      <c r="R54" s="156" t="str">
        <f t="shared" si="31"/>
        <v>✓</v>
      </c>
      <c r="S54" s="155">
        <f t="shared" si="32"/>
        <v>1443.9897533796627</v>
      </c>
      <c r="T54" s="155">
        <f t="shared" si="33"/>
        <v>1011.0925104140194</v>
      </c>
      <c r="U54" s="155">
        <f t="shared" si="34"/>
        <v>1049.227774108663</v>
      </c>
      <c r="V54" s="155">
        <f t="shared" si="35"/>
        <v>734.67719672988028</v>
      </c>
      <c r="Z54" s="165">
        <v>4</v>
      </c>
      <c r="AA54" s="153">
        <f t="shared" si="36"/>
        <v>19.465694681339716</v>
      </c>
      <c r="AB54" s="153">
        <f t="shared" si="36"/>
        <v>19.44228927520788</v>
      </c>
      <c r="AC54" s="153">
        <f t="shared" si="36"/>
        <v>19.635709575016712</v>
      </c>
      <c r="AD54" s="153">
        <f t="shared" si="36"/>
        <v>19.617850197334239</v>
      </c>
      <c r="AE54" s="153">
        <f t="shared" si="36"/>
        <v>19.577371730664829</v>
      </c>
    </row>
    <row r="55" spans="2:31" x14ac:dyDescent="0.2">
      <c r="B55" s="161">
        <v>8</v>
      </c>
      <c r="C55" s="160">
        <v>4</v>
      </c>
      <c r="D55" s="159">
        <v>35</v>
      </c>
      <c r="E55" s="158">
        <f t="shared" si="18"/>
        <v>44.813282445421422</v>
      </c>
      <c r="F55" s="158">
        <f t="shared" si="19"/>
        <v>78.129573680733188</v>
      </c>
      <c r="G55" s="158">
        <f t="shared" si="20"/>
        <v>78.536498543653664</v>
      </c>
      <c r="H55" s="157" t="str">
        <f t="shared" si="21"/>
        <v>✓</v>
      </c>
      <c r="I55" s="157" t="str">
        <f t="shared" si="22"/>
        <v>✓</v>
      </c>
      <c r="J55" s="157" t="str">
        <f t="shared" si="23"/>
        <v>✓</v>
      </c>
      <c r="K55" s="157" t="str">
        <f t="shared" si="24"/>
        <v>✓</v>
      </c>
      <c r="L55" s="157" t="str">
        <f t="shared" si="25"/>
        <v>✓</v>
      </c>
      <c r="M55" s="156" t="str">
        <f t="shared" si="26"/>
        <v>✓</v>
      </c>
      <c r="N55" s="156" t="str">
        <f t="shared" si="27"/>
        <v>✓</v>
      </c>
      <c r="O55" s="156" t="str">
        <f t="shared" si="28"/>
        <v/>
      </c>
      <c r="P55" s="156" t="str">
        <f t="shared" si="29"/>
        <v>✓</v>
      </c>
      <c r="Q55" s="156" t="str">
        <f t="shared" si="30"/>
        <v>✓</v>
      </c>
      <c r="R55" s="156" t="str">
        <f t="shared" si="31"/>
        <v>✓</v>
      </c>
      <c r="S55" s="155">
        <f t="shared" si="32"/>
        <v>1437.0332072209815</v>
      </c>
      <c r="T55" s="155">
        <f t="shared" si="33"/>
        <v>1006.2214843538071</v>
      </c>
      <c r="U55" s="155">
        <f t="shared" si="34"/>
        <v>1044.1730281006155</v>
      </c>
      <c r="V55" s="155">
        <f t="shared" si="35"/>
        <v>731.13782547131007</v>
      </c>
      <c r="Z55" s="165">
        <v>5</v>
      </c>
      <c r="AA55" s="153">
        <f t="shared" si="36"/>
        <v>19.262349116826158</v>
      </c>
      <c r="AB55" s="153">
        <f t="shared" si="36"/>
        <v>19.233092359161361</v>
      </c>
      <c r="AC55" s="153">
        <f t="shared" si="36"/>
        <v>19.474867733922402</v>
      </c>
      <c r="AD55" s="153">
        <f t="shared" si="36"/>
        <v>19.452543511819318</v>
      </c>
      <c r="AE55" s="153">
        <f t="shared" si="36"/>
        <v>19.401945428482556</v>
      </c>
    </row>
    <row r="56" spans="2:31" x14ac:dyDescent="0.2">
      <c r="Z56" s="165">
        <v>6</v>
      </c>
      <c r="AA56" s="153">
        <f t="shared" si="36"/>
        <v>19.0590035523126</v>
      </c>
      <c r="AB56" s="153">
        <f t="shared" si="36"/>
        <v>19.023895443114846</v>
      </c>
      <c r="AC56" s="153">
        <f t="shared" si="36"/>
        <v>19.314025892828095</v>
      </c>
      <c r="AD56" s="153">
        <f t="shared" si="36"/>
        <v>19.28723682630439</v>
      </c>
      <c r="AE56" s="153">
        <f t="shared" si="36"/>
        <v>19.226519126300275</v>
      </c>
    </row>
    <row r="57" spans="2:31" x14ac:dyDescent="0.2">
      <c r="Z57" s="165">
        <v>7</v>
      </c>
      <c r="AA57" s="153">
        <f t="shared" si="36"/>
        <v>18.855657987799042</v>
      </c>
      <c r="AB57" s="153">
        <f t="shared" si="36"/>
        <v>18.81469852706833</v>
      </c>
      <c r="AC57" s="153">
        <f t="shared" si="36"/>
        <v>19.153184051733785</v>
      </c>
      <c r="AD57" s="153">
        <f t="shared" si="36"/>
        <v>19.121930140789466</v>
      </c>
      <c r="AE57" s="153">
        <f t="shared" si="36"/>
        <v>19.051092824117994</v>
      </c>
    </row>
    <row r="58" spans="2:31" ht="15.75" x14ac:dyDescent="0.25">
      <c r="B58" s="549" t="s">
        <v>177</v>
      </c>
      <c r="C58" s="549"/>
      <c r="D58" s="549"/>
      <c r="E58" s="549"/>
      <c r="F58" s="549"/>
      <c r="G58" s="549"/>
      <c r="H58" s="549"/>
      <c r="I58" s="549"/>
      <c r="J58" s="549"/>
      <c r="K58" s="549"/>
      <c r="L58" s="549"/>
      <c r="M58" s="167"/>
      <c r="N58" s="167"/>
      <c r="O58" s="167"/>
      <c r="P58" s="167"/>
      <c r="Q58" s="167"/>
      <c r="R58" s="167"/>
      <c r="S58" s="167"/>
      <c r="T58" s="167"/>
      <c r="U58" s="167"/>
      <c r="V58" s="167"/>
      <c r="Z58" s="165">
        <v>8</v>
      </c>
      <c r="AA58" s="153">
        <f t="shared" si="36"/>
        <v>18.652312423285487</v>
      </c>
      <c r="AB58" s="153">
        <f t="shared" si="36"/>
        <v>18.605501611021815</v>
      </c>
      <c r="AC58" s="153">
        <f t="shared" si="36"/>
        <v>18.992342210639478</v>
      </c>
      <c r="AD58" s="153">
        <f t="shared" si="36"/>
        <v>18.956623455274539</v>
      </c>
      <c r="AE58" s="153">
        <f t="shared" si="36"/>
        <v>18.875666521935717</v>
      </c>
    </row>
    <row r="59" spans="2:31" x14ac:dyDescent="0.2">
      <c r="Z59" s="165">
        <v>9</v>
      </c>
      <c r="AA59" s="153">
        <f t="shared" si="36"/>
        <v>18.448966858771929</v>
      </c>
      <c r="AB59" s="153">
        <f t="shared" si="36"/>
        <v>18.396304694975303</v>
      </c>
      <c r="AC59" s="153">
        <f t="shared" si="36"/>
        <v>18.831500369545171</v>
      </c>
      <c r="AD59" s="153">
        <f t="shared" si="36"/>
        <v>18.791316769759614</v>
      </c>
      <c r="AE59" s="153">
        <f t="shared" si="36"/>
        <v>18.700240219753439</v>
      </c>
    </row>
    <row r="60" spans="2:31" x14ac:dyDescent="0.2">
      <c r="B60" s="166" t="s">
        <v>106</v>
      </c>
      <c r="C60" s="166" t="s">
        <v>172</v>
      </c>
      <c r="D60" s="166" t="s">
        <v>171</v>
      </c>
      <c r="E60" s="166" t="s">
        <v>170</v>
      </c>
      <c r="F60" s="166" t="s">
        <v>169</v>
      </c>
      <c r="G60" s="166" t="s">
        <v>168</v>
      </c>
      <c r="H60" s="166" t="s">
        <v>167</v>
      </c>
      <c r="I60" s="166" t="s">
        <v>166</v>
      </c>
      <c r="J60" s="166" t="s">
        <v>165</v>
      </c>
      <c r="K60" s="166" t="s">
        <v>164</v>
      </c>
      <c r="L60" s="166" t="s">
        <v>163</v>
      </c>
      <c r="M60" s="166" t="s">
        <v>162</v>
      </c>
      <c r="N60" s="166" t="s">
        <v>121</v>
      </c>
      <c r="O60" s="166" t="s">
        <v>120</v>
      </c>
      <c r="P60" s="166" t="s">
        <v>119</v>
      </c>
      <c r="Q60" s="166" t="s">
        <v>118</v>
      </c>
      <c r="R60" s="166" t="s">
        <v>117</v>
      </c>
      <c r="S60" s="166" t="s">
        <v>161</v>
      </c>
      <c r="T60" s="166" t="s">
        <v>160</v>
      </c>
      <c r="U60" s="166" t="s">
        <v>159</v>
      </c>
      <c r="V60" s="166" t="s">
        <v>158</v>
      </c>
      <c r="Z60" s="165">
        <v>10</v>
      </c>
      <c r="AA60" s="153">
        <f t="shared" si="36"/>
        <v>18.24562129425837</v>
      </c>
      <c r="AB60" s="153">
        <f t="shared" si="36"/>
        <v>18.187107778928784</v>
      </c>
      <c r="AC60" s="153">
        <f t="shared" si="36"/>
        <v>18.670658528450861</v>
      </c>
      <c r="AD60" s="153">
        <f t="shared" si="36"/>
        <v>18.626010084244687</v>
      </c>
      <c r="AE60" s="153">
        <f t="shared" si="36"/>
        <v>18.524813917571162</v>
      </c>
    </row>
    <row r="61" spans="2:31" x14ac:dyDescent="0.2">
      <c r="B61" s="161">
        <v>2</v>
      </c>
      <c r="C61" s="160">
        <v>16</v>
      </c>
      <c r="D61" s="159">
        <v>40</v>
      </c>
      <c r="E61" s="158">
        <f t="shared" ref="E61:E73" si="37">TAN(RADIANS(D61))*(B61*12)*(2/3)</f>
        <v>13.425594098836479</v>
      </c>
      <c r="F61" s="158">
        <f t="shared" ref="F61:F73" si="38">((B61*12)*(2/3))/COS(RADIANS(D61))</f>
        <v>20.886516629316457</v>
      </c>
      <c r="G61" s="158">
        <f t="shared" ref="G61:G73" si="39">(((B61*12)+(6/12))*(2/3))/COS(RADIANS(D61))</f>
        <v>21.321652392427215</v>
      </c>
      <c r="H61" s="157" t="str">
        <f t="shared" ref="H61:H73" si="40">IF(((($AA$3*($B61/2)*$C61*(3/2))/SIN(ATAN($E61/(($B61*12)*(2/3)+6))))/1000/AA$10/AA751)&lt;=1,"✓","")</f>
        <v>✓</v>
      </c>
      <c r="I61" s="157" t="str">
        <f t="shared" ref="I61:I73" si="41">IF(((($AA$3*($B61/2)*$C61*(3/2))/SIN(ATAN($E61/(($B61*12)*(2/3)+6))))/1000/AB$10/AB751)&lt;=1,"✓","")</f>
        <v>✓</v>
      </c>
      <c r="J61" s="157" t="str">
        <f t="shared" ref="J61:J73" si="42">IF(((($AA$3*($B61/2)*$C61*(3/2))/SIN(ATAN($E61/(($B61*12)*(2/3)+6))))/1000/AC$10/AC751)&lt;=1,"✓","")</f>
        <v>✓</v>
      </c>
      <c r="K61" s="157" t="str">
        <f t="shared" ref="K61:K73" si="43">IF(((($AA$3*($B61/2)*$C61*(3/2))/SIN(ATAN($E61/(($B61*12)*(2/3)+6))))/1000/AD$10/AD751)&lt;=1,"✓","")</f>
        <v>✓</v>
      </c>
      <c r="L61" s="157" t="str">
        <f t="shared" ref="L61:L73" si="44">IF(((($AA$3*($B61/2)*$C61*(3/2))/SIN(ATAN($E61/(($B61*12)*(2/3)+6))))/1000/AE$10/AE751)&lt;=1,"✓","")</f>
        <v>✓</v>
      </c>
      <c r="M61" s="156" t="str">
        <f t="shared" ref="M61:M73" si="45">IF(AND((S61/$G$149)^(5/3)+(T61/$H$149)^(5/3)&lt;=1,V61/$H$149&lt;=1),"✓","")</f>
        <v>✓</v>
      </c>
      <c r="N61" s="156" t="str">
        <f t="shared" ref="N61:N73" si="46">IF(AND((S61/$G$157)^(1)+(T61/$H$157)^(1)&lt;=1,V61/$H$157&lt;=1),"✓","")</f>
        <v>✓</v>
      </c>
      <c r="O61" s="156" t="str">
        <f t="shared" ref="O61:O73" si="47">IF(AND((S61/$G$159)^(1)+(T61/$H$159)^(1)&lt;=1,V61/$H$159&lt;=1),"✓","")</f>
        <v/>
      </c>
      <c r="P61" s="156" t="str">
        <f t="shared" ref="P61:P73" si="48">IF(AND((S61/$G$161)^(1)+(T61/$H$161)^(1)&lt;=1,V61/$H$161&lt;=1),"✓","")</f>
        <v>✓</v>
      </c>
      <c r="Q61" s="156" t="str">
        <f t="shared" ref="Q61:Q73" si="49">IF(AND((S61/$G$162)^(1)+(T61/$H$162)^(1)&lt;=1,V61/$H$162&lt;=1),"✓","")</f>
        <v>✓</v>
      </c>
      <c r="R61" s="156" t="str">
        <f t="shared" ref="R61:R73" si="50">IF(AND((S61/$G$163)^(1)+(T61/$H$163)^(1)&lt;=1,V61/$H$163&lt;=1),"✓","")</f>
        <v>✓</v>
      </c>
      <c r="S61" s="155">
        <f t="shared" ref="S61:S73" si="51">($AA$4*($B61/2)*$C61*(3/2))/SIN(ATAN($E61/(($B61*12)*(2/3)+6)))*COS(RADIANS($D61))</f>
        <v>1390.9475491175051</v>
      </c>
      <c r="T61" s="155">
        <f t="shared" ref="T61:T73" si="52">($AA$4*($B61/2)*$C61*(3/2))/SIN(ATAN($E61/(($B61*12)*(2/3)+6)))*SIN(RADIANS($D61))</f>
        <v>1167.14357545144</v>
      </c>
      <c r="U61" s="155">
        <f t="shared" ref="U61:U73" si="53">($AA$3*($B61/2)*$C61*(3/2))/SIN(ATAN($E61/(($B61*12)*(2/3)+6)))*COS(RADIANS($D61))</f>
        <v>1010.6863968021109</v>
      </c>
      <c r="V61" s="155">
        <f t="shared" ref="V61:V73" si="54">($AA$3*($B61/2)*$C61*(3/2))/SIN(ATAN($E61/(($B61*12)*(2/3)+6)))*SIN(RADIANS($D61))</f>
        <v>848.06658279254532</v>
      </c>
      <c r="Z61" s="165">
        <v>11</v>
      </c>
      <c r="AA61" s="153">
        <f t="shared" si="36"/>
        <v>18.042275729744816</v>
      </c>
      <c r="AB61" s="153">
        <f t="shared" si="36"/>
        <v>17.977910862882268</v>
      </c>
      <c r="AC61" s="153">
        <f t="shared" si="36"/>
        <v>18.509816687356555</v>
      </c>
      <c r="AD61" s="153">
        <f t="shared" si="36"/>
        <v>18.460703398729763</v>
      </c>
      <c r="AE61" s="153">
        <f t="shared" si="36"/>
        <v>18.349387615388885</v>
      </c>
    </row>
    <row r="62" spans="2:31" x14ac:dyDescent="0.2">
      <c r="B62" s="161">
        <v>2.5</v>
      </c>
      <c r="C62" s="160">
        <v>12.8</v>
      </c>
      <c r="D62" s="159">
        <v>40</v>
      </c>
      <c r="E62" s="158">
        <f t="shared" si="37"/>
        <v>16.781992623545598</v>
      </c>
      <c r="F62" s="158">
        <f t="shared" si="38"/>
        <v>26.108145786645572</v>
      </c>
      <c r="G62" s="158">
        <f t="shared" si="39"/>
        <v>26.54328154975633</v>
      </c>
      <c r="H62" s="157" t="str">
        <f t="shared" si="40"/>
        <v>✓</v>
      </c>
      <c r="I62" s="157" t="str">
        <f t="shared" si="41"/>
        <v>✓</v>
      </c>
      <c r="J62" s="157" t="str">
        <f t="shared" si="42"/>
        <v>✓</v>
      </c>
      <c r="K62" s="157" t="str">
        <f t="shared" si="43"/>
        <v>✓</v>
      </c>
      <c r="L62" s="157" t="str">
        <f t="shared" si="44"/>
        <v>✓</v>
      </c>
      <c r="M62" s="156" t="str">
        <f t="shared" si="45"/>
        <v>✓</v>
      </c>
      <c r="N62" s="156" t="str">
        <f t="shared" si="46"/>
        <v>✓</v>
      </c>
      <c r="O62" s="156" t="str">
        <f t="shared" si="47"/>
        <v/>
      </c>
      <c r="P62" s="156" t="str">
        <f t="shared" si="48"/>
        <v>✓</v>
      </c>
      <c r="Q62" s="156" t="str">
        <f t="shared" si="49"/>
        <v>✓</v>
      </c>
      <c r="R62" s="156" t="str">
        <f t="shared" si="50"/>
        <v>✓</v>
      </c>
      <c r="S62" s="155">
        <f t="shared" si="51"/>
        <v>1336.091330468721</v>
      </c>
      <c r="T62" s="155">
        <f t="shared" si="52"/>
        <v>1121.1137426154651</v>
      </c>
      <c r="U62" s="155">
        <f t="shared" si="53"/>
        <v>970.82692546294766</v>
      </c>
      <c r="V62" s="155">
        <f t="shared" si="54"/>
        <v>814.62051509293201</v>
      </c>
      <c r="Z62" s="165">
        <v>12</v>
      </c>
      <c r="AA62" s="153">
        <f t="shared" si="36"/>
        <v>17.838930165231258</v>
      </c>
      <c r="AB62" s="153">
        <f t="shared" si="36"/>
        <v>17.768713946835753</v>
      </c>
      <c r="AC62" s="153">
        <f t="shared" si="36"/>
        <v>18.348974846262248</v>
      </c>
      <c r="AD62" s="153">
        <f t="shared" si="36"/>
        <v>18.295396713214835</v>
      </c>
      <c r="AE62" s="153">
        <f t="shared" si="36"/>
        <v>18.173961313206604</v>
      </c>
    </row>
    <row r="63" spans="2:31" x14ac:dyDescent="0.2">
      <c r="B63" s="161">
        <v>3</v>
      </c>
      <c r="C63" s="160">
        <v>10.67</v>
      </c>
      <c r="D63" s="159">
        <v>40</v>
      </c>
      <c r="E63" s="158">
        <f t="shared" si="37"/>
        <v>20.138391148254719</v>
      </c>
      <c r="F63" s="158">
        <f t="shared" si="38"/>
        <v>31.329774943974687</v>
      </c>
      <c r="G63" s="158">
        <f t="shared" si="39"/>
        <v>31.764910707085445</v>
      </c>
      <c r="H63" s="157" t="str">
        <f t="shared" si="40"/>
        <v>✓</v>
      </c>
      <c r="I63" s="157" t="str">
        <f t="shared" si="41"/>
        <v>✓</v>
      </c>
      <c r="J63" s="157" t="str">
        <f t="shared" si="42"/>
        <v>✓</v>
      </c>
      <c r="K63" s="157" t="str">
        <f t="shared" si="43"/>
        <v>✓</v>
      </c>
      <c r="L63" s="157" t="str">
        <f t="shared" si="44"/>
        <v>✓</v>
      </c>
      <c r="M63" s="156" t="str">
        <f t="shared" si="45"/>
        <v>✓</v>
      </c>
      <c r="N63" s="156" t="str">
        <f t="shared" si="46"/>
        <v>✓</v>
      </c>
      <c r="O63" s="156" t="str">
        <f t="shared" si="47"/>
        <v/>
      </c>
      <c r="P63" s="156" t="str">
        <f t="shared" si="48"/>
        <v>✓</v>
      </c>
      <c r="Q63" s="156" t="str">
        <f t="shared" si="49"/>
        <v>✓</v>
      </c>
      <c r="R63" s="156" t="str">
        <f t="shared" si="50"/>
        <v>✓</v>
      </c>
      <c r="S63" s="155">
        <f t="shared" si="51"/>
        <v>1300.4332957235818</v>
      </c>
      <c r="T63" s="155">
        <f t="shared" si="52"/>
        <v>1091.193098812312</v>
      </c>
      <c r="U63" s="155">
        <f t="shared" si="53"/>
        <v>944.91718452665259</v>
      </c>
      <c r="V63" s="155">
        <f t="shared" si="54"/>
        <v>792.87966102938799</v>
      </c>
      <c r="Z63" s="165">
        <v>13</v>
      </c>
      <c r="AA63" s="153">
        <f t="shared" si="36"/>
        <v>17.635584600717703</v>
      </c>
      <c r="AB63" s="153">
        <f t="shared" si="36"/>
        <v>17.559517030789237</v>
      </c>
      <c r="AC63" s="153">
        <f t="shared" si="36"/>
        <v>18.188133005167938</v>
      </c>
      <c r="AD63" s="153">
        <f t="shared" si="36"/>
        <v>18.130090027699911</v>
      </c>
      <c r="AE63" s="153">
        <f t="shared" si="36"/>
        <v>17.99853501102433</v>
      </c>
    </row>
    <row r="64" spans="2:31" x14ac:dyDescent="0.2">
      <c r="B64" s="161">
        <v>3.5</v>
      </c>
      <c r="C64" s="160">
        <v>9.14</v>
      </c>
      <c r="D64" s="159">
        <v>40</v>
      </c>
      <c r="E64" s="158">
        <f t="shared" si="37"/>
        <v>23.494789672963837</v>
      </c>
      <c r="F64" s="158">
        <f t="shared" si="38"/>
        <v>36.551404101303802</v>
      </c>
      <c r="G64" s="158">
        <f t="shared" si="39"/>
        <v>36.98653986441456</v>
      </c>
      <c r="H64" s="157" t="str">
        <f t="shared" si="40"/>
        <v>✓</v>
      </c>
      <c r="I64" s="157" t="str">
        <f t="shared" si="41"/>
        <v>✓</v>
      </c>
      <c r="J64" s="157" t="str">
        <f t="shared" si="42"/>
        <v>✓</v>
      </c>
      <c r="K64" s="157" t="str">
        <f t="shared" si="43"/>
        <v>✓</v>
      </c>
      <c r="L64" s="157" t="str">
        <f t="shared" si="44"/>
        <v>✓</v>
      </c>
      <c r="M64" s="156" t="str">
        <f t="shared" si="45"/>
        <v>✓</v>
      </c>
      <c r="N64" s="156" t="str">
        <f t="shared" si="46"/>
        <v>✓</v>
      </c>
      <c r="O64" s="156" t="str">
        <f t="shared" si="47"/>
        <v/>
      </c>
      <c r="P64" s="156" t="str">
        <f t="shared" si="48"/>
        <v>✓</v>
      </c>
      <c r="Q64" s="156" t="str">
        <f t="shared" si="49"/>
        <v>✓</v>
      </c>
      <c r="R64" s="156" t="str">
        <f t="shared" si="50"/>
        <v>✓</v>
      </c>
      <c r="S64" s="155">
        <f t="shared" si="51"/>
        <v>1274.1392401502756</v>
      </c>
      <c r="T64" s="155">
        <f t="shared" si="52"/>
        <v>1069.1297664785959</v>
      </c>
      <c r="U64" s="155">
        <f t="shared" si="53"/>
        <v>925.8114718047317</v>
      </c>
      <c r="V64" s="155">
        <f t="shared" si="54"/>
        <v>776.84806453104511</v>
      </c>
      <c r="Z64" s="165">
        <v>14</v>
      </c>
      <c r="AA64" s="153">
        <f t="shared" si="36"/>
        <v>17.432239036204145</v>
      </c>
      <c r="AB64" s="153">
        <f t="shared" si="36"/>
        <v>17.350320114742722</v>
      </c>
      <c r="AC64" s="153">
        <f t="shared" si="36"/>
        <v>18.027291164073631</v>
      </c>
      <c r="AD64" s="153">
        <f t="shared" si="36"/>
        <v>17.964783342184987</v>
      </c>
      <c r="AE64" s="153">
        <f t="shared" si="36"/>
        <v>17.823108708842049</v>
      </c>
    </row>
    <row r="65" spans="2:31" x14ac:dyDescent="0.2">
      <c r="B65" s="161">
        <v>4</v>
      </c>
      <c r="C65" s="160">
        <v>8</v>
      </c>
      <c r="D65" s="159">
        <v>40</v>
      </c>
      <c r="E65" s="158">
        <f t="shared" si="37"/>
        <v>26.851188197672958</v>
      </c>
      <c r="F65" s="158">
        <f t="shared" si="38"/>
        <v>41.773033258632914</v>
      </c>
      <c r="G65" s="158">
        <f t="shared" si="39"/>
        <v>42.208169021743672</v>
      </c>
      <c r="H65" s="157" t="str">
        <f t="shared" si="40"/>
        <v>✓</v>
      </c>
      <c r="I65" s="157" t="str">
        <f t="shared" si="41"/>
        <v>✓</v>
      </c>
      <c r="J65" s="157" t="str">
        <f t="shared" si="42"/>
        <v>✓</v>
      </c>
      <c r="K65" s="157" t="str">
        <f t="shared" si="43"/>
        <v>✓</v>
      </c>
      <c r="L65" s="157" t="str">
        <f t="shared" si="44"/>
        <v>✓</v>
      </c>
      <c r="M65" s="156" t="str">
        <f t="shared" si="45"/>
        <v>✓</v>
      </c>
      <c r="N65" s="156" t="str">
        <f t="shared" si="46"/>
        <v>✓</v>
      </c>
      <c r="O65" s="156" t="str">
        <f t="shared" si="47"/>
        <v/>
      </c>
      <c r="P65" s="156" t="str">
        <f t="shared" si="48"/>
        <v>✓</v>
      </c>
      <c r="Q65" s="156" t="str">
        <f t="shared" si="49"/>
        <v>✓</v>
      </c>
      <c r="R65" s="156" t="str">
        <f t="shared" si="50"/>
        <v>✓</v>
      </c>
      <c r="S65" s="155">
        <f t="shared" si="51"/>
        <v>1255.5779276361468</v>
      </c>
      <c r="T65" s="155">
        <f t="shared" si="52"/>
        <v>1053.5549759938242</v>
      </c>
      <c r="U65" s="155">
        <f t="shared" si="53"/>
        <v>912.32450310003458</v>
      </c>
      <c r="V65" s="155">
        <f t="shared" si="54"/>
        <v>765.5311540652342</v>
      </c>
      <c r="Z65" s="165">
        <v>15</v>
      </c>
      <c r="AA65" s="153">
        <f t="shared" si="36"/>
        <v>17.228893471690586</v>
      </c>
      <c r="AB65" s="153">
        <f t="shared" si="36"/>
        <v>17.141123198696206</v>
      </c>
      <c r="AC65" s="153">
        <f t="shared" si="36"/>
        <v>17.866449322979324</v>
      </c>
      <c r="AD65" s="153">
        <f t="shared" si="36"/>
        <v>17.799476656670063</v>
      </c>
      <c r="AE65" s="153">
        <f t="shared" si="36"/>
        <v>17.647682406659776</v>
      </c>
    </row>
    <row r="66" spans="2:31" x14ac:dyDescent="0.2">
      <c r="B66" s="161">
        <v>4.5</v>
      </c>
      <c r="C66" s="160">
        <v>7.11</v>
      </c>
      <c r="D66" s="159">
        <v>40</v>
      </c>
      <c r="E66" s="158">
        <f t="shared" si="37"/>
        <v>30.207586722382075</v>
      </c>
      <c r="F66" s="158">
        <f t="shared" si="38"/>
        <v>46.994662415962033</v>
      </c>
      <c r="G66" s="158">
        <f t="shared" si="39"/>
        <v>47.429798179072783</v>
      </c>
      <c r="H66" s="157" t="str">
        <f t="shared" si="40"/>
        <v>✓</v>
      </c>
      <c r="I66" s="157" t="str">
        <f t="shared" si="41"/>
        <v>✓</v>
      </c>
      <c r="J66" s="157" t="str">
        <f t="shared" si="42"/>
        <v>✓</v>
      </c>
      <c r="K66" s="157" t="str">
        <f t="shared" si="43"/>
        <v>✓</v>
      </c>
      <c r="L66" s="157" t="str">
        <f t="shared" si="44"/>
        <v>✓</v>
      </c>
      <c r="M66" s="156" t="str">
        <f t="shared" si="45"/>
        <v>✓</v>
      </c>
      <c r="N66" s="156" t="str">
        <f t="shared" si="46"/>
        <v>✓</v>
      </c>
      <c r="O66" s="156" t="str">
        <f t="shared" si="47"/>
        <v/>
      </c>
      <c r="P66" s="156" t="str">
        <f t="shared" si="48"/>
        <v>✓</v>
      </c>
      <c r="Q66" s="156" t="str">
        <f t="shared" si="49"/>
        <v>✓</v>
      </c>
      <c r="R66" s="156" t="str">
        <f t="shared" si="50"/>
        <v>✓</v>
      </c>
      <c r="S66" s="155">
        <f t="shared" si="51"/>
        <v>1240.7354608042035</v>
      </c>
      <c r="T66" s="155">
        <f t="shared" si="52"/>
        <v>1041.1006675493798</v>
      </c>
      <c r="U66" s="155">
        <f t="shared" si="53"/>
        <v>901.53971158755132</v>
      </c>
      <c r="V66" s="155">
        <f t="shared" si="54"/>
        <v>756.48163948478566</v>
      </c>
      <c r="Z66" s="165">
        <v>16</v>
      </c>
      <c r="AA66" s="153">
        <f t="shared" si="36"/>
        <v>17.025547907177028</v>
      </c>
      <c r="AB66" s="153">
        <f t="shared" si="36"/>
        <v>16.931926282649684</v>
      </c>
      <c r="AC66" s="153">
        <f t="shared" si="36"/>
        <v>17.705607481885014</v>
      </c>
      <c r="AD66" s="153">
        <f t="shared" si="36"/>
        <v>17.634169971155135</v>
      </c>
      <c r="AE66" s="153">
        <f t="shared" si="36"/>
        <v>17.472256104477495</v>
      </c>
    </row>
    <row r="67" spans="2:31" x14ac:dyDescent="0.2">
      <c r="B67" s="161">
        <v>5</v>
      </c>
      <c r="C67" s="160">
        <v>6.4</v>
      </c>
      <c r="D67" s="159">
        <v>40</v>
      </c>
      <c r="E67" s="158">
        <f t="shared" si="37"/>
        <v>33.563985247091196</v>
      </c>
      <c r="F67" s="158">
        <f t="shared" si="38"/>
        <v>52.216291573291144</v>
      </c>
      <c r="G67" s="158">
        <f t="shared" si="39"/>
        <v>52.651427336401902</v>
      </c>
      <c r="H67" s="157" t="str">
        <f t="shared" si="40"/>
        <v>✓</v>
      </c>
      <c r="I67" s="157" t="str">
        <f t="shared" si="41"/>
        <v>✓</v>
      </c>
      <c r="J67" s="157" t="str">
        <f t="shared" si="42"/>
        <v>✓</v>
      </c>
      <c r="K67" s="157" t="str">
        <f t="shared" si="43"/>
        <v>✓</v>
      </c>
      <c r="L67" s="157" t="str">
        <f t="shared" si="44"/>
        <v>✓</v>
      </c>
      <c r="M67" s="156" t="str">
        <f t="shared" si="45"/>
        <v>✓</v>
      </c>
      <c r="N67" s="156" t="str">
        <f t="shared" si="46"/>
        <v>✓</v>
      </c>
      <c r="O67" s="156" t="str">
        <f t="shared" si="47"/>
        <v/>
      </c>
      <c r="P67" s="156" t="str">
        <f t="shared" si="48"/>
        <v>✓</v>
      </c>
      <c r="Q67" s="156" t="str">
        <f t="shared" si="49"/>
        <v>✓</v>
      </c>
      <c r="R67" s="156" t="str">
        <f t="shared" si="50"/>
        <v>✓</v>
      </c>
      <c r="S67" s="155">
        <f t="shared" si="51"/>
        <v>1229.2743722180373</v>
      </c>
      <c r="T67" s="155">
        <f t="shared" si="52"/>
        <v>1031.4836723438375</v>
      </c>
      <c r="U67" s="155">
        <f t="shared" si="53"/>
        <v>893.21188762759596</v>
      </c>
      <c r="V67" s="155">
        <f t="shared" si="54"/>
        <v>749.49376547147779</v>
      </c>
      <c r="Z67" s="165">
        <v>17</v>
      </c>
      <c r="AA67" s="153">
        <f t="shared" si="36"/>
        <v>16.822202342663473</v>
      </c>
      <c r="AB67" s="153">
        <f t="shared" si="36"/>
        <v>16.722729366603176</v>
      </c>
      <c r="AC67" s="153">
        <f t="shared" si="36"/>
        <v>17.544765640790708</v>
      </c>
      <c r="AD67" s="153">
        <f t="shared" si="36"/>
        <v>17.468863285640211</v>
      </c>
      <c r="AE67" s="153">
        <f t="shared" si="36"/>
        <v>17.296829802295218</v>
      </c>
    </row>
    <row r="68" spans="2:31" x14ac:dyDescent="0.2">
      <c r="B68" s="161">
        <v>5.5</v>
      </c>
      <c r="C68" s="160">
        <v>5.82</v>
      </c>
      <c r="D68" s="159">
        <v>40</v>
      </c>
      <c r="E68" s="158">
        <f t="shared" si="37"/>
        <v>36.920383771800317</v>
      </c>
      <c r="F68" s="158">
        <f t="shared" si="38"/>
        <v>57.437920730620263</v>
      </c>
      <c r="G68" s="158">
        <f t="shared" si="39"/>
        <v>57.873056493731013</v>
      </c>
      <c r="H68" s="157" t="str">
        <f t="shared" si="40"/>
        <v>✓</v>
      </c>
      <c r="I68" s="157" t="str">
        <f t="shared" si="41"/>
        <v>✓</v>
      </c>
      <c r="J68" s="157" t="str">
        <f t="shared" si="42"/>
        <v>✓</v>
      </c>
      <c r="K68" s="157" t="str">
        <f t="shared" si="43"/>
        <v>✓</v>
      </c>
      <c r="L68" s="157" t="str">
        <f t="shared" si="44"/>
        <v>✓</v>
      </c>
      <c r="M68" s="156" t="str">
        <f t="shared" si="45"/>
        <v>✓</v>
      </c>
      <c r="N68" s="156" t="str">
        <f t="shared" si="46"/>
        <v>✓</v>
      </c>
      <c r="O68" s="156" t="str">
        <f t="shared" si="47"/>
        <v/>
      </c>
      <c r="P68" s="156" t="str">
        <f t="shared" si="48"/>
        <v>✓</v>
      </c>
      <c r="Q68" s="156" t="str">
        <f t="shared" si="49"/>
        <v>✓</v>
      </c>
      <c r="R68" s="156" t="str">
        <f t="shared" si="50"/>
        <v>✓</v>
      </c>
      <c r="S68" s="155">
        <f t="shared" si="51"/>
        <v>1220.1631273482926</v>
      </c>
      <c r="T68" s="155">
        <f t="shared" si="52"/>
        <v>1023.8384301340689</v>
      </c>
      <c r="U68" s="155">
        <f t="shared" si="53"/>
        <v>886.59150050111782</v>
      </c>
      <c r="V68" s="155">
        <f t="shared" si="54"/>
        <v>743.93860107539922</v>
      </c>
      <c r="Z68" s="165">
        <v>18</v>
      </c>
      <c r="AA68" s="153">
        <f t="shared" si="36"/>
        <v>16.618856778149915</v>
      </c>
      <c r="AB68" s="153">
        <f t="shared" si="36"/>
        <v>16.513532450556657</v>
      </c>
      <c r="AC68" s="153">
        <f t="shared" si="36"/>
        <v>17.383923799696397</v>
      </c>
      <c r="AD68" s="153">
        <f t="shared" si="36"/>
        <v>17.303556600125287</v>
      </c>
      <c r="AE68" s="153">
        <f t="shared" si="36"/>
        <v>17.121403500112937</v>
      </c>
    </row>
    <row r="69" spans="2:31" x14ac:dyDescent="0.2">
      <c r="B69" s="161">
        <v>6</v>
      </c>
      <c r="C69" s="160">
        <v>5.33</v>
      </c>
      <c r="D69" s="159">
        <v>40</v>
      </c>
      <c r="E69" s="158">
        <f t="shared" si="37"/>
        <v>40.276782296509438</v>
      </c>
      <c r="F69" s="158">
        <f t="shared" si="38"/>
        <v>62.659549887949375</v>
      </c>
      <c r="G69" s="158">
        <f t="shared" si="39"/>
        <v>63.094685651060125</v>
      </c>
      <c r="H69" s="157" t="str">
        <f t="shared" si="40"/>
        <v>✓</v>
      </c>
      <c r="I69" s="157" t="str">
        <f t="shared" si="41"/>
        <v>✓</v>
      </c>
      <c r="J69" s="157" t="str">
        <f t="shared" si="42"/>
        <v>✓</v>
      </c>
      <c r="K69" s="157" t="str">
        <f t="shared" si="43"/>
        <v>✓</v>
      </c>
      <c r="L69" s="157" t="str">
        <f t="shared" si="44"/>
        <v>✓</v>
      </c>
      <c r="M69" s="156" t="str">
        <f t="shared" si="45"/>
        <v>✓</v>
      </c>
      <c r="N69" s="156" t="str">
        <f t="shared" si="46"/>
        <v>✓</v>
      </c>
      <c r="O69" s="156" t="str">
        <f t="shared" si="47"/>
        <v/>
      </c>
      <c r="P69" s="156" t="str">
        <f t="shared" si="48"/>
        <v>✓</v>
      </c>
      <c r="Q69" s="156" t="str">
        <f t="shared" si="49"/>
        <v>✓</v>
      </c>
      <c r="R69" s="156" t="str">
        <f t="shared" si="50"/>
        <v>✓</v>
      </c>
      <c r="S69" s="155">
        <f t="shared" si="51"/>
        <v>1211.1447515552495</v>
      </c>
      <c r="T69" s="155">
        <f t="shared" si="52"/>
        <v>1016.2711143323083</v>
      </c>
      <c r="U69" s="155">
        <f t="shared" si="53"/>
        <v>880.03859364200503</v>
      </c>
      <c r="V69" s="155">
        <f t="shared" si="54"/>
        <v>738.44005934677853</v>
      </c>
      <c r="Z69" s="165">
        <v>19</v>
      </c>
      <c r="AA69" s="153">
        <f t="shared" ref="AA69:AE78" si="55">IF(($Z69/AA$11)&lt;AA$15,0.85*(AA$12-AA$13*($Z69/AA$11)),(0.85*(PI())^2*(10100)/(($Z69/AA$11)^2)))/AA$16</f>
        <v>16.415511213636361</v>
      </c>
      <c r="AB69" s="153">
        <f t="shared" si="55"/>
        <v>16.304335534510141</v>
      </c>
      <c r="AC69" s="153">
        <f t="shared" si="55"/>
        <v>17.223081958602091</v>
      </c>
      <c r="AD69" s="153">
        <f t="shared" si="55"/>
        <v>17.138249914610359</v>
      </c>
      <c r="AE69" s="153">
        <f t="shared" si="55"/>
        <v>16.945977197930659</v>
      </c>
    </row>
    <row r="70" spans="2:31" x14ac:dyDescent="0.2">
      <c r="B70" s="161">
        <v>6.5</v>
      </c>
      <c r="C70" s="160">
        <v>4.92</v>
      </c>
      <c r="D70" s="159">
        <v>40</v>
      </c>
      <c r="E70" s="158">
        <f t="shared" si="37"/>
        <v>43.633180821218559</v>
      </c>
      <c r="F70" s="158">
        <f t="shared" si="38"/>
        <v>67.881179045278486</v>
      </c>
      <c r="G70" s="158">
        <f t="shared" si="39"/>
        <v>68.316314808389237</v>
      </c>
      <c r="H70" s="157" t="str">
        <f t="shared" si="40"/>
        <v>✓</v>
      </c>
      <c r="I70" s="157" t="str">
        <f t="shared" si="41"/>
        <v>✓</v>
      </c>
      <c r="J70" s="157" t="str">
        <f t="shared" si="42"/>
        <v>✓</v>
      </c>
      <c r="K70" s="157" t="str">
        <f t="shared" si="43"/>
        <v>✓</v>
      </c>
      <c r="L70" s="157" t="str">
        <f t="shared" si="44"/>
        <v>✓</v>
      </c>
      <c r="M70" s="156" t="str">
        <f t="shared" si="45"/>
        <v>✓</v>
      </c>
      <c r="N70" s="156" t="str">
        <f t="shared" si="46"/>
        <v>✓</v>
      </c>
      <c r="O70" s="156" t="str">
        <f t="shared" si="47"/>
        <v/>
      </c>
      <c r="P70" s="156" t="str">
        <f t="shared" si="48"/>
        <v>✓</v>
      </c>
      <c r="Q70" s="156" t="str">
        <f t="shared" si="49"/>
        <v>✓</v>
      </c>
      <c r="R70" s="156" t="str">
        <f t="shared" si="50"/>
        <v>✓</v>
      </c>
      <c r="S70" s="155">
        <f t="shared" si="51"/>
        <v>1204.5035808780137</v>
      </c>
      <c r="T70" s="155">
        <f t="shared" si="52"/>
        <v>1010.6985104664543</v>
      </c>
      <c r="U70" s="155">
        <f t="shared" si="53"/>
        <v>875.2130048794512</v>
      </c>
      <c r="V70" s="155">
        <f t="shared" si="54"/>
        <v>734.39090959590635</v>
      </c>
      <c r="Z70" s="165">
        <v>20</v>
      </c>
      <c r="AA70" s="153">
        <f t="shared" si="55"/>
        <v>16.212165649122802</v>
      </c>
      <c r="AB70" s="153">
        <f t="shared" si="55"/>
        <v>16.095138618463626</v>
      </c>
      <c r="AC70" s="153">
        <f t="shared" si="55"/>
        <v>17.062240117507784</v>
      </c>
      <c r="AD70" s="153">
        <f t="shared" si="55"/>
        <v>16.972943229095435</v>
      </c>
      <c r="AE70" s="153">
        <f t="shared" si="55"/>
        <v>16.770550895748382</v>
      </c>
    </row>
    <row r="71" spans="2:31" x14ac:dyDescent="0.2">
      <c r="B71" s="161">
        <v>7</v>
      </c>
      <c r="C71" s="160">
        <v>4.57</v>
      </c>
      <c r="D71" s="159">
        <v>40</v>
      </c>
      <c r="E71" s="158">
        <f t="shared" si="37"/>
        <v>46.989579345927673</v>
      </c>
      <c r="F71" s="158">
        <f t="shared" si="38"/>
        <v>73.102808202607605</v>
      </c>
      <c r="G71" s="158">
        <f t="shared" si="39"/>
        <v>73.537943965718355</v>
      </c>
      <c r="H71" s="157" t="str">
        <f t="shared" si="40"/>
        <v>✓</v>
      </c>
      <c r="I71" s="157" t="str">
        <f t="shared" si="41"/>
        <v>✓</v>
      </c>
      <c r="J71" s="157" t="str">
        <f t="shared" si="42"/>
        <v>✓</v>
      </c>
      <c r="K71" s="157" t="str">
        <f t="shared" si="43"/>
        <v>✓</v>
      </c>
      <c r="L71" s="157" t="str">
        <f t="shared" si="44"/>
        <v>✓</v>
      </c>
      <c r="M71" s="156" t="str">
        <f t="shared" si="45"/>
        <v>✓</v>
      </c>
      <c r="N71" s="156" t="str">
        <f t="shared" si="46"/>
        <v>✓</v>
      </c>
      <c r="O71" s="156" t="str">
        <f t="shared" si="47"/>
        <v/>
      </c>
      <c r="P71" s="156" t="str">
        <f t="shared" si="48"/>
        <v>✓</v>
      </c>
      <c r="Q71" s="156" t="str">
        <f t="shared" si="49"/>
        <v>✓</v>
      </c>
      <c r="R71" s="156" t="str">
        <f t="shared" si="50"/>
        <v>✓</v>
      </c>
      <c r="S71" s="155">
        <f t="shared" si="51"/>
        <v>1199.2024472910764</v>
      </c>
      <c r="T71" s="155">
        <f t="shared" si="52"/>
        <v>1006.2503312288337</v>
      </c>
      <c r="U71" s="155">
        <f t="shared" si="53"/>
        <v>871.36111009927242</v>
      </c>
      <c r="V71" s="155">
        <f t="shared" si="54"/>
        <v>731.15878610652476</v>
      </c>
      <c r="Z71" s="165">
        <v>21</v>
      </c>
      <c r="AA71" s="153">
        <f t="shared" si="55"/>
        <v>16.008820084609244</v>
      </c>
      <c r="AB71" s="153">
        <f t="shared" si="55"/>
        <v>15.88594170241711</v>
      </c>
      <c r="AC71" s="153">
        <f t="shared" si="55"/>
        <v>16.901398276413474</v>
      </c>
      <c r="AD71" s="153">
        <f t="shared" si="55"/>
        <v>16.807636543580507</v>
      </c>
      <c r="AE71" s="153">
        <f t="shared" si="55"/>
        <v>16.595124593566105</v>
      </c>
    </row>
    <row r="72" spans="2:31" x14ac:dyDescent="0.2">
      <c r="B72" s="161">
        <v>7.5</v>
      </c>
      <c r="C72" s="160">
        <v>4.2699999999999996</v>
      </c>
      <c r="D72" s="159">
        <v>40</v>
      </c>
      <c r="E72" s="158">
        <f t="shared" si="37"/>
        <v>50.345977870636787</v>
      </c>
      <c r="F72" s="158">
        <f t="shared" si="38"/>
        <v>78.324437359936724</v>
      </c>
      <c r="G72" s="158">
        <f t="shared" si="39"/>
        <v>78.759573123047474</v>
      </c>
      <c r="H72" s="157" t="str">
        <f t="shared" si="40"/>
        <v>✓</v>
      </c>
      <c r="I72" s="157" t="str">
        <f t="shared" si="41"/>
        <v>✓</v>
      </c>
      <c r="J72" s="157" t="str">
        <f t="shared" si="42"/>
        <v>✓</v>
      </c>
      <c r="K72" s="157" t="str">
        <f t="shared" si="43"/>
        <v>✓</v>
      </c>
      <c r="L72" s="157" t="str">
        <f t="shared" si="44"/>
        <v>✓</v>
      </c>
      <c r="M72" s="156" t="str">
        <f t="shared" si="45"/>
        <v>✓</v>
      </c>
      <c r="N72" s="156" t="str">
        <f t="shared" si="46"/>
        <v>✓</v>
      </c>
      <c r="O72" s="156" t="str">
        <f t="shared" si="47"/>
        <v/>
      </c>
      <c r="P72" s="156" t="str">
        <f t="shared" si="48"/>
        <v>✓</v>
      </c>
      <c r="Q72" s="156" t="str">
        <f t="shared" si="49"/>
        <v>✓</v>
      </c>
      <c r="R72" s="156" t="str">
        <f t="shared" si="50"/>
        <v>✓</v>
      </c>
      <c r="S72" s="155">
        <f t="shared" si="51"/>
        <v>1195.6008243056954</v>
      </c>
      <c r="T72" s="155">
        <f t="shared" si="52"/>
        <v>1003.2282107101609</v>
      </c>
      <c r="U72" s="155">
        <f t="shared" si="53"/>
        <v>868.74410893338074</v>
      </c>
      <c r="V72" s="155">
        <f t="shared" si="54"/>
        <v>728.96286139343454</v>
      </c>
      <c r="Z72" s="165">
        <v>22</v>
      </c>
      <c r="AA72" s="153">
        <f t="shared" si="55"/>
        <v>15.805474520095689</v>
      </c>
      <c r="AB72" s="153">
        <f t="shared" si="55"/>
        <v>15.676744786370591</v>
      </c>
      <c r="AC72" s="153">
        <f t="shared" si="55"/>
        <v>16.740556435319167</v>
      </c>
      <c r="AD72" s="153">
        <f t="shared" si="55"/>
        <v>16.642329858065583</v>
      </c>
      <c r="AE72" s="153">
        <f t="shared" si="55"/>
        <v>16.419698291383828</v>
      </c>
    </row>
    <row r="73" spans="2:31" x14ac:dyDescent="0.2">
      <c r="B73" s="161">
        <v>8</v>
      </c>
      <c r="C73" s="160">
        <v>4</v>
      </c>
      <c r="D73" s="159">
        <v>40</v>
      </c>
      <c r="E73" s="158">
        <f t="shared" si="37"/>
        <v>53.702376395345915</v>
      </c>
      <c r="F73" s="158">
        <f t="shared" si="38"/>
        <v>83.546066517265828</v>
      </c>
      <c r="G73" s="158">
        <f t="shared" si="39"/>
        <v>83.981202280376593</v>
      </c>
      <c r="H73" s="157" t="str">
        <f t="shared" si="40"/>
        <v>✓</v>
      </c>
      <c r="I73" s="157" t="str">
        <f t="shared" si="41"/>
        <v>✓</v>
      </c>
      <c r="J73" s="157" t="str">
        <f t="shared" si="42"/>
        <v>✓</v>
      </c>
      <c r="K73" s="157" t="str">
        <f t="shared" si="43"/>
        <v>✓</v>
      </c>
      <c r="L73" s="157" t="str">
        <f t="shared" si="44"/>
        <v>✓</v>
      </c>
      <c r="M73" s="156" t="str">
        <f t="shared" si="45"/>
        <v>✓</v>
      </c>
      <c r="N73" s="156" t="str">
        <f t="shared" si="46"/>
        <v>✓</v>
      </c>
      <c r="O73" s="156" t="str">
        <f t="shared" si="47"/>
        <v/>
      </c>
      <c r="P73" s="156" t="str">
        <f t="shared" si="48"/>
        <v>✓</v>
      </c>
      <c r="Q73" s="156" t="str">
        <f t="shared" si="49"/>
        <v>✓</v>
      </c>
      <c r="R73" s="156" t="str">
        <f t="shared" si="50"/>
        <v>✓</v>
      </c>
      <c r="S73" s="155">
        <f t="shared" si="51"/>
        <v>1190.3809976531561</v>
      </c>
      <c r="T73" s="155">
        <f t="shared" si="52"/>
        <v>998.84825609120571</v>
      </c>
      <c r="U73" s="155">
        <f t="shared" si="53"/>
        <v>864.95129316923953</v>
      </c>
      <c r="V73" s="155">
        <f t="shared" si="54"/>
        <v>725.78031108462028</v>
      </c>
      <c r="Z73" s="165">
        <v>23</v>
      </c>
      <c r="AA73" s="153">
        <f t="shared" si="55"/>
        <v>15.602128955582131</v>
      </c>
      <c r="AB73" s="153">
        <f t="shared" si="55"/>
        <v>15.467547870324077</v>
      </c>
      <c r="AC73" s="153">
        <f t="shared" si="55"/>
        <v>16.579714594224857</v>
      </c>
      <c r="AD73" s="153">
        <f t="shared" si="55"/>
        <v>16.477023172550659</v>
      </c>
      <c r="AE73" s="153">
        <f t="shared" si="55"/>
        <v>16.24427198920155</v>
      </c>
    </row>
    <row r="74" spans="2:31" x14ac:dyDescent="0.2">
      <c r="Z74" s="165">
        <v>24</v>
      </c>
      <c r="AA74" s="153">
        <f t="shared" si="55"/>
        <v>15.398783391068577</v>
      </c>
      <c r="AB74" s="153">
        <f t="shared" si="55"/>
        <v>15.258350954277562</v>
      </c>
      <c r="AC74" s="153">
        <f t="shared" si="55"/>
        <v>16.41887275313055</v>
      </c>
      <c r="AD74" s="153">
        <f t="shared" si="55"/>
        <v>16.311716487035731</v>
      </c>
      <c r="AE74" s="153">
        <f t="shared" si="55"/>
        <v>16.068845687019273</v>
      </c>
    </row>
    <row r="75" spans="2:31" x14ac:dyDescent="0.2">
      <c r="Z75" s="165">
        <v>25</v>
      </c>
      <c r="AA75" s="153">
        <f t="shared" si="55"/>
        <v>15.195437826555018</v>
      </c>
      <c r="AB75" s="153">
        <f t="shared" si="55"/>
        <v>15.049154038231046</v>
      </c>
      <c r="AC75" s="153">
        <f t="shared" si="55"/>
        <v>16.258030912036247</v>
      </c>
      <c r="AD75" s="153">
        <f t="shared" si="55"/>
        <v>16.146409801520811</v>
      </c>
      <c r="AE75" s="153">
        <f t="shared" si="55"/>
        <v>15.893419384836994</v>
      </c>
    </row>
    <row r="76" spans="2:31" ht="15.75" x14ac:dyDescent="0.25">
      <c r="B76" s="549" t="s">
        <v>176</v>
      </c>
      <c r="C76" s="549"/>
      <c r="D76" s="549"/>
      <c r="E76" s="549"/>
      <c r="F76" s="549"/>
      <c r="G76" s="549"/>
      <c r="H76" s="549"/>
      <c r="I76" s="549"/>
      <c r="J76" s="549"/>
      <c r="K76" s="549"/>
      <c r="L76" s="549"/>
      <c r="M76" s="167"/>
      <c r="N76" s="167"/>
      <c r="O76" s="167"/>
      <c r="P76" s="167"/>
      <c r="Q76" s="167"/>
      <c r="R76" s="167"/>
      <c r="S76" s="167"/>
      <c r="T76" s="167"/>
      <c r="U76" s="167"/>
      <c r="V76" s="167"/>
      <c r="Z76" s="165">
        <v>26</v>
      </c>
      <c r="AA76" s="153">
        <f t="shared" si="55"/>
        <v>14.992092262041464</v>
      </c>
      <c r="AB76" s="153">
        <f t="shared" si="55"/>
        <v>14.839957122184531</v>
      </c>
      <c r="AC76" s="153">
        <f t="shared" si="55"/>
        <v>16.097189070941937</v>
      </c>
      <c r="AD76" s="153">
        <f t="shared" si="55"/>
        <v>15.981103116005883</v>
      </c>
      <c r="AE76" s="153">
        <f t="shared" si="55"/>
        <v>15.717993082654715</v>
      </c>
    </row>
    <row r="77" spans="2:31" x14ac:dyDescent="0.2">
      <c r="Z77" s="165">
        <v>27</v>
      </c>
      <c r="AA77" s="153">
        <f t="shared" si="55"/>
        <v>14.788746697527905</v>
      </c>
      <c r="AB77" s="153">
        <f t="shared" si="55"/>
        <v>14.630760206138014</v>
      </c>
      <c r="AC77" s="153">
        <f t="shared" si="55"/>
        <v>15.936347229847627</v>
      </c>
      <c r="AD77" s="153">
        <f t="shared" si="55"/>
        <v>15.815796430490957</v>
      </c>
      <c r="AE77" s="153">
        <f t="shared" si="55"/>
        <v>15.542566780472439</v>
      </c>
    </row>
    <row r="78" spans="2:31" x14ac:dyDescent="0.2">
      <c r="B78" s="166" t="s">
        <v>106</v>
      </c>
      <c r="C78" s="166" t="s">
        <v>172</v>
      </c>
      <c r="D78" s="166" t="s">
        <v>171</v>
      </c>
      <c r="E78" s="166" t="s">
        <v>170</v>
      </c>
      <c r="F78" s="166" t="s">
        <v>169</v>
      </c>
      <c r="G78" s="166" t="s">
        <v>168</v>
      </c>
      <c r="H78" s="166" t="s">
        <v>167</v>
      </c>
      <c r="I78" s="166" t="s">
        <v>166</v>
      </c>
      <c r="J78" s="166" t="s">
        <v>165</v>
      </c>
      <c r="K78" s="166" t="s">
        <v>164</v>
      </c>
      <c r="L78" s="166" t="s">
        <v>163</v>
      </c>
      <c r="M78" s="166" t="s">
        <v>162</v>
      </c>
      <c r="N78" s="166" t="s">
        <v>121</v>
      </c>
      <c r="O78" s="166" t="s">
        <v>120</v>
      </c>
      <c r="P78" s="166" t="s">
        <v>119</v>
      </c>
      <c r="Q78" s="166" t="s">
        <v>118</v>
      </c>
      <c r="R78" s="166" t="s">
        <v>117</v>
      </c>
      <c r="S78" s="166" t="s">
        <v>161</v>
      </c>
      <c r="T78" s="166" t="s">
        <v>160</v>
      </c>
      <c r="U78" s="166" t="s">
        <v>159</v>
      </c>
      <c r="V78" s="166" t="s">
        <v>158</v>
      </c>
      <c r="Z78" s="165">
        <v>28</v>
      </c>
      <c r="AA78" s="153">
        <f t="shared" si="55"/>
        <v>14.585401133014349</v>
      </c>
      <c r="AB78" s="153">
        <f t="shared" si="55"/>
        <v>14.421563290091498</v>
      </c>
      <c r="AC78" s="153">
        <f t="shared" si="55"/>
        <v>15.775505388753318</v>
      </c>
      <c r="AD78" s="153">
        <f t="shared" si="55"/>
        <v>15.650489744976033</v>
      </c>
      <c r="AE78" s="153">
        <f t="shared" si="55"/>
        <v>15.36714047829016</v>
      </c>
    </row>
    <row r="79" spans="2:31" x14ac:dyDescent="0.2">
      <c r="B79" s="161">
        <v>2</v>
      </c>
      <c r="C79" s="160">
        <v>16</v>
      </c>
      <c r="D79" s="159">
        <v>45</v>
      </c>
      <c r="E79" s="158">
        <f t="shared" ref="E79:E91" si="56">TAN(RADIANS(D79))*(B79*12)*(2/3)</f>
        <v>15.999999999999996</v>
      </c>
      <c r="F79" s="158">
        <f t="shared" ref="F79:F91" si="57">((B79*12)*(2/3))/COS(RADIANS(D79))</f>
        <v>22.627416997969519</v>
      </c>
      <c r="G79" s="158">
        <f t="shared" ref="G79:G91" si="58">(((B79*12)+(6/12))*(2/3))/COS(RADIANS(D79))</f>
        <v>23.098821518760548</v>
      </c>
      <c r="H79" s="157" t="str">
        <f t="shared" ref="H79:H91" si="59">IF(((($AA$3*($B79/2)*$C79*(3/2))/SIN(ATAN($E79/(($B79*12)*(2/3)+6))))/1000/AA$10/AA766)&lt;=1,"✓","")</f>
        <v>✓</v>
      </c>
      <c r="I79" s="157" t="str">
        <f t="shared" ref="I79:I91" si="60">IF(((($AA$3*($B79/2)*$C79*(3/2))/SIN(ATAN($E79/(($B79*12)*(2/3)+6))))/1000/AB$10/AB766)&lt;=1,"✓","")</f>
        <v>✓</v>
      </c>
      <c r="J79" s="157" t="str">
        <f t="shared" ref="J79:J91" si="61">IF(((($AA$3*($B79/2)*$C79*(3/2))/SIN(ATAN($E79/(($B79*12)*(2/3)+6))))/1000/AC$10/AC766)&lt;=1,"✓","")</f>
        <v>✓</v>
      </c>
      <c r="K79" s="157" t="str">
        <f t="shared" ref="K79:K91" si="62">IF(((($AA$3*($B79/2)*$C79*(3/2))/SIN(ATAN($E79/(($B79*12)*(2/3)+6))))/1000/AD$10/AD766)&lt;=1,"✓","")</f>
        <v>✓</v>
      </c>
      <c r="L79" s="157" t="str">
        <f t="shared" ref="L79:L91" si="63">IF(((($AA$3*($B79/2)*$C79*(3/2))/SIN(ATAN($E79/(($B79*12)*(2/3)+6))))/1000/AE$10/AE766)&lt;=1,"✓","")</f>
        <v>✓</v>
      </c>
      <c r="M79" s="156" t="str">
        <f t="shared" ref="M79:M91" si="64">IF(AND((S79/$G$149)^(5/3)+(T79/$H$149)^(5/3)&lt;=1,V79/$H$149&lt;=1),"✓","")</f>
        <v>✓</v>
      </c>
      <c r="N79" s="156" t="str">
        <f t="shared" ref="N79:N91" si="65">IF(AND((S79/$G$157)^(1)+(T79/$H$157)^(1)&lt;=1,V79/$H$157&lt;=1),"✓","")</f>
        <v>✓</v>
      </c>
      <c r="O79" s="156" t="str">
        <f t="shared" ref="O79:O91" si="66">IF(AND((S79/$G$159)^(1)+(T79/$H$159)^(1)&lt;=1,V79/$H$159&lt;=1),"✓","")</f>
        <v/>
      </c>
      <c r="P79" s="156" t="str">
        <f t="shared" ref="P79:P91" si="67">IF(AND((S79/$G$161)^(1)+(T79/$H$161)^(1)&lt;=1,V79/$H$161&lt;=1),"✓","")</f>
        <v>✓</v>
      </c>
      <c r="Q79" s="156" t="str">
        <f t="shared" ref="Q79:Q91" si="68">IF(AND((S79/$G$162)^(1)+(T79/$H$162)^(1)&lt;=1,V79/$H$162&lt;=1),"✓","")</f>
        <v>✓</v>
      </c>
      <c r="R79" s="156" t="str">
        <f t="shared" ref="R79:R91" si="69">IF(AND((S79/$G$163)^(1)+(T79/$H$163)^(1)&lt;=1,V79/$H$163&lt;=1),"✓","")</f>
        <v>✓</v>
      </c>
      <c r="S79" s="155">
        <f t="shared" ref="S79:S91" si="70">($AA$4*($B79/2)*$C79*(3/2))/SIN(ATAN($E79/(($B79*12)*(2/3)+6)))*COS(RADIANS($D79))</f>
        <v>1137.120572557189</v>
      </c>
      <c r="T79" s="155">
        <f t="shared" ref="T79:T91" si="71">($AA$4*($B79/2)*$C79*(3/2))/SIN(ATAN($E79/(($B79*12)*(2/3)+6)))*SIN(RADIANS($D79))</f>
        <v>1137.1205725571888</v>
      </c>
      <c r="U79" s="155">
        <f t="shared" ref="U79:U91" si="72">($AA$3*($B79/2)*$C79*(3/2))/SIN(ATAN($E79/(($B79*12)*(2/3)+6)))*COS(RADIANS($D79))</f>
        <v>826.25135285406066</v>
      </c>
      <c r="V79" s="155">
        <f t="shared" ref="V79:V91" si="73">($AA$3*($B79/2)*$C79*(3/2))/SIN(ATAN($E79/(($B79*12)*(2/3)+6)))*SIN(RADIANS($D79))</f>
        <v>826.25135285406054</v>
      </c>
      <c r="Z79" s="165">
        <v>29</v>
      </c>
      <c r="AA79" s="153">
        <f t="shared" ref="AA79:AE88" si="74">IF(($Z79/AA$11)&lt;AA$15,0.85*(AA$12-AA$13*($Z79/AA$11)),(0.85*(PI())^2*(10100)/(($Z79/AA$11)^2)))/AA$16</f>
        <v>14.382055568500792</v>
      </c>
      <c r="AB79" s="153">
        <f t="shared" si="74"/>
        <v>14.212366374044983</v>
      </c>
      <c r="AC79" s="153">
        <f t="shared" si="74"/>
        <v>15.614663547659012</v>
      </c>
      <c r="AD79" s="153">
        <f t="shared" si="74"/>
        <v>15.485183059461106</v>
      </c>
      <c r="AE79" s="153">
        <f t="shared" si="74"/>
        <v>15.191714176107885</v>
      </c>
    </row>
    <row r="80" spans="2:31" x14ac:dyDescent="0.2">
      <c r="B80" s="161">
        <v>2.5</v>
      </c>
      <c r="C80" s="160">
        <v>12.8</v>
      </c>
      <c r="D80" s="159">
        <v>45</v>
      </c>
      <c r="E80" s="158">
        <f t="shared" si="56"/>
        <v>19.999999999999996</v>
      </c>
      <c r="F80" s="158">
        <f t="shared" si="57"/>
        <v>28.284271247461898</v>
      </c>
      <c r="G80" s="158">
        <f t="shared" si="58"/>
        <v>28.755675768252928</v>
      </c>
      <c r="H80" s="157" t="str">
        <f t="shared" si="59"/>
        <v>✓</v>
      </c>
      <c r="I80" s="157" t="str">
        <f t="shared" si="60"/>
        <v>✓</v>
      </c>
      <c r="J80" s="157" t="str">
        <f t="shared" si="61"/>
        <v>✓</v>
      </c>
      <c r="K80" s="157" t="str">
        <f t="shared" si="62"/>
        <v>✓</v>
      </c>
      <c r="L80" s="157" t="str">
        <f t="shared" si="63"/>
        <v>✓</v>
      </c>
      <c r="M80" s="156" t="str">
        <f t="shared" si="64"/>
        <v>✓</v>
      </c>
      <c r="N80" s="156" t="str">
        <f t="shared" si="65"/>
        <v>✓</v>
      </c>
      <c r="O80" s="156" t="str">
        <f t="shared" si="66"/>
        <v/>
      </c>
      <c r="P80" s="156" t="str">
        <f t="shared" si="67"/>
        <v>✓</v>
      </c>
      <c r="Q80" s="156" t="str">
        <f t="shared" si="68"/>
        <v>✓</v>
      </c>
      <c r="R80" s="156" t="str">
        <f t="shared" si="69"/>
        <v>✓</v>
      </c>
      <c r="S80" s="155">
        <f t="shared" si="70"/>
        <v>1096.9498663433665</v>
      </c>
      <c r="T80" s="155">
        <f t="shared" si="71"/>
        <v>1096.9498663433662</v>
      </c>
      <c r="U80" s="155">
        <f t="shared" si="72"/>
        <v>797.06262726480077</v>
      </c>
      <c r="V80" s="155">
        <f t="shared" si="73"/>
        <v>797.06262726480054</v>
      </c>
      <c r="Z80" s="165">
        <v>30</v>
      </c>
      <c r="AA80" s="153">
        <f t="shared" si="74"/>
        <v>14.178710003987232</v>
      </c>
      <c r="AB80" s="153">
        <f t="shared" si="74"/>
        <v>14.003169457998467</v>
      </c>
      <c r="AC80" s="153">
        <f t="shared" si="74"/>
        <v>15.453821706564705</v>
      </c>
      <c r="AD80" s="153">
        <f t="shared" si="74"/>
        <v>15.319876373946181</v>
      </c>
      <c r="AE80" s="153">
        <f t="shared" si="74"/>
        <v>15.016287873925606</v>
      </c>
    </row>
    <row r="81" spans="2:31" x14ac:dyDescent="0.2">
      <c r="B81" s="161">
        <v>3</v>
      </c>
      <c r="C81" s="160">
        <v>10.67</v>
      </c>
      <c r="D81" s="159">
        <v>45</v>
      </c>
      <c r="E81" s="158">
        <f t="shared" si="56"/>
        <v>23.999999999999993</v>
      </c>
      <c r="F81" s="158">
        <f t="shared" si="57"/>
        <v>33.941125496954278</v>
      </c>
      <c r="G81" s="158">
        <f t="shared" si="58"/>
        <v>34.412530017745311</v>
      </c>
      <c r="H81" s="157" t="str">
        <f t="shared" si="59"/>
        <v>✓</v>
      </c>
      <c r="I81" s="157" t="str">
        <f t="shared" si="60"/>
        <v>✓</v>
      </c>
      <c r="J81" s="157" t="str">
        <f t="shared" si="61"/>
        <v>✓</v>
      </c>
      <c r="K81" s="157" t="str">
        <f t="shared" si="62"/>
        <v>✓</v>
      </c>
      <c r="L81" s="157" t="str">
        <f t="shared" si="63"/>
        <v>✓</v>
      </c>
      <c r="M81" s="156" t="str">
        <f t="shared" si="64"/>
        <v>✓</v>
      </c>
      <c r="N81" s="156" t="str">
        <f t="shared" si="65"/>
        <v>✓</v>
      </c>
      <c r="O81" s="156" t="str">
        <f t="shared" si="66"/>
        <v/>
      </c>
      <c r="P81" s="156" t="str">
        <f t="shared" si="67"/>
        <v>✓</v>
      </c>
      <c r="Q81" s="156" t="str">
        <f t="shared" si="68"/>
        <v>✓</v>
      </c>
      <c r="R81" s="156" t="str">
        <f t="shared" si="69"/>
        <v>✓</v>
      </c>
      <c r="S81" s="155">
        <f t="shared" si="70"/>
        <v>1070.9723843006814</v>
      </c>
      <c r="T81" s="155">
        <f t="shared" si="71"/>
        <v>1070.9723843006811</v>
      </c>
      <c r="U81" s="155">
        <f t="shared" si="72"/>
        <v>778.18694231149641</v>
      </c>
      <c r="V81" s="155">
        <f t="shared" si="73"/>
        <v>778.1869423114963</v>
      </c>
      <c r="Z81" s="165">
        <v>31</v>
      </c>
      <c r="AA81" s="153">
        <f t="shared" si="74"/>
        <v>13.975364439473676</v>
      </c>
      <c r="AB81" s="153">
        <f t="shared" si="74"/>
        <v>13.793972541951952</v>
      </c>
      <c r="AC81" s="153">
        <f t="shared" si="74"/>
        <v>15.292979865470397</v>
      </c>
      <c r="AD81" s="153">
        <f t="shared" si="74"/>
        <v>15.154569688431256</v>
      </c>
      <c r="AE81" s="153">
        <f t="shared" si="74"/>
        <v>14.840861571743327</v>
      </c>
    </row>
    <row r="82" spans="2:31" x14ac:dyDescent="0.2">
      <c r="B82" s="161">
        <v>3.5</v>
      </c>
      <c r="C82" s="160">
        <v>9.14</v>
      </c>
      <c r="D82" s="159">
        <v>45</v>
      </c>
      <c r="E82" s="158">
        <f t="shared" si="56"/>
        <v>27.999999999999993</v>
      </c>
      <c r="F82" s="158">
        <f t="shared" si="57"/>
        <v>39.597979746446661</v>
      </c>
      <c r="G82" s="158">
        <f t="shared" si="58"/>
        <v>40.069384267237687</v>
      </c>
      <c r="H82" s="157" t="str">
        <f t="shared" si="59"/>
        <v>✓</v>
      </c>
      <c r="I82" s="157" t="str">
        <f t="shared" si="60"/>
        <v>✓</v>
      </c>
      <c r="J82" s="157" t="str">
        <f t="shared" si="61"/>
        <v>✓</v>
      </c>
      <c r="K82" s="157" t="str">
        <f t="shared" si="62"/>
        <v>✓</v>
      </c>
      <c r="L82" s="157" t="str">
        <f t="shared" si="63"/>
        <v>✓</v>
      </c>
      <c r="M82" s="156" t="str">
        <f t="shared" si="64"/>
        <v>✓</v>
      </c>
      <c r="N82" s="156" t="str">
        <f t="shared" si="65"/>
        <v>✓</v>
      </c>
      <c r="O82" s="156" t="str">
        <f t="shared" si="66"/>
        <v/>
      </c>
      <c r="P82" s="156" t="str">
        <f t="shared" si="67"/>
        <v>✓</v>
      </c>
      <c r="Q82" s="156" t="str">
        <f t="shared" si="68"/>
        <v>✓</v>
      </c>
      <c r="R82" s="156" t="str">
        <f t="shared" si="69"/>
        <v>✓</v>
      </c>
      <c r="S82" s="155">
        <f t="shared" si="70"/>
        <v>1051.7626276796082</v>
      </c>
      <c r="T82" s="155">
        <f t="shared" si="71"/>
        <v>1051.7626276796079</v>
      </c>
      <c r="U82" s="155">
        <f t="shared" si="72"/>
        <v>764.2288029732332</v>
      </c>
      <c r="V82" s="155">
        <f t="shared" si="73"/>
        <v>764.22880297323309</v>
      </c>
      <c r="Z82" s="165">
        <v>32</v>
      </c>
      <c r="AA82" s="153">
        <f t="shared" si="74"/>
        <v>13.772018874960118</v>
      </c>
      <c r="AB82" s="153">
        <f t="shared" si="74"/>
        <v>13.584775625905435</v>
      </c>
      <c r="AC82" s="153">
        <f t="shared" si="74"/>
        <v>15.132138024376086</v>
      </c>
      <c r="AD82" s="153">
        <f t="shared" si="74"/>
        <v>14.98926300291633</v>
      </c>
      <c r="AE82" s="153">
        <f t="shared" si="74"/>
        <v>14.665435269561049</v>
      </c>
    </row>
    <row r="83" spans="2:31" x14ac:dyDescent="0.2">
      <c r="B83" s="161">
        <v>4</v>
      </c>
      <c r="C83" s="160">
        <v>8</v>
      </c>
      <c r="D83" s="159">
        <v>45</v>
      </c>
      <c r="E83" s="158">
        <f t="shared" si="56"/>
        <v>31.999999999999993</v>
      </c>
      <c r="F83" s="158">
        <f t="shared" si="57"/>
        <v>45.254833995939038</v>
      </c>
      <c r="G83" s="158">
        <f t="shared" si="58"/>
        <v>45.726238516730064</v>
      </c>
      <c r="H83" s="157" t="str">
        <f t="shared" si="59"/>
        <v>✓</v>
      </c>
      <c r="I83" s="157" t="str">
        <f t="shared" si="60"/>
        <v>✓</v>
      </c>
      <c r="J83" s="157" t="str">
        <f t="shared" si="61"/>
        <v>✓</v>
      </c>
      <c r="K83" s="157" t="str">
        <f t="shared" si="62"/>
        <v>✓</v>
      </c>
      <c r="L83" s="157" t="str">
        <f t="shared" si="63"/>
        <v>✓</v>
      </c>
      <c r="M83" s="156" t="str">
        <f t="shared" si="64"/>
        <v>✓</v>
      </c>
      <c r="N83" s="156" t="str">
        <f t="shared" si="65"/>
        <v>✓</v>
      </c>
      <c r="O83" s="156" t="str">
        <f t="shared" si="66"/>
        <v/>
      </c>
      <c r="P83" s="156" t="str">
        <f t="shared" si="67"/>
        <v>✓</v>
      </c>
      <c r="Q83" s="156" t="str">
        <f t="shared" si="68"/>
        <v>✓</v>
      </c>
      <c r="R83" s="156" t="str">
        <f t="shared" si="69"/>
        <v>✓</v>
      </c>
      <c r="S83" s="155">
        <f t="shared" si="70"/>
        <v>1038.3248282695483</v>
      </c>
      <c r="T83" s="155">
        <f t="shared" si="71"/>
        <v>1038.3248282695481</v>
      </c>
      <c r="U83" s="155">
        <f t="shared" si="72"/>
        <v>754.46466695292111</v>
      </c>
      <c r="V83" s="155">
        <f t="shared" si="73"/>
        <v>754.46466695292099</v>
      </c>
      <c r="Z83" s="165">
        <v>33</v>
      </c>
      <c r="AA83" s="153">
        <f t="shared" si="74"/>
        <v>13.568673310446565</v>
      </c>
      <c r="AB83" s="153">
        <f t="shared" si="74"/>
        <v>13.375578709858919</v>
      </c>
      <c r="AC83" s="153">
        <f t="shared" si="74"/>
        <v>14.971296183281781</v>
      </c>
      <c r="AD83" s="153">
        <f t="shared" si="74"/>
        <v>14.823956317401406</v>
      </c>
      <c r="AE83" s="153">
        <f t="shared" si="74"/>
        <v>14.49000896737877</v>
      </c>
    </row>
    <row r="84" spans="2:31" x14ac:dyDescent="0.2">
      <c r="B84" s="161">
        <v>4.5</v>
      </c>
      <c r="C84" s="160">
        <v>7.11</v>
      </c>
      <c r="D84" s="159">
        <v>45</v>
      </c>
      <c r="E84" s="158">
        <f t="shared" si="56"/>
        <v>35.999999999999993</v>
      </c>
      <c r="F84" s="158">
        <f t="shared" si="57"/>
        <v>50.911688245431421</v>
      </c>
      <c r="G84" s="158">
        <f t="shared" si="58"/>
        <v>51.38309276622244</v>
      </c>
      <c r="H84" s="157" t="str">
        <f t="shared" si="59"/>
        <v>✓</v>
      </c>
      <c r="I84" s="157" t="str">
        <f t="shared" si="60"/>
        <v>✓</v>
      </c>
      <c r="J84" s="157" t="str">
        <f t="shared" si="61"/>
        <v>✓</v>
      </c>
      <c r="K84" s="157" t="str">
        <f t="shared" si="62"/>
        <v>✓</v>
      </c>
      <c r="L84" s="157" t="str">
        <f t="shared" si="63"/>
        <v>✓</v>
      </c>
      <c r="M84" s="156" t="str">
        <f t="shared" si="64"/>
        <v>✓</v>
      </c>
      <c r="N84" s="156" t="str">
        <f t="shared" si="65"/>
        <v>✓</v>
      </c>
      <c r="O84" s="156" t="str">
        <f t="shared" si="66"/>
        <v/>
      </c>
      <c r="P84" s="156" t="str">
        <f t="shared" si="67"/>
        <v>✓</v>
      </c>
      <c r="Q84" s="156" t="str">
        <f t="shared" si="68"/>
        <v>✓</v>
      </c>
      <c r="R84" s="156" t="str">
        <f t="shared" si="69"/>
        <v>✓</v>
      </c>
      <c r="S84" s="155">
        <f t="shared" si="70"/>
        <v>1027.5453262571916</v>
      </c>
      <c r="T84" s="155">
        <f t="shared" si="71"/>
        <v>1027.5453262571914</v>
      </c>
      <c r="U84" s="155">
        <f t="shared" si="72"/>
        <v>746.63209551260877</v>
      </c>
      <c r="V84" s="155">
        <f t="shared" si="73"/>
        <v>746.63209551260866</v>
      </c>
      <c r="Z84" s="165">
        <v>34</v>
      </c>
      <c r="AA84" s="153">
        <f t="shared" si="74"/>
        <v>13.365327745933005</v>
      </c>
      <c r="AB84" s="153">
        <f t="shared" si="74"/>
        <v>13.166381793812404</v>
      </c>
      <c r="AC84" s="153">
        <f t="shared" si="74"/>
        <v>14.810454342187473</v>
      </c>
      <c r="AD84" s="153">
        <f t="shared" si="74"/>
        <v>14.658649631886481</v>
      </c>
      <c r="AE84" s="153">
        <f t="shared" si="74"/>
        <v>14.314582665196493</v>
      </c>
    </row>
    <row r="85" spans="2:31" x14ac:dyDescent="0.2">
      <c r="B85" s="161">
        <v>5</v>
      </c>
      <c r="C85" s="160">
        <v>6.4</v>
      </c>
      <c r="D85" s="159">
        <v>45</v>
      </c>
      <c r="E85" s="158">
        <f t="shared" si="56"/>
        <v>39.999999999999993</v>
      </c>
      <c r="F85" s="158">
        <f t="shared" si="57"/>
        <v>56.568542494923797</v>
      </c>
      <c r="G85" s="158">
        <f t="shared" si="58"/>
        <v>57.039947015714823</v>
      </c>
      <c r="H85" s="157" t="str">
        <f t="shared" si="59"/>
        <v>✓</v>
      </c>
      <c r="I85" s="157" t="str">
        <f t="shared" si="60"/>
        <v>✓</v>
      </c>
      <c r="J85" s="157" t="str">
        <f t="shared" si="61"/>
        <v>✓</v>
      </c>
      <c r="K85" s="157" t="str">
        <f t="shared" si="62"/>
        <v>✓</v>
      </c>
      <c r="L85" s="157" t="str">
        <f t="shared" si="63"/>
        <v>✓</v>
      </c>
      <c r="M85" s="156" t="str">
        <f t="shared" si="64"/>
        <v>✓</v>
      </c>
      <c r="N85" s="156" t="str">
        <f t="shared" si="65"/>
        <v>✓</v>
      </c>
      <c r="O85" s="156" t="str">
        <f t="shared" si="66"/>
        <v/>
      </c>
      <c r="P85" s="156" t="str">
        <f t="shared" si="67"/>
        <v>✓</v>
      </c>
      <c r="Q85" s="156" t="str">
        <f t="shared" si="68"/>
        <v>✓</v>
      </c>
      <c r="R85" s="156" t="str">
        <f t="shared" si="69"/>
        <v>✓</v>
      </c>
      <c r="S85" s="155">
        <f t="shared" si="70"/>
        <v>1019.2682609323053</v>
      </c>
      <c r="T85" s="155">
        <f t="shared" si="71"/>
        <v>1019.2682609323052</v>
      </c>
      <c r="U85" s="155">
        <f t="shared" si="72"/>
        <v>740.61783758130696</v>
      </c>
      <c r="V85" s="155">
        <f t="shared" si="73"/>
        <v>740.61783758130684</v>
      </c>
      <c r="Z85" s="165">
        <v>35</v>
      </c>
      <c r="AA85" s="153">
        <f t="shared" si="74"/>
        <v>13.161982181419448</v>
      </c>
      <c r="AB85" s="153">
        <f t="shared" si="74"/>
        <v>12.95718487776589</v>
      </c>
      <c r="AC85" s="153">
        <f t="shared" si="74"/>
        <v>14.649612501093165</v>
      </c>
      <c r="AD85" s="153">
        <f t="shared" si="74"/>
        <v>14.493342946371556</v>
      </c>
      <c r="AE85" s="153">
        <f t="shared" si="74"/>
        <v>14.139156363014216</v>
      </c>
    </row>
    <row r="86" spans="2:31" x14ac:dyDescent="0.2">
      <c r="B86" s="161">
        <v>5.5</v>
      </c>
      <c r="C86" s="160">
        <v>5.82</v>
      </c>
      <c r="D86" s="159">
        <v>45</v>
      </c>
      <c r="E86" s="158">
        <f t="shared" si="56"/>
        <v>43.999999999999986</v>
      </c>
      <c r="F86" s="158">
        <f t="shared" si="57"/>
        <v>62.22539674441618</v>
      </c>
      <c r="G86" s="158">
        <f t="shared" si="58"/>
        <v>62.696801265207206</v>
      </c>
      <c r="H86" s="157" t="str">
        <f t="shared" si="59"/>
        <v>✓</v>
      </c>
      <c r="I86" s="157" t="str">
        <f t="shared" si="60"/>
        <v>✓</v>
      </c>
      <c r="J86" s="157" t="str">
        <f t="shared" si="61"/>
        <v>✓</v>
      </c>
      <c r="K86" s="157" t="str">
        <f t="shared" si="62"/>
        <v>✓</v>
      </c>
      <c r="L86" s="157" t="str">
        <f t="shared" si="63"/>
        <v>✓</v>
      </c>
      <c r="M86" s="156" t="str">
        <f t="shared" si="64"/>
        <v>✓</v>
      </c>
      <c r="N86" s="156" t="str">
        <f t="shared" si="65"/>
        <v>✓</v>
      </c>
      <c r="O86" s="156" t="str">
        <f t="shared" si="66"/>
        <v/>
      </c>
      <c r="P86" s="156" t="str">
        <f t="shared" si="67"/>
        <v>✓</v>
      </c>
      <c r="Q86" s="156" t="str">
        <f t="shared" si="68"/>
        <v>✓</v>
      </c>
      <c r="R86" s="156" t="str">
        <f t="shared" si="69"/>
        <v>✓</v>
      </c>
      <c r="S86" s="155">
        <f t="shared" si="70"/>
        <v>1012.7200950991302</v>
      </c>
      <c r="T86" s="155">
        <f t="shared" si="71"/>
        <v>1012.7200950991299</v>
      </c>
      <c r="U86" s="155">
        <f t="shared" si="72"/>
        <v>735.85982773701528</v>
      </c>
      <c r="V86" s="155">
        <f t="shared" si="73"/>
        <v>735.85982773701517</v>
      </c>
      <c r="Z86" s="165">
        <v>36</v>
      </c>
      <c r="AA86" s="153">
        <f t="shared" si="74"/>
        <v>12.958636616905892</v>
      </c>
      <c r="AB86" s="153">
        <f t="shared" si="74"/>
        <v>12.747987961719375</v>
      </c>
      <c r="AC86" s="153">
        <f t="shared" si="74"/>
        <v>14.48877065999886</v>
      </c>
      <c r="AD86" s="153">
        <f t="shared" si="74"/>
        <v>14.328036260856631</v>
      </c>
      <c r="AE86" s="153">
        <f t="shared" si="74"/>
        <v>13.963730060831937</v>
      </c>
    </row>
    <row r="87" spans="2:31" x14ac:dyDescent="0.2">
      <c r="B87" s="161">
        <v>6</v>
      </c>
      <c r="C87" s="160">
        <v>5.33</v>
      </c>
      <c r="D87" s="159">
        <v>45</v>
      </c>
      <c r="E87" s="158">
        <f t="shared" si="56"/>
        <v>47.999999999999986</v>
      </c>
      <c r="F87" s="158">
        <f t="shared" si="57"/>
        <v>67.882250993908556</v>
      </c>
      <c r="G87" s="158">
        <f t="shared" si="58"/>
        <v>68.353655514699582</v>
      </c>
      <c r="H87" s="157" t="str">
        <f t="shared" si="59"/>
        <v>✓</v>
      </c>
      <c r="I87" s="157" t="str">
        <f t="shared" si="60"/>
        <v>✓</v>
      </c>
      <c r="J87" s="157" t="str">
        <f t="shared" si="61"/>
        <v>✓</v>
      </c>
      <c r="K87" s="157" t="str">
        <f t="shared" si="62"/>
        <v>✓</v>
      </c>
      <c r="L87" s="157" t="str">
        <f t="shared" si="63"/>
        <v>✓</v>
      </c>
      <c r="M87" s="156" t="str">
        <f t="shared" si="64"/>
        <v>✓</v>
      </c>
      <c r="N87" s="156" t="str">
        <f t="shared" si="65"/>
        <v>✓</v>
      </c>
      <c r="O87" s="156" t="str">
        <f t="shared" si="66"/>
        <v/>
      </c>
      <c r="P87" s="156" t="str">
        <f t="shared" si="67"/>
        <v>✓</v>
      </c>
      <c r="Q87" s="156" t="str">
        <f t="shared" si="68"/>
        <v>✓</v>
      </c>
      <c r="R87" s="156" t="str">
        <f t="shared" si="69"/>
        <v>✓</v>
      </c>
      <c r="S87" s="155">
        <f t="shared" si="70"/>
        <v>1006.0814341782425</v>
      </c>
      <c r="T87" s="155">
        <f t="shared" si="71"/>
        <v>1006.0814341782424</v>
      </c>
      <c r="U87" s="155">
        <f t="shared" si="72"/>
        <v>731.0360626065617</v>
      </c>
      <c r="V87" s="155">
        <f t="shared" si="73"/>
        <v>731.03606260656159</v>
      </c>
      <c r="Z87" s="165">
        <v>37</v>
      </c>
      <c r="AA87" s="153">
        <f t="shared" si="74"/>
        <v>12.755291052392334</v>
      </c>
      <c r="AB87" s="153">
        <f t="shared" si="74"/>
        <v>12.538791045672857</v>
      </c>
      <c r="AC87" s="153">
        <f t="shared" si="74"/>
        <v>14.32792881890455</v>
      </c>
      <c r="AD87" s="153">
        <f t="shared" si="74"/>
        <v>14.162729575341704</v>
      </c>
      <c r="AE87" s="153">
        <f t="shared" si="74"/>
        <v>13.788303758649658</v>
      </c>
    </row>
    <row r="88" spans="2:31" x14ac:dyDescent="0.2">
      <c r="B88" s="161">
        <v>6.5</v>
      </c>
      <c r="C88" s="160">
        <v>4.92</v>
      </c>
      <c r="D88" s="159">
        <v>45</v>
      </c>
      <c r="E88" s="158">
        <f t="shared" si="56"/>
        <v>51.999999999999986</v>
      </c>
      <c r="F88" s="158">
        <f t="shared" si="57"/>
        <v>73.53910524340094</v>
      </c>
      <c r="G88" s="158">
        <f t="shared" si="58"/>
        <v>74.010509764191966</v>
      </c>
      <c r="H88" s="157" t="str">
        <f t="shared" si="59"/>
        <v>✓</v>
      </c>
      <c r="I88" s="157" t="str">
        <f t="shared" si="60"/>
        <v>✓</v>
      </c>
      <c r="J88" s="157" t="str">
        <f t="shared" si="61"/>
        <v>✓</v>
      </c>
      <c r="K88" s="157" t="str">
        <f t="shared" si="62"/>
        <v>✓</v>
      </c>
      <c r="L88" s="157" t="str">
        <f t="shared" si="63"/>
        <v>✓</v>
      </c>
      <c r="M88" s="156" t="str">
        <f t="shared" si="64"/>
        <v>✓</v>
      </c>
      <c r="N88" s="156" t="str">
        <f t="shared" si="65"/>
        <v>✓</v>
      </c>
      <c r="O88" s="156" t="str">
        <f t="shared" si="66"/>
        <v/>
      </c>
      <c r="P88" s="156" t="str">
        <f t="shared" si="67"/>
        <v>✓</v>
      </c>
      <c r="Q88" s="156" t="str">
        <f t="shared" si="68"/>
        <v>✓</v>
      </c>
      <c r="R88" s="156" t="str">
        <f t="shared" si="69"/>
        <v>✓</v>
      </c>
      <c r="S88" s="155">
        <f t="shared" si="70"/>
        <v>1001.2869664425174</v>
      </c>
      <c r="T88" s="155">
        <f t="shared" si="71"/>
        <v>1001.2869664425173</v>
      </c>
      <c r="U88" s="155">
        <f t="shared" si="72"/>
        <v>727.55231994244878</v>
      </c>
      <c r="V88" s="155">
        <f t="shared" si="73"/>
        <v>727.55231994244866</v>
      </c>
      <c r="Z88" s="165">
        <v>38</v>
      </c>
      <c r="AA88" s="153">
        <f t="shared" si="74"/>
        <v>12.551945487878777</v>
      </c>
      <c r="AB88" s="153">
        <f t="shared" si="74"/>
        <v>12.329594129626342</v>
      </c>
      <c r="AC88" s="153">
        <f t="shared" si="74"/>
        <v>14.167086977810241</v>
      </c>
      <c r="AD88" s="153">
        <f t="shared" si="74"/>
        <v>13.997422889826778</v>
      </c>
      <c r="AE88" s="153">
        <f t="shared" si="74"/>
        <v>13.612877456467382</v>
      </c>
    </row>
    <row r="89" spans="2:31" x14ac:dyDescent="0.2">
      <c r="B89" s="161">
        <v>7</v>
      </c>
      <c r="C89" s="160">
        <v>4.57</v>
      </c>
      <c r="D89" s="159">
        <v>45</v>
      </c>
      <c r="E89" s="158">
        <f t="shared" si="56"/>
        <v>55.999999999999986</v>
      </c>
      <c r="F89" s="158">
        <f t="shared" si="57"/>
        <v>79.195959492893323</v>
      </c>
      <c r="G89" s="158">
        <f t="shared" si="58"/>
        <v>79.667364013684349</v>
      </c>
      <c r="H89" s="157" t="str">
        <f t="shared" si="59"/>
        <v>✓</v>
      </c>
      <c r="I89" s="157" t="str">
        <f t="shared" si="60"/>
        <v>✓</v>
      </c>
      <c r="J89" s="157" t="str">
        <f t="shared" si="61"/>
        <v>✓</v>
      </c>
      <c r="K89" s="157" t="str">
        <f t="shared" si="62"/>
        <v>✓</v>
      </c>
      <c r="L89" s="157" t="str">
        <f t="shared" si="63"/>
        <v>✓</v>
      </c>
      <c r="M89" s="156" t="str">
        <f t="shared" si="64"/>
        <v>✓</v>
      </c>
      <c r="N89" s="156" t="str">
        <f t="shared" si="65"/>
        <v>✓</v>
      </c>
      <c r="O89" s="156" t="str">
        <f t="shared" si="66"/>
        <v/>
      </c>
      <c r="P89" s="156" t="str">
        <f t="shared" si="67"/>
        <v>✓</v>
      </c>
      <c r="Q89" s="156" t="str">
        <f t="shared" si="68"/>
        <v>✓</v>
      </c>
      <c r="R89" s="156" t="str">
        <f t="shared" si="69"/>
        <v>✓</v>
      </c>
      <c r="S89" s="155">
        <f t="shared" si="70"/>
        <v>997.50386160434653</v>
      </c>
      <c r="T89" s="155">
        <f t="shared" si="71"/>
        <v>997.50386160434641</v>
      </c>
      <c r="U89" s="155">
        <f t="shared" si="72"/>
        <v>724.80345094300924</v>
      </c>
      <c r="V89" s="155">
        <f t="shared" si="73"/>
        <v>724.80345094300912</v>
      </c>
      <c r="Z89" s="165">
        <v>39</v>
      </c>
      <c r="AA89" s="153">
        <f t="shared" ref="AA89:AE98" si="75">IF(($Z89/AA$11)&lt;AA$15,0.85*(AA$12-AA$13*($Z89/AA$11)),(0.85*(PI())^2*(10100)/(($Z89/AA$11)^2)))/AA$16</f>
        <v>12.348599923365219</v>
      </c>
      <c r="AB89" s="153">
        <f t="shared" si="75"/>
        <v>12.120397213579826</v>
      </c>
      <c r="AC89" s="153">
        <f t="shared" si="75"/>
        <v>14.006245136715934</v>
      </c>
      <c r="AD89" s="153">
        <f t="shared" si="75"/>
        <v>13.832116204311854</v>
      </c>
      <c r="AE89" s="153">
        <f t="shared" si="75"/>
        <v>13.437451154285103</v>
      </c>
    </row>
    <row r="90" spans="2:31" x14ac:dyDescent="0.2">
      <c r="B90" s="161">
        <v>7.5</v>
      </c>
      <c r="C90" s="160">
        <v>4.2699999999999996</v>
      </c>
      <c r="D90" s="159">
        <v>45</v>
      </c>
      <c r="E90" s="158">
        <f t="shared" si="56"/>
        <v>59.999999999999986</v>
      </c>
      <c r="F90" s="158">
        <f t="shared" si="57"/>
        <v>84.852813742385692</v>
      </c>
      <c r="G90" s="158">
        <f t="shared" si="58"/>
        <v>85.324218263176718</v>
      </c>
      <c r="H90" s="157" t="str">
        <f t="shared" si="59"/>
        <v>✓</v>
      </c>
      <c r="I90" s="157" t="str">
        <f t="shared" si="60"/>
        <v>✓</v>
      </c>
      <c r="J90" s="157" t="str">
        <f t="shared" si="61"/>
        <v>✓</v>
      </c>
      <c r="K90" s="157" t="str">
        <f t="shared" si="62"/>
        <v>✓</v>
      </c>
      <c r="L90" s="157" t="str">
        <f t="shared" si="63"/>
        <v>✓</v>
      </c>
      <c r="M90" s="156" t="str">
        <f t="shared" si="64"/>
        <v>✓</v>
      </c>
      <c r="N90" s="156" t="str">
        <f t="shared" si="65"/>
        <v>✓</v>
      </c>
      <c r="O90" s="156" t="str">
        <f t="shared" si="66"/>
        <v/>
      </c>
      <c r="P90" s="156" t="str">
        <f t="shared" si="67"/>
        <v>✓</v>
      </c>
      <c r="Q90" s="156" t="str">
        <f t="shared" si="68"/>
        <v>✓</v>
      </c>
      <c r="R90" s="156" t="str">
        <f t="shared" si="69"/>
        <v>✓</v>
      </c>
      <c r="S90" s="155">
        <f t="shared" si="70"/>
        <v>995.05236556492707</v>
      </c>
      <c r="T90" s="155">
        <f t="shared" si="71"/>
        <v>995.05236556492684</v>
      </c>
      <c r="U90" s="155">
        <f t="shared" si="72"/>
        <v>723.02215178444101</v>
      </c>
      <c r="V90" s="155">
        <f t="shared" si="73"/>
        <v>723.02215178444089</v>
      </c>
      <c r="Z90" s="165">
        <v>40</v>
      </c>
      <c r="AA90" s="153">
        <f t="shared" si="75"/>
        <v>12.145254358851664</v>
      </c>
      <c r="AB90" s="153">
        <f t="shared" si="75"/>
        <v>11.754759592103301</v>
      </c>
      <c r="AC90" s="153">
        <f t="shared" si="75"/>
        <v>13.845403295621624</v>
      </c>
      <c r="AD90" s="153">
        <f t="shared" si="75"/>
        <v>13.666809518796926</v>
      </c>
      <c r="AE90" s="153">
        <f t="shared" si="75"/>
        <v>13.262024852102826</v>
      </c>
    </row>
    <row r="91" spans="2:31" x14ac:dyDescent="0.2">
      <c r="B91" s="161">
        <v>8</v>
      </c>
      <c r="C91" s="160">
        <v>4</v>
      </c>
      <c r="D91" s="159">
        <v>45</v>
      </c>
      <c r="E91" s="158">
        <f t="shared" si="56"/>
        <v>63.999999999999986</v>
      </c>
      <c r="F91" s="158">
        <f t="shared" si="57"/>
        <v>90.509667991878075</v>
      </c>
      <c r="G91" s="158">
        <f t="shared" si="58"/>
        <v>90.981072512669101</v>
      </c>
      <c r="H91" s="157" t="str">
        <f t="shared" si="59"/>
        <v>✓</v>
      </c>
      <c r="I91" s="157" t="str">
        <f t="shared" si="60"/>
        <v>✓</v>
      </c>
      <c r="J91" s="157" t="str">
        <f t="shared" si="61"/>
        <v>✓</v>
      </c>
      <c r="K91" s="157" t="str">
        <f t="shared" si="62"/>
        <v>✓</v>
      </c>
      <c r="L91" s="157" t="str">
        <f t="shared" si="63"/>
        <v>✓</v>
      </c>
      <c r="M91" s="156" t="str">
        <f t="shared" si="64"/>
        <v>✓</v>
      </c>
      <c r="N91" s="156" t="str">
        <f t="shared" si="65"/>
        <v>✓</v>
      </c>
      <c r="O91" s="156" t="str">
        <f t="shared" si="66"/>
        <v/>
      </c>
      <c r="P91" s="156" t="str">
        <f t="shared" si="67"/>
        <v>✓</v>
      </c>
      <c r="Q91" s="156" t="str">
        <f t="shared" si="68"/>
        <v>✓</v>
      </c>
      <c r="R91" s="156" t="str">
        <f t="shared" si="69"/>
        <v>✓</v>
      </c>
      <c r="S91" s="155">
        <f t="shared" si="70"/>
        <v>991.18652433044667</v>
      </c>
      <c r="T91" s="155">
        <f t="shared" si="71"/>
        <v>991.18652433044656</v>
      </c>
      <c r="U91" s="155">
        <f t="shared" si="72"/>
        <v>720.21316509736937</v>
      </c>
      <c r="V91" s="155">
        <f t="shared" si="73"/>
        <v>720.21316509736926</v>
      </c>
      <c r="Z91" s="165">
        <v>41</v>
      </c>
      <c r="AA91" s="153">
        <f t="shared" si="75"/>
        <v>11.841512258660256</v>
      </c>
      <c r="AB91" s="153">
        <f t="shared" si="75"/>
        <v>11.188349403548653</v>
      </c>
      <c r="AC91" s="153">
        <f t="shared" si="75"/>
        <v>13.684561454527319</v>
      </c>
      <c r="AD91" s="153">
        <f t="shared" si="75"/>
        <v>13.501502833282002</v>
      </c>
      <c r="AE91" s="153">
        <f t="shared" si="75"/>
        <v>13.086598549920549</v>
      </c>
    </row>
    <row r="92" spans="2:31" x14ac:dyDescent="0.2">
      <c r="Z92" s="165">
        <v>42</v>
      </c>
      <c r="AA92" s="153">
        <f t="shared" si="75"/>
        <v>11.284343597963655</v>
      </c>
      <c r="AB92" s="153">
        <f t="shared" si="75"/>
        <v>10.661913462225218</v>
      </c>
      <c r="AC92" s="153">
        <f t="shared" si="75"/>
        <v>13.523719613433011</v>
      </c>
      <c r="AD92" s="153">
        <f t="shared" si="75"/>
        <v>13.336196147767078</v>
      </c>
      <c r="AE92" s="153">
        <f t="shared" si="75"/>
        <v>12.911172247738271</v>
      </c>
    </row>
    <row r="93" spans="2:31" x14ac:dyDescent="0.2">
      <c r="Z93" s="165">
        <v>43</v>
      </c>
      <c r="AA93" s="153">
        <f t="shared" si="75"/>
        <v>10.765593351437472</v>
      </c>
      <c r="AB93" s="153">
        <f t="shared" si="75"/>
        <v>10.171776823886038</v>
      </c>
      <c r="AC93" s="153">
        <f t="shared" si="75"/>
        <v>13.362877772338701</v>
      </c>
      <c r="AD93" s="153">
        <f t="shared" si="75"/>
        <v>13.17088946225215</v>
      </c>
      <c r="AE93" s="153">
        <f t="shared" si="75"/>
        <v>12.735745945555992</v>
      </c>
    </row>
    <row r="94" spans="2:31" ht="15.75" x14ac:dyDescent="0.25">
      <c r="B94" s="549" t="s">
        <v>175</v>
      </c>
      <c r="C94" s="549"/>
      <c r="D94" s="549"/>
      <c r="E94" s="549"/>
      <c r="F94" s="549"/>
      <c r="G94" s="549"/>
      <c r="H94" s="549"/>
      <c r="I94" s="549"/>
      <c r="J94" s="549"/>
      <c r="K94" s="549"/>
      <c r="L94" s="549"/>
      <c r="M94" s="167"/>
      <c r="N94" s="167"/>
      <c r="O94" s="167"/>
      <c r="P94" s="167"/>
      <c r="Q94" s="167"/>
      <c r="R94" s="167"/>
      <c r="S94" s="167"/>
      <c r="T94" s="167"/>
      <c r="U94" s="167"/>
      <c r="V94" s="167"/>
      <c r="Z94" s="165">
        <v>44</v>
      </c>
      <c r="AA94" s="153">
        <f t="shared" si="75"/>
        <v>10.281808939466883</v>
      </c>
      <c r="AB94" s="153">
        <f t="shared" si="75"/>
        <v>9.7146773488457026</v>
      </c>
      <c r="AC94" s="153">
        <f t="shared" si="75"/>
        <v>13.202035931244394</v>
      </c>
      <c r="AD94" s="153">
        <f t="shared" si="75"/>
        <v>13.005582776737226</v>
      </c>
      <c r="AE94" s="153">
        <f t="shared" si="75"/>
        <v>12.560319643373713</v>
      </c>
    </row>
    <row r="95" spans="2:31" x14ac:dyDescent="0.2">
      <c r="Z95" s="165">
        <v>45</v>
      </c>
      <c r="AA95" s="153">
        <f t="shared" si="75"/>
        <v>9.8299170897816737</v>
      </c>
      <c r="AB95" s="153">
        <f t="shared" si="75"/>
        <v>9.2877112826495214</v>
      </c>
      <c r="AC95" s="153">
        <f t="shared" si="75"/>
        <v>13.041194090150084</v>
      </c>
      <c r="AD95" s="153">
        <f t="shared" si="75"/>
        <v>12.840276091222302</v>
      </c>
      <c r="AE95" s="153">
        <f t="shared" si="75"/>
        <v>12.384893341191436</v>
      </c>
    </row>
    <row r="96" spans="2:31" x14ac:dyDescent="0.2">
      <c r="B96" s="166" t="s">
        <v>106</v>
      </c>
      <c r="C96" s="166" t="s">
        <v>172</v>
      </c>
      <c r="D96" s="166" t="s">
        <v>171</v>
      </c>
      <c r="E96" s="166" t="s">
        <v>170</v>
      </c>
      <c r="F96" s="166" t="s">
        <v>169</v>
      </c>
      <c r="G96" s="166" t="s">
        <v>168</v>
      </c>
      <c r="H96" s="166" t="s">
        <v>167</v>
      </c>
      <c r="I96" s="166" t="s">
        <v>166</v>
      </c>
      <c r="J96" s="166" t="s">
        <v>165</v>
      </c>
      <c r="K96" s="166" t="s">
        <v>164</v>
      </c>
      <c r="L96" s="166" t="s">
        <v>163</v>
      </c>
      <c r="M96" s="166" t="s">
        <v>162</v>
      </c>
      <c r="N96" s="166" t="s">
        <v>121</v>
      </c>
      <c r="O96" s="166" t="s">
        <v>120</v>
      </c>
      <c r="P96" s="166" t="s">
        <v>119</v>
      </c>
      <c r="Q96" s="166" t="s">
        <v>118</v>
      </c>
      <c r="R96" s="166" t="s">
        <v>117</v>
      </c>
      <c r="S96" s="166" t="s">
        <v>161</v>
      </c>
      <c r="T96" s="166" t="s">
        <v>160</v>
      </c>
      <c r="U96" s="166" t="s">
        <v>159</v>
      </c>
      <c r="V96" s="166" t="s">
        <v>158</v>
      </c>
      <c r="Z96" s="165">
        <v>46</v>
      </c>
      <c r="AA96" s="153">
        <f t="shared" si="75"/>
        <v>9.4071749086993801</v>
      </c>
      <c r="AB96" s="153">
        <f t="shared" si="75"/>
        <v>8.8882870261650702</v>
      </c>
      <c r="AC96" s="153">
        <f t="shared" si="75"/>
        <v>12.880352249055779</v>
      </c>
      <c r="AD96" s="153">
        <f t="shared" si="75"/>
        <v>12.674969405707376</v>
      </c>
      <c r="AE96" s="153">
        <f t="shared" si="75"/>
        <v>12.209467039009159</v>
      </c>
    </row>
    <row r="97" spans="2:31" x14ac:dyDescent="0.2">
      <c r="B97" s="161">
        <v>2</v>
      </c>
      <c r="C97" s="160">
        <v>16</v>
      </c>
      <c r="D97" s="159">
        <v>50</v>
      </c>
      <c r="E97" s="158">
        <f t="shared" ref="E97:E109" si="76">TAN(RADIANS(D97))*(B97*12)*(2/3)</f>
        <v>19.06805748150736</v>
      </c>
      <c r="F97" s="158">
        <f t="shared" ref="F97:F109" si="77">((B97*12)*(2/3))/COS(RADIANS(D97))</f>
        <v>24.891581229766597</v>
      </c>
      <c r="G97" s="158">
        <f t="shared" ref="G97:G109" si="78">(((B97*12)+(6/12))*(2/3))/COS(RADIANS(D97))</f>
        <v>25.410155838720065</v>
      </c>
      <c r="H97" s="157" t="str">
        <f t="shared" ref="H97:H109" si="79">IF(((($AA$3*($B97/2)*$C97*(3/2))/SIN(ATAN($E97/(($B97*12)*(2/3)+6))))/1000/AA$10/AA781)&lt;=1,"✓","")</f>
        <v>✓</v>
      </c>
      <c r="I97" s="157" t="str">
        <f t="shared" ref="I97:I109" si="80">IF(((($AA$3*($B97/2)*$C97*(3/2))/SIN(ATAN($E97/(($B97*12)*(2/3)+6))))/1000/AB$10/AB781)&lt;=1,"✓","")</f>
        <v>✓</v>
      </c>
      <c r="J97" s="157" t="str">
        <f t="shared" ref="J97:J109" si="81">IF(((($AA$3*($B97/2)*$C97*(3/2))/SIN(ATAN($E97/(($B97*12)*(2/3)+6))))/1000/AC$10/AC781)&lt;=1,"✓","")</f>
        <v>✓</v>
      </c>
      <c r="K97" s="157" t="str">
        <f t="shared" ref="K97:K109" si="82">IF(((($AA$3*($B97/2)*$C97*(3/2))/SIN(ATAN($E97/(($B97*12)*(2/3)+6))))/1000/AD$10/AD781)&lt;=1,"✓","")</f>
        <v>✓</v>
      </c>
      <c r="L97" s="157" t="str">
        <f t="shared" ref="L97:L109" si="83">IF(((($AA$3*($B97/2)*$C97*(3/2))/SIN(ATAN($E97/(($B97*12)*(2/3)+6))))/1000/AE$10/AE781)&lt;=1,"✓","")</f>
        <v>✓</v>
      </c>
      <c r="M97" s="156" t="str">
        <f t="shared" ref="M97:M109" si="84">IF(AND((S97/$G$149)^(5/3)+(T97/$H$149)^(5/3)&lt;=1,V97/$H$149&lt;=1),"✓","")</f>
        <v>✓</v>
      </c>
      <c r="N97" s="156" t="str">
        <f t="shared" ref="N97:N109" si="85">IF(AND((S97/$G$157)^(1)+(T97/$H$157)^(1)&lt;=1,V97/$H$157&lt;=1),"✓","")</f>
        <v>✓</v>
      </c>
      <c r="O97" s="156" t="str">
        <f t="shared" ref="O97:O109" si="86">IF(AND((S97/$G$159)^(1)+(T97/$H$159)^(1)&lt;=1,V97/$H$159&lt;=1),"✓","")</f>
        <v/>
      </c>
      <c r="P97" s="156" t="str">
        <f t="shared" ref="P97:P109" si="87">IF(AND((S97/$G$161)^(1)+(T97/$H$161)^(1)&lt;=1,V97/$H$161&lt;=1),"✓","")</f>
        <v>✓</v>
      </c>
      <c r="Q97" s="156" t="str">
        <f t="shared" ref="Q97:Q109" si="88">IF(AND((S97/$G$162)^(1)+(T97/$H$162)^(1)&lt;=1,V97/$H$162&lt;=1),"✓","")</f>
        <v>✓</v>
      </c>
      <c r="R97" s="156" t="str">
        <f t="shared" ref="R97:R109" si="89">IF(AND((S97/$G$163)^(1)+(T97/$H$163)^(1)&lt;=1,V97/$H$163&lt;=1),"✓","")</f>
        <v>✓</v>
      </c>
      <c r="S97" s="155">
        <f t="shared" ref="S97:S109" si="90">($AA$4*($B97/2)*$C97*(3/2))/SIN(ATAN($E97/(($B97*12)*(2/3)+6)))*COS(RADIANS($D97))</f>
        <v>928.28172981128466</v>
      </c>
      <c r="T97" s="155">
        <f t="shared" ref="T97:T109" si="91">($AA$4*($B97/2)*$C97*(3/2))/SIN(ATAN($E97/(($B97*12)*(2/3)+6)))*SIN(RADIANS($D97))</f>
        <v>1106.2830864421662</v>
      </c>
      <c r="U97" s="155">
        <f t="shared" ref="U97:U109" si="92">($AA$3*($B97/2)*$C97*(3/2))/SIN(ATAN($E97/(($B97*12)*(2/3)+6)))*COS(RADIANS($D97))</f>
        <v>674.50546019182786</v>
      </c>
      <c r="V97" s="155">
        <f t="shared" ref="V97:V109" si="93">($AA$3*($B97/2)*$C97*(3/2))/SIN(ATAN($E97/(($B97*12)*(2/3)+6)))*SIN(RADIANS($D97))</f>
        <v>803.84430540802168</v>
      </c>
      <c r="Z97" s="165">
        <v>47</v>
      </c>
      <c r="AA97" s="153">
        <f t="shared" si="75"/>
        <v>9.0111281606192328</v>
      </c>
      <c r="AB97" s="153">
        <f t="shared" si="75"/>
        <v>8.5140857163265213</v>
      </c>
      <c r="AC97" s="153">
        <f t="shared" si="75"/>
        <v>12.71951040796147</v>
      </c>
      <c r="AD97" s="153">
        <f t="shared" si="75"/>
        <v>12.50966272019245</v>
      </c>
      <c r="AE97" s="153">
        <f t="shared" si="75"/>
        <v>12.034040736826878</v>
      </c>
    </row>
    <row r="98" spans="2:31" x14ac:dyDescent="0.2">
      <c r="B98" s="161">
        <v>2.5</v>
      </c>
      <c r="C98" s="160">
        <v>12.8</v>
      </c>
      <c r="D98" s="159">
        <v>50</v>
      </c>
      <c r="E98" s="158">
        <f t="shared" si="76"/>
        <v>23.835071851884198</v>
      </c>
      <c r="F98" s="158">
        <f t="shared" si="77"/>
        <v>31.114476537208244</v>
      </c>
      <c r="G98" s="158">
        <f t="shared" si="78"/>
        <v>31.633051146161712</v>
      </c>
      <c r="H98" s="157" t="str">
        <f t="shared" si="79"/>
        <v>✓</v>
      </c>
      <c r="I98" s="157" t="str">
        <f t="shared" si="80"/>
        <v>✓</v>
      </c>
      <c r="J98" s="157" t="str">
        <f t="shared" si="81"/>
        <v>✓</v>
      </c>
      <c r="K98" s="157" t="str">
        <f t="shared" si="82"/>
        <v>✓</v>
      </c>
      <c r="L98" s="157" t="str">
        <f t="shared" si="83"/>
        <v>✓</v>
      </c>
      <c r="M98" s="156" t="str">
        <f t="shared" si="84"/>
        <v>✓</v>
      </c>
      <c r="N98" s="156" t="str">
        <f t="shared" si="85"/>
        <v>✓</v>
      </c>
      <c r="O98" s="156" t="str">
        <f t="shared" si="86"/>
        <v>✓</v>
      </c>
      <c r="P98" s="156" t="str">
        <f t="shared" si="87"/>
        <v>✓</v>
      </c>
      <c r="Q98" s="156" t="str">
        <f t="shared" si="88"/>
        <v>✓</v>
      </c>
      <c r="R98" s="156" t="str">
        <f t="shared" si="89"/>
        <v>✓</v>
      </c>
      <c r="S98" s="155">
        <f t="shared" si="90"/>
        <v>899.71750992047816</v>
      </c>
      <c r="T98" s="155">
        <f t="shared" si="91"/>
        <v>1072.2415747676464</v>
      </c>
      <c r="U98" s="155">
        <f t="shared" si="92"/>
        <v>653.75020705721556</v>
      </c>
      <c r="V98" s="155">
        <f t="shared" si="93"/>
        <v>779.10915791964521</v>
      </c>
      <c r="Z98" s="165">
        <v>48</v>
      </c>
      <c r="AA98" s="153">
        <f t="shared" si="75"/>
        <v>8.6395755671909242</v>
      </c>
      <c r="AB98" s="153">
        <f t="shared" si="75"/>
        <v>8.1630274945161823</v>
      </c>
      <c r="AC98" s="153">
        <f t="shared" si="75"/>
        <v>12.55866856686716</v>
      </c>
      <c r="AD98" s="153">
        <f t="shared" si="75"/>
        <v>12.344356034677524</v>
      </c>
      <c r="AE98" s="153">
        <f t="shared" si="75"/>
        <v>11.608400873885357</v>
      </c>
    </row>
    <row r="99" spans="2:31" x14ac:dyDescent="0.2">
      <c r="B99" s="161">
        <v>3</v>
      </c>
      <c r="C99" s="160">
        <v>10.67</v>
      </c>
      <c r="D99" s="159">
        <v>50</v>
      </c>
      <c r="E99" s="158">
        <f t="shared" si="76"/>
        <v>28.60208622226104</v>
      </c>
      <c r="F99" s="158">
        <f t="shared" si="77"/>
        <v>37.337371844649894</v>
      </c>
      <c r="G99" s="158">
        <f t="shared" si="78"/>
        <v>37.855946453603366</v>
      </c>
      <c r="H99" s="157" t="str">
        <f t="shared" si="79"/>
        <v>✓</v>
      </c>
      <c r="I99" s="157" t="str">
        <f t="shared" si="80"/>
        <v>✓</v>
      </c>
      <c r="J99" s="157" t="str">
        <f t="shared" si="81"/>
        <v>✓</v>
      </c>
      <c r="K99" s="157" t="str">
        <f t="shared" si="82"/>
        <v>✓</v>
      </c>
      <c r="L99" s="157" t="str">
        <f t="shared" si="83"/>
        <v>✓</v>
      </c>
      <c r="M99" s="156" t="str">
        <f t="shared" si="84"/>
        <v>✓</v>
      </c>
      <c r="N99" s="156" t="str">
        <f t="shared" si="85"/>
        <v>✓</v>
      </c>
      <c r="O99" s="156" t="str">
        <f t="shared" si="86"/>
        <v>✓</v>
      </c>
      <c r="P99" s="156" t="str">
        <f t="shared" si="87"/>
        <v>✓</v>
      </c>
      <c r="Q99" s="156" t="str">
        <f t="shared" si="88"/>
        <v>✓</v>
      </c>
      <c r="R99" s="156" t="str">
        <f t="shared" si="89"/>
        <v>✓</v>
      </c>
      <c r="S99" s="155">
        <f t="shared" si="90"/>
        <v>881.35876061595786</v>
      </c>
      <c r="T99" s="155">
        <f t="shared" si="91"/>
        <v>1050.362469328448</v>
      </c>
      <c r="U99" s="155">
        <f t="shared" si="92"/>
        <v>640.4104242622775</v>
      </c>
      <c r="V99" s="155">
        <f t="shared" si="93"/>
        <v>763.21142384935138</v>
      </c>
      <c r="Z99" s="165">
        <v>49</v>
      </c>
      <c r="AA99" s="153">
        <f t="shared" ref="AA99:AE108" si="94">IF(($Z99/AA$11)&lt;AA$15,0.85*(AA$12-AA$13*($Z99/AA$11)),(0.85*(PI())^2*(10100)/(($Z99/AA$11)^2)))/AA$16</f>
        <v>8.2905381536059508</v>
      </c>
      <c r="AB99" s="153">
        <f t="shared" si="94"/>
        <v>7.833242543675671</v>
      </c>
      <c r="AC99" s="153">
        <f t="shared" si="94"/>
        <v>12.397826725772854</v>
      </c>
      <c r="AD99" s="153">
        <f t="shared" si="94"/>
        <v>12.1790493491626</v>
      </c>
      <c r="AE99" s="153">
        <f t="shared" si="94"/>
        <v>11.139423412508062</v>
      </c>
    </row>
    <row r="100" spans="2:31" x14ac:dyDescent="0.2">
      <c r="B100" s="161">
        <v>3.5</v>
      </c>
      <c r="C100" s="160">
        <v>9.14</v>
      </c>
      <c r="D100" s="159">
        <v>50</v>
      </c>
      <c r="E100" s="158">
        <f t="shared" si="76"/>
        <v>33.369100592637878</v>
      </c>
      <c r="F100" s="158">
        <f t="shared" si="77"/>
        <v>43.560267152091541</v>
      </c>
      <c r="G100" s="158">
        <f t="shared" si="78"/>
        <v>44.078841761045013</v>
      </c>
      <c r="H100" s="157" t="str">
        <f t="shared" si="79"/>
        <v>✓</v>
      </c>
      <c r="I100" s="157" t="str">
        <f t="shared" si="80"/>
        <v>✓</v>
      </c>
      <c r="J100" s="157" t="str">
        <f t="shared" si="81"/>
        <v>✓</v>
      </c>
      <c r="K100" s="157" t="str">
        <f t="shared" si="82"/>
        <v>✓</v>
      </c>
      <c r="L100" s="157" t="str">
        <f t="shared" si="83"/>
        <v>✓</v>
      </c>
      <c r="M100" s="156" t="str">
        <f t="shared" si="84"/>
        <v>✓</v>
      </c>
      <c r="N100" s="156" t="str">
        <f t="shared" si="85"/>
        <v>✓</v>
      </c>
      <c r="O100" s="156" t="str">
        <f t="shared" si="86"/>
        <v>✓</v>
      </c>
      <c r="P100" s="156" t="str">
        <f t="shared" si="87"/>
        <v>✓</v>
      </c>
      <c r="Q100" s="156" t="str">
        <f t="shared" si="88"/>
        <v>✓</v>
      </c>
      <c r="R100" s="156" t="str">
        <f t="shared" si="89"/>
        <v>✓</v>
      </c>
      <c r="S100" s="155">
        <f t="shared" si="90"/>
        <v>867.71616717184838</v>
      </c>
      <c r="T100" s="155">
        <f t="shared" si="91"/>
        <v>1034.1038595791283</v>
      </c>
      <c r="U100" s="155">
        <f t="shared" si="92"/>
        <v>630.49748137682445</v>
      </c>
      <c r="V100" s="155">
        <f t="shared" si="93"/>
        <v>751.39763855243154</v>
      </c>
      <c r="Z100" s="165">
        <v>50</v>
      </c>
      <c r="AA100" s="153">
        <f t="shared" si="94"/>
        <v>7.9622328427231555</v>
      </c>
      <c r="AB100" s="153">
        <f t="shared" si="94"/>
        <v>7.5230461389461132</v>
      </c>
      <c r="AC100" s="153">
        <f t="shared" si="94"/>
        <v>12.236984884678545</v>
      </c>
      <c r="AD100" s="153">
        <f t="shared" si="94"/>
        <v>12.013742663647676</v>
      </c>
      <c r="AE100" s="153">
        <f t="shared" si="94"/>
        <v>10.698302245372746</v>
      </c>
    </row>
    <row r="101" spans="2:31" x14ac:dyDescent="0.2">
      <c r="B101" s="161">
        <v>4</v>
      </c>
      <c r="C101" s="160">
        <v>8</v>
      </c>
      <c r="D101" s="159">
        <v>50</v>
      </c>
      <c r="E101" s="158">
        <f t="shared" si="76"/>
        <v>38.13611496301472</v>
      </c>
      <c r="F101" s="158">
        <f t="shared" si="77"/>
        <v>49.783162459533195</v>
      </c>
      <c r="G101" s="158">
        <f t="shared" si="78"/>
        <v>50.301737068486652</v>
      </c>
      <c r="H101" s="157" t="str">
        <f t="shared" si="79"/>
        <v>✓</v>
      </c>
      <c r="I101" s="157" t="str">
        <f t="shared" si="80"/>
        <v>✓</v>
      </c>
      <c r="J101" s="157" t="str">
        <f t="shared" si="81"/>
        <v>✓</v>
      </c>
      <c r="K101" s="157" t="str">
        <f t="shared" si="82"/>
        <v>✓</v>
      </c>
      <c r="L101" s="157" t="str">
        <f t="shared" si="83"/>
        <v>✓</v>
      </c>
      <c r="M101" s="156" t="str">
        <f t="shared" si="84"/>
        <v>✓</v>
      </c>
      <c r="N101" s="156" t="str">
        <f t="shared" si="85"/>
        <v>✓</v>
      </c>
      <c r="O101" s="156" t="str">
        <f t="shared" si="86"/>
        <v>✓</v>
      </c>
      <c r="P101" s="156" t="str">
        <f t="shared" si="87"/>
        <v>✓</v>
      </c>
      <c r="Q101" s="156" t="str">
        <f t="shared" si="88"/>
        <v>✓</v>
      </c>
      <c r="R101" s="156" t="str">
        <f t="shared" si="89"/>
        <v>✓</v>
      </c>
      <c r="S101" s="155">
        <f t="shared" si="90"/>
        <v>858.28810622612411</v>
      </c>
      <c r="T101" s="155">
        <f t="shared" si="91"/>
        <v>1022.8679340758641</v>
      </c>
      <c r="U101" s="155">
        <f t="shared" si="92"/>
        <v>623.64689024410302</v>
      </c>
      <c r="V101" s="155">
        <f t="shared" si="93"/>
        <v>743.23342195861665</v>
      </c>
      <c r="Z101" s="165">
        <v>51</v>
      </c>
      <c r="AA101" s="153">
        <f t="shared" si="94"/>
        <v>7.6530496373732744</v>
      </c>
      <c r="AB101" s="153">
        <f t="shared" si="94"/>
        <v>7.2309170885679679</v>
      </c>
      <c r="AC101" s="153">
        <f t="shared" si="94"/>
        <v>12.076143043584239</v>
      </c>
      <c r="AD101" s="153">
        <f t="shared" si="94"/>
        <v>11.580387754035337</v>
      </c>
      <c r="AE101" s="153">
        <f t="shared" si="94"/>
        <v>10.282874130500522</v>
      </c>
    </row>
    <row r="102" spans="2:31" x14ac:dyDescent="0.2">
      <c r="B102" s="161">
        <v>4.5</v>
      </c>
      <c r="C102" s="160">
        <v>7.11</v>
      </c>
      <c r="D102" s="159">
        <v>50</v>
      </c>
      <c r="E102" s="158">
        <f t="shared" si="76"/>
        <v>42.903129333391554</v>
      </c>
      <c r="F102" s="158">
        <f t="shared" si="77"/>
        <v>56.006057766974841</v>
      </c>
      <c r="G102" s="158">
        <f t="shared" si="78"/>
        <v>56.524632375928306</v>
      </c>
      <c r="H102" s="157" t="str">
        <f t="shared" si="79"/>
        <v>✓</v>
      </c>
      <c r="I102" s="157" t="str">
        <f t="shared" si="80"/>
        <v>✓</v>
      </c>
      <c r="J102" s="157" t="str">
        <f t="shared" si="81"/>
        <v>✓</v>
      </c>
      <c r="K102" s="157" t="str">
        <f t="shared" si="82"/>
        <v>✓</v>
      </c>
      <c r="L102" s="157" t="str">
        <f t="shared" si="83"/>
        <v>✓</v>
      </c>
      <c r="M102" s="156" t="str">
        <f t="shared" si="84"/>
        <v>✓</v>
      </c>
      <c r="N102" s="156" t="str">
        <f t="shared" si="85"/>
        <v>✓</v>
      </c>
      <c r="O102" s="156" t="str">
        <f t="shared" si="86"/>
        <v>✓</v>
      </c>
      <c r="P102" s="156" t="str">
        <f t="shared" si="87"/>
        <v>✓</v>
      </c>
      <c r="Q102" s="156" t="str">
        <f t="shared" si="88"/>
        <v>✓</v>
      </c>
      <c r="R102" s="156" t="str">
        <f t="shared" si="89"/>
        <v>✓</v>
      </c>
      <c r="S102" s="155">
        <f t="shared" si="90"/>
        <v>850.68655378683377</v>
      </c>
      <c r="T102" s="155">
        <f t="shared" si="91"/>
        <v>1013.8087566470467</v>
      </c>
      <c r="U102" s="155">
        <f t="shared" si="92"/>
        <v>618.12347158619377</v>
      </c>
      <c r="V102" s="155">
        <f t="shared" si="93"/>
        <v>736.65086792965144</v>
      </c>
      <c r="Z102" s="165">
        <v>52</v>
      </c>
      <c r="AA102" s="153">
        <f t="shared" si="94"/>
        <v>7.3615318442336868</v>
      </c>
      <c r="AB102" s="153">
        <f t="shared" si="94"/>
        <v>6.9554790485818359</v>
      </c>
      <c r="AC102" s="153">
        <f t="shared" si="94"/>
        <v>11.766289544915235</v>
      </c>
      <c r="AD102" s="153">
        <f t="shared" si="94"/>
        <v>11.139270912812838</v>
      </c>
      <c r="AE102" s="153">
        <f t="shared" si="94"/>
        <v>9.8911818097011341</v>
      </c>
    </row>
    <row r="103" spans="2:31" x14ac:dyDescent="0.2">
      <c r="B103" s="161">
        <v>5</v>
      </c>
      <c r="C103" s="160">
        <v>6.4</v>
      </c>
      <c r="D103" s="159">
        <v>50</v>
      </c>
      <c r="E103" s="158">
        <f t="shared" si="76"/>
        <v>47.670143703768396</v>
      </c>
      <c r="F103" s="158">
        <f t="shared" si="77"/>
        <v>62.228953074416488</v>
      </c>
      <c r="G103" s="158">
        <f t="shared" si="78"/>
        <v>62.747527683369952</v>
      </c>
      <c r="H103" s="157" t="str">
        <f t="shared" si="79"/>
        <v>✓</v>
      </c>
      <c r="I103" s="157" t="str">
        <f t="shared" si="80"/>
        <v>✓</v>
      </c>
      <c r="J103" s="157" t="str">
        <f t="shared" si="81"/>
        <v>✓</v>
      </c>
      <c r="K103" s="157" t="str">
        <f t="shared" si="82"/>
        <v>✓</v>
      </c>
      <c r="L103" s="157" t="str">
        <f t="shared" si="83"/>
        <v>✓</v>
      </c>
      <c r="M103" s="156" t="str">
        <f t="shared" si="84"/>
        <v>✓</v>
      </c>
      <c r="N103" s="156" t="str">
        <f t="shared" si="85"/>
        <v>✓</v>
      </c>
      <c r="O103" s="156" t="str">
        <f t="shared" si="86"/>
        <v>✓</v>
      </c>
      <c r="P103" s="156" t="str">
        <f t="shared" si="87"/>
        <v>✓</v>
      </c>
      <c r="Q103" s="156" t="str">
        <f t="shared" si="88"/>
        <v>✓</v>
      </c>
      <c r="R103" s="156" t="str">
        <f t="shared" si="89"/>
        <v>✓</v>
      </c>
      <c r="S103" s="155">
        <f t="shared" si="90"/>
        <v>844.89333502272882</v>
      </c>
      <c r="T103" s="155">
        <f t="shared" si="91"/>
        <v>1006.9046673722404</v>
      </c>
      <c r="U103" s="155">
        <f t="shared" si="92"/>
        <v>613.91401925832258</v>
      </c>
      <c r="V103" s="155">
        <f t="shared" si="93"/>
        <v>731.63423799505676</v>
      </c>
      <c r="Z103" s="165">
        <v>53</v>
      </c>
      <c r="AA103" s="153">
        <f t="shared" si="94"/>
        <v>7.0863588845880692</v>
      </c>
      <c r="AB103" s="153">
        <f t="shared" si="94"/>
        <v>6.6954842817249141</v>
      </c>
      <c r="AC103" s="153">
        <f t="shared" si="94"/>
        <v>11.326467401014881</v>
      </c>
      <c r="AD103" s="153">
        <f t="shared" si="94"/>
        <v>10.722886631629018</v>
      </c>
      <c r="AE103" s="153">
        <f t="shared" si="94"/>
        <v>9.5214509125780911</v>
      </c>
    </row>
    <row r="104" spans="2:31" x14ac:dyDescent="0.2">
      <c r="B104" s="161">
        <v>5.5</v>
      </c>
      <c r="C104" s="160">
        <v>5.82</v>
      </c>
      <c r="D104" s="159">
        <v>50</v>
      </c>
      <c r="E104" s="158">
        <f t="shared" si="76"/>
        <v>52.437158074145238</v>
      </c>
      <c r="F104" s="158">
        <f t="shared" si="77"/>
        <v>68.451848381858142</v>
      </c>
      <c r="G104" s="158">
        <f t="shared" si="78"/>
        <v>68.970422990811599</v>
      </c>
      <c r="H104" s="157" t="str">
        <f t="shared" si="79"/>
        <v>✓</v>
      </c>
      <c r="I104" s="157" t="str">
        <f t="shared" si="80"/>
        <v>✓</v>
      </c>
      <c r="J104" s="157" t="str">
        <f t="shared" si="81"/>
        <v>✓</v>
      </c>
      <c r="K104" s="157" t="str">
        <f t="shared" si="82"/>
        <v>✓</v>
      </c>
      <c r="L104" s="157" t="str">
        <f t="shared" si="83"/>
        <v>✓</v>
      </c>
      <c r="M104" s="156" t="str">
        <f t="shared" si="84"/>
        <v>✓</v>
      </c>
      <c r="N104" s="156" t="str">
        <f t="shared" si="85"/>
        <v>✓</v>
      </c>
      <c r="O104" s="156" t="str">
        <f t="shared" si="86"/>
        <v>✓</v>
      </c>
      <c r="P104" s="156" t="str">
        <f t="shared" si="87"/>
        <v>✓</v>
      </c>
      <c r="Q104" s="156" t="str">
        <f t="shared" si="88"/>
        <v>✓</v>
      </c>
      <c r="R104" s="156" t="str">
        <f t="shared" si="89"/>
        <v>✓</v>
      </c>
      <c r="S104" s="155">
        <f t="shared" si="90"/>
        <v>840.34009966269889</v>
      </c>
      <c r="T104" s="155">
        <f t="shared" si="91"/>
        <v>1001.4783327739977</v>
      </c>
      <c r="U104" s="155">
        <f t="shared" si="92"/>
        <v>610.60556018469288</v>
      </c>
      <c r="V104" s="155">
        <f t="shared" si="93"/>
        <v>727.69137000810781</v>
      </c>
      <c r="Z104" s="165">
        <v>54</v>
      </c>
      <c r="AA104" s="153">
        <f t="shared" si="94"/>
        <v>6.8263313123483842</v>
      </c>
      <c r="AB104" s="153">
        <f t="shared" si="94"/>
        <v>6.4497995018399461</v>
      </c>
      <c r="AC104" s="153">
        <f t="shared" si="94"/>
        <v>10.910852856464608</v>
      </c>
      <c r="AD104" s="153">
        <f t="shared" si="94"/>
        <v>10.329419941099424</v>
      </c>
      <c r="AE104" s="153">
        <f t="shared" si="94"/>
        <v>9.17206982627979</v>
      </c>
    </row>
    <row r="105" spans="2:31" x14ac:dyDescent="0.2">
      <c r="B105" s="161">
        <v>6</v>
      </c>
      <c r="C105" s="160">
        <v>5.33</v>
      </c>
      <c r="D105" s="159">
        <v>50</v>
      </c>
      <c r="E105" s="158">
        <f t="shared" si="76"/>
        <v>57.204172444522079</v>
      </c>
      <c r="F105" s="158">
        <f t="shared" si="77"/>
        <v>74.674743689299788</v>
      </c>
      <c r="G105" s="158">
        <f t="shared" si="78"/>
        <v>75.193318298253246</v>
      </c>
      <c r="H105" s="157" t="str">
        <f t="shared" si="79"/>
        <v>✓</v>
      </c>
      <c r="I105" s="157" t="str">
        <f t="shared" si="80"/>
        <v>✓</v>
      </c>
      <c r="J105" s="157" t="str">
        <f t="shared" si="81"/>
        <v>✓</v>
      </c>
      <c r="K105" s="157" t="str">
        <f t="shared" si="82"/>
        <v>✓</v>
      </c>
      <c r="L105" s="157" t="str">
        <f t="shared" si="83"/>
        <v>✓</v>
      </c>
      <c r="M105" s="156" t="str">
        <f t="shared" si="84"/>
        <v>✓</v>
      </c>
      <c r="N105" s="156" t="str">
        <f t="shared" si="85"/>
        <v>✓</v>
      </c>
      <c r="O105" s="156" t="str">
        <f t="shared" si="86"/>
        <v>✓</v>
      </c>
      <c r="P105" s="156" t="str">
        <f t="shared" si="87"/>
        <v>✓</v>
      </c>
      <c r="Q105" s="156" t="str">
        <f t="shared" si="88"/>
        <v>✓</v>
      </c>
      <c r="R105" s="156" t="str">
        <f t="shared" si="89"/>
        <v>✓</v>
      </c>
      <c r="S105" s="155">
        <f t="shared" si="90"/>
        <v>835.56491615012828</v>
      </c>
      <c r="T105" s="155">
        <f t="shared" si="91"/>
        <v>995.78749066759508</v>
      </c>
      <c r="U105" s="155">
        <f t="shared" si="92"/>
        <v>607.13582976858129</v>
      </c>
      <c r="V105" s="155">
        <f t="shared" si="93"/>
        <v>723.55630631937333</v>
      </c>
      <c r="Z105" s="165">
        <v>55</v>
      </c>
      <c r="AA105" s="153">
        <f t="shared" si="94"/>
        <v>6.580357721258804</v>
      </c>
      <c r="AB105" s="153">
        <f t="shared" si="94"/>
        <v>6.21739350326125</v>
      </c>
      <c r="AC105" s="153">
        <f t="shared" si="94"/>
        <v>10.517701464281254</v>
      </c>
      <c r="AD105" s="153">
        <f t="shared" si="94"/>
        <v>9.9572193547920396</v>
      </c>
      <c r="AE105" s="153">
        <f t="shared" si="94"/>
        <v>8.8415721036138368</v>
      </c>
    </row>
    <row r="106" spans="2:31" x14ac:dyDescent="0.2">
      <c r="B106" s="161">
        <v>6.5</v>
      </c>
      <c r="C106" s="160">
        <v>4.92</v>
      </c>
      <c r="D106" s="159">
        <v>50</v>
      </c>
      <c r="E106" s="158">
        <f t="shared" si="76"/>
        <v>61.971186814898921</v>
      </c>
      <c r="F106" s="158">
        <f t="shared" si="77"/>
        <v>80.897638996741435</v>
      </c>
      <c r="G106" s="158">
        <f t="shared" si="78"/>
        <v>81.416213605694892</v>
      </c>
      <c r="H106" s="157" t="str">
        <f t="shared" si="79"/>
        <v>✓</v>
      </c>
      <c r="I106" s="157" t="str">
        <f t="shared" si="80"/>
        <v>✓</v>
      </c>
      <c r="J106" s="157" t="str">
        <f t="shared" si="81"/>
        <v>✓</v>
      </c>
      <c r="K106" s="157" t="str">
        <f t="shared" si="82"/>
        <v>✓</v>
      </c>
      <c r="L106" s="157" t="str">
        <f t="shared" si="83"/>
        <v>✓</v>
      </c>
      <c r="M106" s="156" t="str">
        <f t="shared" si="84"/>
        <v>✓</v>
      </c>
      <c r="N106" s="156" t="str">
        <f t="shared" si="85"/>
        <v>✓</v>
      </c>
      <c r="O106" s="156" t="str">
        <f t="shared" si="86"/>
        <v>✓</v>
      </c>
      <c r="P106" s="156" t="str">
        <f t="shared" si="87"/>
        <v>✓</v>
      </c>
      <c r="Q106" s="156" t="str">
        <f t="shared" si="88"/>
        <v>✓</v>
      </c>
      <c r="R106" s="156" t="str">
        <f t="shared" si="89"/>
        <v>✓</v>
      </c>
      <c r="S106" s="155">
        <f t="shared" si="90"/>
        <v>832.20736388254306</v>
      </c>
      <c r="T106" s="155">
        <f t="shared" si="91"/>
        <v>991.78611569037764</v>
      </c>
      <c r="U106" s="155">
        <f t="shared" si="92"/>
        <v>604.69617458132905</v>
      </c>
      <c r="V106" s="155">
        <f t="shared" si="93"/>
        <v>720.64883848527438</v>
      </c>
      <c r="Z106" s="165">
        <v>56</v>
      </c>
      <c r="AA106" s="153">
        <f t="shared" si="94"/>
        <v>6.3474432738545561</v>
      </c>
      <c r="AB106" s="153">
        <f t="shared" si="94"/>
        <v>5.997326322501686</v>
      </c>
      <c r="AC106" s="153">
        <f t="shared" si="94"/>
        <v>10.145423128013645</v>
      </c>
      <c r="AD106" s="153">
        <f t="shared" si="94"/>
        <v>9.604779511558009</v>
      </c>
      <c r="AE106" s="153">
        <f t="shared" si="94"/>
        <v>8.5286210502014885</v>
      </c>
    </row>
    <row r="107" spans="2:31" x14ac:dyDescent="0.2">
      <c r="B107" s="161">
        <v>7</v>
      </c>
      <c r="C107" s="160">
        <v>4.57</v>
      </c>
      <c r="D107" s="159">
        <v>50</v>
      </c>
      <c r="E107" s="158">
        <f t="shared" si="76"/>
        <v>66.738201185275756</v>
      </c>
      <c r="F107" s="158">
        <f t="shared" si="77"/>
        <v>87.120534304183082</v>
      </c>
      <c r="G107" s="158">
        <f t="shared" si="78"/>
        <v>87.639108913136553</v>
      </c>
      <c r="H107" s="157" t="str">
        <f t="shared" si="79"/>
        <v>✓</v>
      </c>
      <c r="I107" s="157" t="str">
        <f t="shared" si="80"/>
        <v>✓</v>
      </c>
      <c r="J107" s="157" t="str">
        <f t="shared" si="81"/>
        <v>✓</v>
      </c>
      <c r="K107" s="157" t="str">
        <f t="shared" si="82"/>
        <v>✓</v>
      </c>
      <c r="L107" s="157" t="str">
        <f t="shared" si="83"/>
        <v>✓</v>
      </c>
      <c r="M107" s="156" t="str">
        <f t="shared" si="84"/>
        <v>✓</v>
      </c>
      <c r="N107" s="156" t="str">
        <f t="shared" si="85"/>
        <v>✓</v>
      </c>
      <c r="O107" s="156" t="str">
        <f t="shared" si="86"/>
        <v>✓</v>
      </c>
      <c r="P107" s="156" t="str">
        <f t="shared" si="87"/>
        <v>✓</v>
      </c>
      <c r="Q107" s="156" t="str">
        <f t="shared" si="88"/>
        <v>✓</v>
      </c>
      <c r="R107" s="156" t="str">
        <f t="shared" si="89"/>
        <v>✓</v>
      </c>
      <c r="S107" s="155">
        <f t="shared" si="90"/>
        <v>829.60103877040092</v>
      </c>
      <c r="T107" s="155">
        <f t="shared" si="91"/>
        <v>988.68001837451357</v>
      </c>
      <c r="U107" s="155">
        <f t="shared" si="92"/>
        <v>602.80237395731774</v>
      </c>
      <c r="V107" s="155">
        <f t="shared" si="93"/>
        <v>718.39189478795174</v>
      </c>
      <c r="Z107" s="165">
        <v>57</v>
      </c>
      <c r="AA107" s="153">
        <f t="shared" si="94"/>
        <v>6.1266796265952248</v>
      </c>
      <c r="AB107" s="153">
        <f t="shared" si="94"/>
        <v>5.7887397191028889</v>
      </c>
      <c r="AC107" s="153">
        <f t="shared" si="94"/>
        <v>9.7925659985998159</v>
      </c>
      <c r="AD107" s="153">
        <f t="shared" si="94"/>
        <v>9.2707259305158249</v>
      </c>
      <c r="AE107" s="153">
        <f t="shared" si="94"/>
        <v>8.231996187575211</v>
      </c>
    </row>
    <row r="108" spans="2:31" x14ac:dyDescent="0.2">
      <c r="B108" s="161">
        <v>7.5</v>
      </c>
      <c r="C108" s="160">
        <v>4.2699999999999996</v>
      </c>
      <c r="D108" s="159">
        <v>50</v>
      </c>
      <c r="E108" s="158">
        <f t="shared" si="76"/>
        <v>71.505215555652597</v>
      </c>
      <c r="F108" s="158">
        <f t="shared" si="77"/>
        <v>93.343429611624728</v>
      </c>
      <c r="G108" s="158">
        <f t="shared" si="78"/>
        <v>93.8620042205782</v>
      </c>
      <c r="H108" s="157" t="str">
        <f t="shared" si="79"/>
        <v>✓</v>
      </c>
      <c r="I108" s="157" t="str">
        <f t="shared" si="80"/>
        <v>✓</v>
      </c>
      <c r="J108" s="157" t="str">
        <f t="shared" si="81"/>
        <v>✓</v>
      </c>
      <c r="K108" s="157" t="str">
        <f t="shared" si="82"/>
        <v>✓</v>
      </c>
      <c r="L108" s="157" t="str">
        <f t="shared" si="83"/>
        <v>✓</v>
      </c>
      <c r="M108" s="156" t="str">
        <f t="shared" si="84"/>
        <v>✓</v>
      </c>
      <c r="N108" s="156" t="str">
        <f t="shared" si="85"/>
        <v>✓</v>
      </c>
      <c r="O108" s="156" t="str">
        <f t="shared" si="86"/>
        <v>✓</v>
      </c>
      <c r="P108" s="156" t="str">
        <f t="shared" si="87"/>
        <v>✓</v>
      </c>
      <c r="Q108" s="156" t="str">
        <f t="shared" si="88"/>
        <v>✓</v>
      </c>
      <c r="R108" s="156" t="str">
        <f t="shared" si="89"/>
        <v>✓</v>
      </c>
      <c r="S108" s="155">
        <f t="shared" si="90"/>
        <v>828.03088732972446</v>
      </c>
      <c r="T108" s="155">
        <f t="shared" si="91"/>
        <v>986.80878475417057</v>
      </c>
      <c r="U108" s="155">
        <f t="shared" si="92"/>
        <v>601.66147493275139</v>
      </c>
      <c r="V108" s="155">
        <f t="shared" si="93"/>
        <v>717.03222427663763</v>
      </c>
      <c r="Z108" s="165">
        <v>58</v>
      </c>
      <c r="AA108" s="153">
        <f t="shared" si="94"/>
        <v>5.9172360602877188</v>
      </c>
      <c r="AB108" s="153">
        <f t="shared" si="94"/>
        <v>5.5908487952928905</v>
      </c>
      <c r="AC108" s="153">
        <f t="shared" si="94"/>
        <v>9.457802297696432</v>
      </c>
      <c r="AD108" s="153">
        <f t="shared" si="94"/>
        <v>8.9538015898471812</v>
      </c>
      <c r="AE108" s="153">
        <f t="shared" si="94"/>
        <v>7.9505813357407451</v>
      </c>
    </row>
    <row r="109" spans="2:31" x14ac:dyDescent="0.2">
      <c r="B109" s="161">
        <v>8</v>
      </c>
      <c r="C109" s="160">
        <v>4</v>
      </c>
      <c r="D109" s="159">
        <v>50</v>
      </c>
      <c r="E109" s="158">
        <f t="shared" si="76"/>
        <v>76.272229926029439</v>
      </c>
      <c r="F109" s="158">
        <f t="shared" si="77"/>
        <v>99.566324919066389</v>
      </c>
      <c r="G109" s="158">
        <f t="shared" si="78"/>
        <v>100.08489952801985</v>
      </c>
      <c r="H109" s="157" t="str">
        <f t="shared" si="79"/>
        <v>✓</v>
      </c>
      <c r="I109" s="157" t="str">
        <f t="shared" si="80"/>
        <v>✓</v>
      </c>
      <c r="J109" s="157" t="str">
        <f t="shared" si="81"/>
        <v>✓</v>
      </c>
      <c r="K109" s="157" t="str">
        <f t="shared" si="82"/>
        <v>✓</v>
      </c>
      <c r="L109" s="157" t="str">
        <f t="shared" si="83"/>
        <v>✓</v>
      </c>
      <c r="M109" s="156" t="str">
        <f t="shared" si="84"/>
        <v>✓</v>
      </c>
      <c r="N109" s="156" t="str">
        <f t="shared" si="85"/>
        <v>✓</v>
      </c>
      <c r="O109" s="156" t="str">
        <f t="shared" si="86"/>
        <v>✓</v>
      </c>
      <c r="P109" s="156" t="str">
        <f t="shared" si="87"/>
        <v>✓</v>
      </c>
      <c r="Q109" s="156" t="str">
        <f t="shared" si="88"/>
        <v>✓</v>
      </c>
      <c r="R109" s="156" t="str">
        <f t="shared" si="89"/>
        <v>✓</v>
      </c>
      <c r="S109" s="155">
        <f t="shared" si="90"/>
        <v>825.22520712841492</v>
      </c>
      <c r="T109" s="155">
        <f t="shared" si="91"/>
        <v>983.46510529458942</v>
      </c>
      <c r="U109" s="155">
        <f t="shared" si="92"/>
        <v>599.62281947443489</v>
      </c>
      <c r="V109" s="155">
        <f t="shared" si="93"/>
        <v>714.60264931012716</v>
      </c>
      <c r="Z109" s="165">
        <v>59</v>
      </c>
      <c r="AA109" s="153">
        <f t="shared" ref="AA109:AE118" si="95">IF(($Z109/AA$11)&lt;AA$15,0.85*(AA$12-AA$13*($Z109/AA$11)),(0.85*(PI())^2*(10100)/(($Z109/AA$11)^2)))/AA$16</f>
        <v>5.7183516537799157</v>
      </c>
      <c r="AB109" s="153">
        <f t="shared" si="95"/>
        <v>5.4029346013689405</v>
      </c>
      <c r="AC109" s="153">
        <f t="shared" si="95"/>
        <v>9.1399158085178946</v>
      </c>
      <c r="AD109" s="153">
        <f t="shared" si="95"/>
        <v>8.6528550842418621</v>
      </c>
      <c r="AE109" s="153">
        <f t="shared" si="95"/>
        <v>7.6833540975098709</v>
      </c>
    </row>
    <row r="110" spans="2:31" x14ac:dyDescent="0.2">
      <c r="Z110" s="165">
        <v>60</v>
      </c>
      <c r="AA110" s="153">
        <f t="shared" si="95"/>
        <v>5.5293283630021905</v>
      </c>
      <c r="AB110" s="153">
        <f t="shared" si="95"/>
        <v>5.2243375964903569</v>
      </c>
      <c r="AC110" s="153">
        <f t="shared" si="95"/>
        <v>8.8377908137363335</v>
      </c>
      <c r="AD110" s="153">
        <f t="shared" si="95"/>
        <v>8.3668301522905324</v>
      </c>
      <c r="AE110" s="153">
        <f t="shared" si="95"/>
        <v>7.4293765592866299</v>
      </c>
    </row>
    <row r="111" spans="2:31" x14ac:dyDescent="0.2">
      <c r="Z111" s="165">
        <v>61</v>
      </c>
      <c r="AA111" s="153">
        <f t="shared" si="95"/>
        <v>5.3495248876129757</v>
      </c>
      <c r="AB111" s="153">
        <f t="shared" si="95"/>
        <v>5.0544518536321643</v>
      </c>
      <c r="AC111" s="153">
        <f t="shared" si="95"/>
        <v>8.5504022922469218</v>
      </c>
      <c r="AD111" s="153">
        <f t="shared" si="95"/>
        <v>8.0947563956586706</v>
      </c>
      <c r="AE111" s="153">
        <f t="shared" si="95"/>
        <v>7.1877870501026235</v>
      </c>
    </row>
    <row r="112" spans="2:31" ht="15.75" x14ac:dyDescent="0.25">
      <c r="B112" s="549" t="s">
        <v>174</v>
      </c>
      <c r="C112" s="549"/>
      <c r="D112" s="549"/>
      <c r="E112" s="549"/>
      <c r="F112" s="549"/>
      <c r="G112" s="549"/>
      <c r="H112" s="549"/>
      <c r="I112" s="549"/>
      <c r="J112" s="549"/>
      <c r="K112" s="549"/>
      <c r="L112" s="549"/>
      <c r="M112" s="167"/>
      <c r="N112" s="167"/>
      <c r="O112" s="167"/>
      <c r="P112" s="167"/>
      <c r="Q112" s="167"/>
      <c r="R112" s="167"/>
      <c r="S112" s="167"/>
      <c r="T112" s="167"/>
      <c r="U112" s="167"/>
      <c r="V112" s="167"/>
      <c r="Z112" s="165">
        <v>62</v>
      </c>
      <c r="AA112" s="153">
        <f t="shared" si="95"/>
        <v>5.1783512244557457</v>
      </c>
      <c r="AB112" s="153">
        <f t="shared" si="95"/>
        <v>4.8927199134665145</v>
      </c>
      <c r="AC112" s="153">
        <f t="shared" si="95"/>
        <v>8.2768072136968751</v>
      </c>
      <c r="AD112" s="153">
        <f t="shared" si="95"/>
        <v>7.8357410375249534</v>
      </c>
      <c r="AE112" s="153">
        <f t="shared" si="95"/>
        <v>6.9577928234734303</v>
      </c>
    </row>
    <row r="113" spans="2:31" x14ac:dyDescent="0.2">
      <c r="Z113" s="165">
        <v>63</v>
      </c>
      <c r="AA113" s="153">
        <f t="shared" si="95"/>
        <v>5.0152638213171796</v>
      </c>
      <c r="AB113" s="153">
        <f t="shared" si="95"/>
        <v>4.7386282054334297</v>
      </c>
      <c r="AC113" s="153">
        <f t="shared" si="95"/>
        <v>8.016136792504609</v>
      </c>
      <c r="AD113" s="153">
        <f t="shared" si="95"/>
        <v>7.5889615893791698</v>
      </c>
      <c r="AE113" s="153">
        <f t="shared" si="95"/>
        <v>6.7386635458382118</v>
      </c>
    </row>
    <row r="114" spans="2:31" x14ac:dyDescent="0.2">
      <c r="B114" s="166" t="s">
        <v>106</v>
      </c>
      <c r="C114" s="166" t="s">
        <v>172</v>
      </c>
      <c r="D114" s="166" t="s">
        <v>171</v>
      </c>
      <c r="E114" s="166" t="s">
        <v>170</v>
      </c>
      <c r="F114" s="166" t="s">
        <v>169</v>
      </c>
      <c r="G114" s="166" t="s">
        <v>168</v>
      </c>
      <c r="H114" s="166" t="s">
        <v>167</v>
      </c>
      <c r="I114" s="166" t="s">
        <v>166</v>
      </c>
      <c r="J114" s="166" t="s">
        <v>165</v>
      </c>
      <c r="K114" s="166" t="s">
        <v>164</v>
      </c>
      <c r="L114" s="166" t="s">
        <v>163</v>
      </c>
      <c r="M114" s="166" t="s">
        <v>162</v>
      </c>
      <c r="N114" s="166" t="s">
        <v>121</v>
      </c>
      <c r="O114" s="166" t="s">
        <v>120</v>
      </c>
      <c r="P114" s="166" t="s">
        <v>119</v>
      </c>
      <c r="Q114" s="166" t="s">
        <v>118</v>
      </c>
      <c r="R114" s="166" t="s">
        <v>117</v>
      </c>
      <c r="S114" s="166" t="s">
        <v>161</v>
      </c>
      <c r="T114" s="166" t="s">
        <v>160</v>
      </c>
      <c r="U114" s="166" t="s">
        <v>159</v>
      </c>
      <c r="V114" s="166" t="s">
        <v>158</v>
      </c>
      <c r="Z114" s="165">
        <v>64</v>
      </c>
      <c r="AA114" s="153">
        <f t="shared" si="95"/>
        <v>4.8597612565448944</v>
      </c>
      <c r="AB114" s="153">
        <f t="shared" si="95"/>
        <v>4.5917029656653519</v>
      </c>
      <c r="AC114" s="153">
        <f t="shared" si="95"/>
        <v>7.7675895823854484</v>
      </c>
      <c r="AD114" s="153">
        <f t="shared" si="95"/>
        <v>7.3536593135366024</v>
      </c>
      <c r="AE114" s="153">
        <f t="shared" si="95"/>
        <v>6.5297254915605141</v>
      </c>
    </row>
    <row r="115" spans="2:31" x14ac:dyDescent="0.2">
      <c r="B115" s="161">
        <v>2</v>
      </c>
      <c r="C115" s="160">
        <v>16</v>
      </c>
      <c r="D115" s="159">
        <v>55</v>
      </c>
      <c r="E115" s="158">
        <f t="shared" ref="E115:E127" si="96">TAN(RADIANS(D115))*(B115*12)*(2/3)</f>
        <v>22.850368107873827</v>
      </c>
      <c r="F115" s="158">
        <f t="shared" ref="F115:F127" si="97">((B115*12)*(2/3))/COS(RADIANS(D115))</f>
        <v>27.895148729937564</v>
      </c>
      <c r="G115" s="158">
        <f t="shared" ref="G115:G127" si="98">(((B115*12)+(6/12))*(2/3))/COS(RADIANS(D115))</f>
        <v>28.476297661811262</v>
      </c>
      <c r="H115" s="157" t="str">
        <f t="shared" ref="H115:H127" si="99">IF(((($AA$3*($B115/2)*$C115*(3/2))/SIN(ATAN($E115/(($B115*12)*(2/3)+6))))/1000/AA$10/AA796)&lt;=1,"✓","")</f>
        <v>✓</v>
      </c>
      <c r="I115" s="157" t="str">
        <f t="shared" ref="I115:I127" si="100">IF(((($AA$3*($B115/2)*$C115*(3/2))/SIN(ATAN($E115/(($B115*12)*(2/3)+6))))/1000/AB$10/AB796)&lt;=1,"✓","")</f>
        <v>✓</v>
      </c>
      <c r="J115" s="157" t="str">
        <f t="shared" ref="J115:J127" si="101">IF(((($AA$3*($B115/2)*$C115*(3/2))/SIN(ATAN($E115/(($B115*12)*(2/3)+6))))/1000/AC$10/AC796)&lt;=1,"✓","")</f>
        <v>✓</v>
      </c>
      <c r="K115" s="157" t="str">
        <f t="shared" ref="K115:K127" si="102">IF(((($AA$3*($B115/2)*$C115*(3/2))/SIN(ATAN($E115/(($B115*12)*(2/3)+6))))/1000/AD$10/AD796)&lt;=1,"✓","")</f>
        <v>✓</v>
      </c>
      <c r="L115" s="157" t="str">
        <f t="shared" ref="L115:L127" si="103">IF(((($AA$3*($B115/2)*$C115*(3/2))/SIN(ATAN($E115/(($B115*12)*(2/3)+6))))/1000/AE$10/AE796)&lt;=1,"✓","")</f>
        <v>✓</v>
      </c>
      <c r="M115" s="156" t="str">
        <f t="shared" ref="M115:M127" si="104">IF(AND((S115/$G$149)^(5/3)+(T115/$H$149)^(5/3)&lt;=1,V115/$H$149&lt;=1),"✓","")</f>
        <v>✓</v>
      </c>
      <c r="N115" s="156" t="str">
        <f t="shared" ref="N115:N127" si="105">IF(AND((S115/$G$157)^(1)+(T115/$H$157)^(1)&lt;=1,V115/$H$157&lt;=1),"✓","")</f>
        <v>✓</v>
      </c>
      <c r="O115" s="156" t="str">
        <f t="shared" ref="O115:O127" si="106">IF(AND((S115/$G$159)^(1)+(T115/$H$159)^(1)&lt;=1,V115/$H$159&lt;=1),"✓","")</f>
        <v>✓</v>
      </c>
      <c r="P115" s="156" t="str">
        <f t="shared" ref="P115:P127" si="107">IF(AND((S115/$G$161)^(1)+(T115/$H$161)^(1)&lt;=1,V115/$H$161&lt;=1),"✓","")</f>
        <v>✓</v>
      </c>
      <c r="Q115" s="156" t="str">
        <f t="shared" ref="Q115:Q127" si="108">IF(AND((S115/$G$162)^(1)+(T115/$H$162)^(1)&lt;=1,V115/$H$162&lt;=1),"✓","")</f>
        <v>✓</v>
      </c>
      <c r="R115" s="156" t="str">
        <f t="shared" ref="R115:R127" si="109">IF(AND((S115/$G$163)^(1)+(T115/$H$163)^(1)&lt;=1,V115/$H$163&lt;=1),"✓","")</f>
        <v>✓</v>
      </c>
      <c r="S115" s="155">
        <f t="shared" ref="S115:S127" si="110">($AA$4*($B115/2)*$C115*(3/2))/SIN(ATAN($E115/(($B115*12)*(2/3)+6)))*COS(RADIANS($D115))</f>
        <v>753.10026321936016</v>
      </c>
      <c r="T115" s="155">
        <f t="shared" ref="T115:T127" si="111">($AA$4*($B115/2)*$C115*(3/2))/SIN(ATAN($E115/(($B115*12)*(2/3)+6)))*SIN(RADIANS($D115))</f>
        <v>1075.5386397936909</v>
      </c>
      <c r="U115" s="155">
        <f t="shared" ref="U115:U127" si="112">($AA$3*($B115/2)*$C115*(3/2))/SIN(ATAN($E115/(($B115*12)*(2/3)+6)))*COS(RADIANS($D115))</f>
        <v>547.21559554622422</v>
      </c>
      <c r="V115" s="155">
        <f t="shared" ref="V115:V127" si="113">($AA$3*($B115/2)*$C115*(3/2))/SIN(ATAN($E115/(($B115*12)*(2/3)+6)))*SIN(RADIANS($D115))</f>
        <v>781.50486203753906</v>
      </c>
      <c r="Z115" s="165">
        <v>65</v>
      </c>
      <c r="AA115" s="153">
        <f t="shared" si="95"/>
        <v>4.7113803803095582</v>
      </c>
      <c r="AB115" s="153">
        <f t="shared" si="95"/>
        <v>4.4515065910923743</v>
      </c>
      <c r="AC115" s="153">
        <f t="shared" si="95"/>
        <v>7.5304253087457491</v>
      </c>
      <c r="AD115" s="153">
        <f t="shared" si="95"/>
        <v>7.1291333842002169</v>
      </c>
      <c r="AE115" s="153">
        <f t="shared" si="95"/>
        <v>6.330356358208725</v>
      </c>
    </row>
    <row r="116" spans="2:31" x14ac:dyDescent="0.2">
      <c r="B116" s="161">
        <v>2.5</v>
      </c>
      <c r="C116" s="160">
        <v>12.8</v>
      </c>
      <c r="D116" s="159">
        <v>55</v>
      </c>
      <c r="E116" s="158">
        <f t="shared" si="96"/>
        <v>28.562960134842289</v>
      </c>
      <c r="F116" s="158">
        <f t="shared" si="97"/>
        <v>34.868935912421954</v>
      </c>
      <c r="G116" s="158">
        <f t="shared" si="98"/>
        <v>35.450084844295652</v>
      </c>
      <c r="H116" s="157" t="str">
        <f t="shared" si="99"/>
        <v>✓</v>
      </c>
      <c r="I116" s="157" t="str">
        <f t="shared" si="100"/>
        <v>✓</v>
      </c>
      <c r="J116" s="157" t="str">
        <f t="shared" si="101"/>
        <v>✓</v>
      </c>
      <c r="K116" s="157" t="str">
        <f t="shared" si="102"/>
        <v>✓</v>
      </c>
      <c r="L116" s="157" t="str">
        <f t="shared" si="103"/>
        <v>✓</v>
      </c>
      <c r="M116" s="156" t="str">
        <f t="shared" si="104"/>
        <v>✓</v>
      </c>
      <c r="N116" s="156" t="str">
        <f t="shared" si="105"/>
        <v>✓</v>
      </c>
      <c r="O116" s="156" t="str">
        <f t="shared" si="106"/>
        <v>✓</v>
      </c>
      <c r="P116" s="156" t="str">
        <f t="shared" si="107"/>
        <v>✓</v>
      </c>
      <c r="Q116" s="156" t="str">
        <f t="shared" si="108"/>
        <v>✓</v>
      </c>
      <c r="R116" s="156" t="str">
        <f t="shared" si="109"/>
        <v>✓</v>
      </c>
      <c r="S116" s="155">
        <f t="shared" si="110"/>
        <v>733.62688862328059</v>
      </c>
      <c r="T116" s="155">
        <f t="shared" si="111"/>
        <v>1047.7277786797574</v>
      </c>
      <c r="U116" s="155">
        <f t="shared" si="112"/>
        <v>533.06590685625417</v>
      </c>
      <c r="V116" s="155">
        <f t="shared" si="113"/>
        <v>761.29701233893695</v>
      </c>
      <c r="Z116" s="165">
        <v>66</v>
      </c>
      <c r="AA116" s="153">
        <f t="shared" si="95"/>
        <v>4.569692861985283</v>
      </c>
      <c r="AB116" s="153">
        <f t="shared" si="95"/>
        <v>4.3176343772647572</v>
      </c>
      <c r="AC116" s="153">
        <f t="shared" si="95"/>
        <v>7.3039593501953144</v>
      </c>
      <c r="AD116" s="153">
        <f t="shared" si="95"/>
        <v>6.9147356630500258</v>
      </c>
      <c r="AE116" s="153">
        <f t="shared" si="95"/>
        <v>6.1399806275096118</v>
      </c>
    </row>
    <row r="117" spans="2:31" x14ac:dyDescent="0.2">
      <c r="B117" s="161">
        <v>3</v>
      </c>
      <c r="C117" s="160">
        <v>10.67</v>
      </c>
      <c r="D117" s="159">
        <v>55</v>
      </c>
      <c r="E117" s="158">
        <f t="shared" si="96"/>
        <v>34.275552161810744</v>
      </c>
      <c r="F117" s="158">
        <f t="shared" si="97"/>
        <v>41.842723094906347</v>
      </c>
      <c r="G117" s="158">
        <f t="shared" si="98"/>
        <v>42.423872026780046</v>
      </c>
      <c r="H117" s="157" t="str">
        <f t="shared" si="99"/>
        <v>✓</v>
      </c>
      <c r="I117" s="157" t="str">
        <f t="shared" si="100"/>
        <v>✓</v>
      </c>
      <c r="J117" s="157" t="str">
        <f t="shared" si="101"/>
        <v>✓</v>
      </c>
      <c r="K117" s="157" t="str">
        <f t="shared" si="102"/>
        <v>✓</v>
      </c>
      <c r="L117" s="157" t="str">
        <f t="shared" si="103"/>
        <v>✓</v>
      </c>
      <c r="M117" s="156" t="str">
        <f t="shared" si="104"/>
        <v>✓</v>
      </c>
      <c r="N117" s="156" t="str">
        <f t="shared" si="105"/>
        <v>✓</v>
      </c>
      <c r="O117" s="156" t="str">
        <f t="shared" si="106"/>
        <v>✓</v>
      </c>
      <c r="P117" s="156" t="str">
        <f t="shared" si="107"/>
        <v>✓</v>
      </c>
      <c r="Q117" s="156" t="str">
        <f t="shared" si="108"/>
        <v>✓</v>
      </c>
      <c r="R117" s="156" t="str">
        <f t="shared" si="109"/>
        <v>✓</v>
      </c>
      <c r="S117" s="155">
        <f t="shared" si="110"/>
        <v>721.20329931213928</v>
      </c>
      <c r="T117" s="155">
        <f t="shared" si="111"/>
        <v>1029.9850543684681</v>
      </c>
      <c r="U117" s="155">
        <f t="shared" si="112"/>
        <v>524.03871332606445</v>
      </c>
      <c r="V117" s="155">
        <f t="shared" si="113"/>
        <v>748.40484389232131</v>
      </c>
      <c r="Z117" s="165">
        <v>67</v>
      </c>
      <c r="AA117" s="153">
        <f t="shared" si="95"/>
        <v>4.4343020955241457</v>
      </c>
      <c r="AB117" s="153">
        <f t="shared" si="95"/>
        <v>4.1897115944230974</v>
      </c>
      <c r="AC117" s="153">
        <f t="shared" si="95"/>
        <v>7.0875577922590329</v>
      </c>
      <c r="AD117" s="153">
        <f t="shared" si="95"/>
        <v>6.7098660165395225</v>
      </c>
      <c r="AE117" s="153">
        <f t="shared" si="95"/>
        <v>5.9580654073138479</v>
      </c>
    </row>
    <row r="118" spans="2:31" x14ac:dyDescent="0.2">
      <c r="B118" s="161">
        <v>3.5</v>
      </c>
      <c r="C118" s="160">
        <v>9.14</v>
      </c>
      <c r="D118" s="159">
        <v>55</v>
      </c>
      <c r="E118" s="158">
        <f t="shared" si="96"/>
        <v>39.988144188779202</v>
      </c>
      <c r="F118" s="158">
        <f t="shared" si="97"/>
        <v>48.816510277390741</v>
      </c>
      <c r="G118" s="158">
        <f t="shared" si="98"/>
        <v>49.39765920926444</v>
      </c>
      <c r="H118" s="157" t="str">
        <f t="shared" si="99"/>
        <v>✓</v>
      </c>
      <c r="I118" s="157" t="str">
        <f t="shared" si="100"/>
        <v>✓</v>
      </c>
      <c r="J118" s="157" t="str">
        <f t="shared" si="101"/>
        <v>✓</v>
      </c>
      <c r="K118" s="157" t="str">
        <f t="shared" si="102"/>
        <v>✓</v>
      </c>
      <c r="L118" s="157" t="str">
        <f t="shared" si="103"/>
        <v>✓</v>
      </c>
      <c r="M118" s="156" t="str">
        <f t="shared" si="104"/>
        <v>✓</v>
      </c>
      <c r="N118" s="156" t="str">
        <f t="shared" si="105"/>
        <v>✓</v>
      </c>
      <c r="O118" s="156" t="str">
        <f t="shared" si="106"/>
        <v>✓</v>
      </c>
      <c r="P118" s="156" t="str">
        <f t="shared" si="107"/>
        <v>✓</v>
      </c>
      <c r="Q118" s="156" t="str">
        <f t="shared" si="108"/>
        <v>✓</v>
      </c>
      <c r="R118" s="156" t="str">
        <f t="shared" si="109"/>
        <v>✓</v>
      </c>
      <c r="S118" s="155">
        <f t="shared" si="110"/>
        <v>711.89316904905411</v>
      </c>
      <c r="T118" s="155">
        <f t="shared" si="111"/>
        <v>1016.6888103907337</v>
      </c>
      <c r="U118" s="155">
        <f t="shared" si="112"/>
        <v>517.27381265434212</v>
      </c>
      <c r="V118" s="155">
        <f t="shared" si="113"/>
        <v>738.7435644821926</v>
      </c>
      <c r="Z118" s="165">
        <v>68</v>
      </c>
      <c r="AA118" s="153">
        <f t="shared" si="95"/>
        <v>4.3048404210224671</v>
      </c>
      <c r="AB118" s="153">
        <f t="shared" si="95"/>
        <v>4.0673908623194821</v>
      </c>
      <c r="AC118" s="153">
        <f t="shared" si="95"/>
        <v>6.8806329864729232</v>
      </c>
      <c r="AD118" s="153">
        <f t="shared" si="95"/>
        <v>6.5139681116448793</v>
      </c>
      <c r="AE118" s="153">
        <f t="shared" si="95"/>
        <v>5.7841166984065469</v>
      </c>
    </row>
    <row r="119" spans="2:31" x14ac:dyDescent="0.2">
      <c r="B119" s="161">
        <v>4</v>
      </c>
      <c r="C119" s="160">
        <v>8</v>
      </c>
      <c r="D119" s="159">
        <v>55</v>
      </c>
      <c r="E119" s="158">
        <f t="shared" si="96"/>
        <v>45.700736215747654</v>
      </c>
      <c r="F119" s="158">
        <f t="shared" si="97"/>
        <v>55.790297459875127</v>
      </c>
      <c r="G119" s="158">
        <f t="shared" si="98"/>
        <v>56.371446391748819</v>
      </c>
      <c r="H119" s="157" t="str">
        <f t="shared" si="99"/>
        <v>✓</v>
      </c>
      <c r="I119" s="157" t="str">
        <f t="shared" si="100"/>
        <v>✓</v>
      </c>
      <c r="J119" s="157" t="str">
        <f t="shared" si="101"/>
        <v>✓</v>
      </c>
      <c r="K119" s="157" t="str">
        <f t="shared" si="102"/>
        <v>✓</v>
      </c>
      <c r="L119" s="157" t="str">
        <f t="shared" si="103"/>
        <v>✓</v>
      </c>
      <c r="M119" s="156" t="str">
        <f t="shared" si="104"/>
        <v>✓</v>
      </c>
      <c r="N119" s="156" t="str">
        <f t="shared" si="105"/>
        <v>✓</v>
      </c>
      <c r="O119" s="156" t="str">
        <f t="shared" si="106"/>
        <v>✓</v>
      </c>
      <c r="P119" s="156" t="str">
        <f t="shared" si="107"/>
        <v>✓</v>
      </c>
      <c r="Q119" s="156" t="str">
        <f t="shared" si="108"/>
        <v>✓</v>
      </c>
      <c r="R119" s="156" t="str">
        <f t="shared" si="109"/>
        <v>✓</v>
      </c>
      <c r="S119" s="155">
        <f t="shared" si="110"/>
        <v>705.56714469255974</v>
      </c>
      <c r="T119" s="155">
        <f t="shared" si="111"/>
        <v>1007.6543113154042</v>
      </c>
      <c r="U119" s="155">
        <f t="shared" si="112"/>
        <v>512.67721462517545</v>
      </c>
      <c r="V119" s="155">
        <f t="shared" si="113"/>
        <v>732.17894216904347</v>
      </c>
      <c r="Z119" s="165">
        <v>69</v>
      </c>
      <c r="AA119" s="153">
        <f t="shared" ref="AA119:AE128" si="114">IF(($Z119/AA$11)&lt;AA$15,0.85*(AA$12-AA$13*($Z119/AA$11)),(0.85*(PI())^2*(10100)/(($Z119/AA$11)^2)))/AA$16</f>
        <v>4.1809666260886127</v>
      </c>
      <c r="AB119" s="153">
        <f t="shared" si="114"/>
        <v>3.950349789406697</v>
      </c>
      <c r="AC119" s="153">
        <f t="shared" si="114"/>
        <v>6.6826395567004395</v>
      </c>
      <c r="AD119" s="153">
        <f t="shared" si="114"/>
        <v>6.3265256350022918</v>
      </c>
      <c r="AE119" s="153">
        <f t="shared" si="114"/>
        <v>5.6176760372677723</v>
      </c>
    </row>
    <row r="120" spans="2:31" x14ac:dyDescent="0.2">
      <c r="B120" s="161">
        <v>4.5</v>
      </c>
      <c r="C120" s="160">
        <v>7.11</v>
      </c>
      <c r="D120" s="159">
        <v>55</v>
      </c>
      <c r="E120" s="158">
        <f t="shared" si="96"/>
        <v>51.413328242716119</v>
      </c>
      <c r="F120" s="158">
        <f t="shared" si="97"/>
        <v>62.764084642359521</v>
      </c>
      <c r="G120" s="158">
        <f t="shared" si="98"/>
        <v>63.345233574233212</v>
      </c>
      <c r="H120" s="157" t="str">
        <f t="shared" si="99"/>
        <v>✓</v>
      </c>
      <c r="I120" s="157" t="str">
        <f t="shared" si="100"/>
        <v>✓</v>
      </c>
      <c r="J120" s="157" t="str">
        <f t="shared" si="101"/>
        <v>✓</v>
      </c>
      <c r="K120" s="157" t="str">
        <f t="shared" si="102"/>
        <v>✓</v>
      </c>
      <c r="L120" s="157" t="str">
        <f t="shared" si="103"/>
        <v>✓</v>
      </c>
      <c r="M120" s="156" t="str">
        <f t="shared" si="104"/>
        <v>✓</v>
      </c>
      <c r="N120" s="156" t="str">
        <f t="shared" si="105"/>
        <v>✓</v>
      </c>
      <c r="O120" s="156" t="str">
        <f t="shared" si="106"/>
        <v>✓</v>
      </c>
      <c r="P120" s="156" t="str">
        <f t="shared" si="107"/>
        <v>✓</v>
      </c>
      <c r="Q120" s="156" t="str">
        <f t="shared" si="108"/>
        <v>✓</v>
      </c>
      <c r="R120" s="156" t="str">
        <f t="shared" si="109"/>
        <v>✓</v>
      </c>
      <c r="S120" s="155">
        <f t="shared" si="110"/>
        <v>700.42422253651114</v>
      </c>
      <c r="T120" s="155">
        <f t="shared" si="111"/>
        <v>1000.3094572894136</v>
      </c>
      <c r="U120" s="155">
        <f t="shared" si="112"/>
        <v>508.94027899001901</v>
      </c>
      <c r="V120" s="155">
        <f t="shared" si="113"/>
        <v>726.84204499037128</v>
      </c>
      <c r="Z120" s="165">
        <v>70</v>
      </c>
      <c r="AA120" s="153">
        <f t="shared" si="114"/>
        <v>4.0623636952669164</v>
      </c>
      <c r="AB120" s="153">
        <f t="shared" si="114"/>
        <v>3.838288846401078</v>
      </c>
      <c r="AC120" s="153">
        <f t="shared" si="114"/>
        <v>6.4930708019287344</v>
      </c>
      <c r="AD120" s="153">
        <f t="shared" si="114"/>
        <v>6.1470588873971259</v>
      </c>
      <c r="AE120" s="153">
        <f t="shared" si="114"/>
        <v>5.4583174721289529</v>
      </c>
    </row>
    <row r="121" spans="2:31" x14ac:dyDescent="0.2">
      <c r="B121" s="161">
        <v>5</v>
      </c>
      <c r="C121" s="160">
        <v>6.4</v>
      </c>
      <c r="D121" s="159">
        <v>55</v>
      </c>
      <c r="E121" s="158">
        <f t="shared" si="96"/>
        <v>57.125920269684578</v>
      </c>
      <c r="F121" s="158">
        <f t="shared" si="97"/>
        <v>69.737871824843907</v>
      </c>
      <c r="G121" s="158">
        <f t="shared" si="98"/>
        <v>70.319020756717606</v>
      </c>
      <c r="H121" s="157" t="str">
        <f t="shared" si="99"/>
        <v>✓</v>
      </c>
      <c r="I121" s="157" t="str">
        <f t="shared" si="100"/>
        <v>✓</v>
      </c>
      <c r="J121" s="157" t="str">
        <f t="shared" si="101"/>
        <v>✓</v>
      </c>
      <c r="K121" s="157" t="str">
        <f t="shared" si="102"/>
        <v>✓</v>
      </c>
      <c r="L121" s="157" t="str">
        <f t="shared" si="103"/>
        <v>✓</v>
      </c>
      <c r="M121" s="156" t="str">
        <f t="shared" si="104"/>
        <v>✓</v>
      </c>
      <c r="N121" s="156" t="str">
        <f t="shared" si="105"/>
        <v>✓</v>
      </c>
      <c r="O121" s="156" t="str">
        <f t="shared" si="106"/>
        <v>✓</v>
      </c>
      <c r="P121" s="156" t="str">
        <f t="shared" si="107"/>
        <v>✓</v>
      </c>
      <c r="Q121" s="156" t="str">
        <f t="shared" si="108"/>
        <v>✓</v>
      </c>
      <c r="R121" s="156" t="str">
        <f t="shared" si="109"/>
        <v>✓</v>
      </c>
      <c r="S121" s="155">
        <f t="shared" si="110"/>
        <v>696.54546437740214</v>
      </c>
      <c r="T121" s="155">
        <f t="shared" si="111"/>
        <v>994.77001655584741</v>
      </c>
      <c r="U121" s="155">
        <f t="shared" si="112"/>
        <v>506.12190664349612</v>
      </c>
      <c r="V121" s="155">
        <f t="shared" si="113"/>
        <v>722.81699214142748</v>
      </c>
      <c r="Z121" s="165">
        <v>71</v>
      </c>
      <c r="AA121" s="153">
        <f t="shared" si="114"/>
        <v>3.9487367797674842</v>
      </c>
      <c r="AB121" s="153">
        <f t="shared" si="114"/>
        <v>3.7309294479994612</v>
      </c>
      <c r="AC121" s="153">
        <f t="shared" si="114"/>
        <v>6.3114554511903975</v>
      </c>
      <c r="AD121" s="153">
        <f t="shared" si="114"/>
        <v>5.9751217116139497</v>
      </c>
      <c r="AE121" s="153">
        <f t="shared" si="114"/>
        <v>5.305644835039053</v>
      </c>
    </row>
    <row r="122" spans="2:31" x14ac:dyDescent="0.2">
      <c r="B122" s="161">
        <v>5.5</v>
      </c>
      <c r="C122" s="160">
        <v>5.82</v>
      </c>
      <c r="D122" s="159">
        <v>55</v>
      </c>
      <c r="E122" s="158">
        <f t="shared" si="96"/>
        <v>62.838512296653029</v>
      </c>
      <c r="F122" s="158">
        <f t="shared" si="97"/>
        <v>76.711659007328308</v>
      </c>
      <c r="G122" s="158">
        <f t="shared" si="98"/>
        <v>77.292807939201992</v>
      </c>
      <c r="H122" s="157" t="str">
        <f t="shared" si="99"/>
        <v>✓</v>
      </c>
      <c r="I122" s="157" t="str">
        <f t="shared" si="100"/>
        <v>✓</v>
      </c>
      <c r="J122" s="157" t="str">
        <f t="shared" si="101"/>
        <v>✓</v>
      </c>
      <c r="K122" s="157" t="str">
        <f t="shared" si="102"/>
        <v>✓</v>
      </c>
      <c r="L122" s="157" t="str">
        <f t="shared" si="103"/>
        <v>✓</v>
      </c>
      <c r="M122" s="156" t="str">
        <f t="shared" si="104"/>
        <v>✓</v>
      </c>
      <c r="N122" s="156" t="str">
        <f t="shared" si="105"/>
        <v>✓</v>
      </c>
      <c r="O122" s="156" t="str">
        <f t="shared" si="106"/>
        <v>✓</v>
      </c>
      <c r="P122" s="156" t="str">
        <f t="shared" si="107"/>
        <v>✓</v>
      </c>
      <c r="Q122" s="156" t="str">
        <f t="shared" si="108"/>
        <v>✓</v>
      </c>
      <c r="R122" s="156" t="str">
        <f t="shared" si="109"/>
        <v>✓</v>
      </c>
      <c r="S122" s="155">
        <f t="shared" si="110"/>
        <v>693.52497783302067</v>
      </c>
      <c r="T122" s="155">
        <f t="shared" si="111"/>
        <v>990.45631471809747</v>
      </c>
      <c r="U122" s="155">
        <f t="shared" si="112"/>
        <v>503.92716920421094</v>
      </c>
      <c r="V122" s="155">
        <f t="shared" si="113"/>
        <v>719.68258224219005</v>
      </c>
      <c r="Z122" s="165">
        <v>72</v>
      </c>
      <c r="AA122" s="153">
        <f t="shared" si="114"/>
        <v>3.8398113631959658</v>
      </c>
      <c r="AB122" s="153">
        <f t="shared" si="114"/>
        <v>3.6280122197849698</v>
      </c>
      <c r="AC122" s="153">
        <f t="shared" si="114"/>
        <v>6.1373547317613415</v>
      </c>
      <c r="AD122" s="153">
        <f t="shared" si="114"/>
        <v>5.8102987168684264</v>
      </c>
      <c r="AE122" s="153">
        <f t="shared" si="114"/>
        <v>5.1592892772823804</v>
      </c>
    </row>
    <row r="123" spans="2:31" x14ac:dyDescent="0.2">
      <c r="B123" s="161">
        <v>6</v>
      </c>
      <c r="C123" s="160">
        <v>5.33</v>
      </c>
      <c r="D123" s="159">
        <v>55</v>
      </c>
      <c r="E123" s="158">
        <f t="shared" si="96"/>
        <v>68.551104323621487</v>
      </c>
      <c r="F123" s="158">
        <f t="shared" si="97"/>
        <v>83.685446189812694</v>
      </c>
      <c r="G123" s="158">
        <f t="shared" si="98"/>
        <v>84.266595121686393</v>
      </c>
      <c r="H123" s="157" t="str">
        <f t="shared" si="99"/>
        <v>✓</v>
      </c>
      <c r="I123" s="157" t="str">
        <f t="shared" si="100"/>
        <v>✓</v>
      </c>
      <c r="J123" s="157" t="str">
        <f t="shared" si="101"/>
        <v>✓</v>
      </c>
      <c r="K123" s="157" t="str">
        <f t="shared" si="102"/>
        <v>✓</v>
      </c>
      <c r="L123" s="157" t="str">
        <f t="shared" si="103"/>
        <v>✓</v>
      </c>
      <c r="M123" s="156" t="str">
        <f t="shared" si="104"/>
        <v>✓</v>
      </c>
      <c r="N123" s="156" t="str">
        <f t="shared" si="105"/>
        <v>✓</v>
      </c>
      <c r="O123" s="156" t="str">
        <f t="shared" si="106"/>
        <v>✓</v>
      </c>
      <c r="P123" s="156" t="str">
        <f t="shared" si="107"/>
        <v>✓</v>
      </c>
      <c r="Q123" s="156" t="str">
        <f t="shared" si="108"/>
        <v>✓</v>
      </c>
      <c r="R123" s="156" t="str">
        <f t="shared" si="109"/>
        <v>✓</v>
      </c>
      <c r="S123" s="155">
        <f t="shared" si="110"/>
        <v>690.19714478346202</v>
      </c>
      <c r="T123" s="155">
        <f t="shared" si="111"/>
        <v>985.70367658159978</v>
      </c>
      <c r="U123" s="155">
        <f t="shared" si="112"/>
        <v>501.50910851159074</v>
      </c>
      <c r="V123" s="155">
        <f t="shared" si="113"/>
        <v>716.22923368384306</v>
      </c>
      <c r="Z123" s="165">
        <v>73</v>
      </c>
      <c r="AA123" s="153">
        <f t="shared" si="114"/>
        <v>3.7353316019530665</v>
      </c>
      <c r="AB123" s="153">
        <f t="shared" si="114"/>
        <v>3.5292954301680024</v>
      </c>
      <c r="AC123" s="153">
        <f t="shared" si="114"/>
        <v>5.9703597165417124</v>
      </c>
      <c r="AD123" s="153">
        <f t="shared" si="114"/>
        <v>5.6522027675447397</v>
      </c>
      <c r="AE123" s="153">
        <f t="shared" si="114"/>
        <v>5.0189070394880577</v>
      </c>
    </row>
    <row r="124" spans="2:31" x14ac:dyDescent="0.2">
      <c r="B124" s="161">
        <v>6.5</v>
      </c>
      <c r="C124" s="160">
        <v>4.92</v>
      </c>
      <c r="D124" s="159">
        <v>55</v>
      </c>
      <c r="E124" s="158">
        <f t="shared" si="96"/>
        <v>74.263696350589953</v>
      </c>
      <c r="F124" s="158">
        <f t="shared" si="97"/>
        <v>90.659233372297081</v>
      </c>
      <c r="G124" s="158">
        <f t="shared" si="98"/>
        <v>91.24038230417078</v>
      </c>
      <c r="H124" s="157" t="str">
        <f t="shared" si="99"/>
        <v>✓</v>
      </c>
      <c r="I124" s="157" t="str">
        <f t="shared" si="100"/>
        <v>✓</v>
      </c>
      <c r="J124" s="157" t="str">
        <f t="shared" si="101"/>
        <v>✓</v>
      </c>
      <c r="K124" s="157" t="str">
        <f t="shared" si="102"/>
        <v>✓</v>
      </c>
      <c r="L124" s="157" t="str">
        <f t="shared" si="103"/>
        <v>✓</v>
      </c>
      <c r="M124" s="156" t="str">
        <f t="shared" si="104"/>
        <v>✓</v>
      </c>
      <c r="N124" s="156" t="str">
        <f t="shared" si="105"/>
        <v>✓</v>
      </c>
      <c r="O124" s="156" t="str">
        <f t="shared" si="106"/>
        <v>✓</v>
      </c>
      <c r="P124" s="156" t="str">
        <f t="shared" si="107"/>
        <v>✓</v>
      </c>
      <c r="Q124" s="156" t="str">
        <f t="shared" si="108"/>
        <v>✓</v>
      </c>
      <c r="R124" s="156" t="str">
        <f t="shared" si="109"/>
        <v>✓</v>
      </c>
      <c r="S124" s="155">
        <f t="shared" si="110"/>
        <v>687.94425540968996</v>
      </c>
      <c r="T124" s="155">
        <f t="shared" si="111"/>
        <v>982.48621711303667</v>
      </c>
      <c r="U124" s="155">
        <f t="shared" si="112"/>
        <v>499.87212036993429</v>
      </c>
      <c r="V124" s="155">
        <f t="shared" si="113"/>
        <v>713.89137233227586</v>
      </c>
      <c r="Z124" s="165">
        <v>74</v>
      </c>
      <c r="AA124" s="153">
        <f t="shared" si="114"/>
        <v>3.6350588215500159</v>
      </c>
      <c r="AB124" s="153">
        <f t="shared" si="114"/>
        <v>3.4345535696430392</v>
      </c>
      <c r="AC124" s="153">
        <f t="shared" si="114"/>
        <v>5.8100889206447768</v>
      </c>
      <c r="AD124" s="153">
        <f t="shared" si="114"/>
        <v>5.5004727078608315</v>
      </c>
      <c r="AE124" s="153">
        <f t="shared" si="114"/>
        <v>4.8841774312329909</v>
      </c>
    </row>
    <row r="125" spans="2:31" x14ac:dyDescent="0.2">
      <c r="B125" s="161">
        <v>7</v>
      </c>
      <c r="C125" s="160">
        <v>4.57</v>
      </c>
      <c r="D125" s="159">
        <v>55</v>
      </c>
      <c r="E125" s="158">
        <f t="shared" si="96"/>
        <v>79.976288377558404</v>
      </c>
      <c r="F125" s="158">
        <f t="shared" si="97"/>
        <v>97.633020554781481</v>
      </c>
      <c r="G125" s="158">
        <f t="shared" si="98"/>
        <v>98.214169486655166</v>
      </c>
      <c r="H125" s="157" t="str">
        <f t="shared" si="99"/>
        <v>✓</v>
      </c>
      <c r="I125" s="157" t="str">
        <f t="shared" si="100"/>
        <v>✓</v>
      </c>
      <c r="J125" s="157" t="str">
        <f t="shared" si="101"/>
        <v>✓</v>
      </c>
      <c r="K125" s="157" t="str">
        <f t="shared" si="102"/>
        <v>✓</v>
      </c>
      <c r="L125" s="157" t="str">
        <f t="shared" si="103"/>
        <v>✓</v>
      </c>
      <c r="M125" s="156" t="str">
        <f t="shared" si="104"/>
        <v>✓</v>
      </c>
      <c r="N125" s="156" t="str">
        <f t="shared" si="105"/>
        <v>✓</v>
      </c>
      <c r="O125" s="156" t="str">
        <f t="shared" si="106"/>
        <v>✓</v>
      </c>
      <c r="P125" s="156" t="str">
        <f t="shared" si="107"/>
        <v>✓</v>
      </c>
      <c r="Q125" s="156" t="str">
        <f t="shared" si="108"/>
        <v>✓</v>
      </c>
      <c r="R125" s="156" t="str">
        <f t="shared" si="109"/>
        <v>✓</v>
      </c>
      <c r="S125" s="155">
        <f t="shared" si="110"/>
        <v>686.23729500124955</v>
      </c>
      <c r="T125" s="155">
        <f t="shared" si="111"/>
        <v>980.04842500813493</v>
      </c>
      <c r="U125" s="155">
        <f t="shared" si="112"/>
        <v>498.6318135979177</v>
      </c>
      <c r="V125" s="155">
        <f t="shared" si="113"/>
        <v>712.12003068807167</v>
      </c>
      <c r="Z125" s="165">
        <v>75</v>
      </c>
      <c r="AA125" s="153">
        <f t="shared" si="114"/>
        <v>3.5387701523214021</v>
      </c>
      <c r="AB125" s="153">
        <f t="shared" si="114"/>
        <v>3.3435760617538279</v>
      </c>
      <c r="AC125" s="153">
        <f t="shared" si="114"/>
        <v>5.6561861207912525</v>
      </c>
      <c r="AD125" s="153">
        <f t="shared" si="114"/>
        <v>5.3547712974659412</v>
      </c>
      <c r="AE125" s="153">
        <f t="shared" si="114"/>
        <v>4.754800997943442</v>
      </c>
    </row>
    <row r="126" spans="2:31" x14ac:dyDescent="0.2">
      <c r="B126" s="161">
        <v>7.5</v>
      </c>
      <c r="C126" s="160">
        <v>4.2699999999999996</v>
      </c>
      <c r="D126" s="159">
        <v>55</v>
      </c>
      <c r="E126" s="158">
        <f t="shared" si="96"/>
        <v>85.688880404526856</v>
      </c>
      <c r="F126" s="158">
        <f t="shared" si="97"/>
        <v>104.60680773726587</v>
      </c>
      <c r="G126" s="158">
        <f t="shared" si="98"/>
        <v>105.18795666913957</v>
      </c>
      <c r="H126" s="157" t="str">
        <f t="shared" si="99"/>
        <v>✓</v>
      </c>
      <c r="I126" s="157" t="str">
        <f t="shared" si="100"/>
        <v>✓</v>
      </c>
      <c r="J126" s="157" t="str">
        <f t="shared" si="101"/>
        <v>✓</v>
      </c>
      <c r="K126" s="157" t="str">
        <f t="shared" si="102"/>
        <v>✓</v>
      </c>
      <c r="L126" s="157" t="str">
        <f t="shared" si="103"/>
        <v>✓</v>
      </c>
      <c r="M126" s="156" t="str">
        <f t="shared" si="104"/>
        <v>✓</v>
      </c>
      <c r="N126" s="156" t="str">
        <f t="shared" si="105"/>
        <v>✓</v>
      </c>
      <c r="O126" s="156" t="str">
        <f t="shared" si="106"/>
        <v>✓</v>
      </c>
      <c r="P126" s="156" t="str">
        <f t="shared" si="107"/>
        <v>✓</v>
      </c>
      <c r="Q126" s="156" t="str">
        <f t="shared" si="108"/>
        <v>✓</v>
      </c>
      <c r="R126" s="156" t="str">
        <f t="shared" si="109"/>
        <v>✓</v>
      </c>
      <c r="S126" s="155">
        <f t="shared" si="110"/>
        <v>685.32769638621414</v>
      </c>
      <c r="T126" s="155">
        <f t="shared" si="111"/>
        <v>978.74938355913662</v>
      </c>
      <c r="U126" s="155">
        <f t="shared" si="112"/>
        <v>497.97088361004734</v>
      </c>
      <c r="V126" s="155">
        <f t="shared" si="113"/>
        <v>711.17612484329857</v>
      </c>
      <c r="Z126" s="165">
        <v>76</v>
      </c>
      <c r="AA126" s="153">
        <f t="shared" si="114"/>
        <v>3.4462572899598136</v>
      </c>
      <c r="AB126" s="153">
        <f t="shared" si="114"/>
        <v>3.2561660919953739</v>
      </c>
      <c r="AC126" s="153">
        <f t="shared" si="114"/>
        <v>5.5083183742123953</v>
      </c>
      <c r="AD126" s="153">
        <f t="shared" si="114"/>
        <v>5.2147833359151523</v>
      </c>
      <c r="AE126" s="153">
        <f t="shared" si="114"/>
        <v>4.6304978555110567</v>
      </c>
    </row>
    <row r="127" spans="2:31" x14ac:dyDescent="0.2">
      <c r="B127" s="161">
        <v>8</v>
      </c>
      <c r="C127" s="160">
        <v>4</v>
      </c>
      <c r="D127" s="159">
        <v>55</v>
      </c>
      <c r="E127" s="158">
        <f t="shared" si="96"/>
        <v>91.401472431495307</v>
      </c>
      <c r="F127" s="158">
        <f t="shared" si="97"/>
        <v>111.58059491975025</v>
      </c>
      <c r="G127" s="158">
        <f t="shared" si="98"/>
        <v>112.16174385162395</v>
      </c>
      <c r="H127" s="157" t="str">
        <f t="shared" si="99"/>
        <v>✓</v>
      </c>
      <c r="I127" s="157" t="str">
        <f t="shared" si="100"/>
        <v>✓</v>
      </c>
      <c r="J127" s="157" t="str">
        <f t="shared" si="101"/>
        <v>✓</v>
      </c>
      <c r="K127" s="157" t="str">
        <f t="shared" si="102"/>
        <v>✓</v>
      </c>
      <c r="L127" s="157" t="str">
        <f t="shared" si="103"/>
        <v>✓</v>
      </c>
      <c r="M127" s="156" t="str">
        <f t="shared" si="104"/>
        <v>✓</v>
      </c>
      <c r="N127" s="156" t="str">
        <f t="shared" si="105"/>
        <v>✓</v>
      </c>
      <c r="O127" s="156" t="str">
        <f t="shared" si="106"/>
        <v>✓</v>
      </c>
      <c r="P127" s="156" t="str">
        <f t="shared" si="107"/>
        <v>✓</v>
      </c>
      <c r="Q127" s="156" t="str">
        <f t="shared" si="108"/>
        <v>✓</v>
      </c>
      <c r="R127" s="156" t="str">
        <f t="shared" si="109"/>
        <v>✓</v>
      </c>
      <c r="S127" s="155">
        <f t="shared" si="110"/>
        <v>683.34651559680299</v>
      </c>
      <c r="T127" s="155">
        <f t="shared" si="111"/>
        <v>975.91996416374332</v>
      </c>
      <c r="U127" s="155">
        <f t="shared" si="112"/>
        <v>496.53132359591609</v>
      </c>
      <c r="V127" s="155">
        <f t="shared" si="113"/>
        <v>709.12022007853136</v>
      </c>
      <c r="Z127" s="165">
        <v>77</v>
      </c>
      <c r="AA127" s="153">
        <f t="shared" si="114"/>
        <v>3.357325367989187</v>
      </c>
      <c r="AB127" s="153">
        <f t="shared" si="114"/>
        <v>3.1721395424802306</v>
      </c>
      <c r="AC127" s="153">
        <f t="shared" si="114"/>
        <v>5.3661742164700286</v>
      </c>
      <c r="AD127" s="153">
        <f t="shared" si="114"/>
        <v>5.0802139565265509</v>
      </c>
      <c r="AE127" s="153">
        <f t="shared" si="114"/>
        <v>4.5110061753131836</v>
      </c>
    </row>
    <row r="128" spans="2:31" x14ac:dyDescent="0.2">
      <c r="Z128" s="165">
        <v>78</v>
      </c>
      <c r="AA128" s="153">
        <f t="shared" si="114"/>
        <v>3.2717919307705268</v>
      </c>
      <c r="AB128" s="153">
        <f t="shared" si="114"/>
        <v>3.0913240215919275</v>
      </c>
      <c r="AC128" s="153">
        <f t="shared" si="114"/>
        <v>5.2294620199623276</v>
      </c>
      <c r="AD128" s="153">
        <f t="shared" si="114"/>
        <v>4.9507870723612619</v>
      </c>
      <c r="AE128" s="153">
        <f t="shared" si="114"/>
        <v>4.3960808043116142</v>
      </c>
    </row>
    <row r="129" spans="2:31" x14ac:dyDescent="0.2">
      <c r="Z129" s="165">
        <v>79</v>
      </c>
      <c r="AA129" s="153">
        <f t="shared" ref="AA129:AE138" si="115">IF(($Z129/AA$11)&lt;AA$15,0.85*(AA$12-AA$13*($Z129/AA$11)),(0.85*(PI())^2*(10100)/(($Z129/AA$11)^2)))/AA$16</f>
        <v>3.1894859969248337</v>
      </c>
      <c r="AB129" s="153">
        <f t="shared" si="115"/>
        <v>3.0135579790683038</v>
      </c>
      <c r="AC129" s="153">
        <f t="shared" si="115"/>
        <v>5.0979084969477313</v>
      </c>
      <c r="AD129" s="153">
        <f t="shared" si="115"/>
        <v>4.8262439590203359</v>
      </c>
      <c r="AE129" s="153">
        <f t="shared" si="115"/>
        <v>4.2854920066386581</v>
      </c>
    </row>
    <row r="130" spans="2:31" ht="12.75" customHeight="1" x14ac:dyDescent="0.25">
      <c r="B130" s="550" t="s">
        <v>173</v>
      </c>
      <c r="C130" s="550"/>
      <c r="D130" s="550"/>
      <c r="E130" s="550"/>
      <c r="F130" s="550"/>
      <c r="G130" s="550"/>
      <c r="H130" s="550"/>
      <c r="I130" s="550"/>
      <c r="J130" s="550"/>
      <c r="K130" s="550"/>
      <c r="L130" s="550"/>
      <c r="M130" s="167"/>
      <c r="N130" s="167"/>
      <c r="O130" s="167"/>
      <c r="P130" s="167"/>
      <c r="Q130" s="167"/>
      <c r="R130" s="167"/>
      <c r="S130" s="167"/>
      <c r="T130" s="167"/>
      <c r="U130" s="167"/>
      <c r="V130" s="167"/>
      <c r="Z130" s="165">
        <v>80</v>
      </c>
      <c r="AA130" s="153">
        <f t="shared" si="115"/>
        <v>3.1102472041887319</v>
      </c>
      <c r="AB130" s="153">
        <f t="shared" si="115"/>
        <v>2.9386898980258254</v>
      </c>
      <c r="AC130" s="153">
        <f t="shared" si="115"/>
        <v>4.9712573327266867</v>
      </c>
      <c r="AD130" s="153">
        <f t="shared" si="115"/>
        <v>4.7063419606634245</v>
      </c>
      <c r="AE130" s="153">
        <f t="shared" si="115"/>
        <v>4.1790243145987285</v>
      </c>
    </row>
    <row r="131" spans="2:31" x14ac:dyDescent="0.2">
      <c r="Z131" s="165">
        <v>81</v>
      </c>
      <c r="AA131" s="153">
        <f t="shared" si="115"/>
        <v>3.0339250277103926</v>
      </c>
      <c r="AB131" s="153">
        <f t="shared" si="115"/>
        <v>2.8665775563733091</v>
      </c>
      <c r="AC131" s="153">
        <f t="shared" si="115"/>
        <v>4.849267936206493</v>
      </c>
      <c r="AD131" s="153">
        <f t="shared" si="115"/>
        <v>4.5908533071552995</v>
      </c>
      <c r="AE131" s="153">
        <f t="shared" si="115"/>
        <v>4.0764754783465733</v>
      </c>
    </row>
    <row r="132" spans="2:31" x14ac:dyDescent="0.2">
      <c r="B132" s="166" t="s">
        <v>106</v>
      </c>
      <c r="C132" s="166" t="s">
        <v>172</v>
      </c>
      <c r="D132" s="166" t="s">
        <v>171</v>
      </c>
      <c r="E132" s="166" t="s">
        <v>170</v>
      </c>
      <c r="F132" s="166" t="s">
        <v>169</v>
      </c>
      <c r="G132" s="166" t="s">
        <v>168</v>
      </c>
      <c r="H132" s="166" t="s">
        <v>167</v>
      </c>
      <c r="I132" s="166" t="s">
        <v>166</v>
      </c>
      <c r="J132" s="166" t="s">
        <v>165</v>
      </c>
      <c r="K132" s="166" t="s">
        <v>164</v>
      </c>
      <c r="L132" s="166" t="s">
        <v>163</v>
      </c>
      <c r="M132" s="166" t="s">
        <v>162</v>
      </c>
      <c r="N132" s="166" t="s">
        <v>121</v>
      </c>
      <c r="O132" s="166" t="s">
        <v>120</v>
      </c>
      <c r="P132" s="166" t="s">
        <v>119</v>
      </c>
      <c r="Q132" s="166" t="s">
        <v>118</v>
      </c>
      <c r="R132" s="166" t="s">
        <v>117</v>
      </c>
      <c r="S132" s="166" t="s">
        <v>161</v>
      </c>
      <c r="T132" s="166" t="s">
        <v>160</v>
      </c>
      <c r="U132" s="166" t="s">
        <v>159</v>
      </c>
      <c r="V132" s="166" t="s">
        <v>158</v>
      </c>
      <c r="Z132" s="165">
        <v>82</v>
      </c>
      <c r="AA132" s="153">
        <f t="shared" si="115"/>
        <v>2.9603780646650639</v>
      </c>
      <c r="AB132" s="153">
        <f t="shared" si="115"/>
        <v>2.7970873508871632</v>
      </c>
      <c r="AC132" s="153">
        <f t="shared" si="115"/>
        <v>4.7317142964679944</v>
      </c>
      <c r="AD132" s="153">
        <f t="shared" si="115"/>
        <v>4.4795640315654248</v>
      </c>
      <c r="AE132" s="153">
        <f t="shared" si="115"/>
        <v>3.9776555046745781</v>
      </c>
    </row>
    <row r="133" spans="2:31" x14ac:dyDescent="0.2">
      <c r="B133" s="161">
        <v>2</v>
      </c>
      <c r="C133" s="160">
        <v>16</v>
      </c>
      <c r="D133" s="159">
        <v>60</v>
      </c>
      <c r="E133" s="158">
        <f t="shared" ref="E133:E145" si="116">TAN(RADIANS(D133))*(B133*12)*(2/3)</f>
        <v>27.712812921102028</v>
      </c>
      <c r="F133" s="158">
        <f t="shared" ref="F133:F145" si="117">((B133*12)*(2/3))/COS(RADIANS(D133))</f>
        <v>31.999999999999993</v>
      </c>
      <c r="G133" s="158">
        <f t="shared" ref="G133:G145" si="118">(((B133*12)+(6/12))*(2/3))/COS(RADIANS(D133))</f>
        <v>32.666666666666657</v>
      </c>
      <c r="H133" s="157" t="str">
        <f t="shared" ref="H133:H145" si="119">IF(((($AA$3*($B133/2)*$C133*(3/2))/SIN(ATAN($E133/(($B133*12)*(2/3)+6))))/1000/AA$10/AA811)&lt;=1,"✓","")</f>
        <v>✓</v>
      </c>
      <c r="I133" s="157" t="str">
        <f t="shared" ref="I133:I145" si="120">IF(((($AA$3*($B133/2)*$C133*(3/2))/SIN(ATAN($E133/(($B133*12)*(2/3)+6))))/1000/AB$10/AB811)&lt;=1,"✓","")</f>
        <v>✓</v>
      </c>
      <c r="J133" s="157" t="str">
        <f t="shared" ref="J133:J145" si="121">IF(((($AA$3*($B133/2)*$C133*(3/2))/SIN(ATAN($E133/(($B133*12)*(2/3)+6))))/1000/AC$10/AC811)&lt;=1,"✓","")</f>
        <v>✓</v>
      </c>
      <c r="K133" s="157" t="str">
        <f t="shared" ref="K133:K145" si="122">IF(((($AA$3*($B133/2)*$C133*(3/2))/SIN(ATAN($E133/(($B133*12)*(2/3)+6))))/1000/AD$10/AD811)&lt;=1,"✓","")</f>
        <v>✓</v>
      </c>
      <c r="L133" s="157" t="str">
        <f t="shared" ref="L133:L145" si="123">IF(((($AA$3*($B133/2)*$C133*(3/2))/SIN(ATAN($E133/(($B133*12)*(2/3)+6))))/1000/AE$10/AE811)&lt;=1,"✓","")</f>
        <v>✓</v>
      </c>
      <c r="M133" s="156" t="str">
        <f t="shared" ref="M133:M145" si="124">IF(AND((S133/$G$149)^(5/3)+(T133/$H$149)^(5/3)&lt;=1,V133/$H$149&lt;=1),"✓","")</f>
        <v>✓</v>
      </c>
      <c r="N133" s="156" t="str">
        <f t="shared" ref="N133:N145" si="125">IF(AND((S133/$G$157)^(1)+(T133/$H$157)^(1)&lt;=1,V133/$H$157&lt;=1),"✓","")</f>
        <v>✓</v>
      </c>
      <c r="O133" s="156" t="str">
        <f t="shared" ref="O133:O145" si="126">IF(AND((S133/$G$159)^(1)+(T133/$H$159)^(1)&lt;=1,V133/$H$159&lt;=1),"✓","")</f>
        <v>✓</v>
      </c>
      <c r="P133" s="156" t="str">
        <f t="shared" ref="P133:P145" si="127">IF(AND((S133/$G$161)^(1)+(T133/$H$161)^(1)&lt;=1,V133/$H$161&lt;=1),"✓","")</f>
        <v>✓</v>
      </c>
      <c r="Q133" s="156" t="str">
        <f t="shared" ref="Q133:Q145" si="128">IF(AND((S133/$G$162)^(1)+(T133/$H$162)^(1)&lt;=1,V133/$H$162&lt;=1),"✓","")</f>
        <v>✓</v>
      </c>
      <c r="R133" s="156" t="str">
        <f t="shared" ref="R133:R145" si="129">IF(AND((S133/$G$163)^(1)+(T133/$H$163)^(1)&lt;=1,V133/$H$163&lt;=1),"✓","")</f>
        <v>✓</v>
      </c>
      <c r="S133" s="155">
        <f t="shared" ref="S133:S145" si="130">($AA$4*($B133/2)*$C133*(3/2))/SIN(ATAN($E133/(($B133*12)*(2/3)+6)))*COS(RADIANS($D133))</f>
        <v>603.83348975245917</v>
      </c>
      <c r="T133" s="155">
        <f t="shared" ref="T133:T145" si="131">($AA$4*($B133/2)*$C133*(3/2))/SIN(ATAN($E133/(($B133*12)*(2/3)+6)))*SIN(RADIANS($D133))</f>
        <v>1045.8702835628801</v>
      </c>
      <c r="U133" s="155">
        <f t="shared" ref="U133:U145" si="132">($AA$3*($B133/2)*$C133*(3/2))/SIN(ATAN($E133/(($B133*12)*(2/3)+6)))*COS(RADIANS($D133))</f>
        <v>438.75579234713575</v>
      </c>
      <c r="V133" s="155">
        <f t="shared" ref="V133:V145" si="133">($AA$3*($B133/2)*$C133*(3/2))/SIN(ATAN($E133/(($B133*12)*(2/3)+6)))*SIN(RADIANS($D133))</f>
        <v>759.94732446037892</v>
      </c>
      <c r="Z133" s="165">
        <v>83</v>
      </c>
      <c r="AA133" s="153">
        <f t="shared" si="115"/>
        <v>2.8894733788369704</v>
      </c>
      <c r="AB133" s="153">
        <f t="shared" si="115"/>
        <v>2.7300936779453164</v>
      </c>
      <c r="AC133" s="153">
        <f t="shared" si="115"/>
        <v>4.6183839351793861</v>
      </c>
      <c r="AD133" s="153">
        <f t="shared" si="115"/>
        <v>4.3722729784070129</v>
      </c>
      <c r="AE133" s="153">
        <f t="shared" si="115"/>
        <v>3.8823857763727481</v>
      </c>
    </row>
    <row r="134" spans="2:31" x14ac:dyDescent="0.2">
      <c r="B134" s="161">
        <v>2.5</v>
      </c>
      <c r="C134" s="160">
        <v>12.8</v>
      </c>
      <c r="D134" s="159">
        <v>60</v>
      </c>
      <c r="E134" s="158">
        <f t="shared" si="116"/>
        <v>34.641016151377535</v>
      </c>
      <c r="F134" s="158">
        <f t="shared" si="117"/>
        <v>39.999999999999993</v>
      </c>
      <c r="G134" s="158">
        <f t="shared" si="118"/>
        <v>40.666666666666657</v>
      </c>
      <c r="H134" s="157" t="str">
        <f t="shared" si="119"/>
        <v>✓</v>
      </c>
      <c r="I134" s="157" t="str">
        <f t="shared" si="120"/>
        <v>✓</v>
      </c>
      <c r="J134" s="157" t="str">
        <f t="shared" si="121"/>
        <v>✓</v>
      </c>
      <c r="K134" s="157" t="str">
        <f t="shared" si="122"/>
        <v>✓</v>
      </c>
      <c r="L134" s="157" t="str">
        <f t="shared" si="123"/>
        <v>✓</v>
      </c>
      <c r="M134" s="156" t="str">
        <f t="shared" si="124"/>
        <v>✓</v>
      </c>
      <c r="N134" s="156" t="str">
        <f t="shared" si="125"/>
        <v>✓</v>
      </c>
      <c r="O134" s="156" t="str">
        <f t="shared" si="126"/>
        <v>✓</v>
      </c>
      <c r="P134" s="156" t="str">
        <f t="shared" si="127"/>
        <v>✓</v>
      </c>
      <c r="Q134" s="156" t="str">
        <f t="shared" si="128"/>
        <v>✓</v>
      </c>
      <c r="R134" s="156" t="str">
        <f t="shared" si="129"/>
        <v>✓</v>
      </c>
      <c r="S134" s="155">
        <f t="shared" si="130"/>
        <v>591.31845802660087</v>
      </c>
      <c r="T134" s="155">
        <f t="shared" si="131"/>
        <v>1024.193612755357</v>
      </c>
      <c r="U134" s="155">
        <f t="shared" si="132"/>
        <v>429.66215518669998</v>
      </c>
      <c r="V134" s="155">
        <f t="shared" si="133"/>
        <v>744.19668287290779</v>
      </c>
      <c r="Z134" s="165">
        <v>84</v>
      </c>
      <c r="AA134" s="153">
        <f t="shared" si="115"/>
        <v>2.8210858994909138</v>
      </c>
      <c r="AB134" s="153">
        <f t="shared" si="115"/>
        <v>2.6654783655563046</v>
      </c>
      <c r="AC134" s="153">
        <f t="shared" si="115"/>
        <v>4.5090769457838435</v>
      </c>
      <c r="AD134" s="153">
        <f t="shared" si="115"/>
        <v>4.2687908940257824</v>
      </c>
      <c r="AE134" s="153">
        <f t="shared" si="115"/>
        <v>3.7904982445339939</v>
      </c>
    </row>
    <row r="135" spans="2:31" x14ac:dyDescent="0.2">
      <c r="B135" s="161">
        <v>3</v>
      </c>
      <c r="C135" s="160">
        <v>10.67</v>
      </c>
      <c r="D135" s="159">
        <v>60</v>
      </c>
      <c r="E135" s="158">
        <f t="shared" si="116"/>
        <v>41.569219381653042</v>
      </c>
      <c r="F135" s="158">
        <f t="shared" si="117"/>
        <v>47.999999999999993</v>
      </c>
      <c r="G135" s="158">
        <f t="shared" si="118"/>
        <v>48.66666666666665</v>
      </c>
      <c r="H135" s="157" t="str">
        <f t="shared" si="119"/>
        <v>✓</v>
      </c>
      <c r="I135" s="157" t="str">
        <f t="shared" si="120"/>
        <v>✓</v>
      </c>
      <c r="J135" s="157" t="str">
        <f t="shared" si="121"/>
        <v>✓</v>
      </c>
      <c r="K135" s="157" t="str">
        <f t="shared" si="122"/>
        <v>✓</v>
      </c>
      <c r="L135" s="157" t="str">
        <f t="shared" si="123"/>
        <v>✓</v>
      </c>
      <c r="M135" s="156" t="str">
        <f t="shared" si="124"/>
        <v>✓</v>
      </c>
      <c r="N135" s="156" t="str">
        <f t="shared" si="125"/>
        <v>✓</v>
      </c>
      <c r="O135" s="156" t="str">
        <f t="shared" si="126"/>
        <v>✓</v>
      </c>
      <c r="P135" s="156" t="str">
        <f t="shared" si="127"/>
        <v>✓</v>
      </c>
      <c r="Q135" s="156" t="str">
        <f t="shared" si="128"/>
        <v>✓</v>
      </c>
      <c r="R135" s="156" t="str">
        <f t="shared" si="129"/>
        <v>✓</v>
      </c>
      <c r="S135" s="155">
        <f t="shared" si="130"/>
        <v>583.40768945112438</v>
      </c>
      <c r="T135" s="155">
        <f t="shared" si="131"/>
        <v>1010.4917596557125</v>
      </c>
      <c r="U135" s="155">
        <f t="shared" si="132"/>
        <v>423.91405476942953</v>
      </c>
      <c r="V135" s="155">
        <f t="shared" si="133"/>
        <v>734.24068090318747</v>
      </c>
      <c r="Z135" s="165">
        <v>85</v>
      </c>
      <c r="AA135" s="153">
        <f t="shared" si="115"/>
        <v>2.7550978694543784</v>
      </c>
      <c r="AB135" s="153">
        <f t="shared" si="115"/>
        <v>2.6031301518844678</v>
      </c>
      <c r="AC135" s="153">
        <f t="shared" si="115"/>
        <v>4.4036051113426709</v>
      </c>
      <c r="AD135" s="153">
        <f t="shared" si="115"/>
        <v>4.1689395914527232</v>
      </c>
      <c r="AE135" s="153">
        <f t="shared" si="115"/>
        <v>3.7018346869801886</v>
      </c>
    </row>
    <row r="136" spans="2:31" x14ac:dyDescent="0.2">
      <c r="B136" s="161">
        <v>3.5</v>
      </c>
      <c r="C136" s="160">
        <v>9.14</v>
      </c>
      <c r="D136" s="159">
        <v>60</v>
      </c>
      <c r="E136" s="158">
        <f t="shared" si="116"/>
        <v>48.497422611928542</v>
      </c>
      <c r="F136" s="158">
        <f t="shared" si="117"/>
        <v>55.999999999999986</v>
      </c>
      <c r="G136" s="158">
        <f t="shared" si="118"/>
        <v>56.66666666666665</v>
      </c>
      <c r="H136" s="157" t="str">
        <f t="shared" si="119"/>
        <v>✓</v>
      </c>
      <c r="I136" s="157" t="str">
        <f t="shared" si="120"/>
        <v>✓</v>
      </c>
      <c r="J136" s="157" t="str">
        <f t="shared" si="121"/>
        <v>✓</v>
      </c>
      <c r="K136" s="157" t="str">
        <f t="shared" si="122"/>
        <v>✓</v>
      </c>
      <c r="L136" s="157" t="str">
        <f t="shared" si="123"/>
        <v>✓</v>
      </c>
      <c r="M136" s="156" t="str">
        <f t="shared" si="124"/>
        <v>✓</v>
      </c>
      <c r="N136" s="156" t="str">
        <f t="shared" si="125"/>
        <v>✓</v>
      </c>
      <c r="O136" s="156" t="str">
        <f t="shared" si="126"/>
        <v>✓</v>
      </c>
      <c r="P136" s="156" t="str">
        <f t="shared" si="127"/>
        <v>✓</v>
      </c>
      <c r="Q136" s="156" t="str">
        <f t="shared" si="128"/>
        <v>✓</v>
      </c>
      <c r="R136" s="156" t="str">
        <f t="shared" si="129"/>
        <v>✓</v>
      </c>
      <c r="S136" s="155">
        <f t="shared" si="130"/>
        <v>577.39236545056485</v>
      </c>
      <c r="T136" s="155">
        <f t="shared" si="131"/>
        <v>1000.0729128627549</v>
      </c>
      <c r="U136" s="155">
        <f t="shared" si="132"/>
        <v>419.54321695920447</v>
      </c>
      <c r="V136" s="155">
        <f t="shared" si="133"/>
        <v>726.67016774423462</v>
      </c>
      <c r="Z136" s="165">
        <v>86</v>
      </c>
      <c r="AA136" s="153">
        <f t="shared" si="115"/>
        <v>2.691398337859368</v>
      </c>
      <c r="AB136" s="153">
        <f t="shared" si="115"/>
        <v>2.5429442059715095</v>
      </c>
      <c r="AC136" s="153">
        <f t="shared" si="115"/>
        <v>4.3017910937602482</v>
      </c>
      <c r="AD136" s="153">
        <f t="shared" si="115"/>
        <v>4.0725511828347649</v>
      </c>
      <c r="AE136" s="153">
        <f t="shared" si="115"/>
        <v>3.616246026694411</v>
      </c>
    </row>
    <row r="137" spans="2:31" x14ac:dyDescent="0.2">
      <c r="B137" s="161">
        <v>4</v>
      </c>
      <c r="C137" s="160">
        <v>8</v>
      </c>
      <c r="D137" s="159">
        <v>60</v>
      </c>
      <c r="E137" s="158">
        <f t="shared" si="116"/>
        <v>55.425625842204056</v>
      </c>
      <c r="F137" s="158">
        <f t="shared" si="117"/>
        <v>63.999999999999986</v>
      </c>
      <c r="G137" s="158">
        <f t="shared" si="118"/>
        <v>64.666666666666643</v>
      </c>
      <c r="H137" s="157" t="str">
        <f t="shared" si="119"/>
        <v>✓</v>
      </c>
      <c r="I137" s="157" t="str">
        <f t="shared" si="120"/>
        <v>✓</v>
      </c>
      <c r="J137" s="157" t="str">
        <f t="shared" si="121"/>
        <v>✓</v>
      </c>
      <c r="K137" s="157" t="str">
        <f t="shared" si="122"/>
        <v>✓</v>
      </c>
      <c r="L137" s="157" t="str">
        <f t="shared" si="123"/>
        <v>✓</v>
      </c>
      <c r="M137" s="156" t="str">
        <f t="shared" si="124"/>
        <v>✓</v>
      </c>
      <c r="N137" s="156" t="str">
        <f t="shared" si="125"/>
        <v>✓</v>
      </c>
      <c r="O137" s="156" t="str">
        <f t="shared" si="126"/>
        <v>✓</v>
      </c>
      <c r="P137" s="156" t="str">
        <f t="shared" si="127"/>
        <v>✓</v>
      </c>
      <c r="Q137" s="156" t="str">
        <f t="shared" si="128"/>
        <v>✓</v>
      </c>
      <c r="R137" s="156" t="str">
        <f t="shared" si="129"/>
        <v>✓</v>
      </c>
      <c r="S137" s="155">
        <f t="shared" si="130"/>
        <v>573.40569590067116</v>
      </c>
      <c r="T137" s="155">
        <f t="shared" si="131"/>
        <v>993.16779864935131</v>
      </c>
      <c r="U137" s="155">
        <f t="shared" si="132"/>
        <v>416.64643434135581</v>
      </c>
      <c r="V137" s="155">
        <f t="shared" si="133"/>
        <v>721.65279307163826</v>
      </c>
      <c r="Z137" s="165">
        <v>87</v>
      </c>
      <c r="AA137" s="153">
        <f t="shared" si="115"/>
        <v>2.6298826934612092</v>
      </c>
      <c r="AB137" s="153">
        <f t="shared" si="115"/>
        <v>2.4848216867968396</v>
      </c>
      <c r="AC137" s="153">
        <f t="shared" si="115"/>
        <v>4.2034676878650812</v>
      </c>
      <c r="AD137" s="153">
        <f t="shared" si="115"/>
        <v>3.9794673732654138</v>
      </c>
      <c r="AE137" s="153">
        <f t="shared" si="115"/>
        <v>3.5335917047736647</v>
      </c>
    </row>
    <row r="138" spans="2:31" x14ac:dyDescent="0.2">
      <c r="B138" s="161">
        <v>4.5</v>
      </c>
      <c r="C138" s="160">
        <v>7.11</v>
      </c>
      <c r="D138" s="159">
        <v>60</v>
      </c>
      <c r="E138" s="158">
        <f t="shared" si="116"/>
        <v>62.353829072479563</v>
      </c>
      <c r="F138" s="158">
        <f t="shared" si="117"/>
        <v>71.999999999999986</v>
      </c>
      <c r="G138" s="158">
        <f t="shared" si="118"/>
        <v>72.666666666666643</v>
      </c>
      <c r="H138" s="157" t="str">
        <f t="shared" si="119"/>
        <v>✓</v>
      </c>
      <c r="I138" s="157" t="str">
        <f t="shared" si="120"/>
        <v>✓</v>
      </c>
      <c r="J138" s="157" t="str">
        <f t="shared" si="121"/>
        <v>✓</v>
      </c>
      <c r="K138" s="157" t="str">
        <f t="shared" si="122"/>
        <v>✓</v>
      </c>
      <c r="L138" s="157" t="str">
        <f t="shared" si="123"/>
        <v>✓</v>
      </c>
      <c r="M138" s="156" t="str">
        <f t="shared" si="124"/>
        <v>✓</v>
      </c>
      <c r="N138" s="156" t="str">
        <f t="shared" si="125"/>
        <v>✓</v>
      </c>
      <c r="O138" s="156" t="str">
        <f t="shared" si="126"/>
        <v>✓</v>
      </c>
      <c r="P138" s="156" t="str">
        <f t="shared" si="127"/>
        <v>✓</v>
      </c>
      <c r="Q138" s="156" t="str">
        <f t="shared" si="128"/>
        <v>✓</v>
      </c>
      <c r="R138" s="156" t="str">
        <f t="shared" si="129"/>
        <v>✓</v>
      </c>
      <c r="S138" s="155">
        <f t="shared" si="130"/>
        <v>570.11927787007824</v>
      </c>
      <c r="T138" s="155">
        <f t="shared" si="131"/>
        <v>987.47555564545394</v>
      </c>
      <c r="U138" s="155">
        <f t="shared" si="132"/>
        <v>414.25846651335758</v>
      </c>
      <c r="V138" s="155">
        <f t="shared" si="133"/>
        <v>717.51671146670549</v>
      </c>
      <c r="Z138" s="165">
        <v>88</v>
      </c>
      <c r="AA138" s="153">
        <f t="shared" si="115"/>
        <v>2.5704522348667207</v>
      </c>
      <c r="AB138" s="153">
        <f t="shared" si="115"/>
        <v>2.4286693372114256</v>
      </c>
      <c r="AC138" s="153">
        <f t="shared" si="115"/>
        <v>4.1084771344848656</v>
      </c>
      <c r="AD138" s="153">
        <f t="shared" si="115"/>
        <v>3.8895388104656403</v>
      </c>
      <c r="AE138" s="153">
        <f t="shared" si="115"/>
        <v>3.453739102974156</v>
      </c>
    </row>
    <row r="139" spans="2:31" x14ac:dyDescent="0.2">
      <c r="B139" s="161">
        <v>5</v>
      </c>
      <c r="C139" s="160">
        <v>6.4</v>
      </c>
      <c r="D139" s="159">
        <v>60</v>
      </c>
      <c r="E139" s="158">
        <f t="shared" si="116"/>
        <v>69.28203230275507</v>
      </c>
      <c r="F139" s="158">
        <f t="shared" si="117"/>
        <v>79.999999999999986</v>
      </c>
      <c r="G139" s="158">
        <f t="shared" si="118"/>
        <v>80.666666666666643</v>
      </c>
      <c r="H139" s="157" t="str">
        <f t="shared" si="119"/>
        <v>✓</v>
      </c>
      <c r="I139" s="157" t="str">
        <f t="shared" si="120"/>
        <v>✓</v>
      </c>
      <c r="J139" s="157" t="str">
        <f t="shared" si="121"/>
        <v>✓</v>
      </c>
      <c r="K139" s="157" t="str">
        <f t="shared" si="122"/>
        <v>✓</v>
      </c>
      <c r="L139" s="157" t="str">
        <f t="shared" si="123"/>
        <v>✓</v>
      </c>
      <c r="M139" s="156" t="str">
        <f t="shared" si="124"/>
        <v>✓</v>
      </c>
      <c r="N139" s="156" t="str">
        <f t="shared" si="125"/>
        <v>✓</v>
      </c>
      <c r="O139" s="156" t="str">
        <f t="shared" si="126"/>
        <v>✓</v>
      </c>
      <c r="P139" s="156" t="str">
        <f t="shared" si="127"/>
        <v>✓</v>
      </c>
      <c r="Q139" s="156" t="str">
        <f t="shared" si="128"/>
        <v>✓</v>
      </c>
      <c r="R139" s="156" t="str">
        <f t="shared" si="129"/>
        <v>✓</v>
      </c>
      <c r="S139" s="155">
        <f t="shared" si="130"/>
        <v>567.67859029721171</v>
      </c>
      <c r="T139" s="155">
        <f t="shared" si="131"/>
        <v>983.24816076384707</v>
      </c>
      <c r="U139" s="155">
        <f t="shared" si="132"/>
        <v>412.48502097236275</v>
      </c>
      <c r="V139" s="155">
        <f t="shared" si="133"/>
        <v>714.44501368524595</v>
      </c>
      <c r="Z139" s="165">
        <v>89</v>
      </c>
      <c r="AA139" s="153">
        <f t="shared" ref="AA139:AE148" si="134">IF(($Z139/AA$11)&lt;AA$15,0.85*(AA$12-AA$13*($Z139/AA$11)),(0.85*(PI())^2*(10100)/(($Z139/AA$11)^2)))/AA$16</f>
        <v>2.5130137743729182</v>
      </c>
      <c r="AB139" s="153">
        <f t="shared" si="134"/>
        <v>2.3743991096282393</v>
      </c>
      <c r="AC139" s="153">
        <f t="shared" si="134"/>
        <v>4.0166704872428731</v>
      </c>
      <c r="AD139" s="153">
        <f t="shared" si="134"/>
        <v>3.8026244853233075</v>
      </c>
      <c r="AE139" s="153">
        <f t="shared" si="134"/>
        <v>3.3765630114167235</v>
      </c>
    </row>
    <row r="140" spans="2:31" x14ac:dyDescent="0.2">
      <c r="B140" s="161">
        <v>5.5</v>
      </c>
      <c r="C140" s="160">
        <v>5.82</v>
      </c>
      <c r="D140" s="159">
        <v>60</v>
      </c>
      <c r="E140" s="158">
        <f t="shared" si="116"/>
        <v>76.21023553303057</v>
      </c>
      <c r="F140" s="158">
        <f t="shared" si="117"/>
        <v>87.999999999999986</v>
      </c>
      <c r="G140" s="158">
        <f t="shared" si="118"/>
        <v>88.666666666666643</v>
      </c>
      <c r="H140" s="157" t="str">
        <f t="shared" si="119"/>
        <v>✓</v>
      </c>
      <c r="I140" s="157" t="str">
        <f t="shared" si="120"/>
        <v>✓</v>
      </c>
      <c r="J140" s="157" t="str">
        <f t="shared" si="121"/>
        <v>✓</v>
      </c>
      <c r="K140" s="157" t="str">
        <f t="shared" si="122"/>
        <v>✓</v>
      </c>
      <c r="L140" s="157" t="str">
        <f t="shared" si="123"/>
        <v>✓</v>
      </c>
      <c r="M140" s="156" t="str">
        <f t="shared" si="124"/>
        <v>✓</v>
      </c>
      <c r="N140" s="156" t="str">
        <f t="shared" si="125"/>
        <v>✓</v>
      </c>
      <c r="O140" s="156" t="str">
        <f t="shared" si="126"/>
        <v>✓</v>
      </c>
      <c r="P140" s="156" t="str">
        <f t="shared" si="127"/>
        <v>✓</v>
      </c>
      <c r="Q140" s="156" t="str">
        <f t="shared" si="128"/>
        <v>✓</v>
      </c>
      <c r="R140" s="156" t="str">
        <f t="shared" si="129"/>
        <v>✓</v>
      </c>
      <c r="S140" s="155">
        <f t="shared" si="130"/>
        <v>565.80434423734357</v>
      </c>
      <c r="T140" s="155">
        <f t="shared" si="131"/>
        <v>980.00187136226975</v>
      </c>
      <c r="U140" s="155">
        <f t="shared" si="132"/>
        <v>411.12316157071206</v>
      </c>
      <c r="V140" s="155">
        <f t="shared" si="133"/>
        <v>712.0862040088216</v>
      </c>
      <c r="Z140" s="165">
        <v>90</v>
      </c>
      <c r="AA140" s="153">
        <f t="shared" si="134"/>
        <v>2.4574792724454184</v>
      </c>
      <c r="AB140" s="153">
        <f t="shared" si="134"/>
        <v>2.3219278206623803</v>
      </c>
      <c r="AC140" s="153">
        <f t="shared" si="134"/>
        <v>3.9279070283272586</v>
      </c>
      <c r="AD140" s="153">
        <f t="shared" si="134"/>
        <v>3.7185911787957928</v>
      </c>
      <c r="AE140" s="153">
        <f t="shared" si="134"/>
        <v>3.3019451374607236</v>
      </c>
    </row>
    <row r="141" spans="2:31" x14ac:dyDescent="0.2">
      <c r="B141" s="161">
        <v>6</v>
      </c>
      <c r="C141" s="160">
        <v>5.33</v>
      </c>
      <c r="D141" s="159">
        <v>60</v>
      </c>
      <c r="E141" s="158">
        <f t="shared" si="116"/>
        <v>83.138438763306084</v>
      </c>
      <c r="F141" s="158">
        <f t="shared" si="117"/>
        <v>95.999999999999986</v>
      </c>
      <c r="G141" s="158">
        <f t="shared" si="118"/>
        <v>96.666666666666629</v>
      </c>
      <c r="H141" s="157" t="str">
        <f t="shared" si="119"/>
        <v>✓</v>
      </c>
      <c r="I141" s="157" t="str">
        <f t="shared" si="120"/>
        <v>✓</v>
      </c>
      <c r="J141" s="157" t="str">
        <f t="shared" si="121"/>
        <v>✓</v>
      </c>
      <c r="K141" s="157" t="str">
        <f t="shared" si="122"/>
        <v>✓</v>
      </c>
      <c r="L141" s="157" t="str">
        <f t="shared" si="123"/>
        <v>✓</v>
      </c>
      <c r="M141" s="156" t="str">
        <f t="shared" si="124"/>
        <v>✓</v>
      </c>
      <c r="N141" s="156" t="str">
        <f t="shared" si="125"/>
        <v>✓</v>
      </c>
      <c r="O141" s="156" t="str">
        <f t="shared" si="126"/>
        <v>✓</v>
      </c>
      <c r="P141" s="156" t="str">
        <f t="shared" si="127"/>
        <v>✓</v>
      </c>
      <c r="Q141" s="156" t="str">
        <f t="shared" si="128"/>
        <v>✓</v>
      </c>
      <c r="R141" s="156" t="str">
        <f t="shared" si="129"/>
        <v>✓</v>
      </c>
      <c r="S141" s="155">
        <f t="shared" si="130"/>
        <v>563.57903876132889</v>
      </c>
      <c r="T141" s="155">
        <f t="shared" si="131"/>
        <v>976.14752921545107</v>
      </c>
      <c r="U141" s="155">
        <f t="shared" si="132"/>
        <v>409.50621636327833</v>
      </c>
      <c r="V141" s="155">
        <f t="shared" si="133"/>
        <v>709.28557275649143</v>
      </c>
      <c r="Z141" s="165">
        <v>91</v>
      </c>
      <c r="AA141" s="153">
        <f t="shared" si="134"/>
        <v>2.4037655001579381</v>
      </c>
      <c r="AB141" s="153">
        <f t="shared" si="134"/>
        <v>2.2711768321899872</v>
      </c>
      <c r="AC141" s="153">
        <f t="shared" si="134"/>
        <v>3.8420537289519139</v>
      </c>
      <c r="AD141" s="153">
        <f t="shared" si="134"/>
        <v>3.6373129511225595</v>
      </c>
      <c r="AE141" s="153">
        <f t="shared" si="134"/>
        <v>3.2297736521473088</v>
      </c>
    </row>
    <row r="142" spans="2:31" x14ac:dyDescent="0.2">
      <c r="B142" s="161">
        <v>6.5</v>
      </c>
      <c r="C142" s="160">
        <v>4.92</v>
      </c>
      <c r="D142" s="159">
        <v>60</v>
      </c>
      <c r="E142" s="158">
        <f t="shared" si="116"/>
        <v>90.066641993581584</v>
      </c>
      <c r="F142" s="158">
        <f t="shared" si="117"/>
        <v>103.99999999999997</v>
      </c>
      <c r="G142" s="158">
        <f t="shared" si="118"/>
        <v>104.66666666666663</v>
      </c>
      <c r="H142" s="157" t="str">
        <f t="shared" si="119"/>
        <v>✓</v>
      </c>
      <c r="I142" s="157" t="str">
        <f t="shared" si="120"/>
        <v>✓</v>
      </c>
      <c r="J142" s="157" t="str">
        <f t="shared" si="121"/>
        <v>✓</v>
      </c>
      <c r="K142" s="157" t="str">
        <f t="shared" si="122"/>
        <v>✓</v>
      </c>
      <c r="L142" s="157" t="str">
        <f t="shared" si="123"/>
        <v>✓</v>
      </c>
      <c r="M142" s="156" t="str">
        <f t="shared" si="124"/>
        <v>✓</v>
      </c>
      <c r="N142" s="156" t="str">
        <f t="shared" si="125"/>
        <v>✓</v>
      </c>
      <c r="O142" s="156" t="str">
        <f t="shared" si="126"/>
        <v>✓</v>
      </c>
      <c r="P142" s="156" t="str">
        <f t="shared" si="127"/>
        <v>✓</v>
      </c>
      <c r="Q142" s="156" t="str">
        <f t="shared" si="128"/>
        <v>✓</v>
      </c>
      <c r="R142" s="156" t="str">
        <f t="shared" si="129"/>
        <v>✓</v>
      </c>
      <c r="S142" s="155">
        <f t="shared" si="130"/>
        <v>562.15415064973809</v>
      </c>
      <c r="T142" s="155">
        <f t="shared" si="131"/>
        <v>973.67955061107489</v>
      </c>
      <c r="U142" s="155">
        <f t="shared" si="132"/>
        <v>408.47086817041247</v>
      </c>
      <c r="V142" s="155">
        <f t="shared" si="133"/>
        <v>707.49229708292307</v>
      </c>
      <c r="Z142" s="165">
        <v>92</v>
      </c>
      <c r="AA142" s="153">
        <f t="shared" si="134"/>
        <v>2.351793727174845</v>
      </c>
      <c r="AB142" s="153">
        <f t="shared" si="134"/>
        <v>2.2220717565412675</v>
      </c>
      <c r="AC142" s="153">
        <f t="shared" si="134"/>
        <v>3.758984750643998</v>
      </c>
      <c r="AD142" s="153">
        <f t="shared" si="134"/>
        <v>3.55867066968879</v>
      </c>
      <c r="AE142" s="153">
        <f t="shared" si="134"/>
        <v>3.1599427709631218</v>
      </c>
    </row>
    <row r="143" spans="2:31" x14ac:dyDescent="0.2">
      <c r="B143" s="161">
        <v>7</v>
      </c>
      <c r="C143" s="160">
        <v>4.57</v>
      </c>
      <c r="D143" s="159">
        <v>60</v>
      </c>
      <c r="E143" s="158">
        <f t="shared" si="116"/>
        <v>96.994845223857084</v>
      </c>
      <c r="F143" s="158">
        <f t="shared" si="117"/>
        <v>111.99999999999997</v>
      </c>
      <c r="G143" s="158">
        <f t="shared" si="118"/>
        <v>112.66666666666663</v>
      </c>
      <c r="H143" s="157" t="str">
        <f t="shared" si="119"/>
        <v>✓</v>
      </c>
      <c r="I143" s="157" t="str">
        <f t="shared" si="120"/>
        <v>✓</v>
      </c>
      <c r="J143" s="157" t="str">
        <f t="shared" si="121"/>
        <v>✓</v>
      </c>
      <c r="K143" s="157" t="str">
        <f t="shared" si="122"/>
        <v>✓</v>
      </c>
      <c r="L143" s="157" t="str">
        <f t="shared" si="123"/>
        <v>✓</v>
      </c>
      <c r="M143" s="156" t="str">
        <f t="shared" si="124"/>
        <v>✓</v>
      </c>
      <c r="N143" s="156" t="str">
        <f t="shared" si="125"/>
        <v>✓</v>
      </c>
      <c r="O143" s="156" t="str">
        <f t="shared" si="126"/>
        <v>✓</v>
      </c>
      <c r="P143" s="156" t="str">
        <f t="shared" si="127"/>
        <v>✓</v>
      </c>
      <c r="Q143" s="156" t="str">
        <f t="shared" si="128"/>
        <v>✓</v>
      </c>
      <c r="R143" s="156" t="str">
        <f t="shared" si="129"/>
        <v>✓</v>
      </c>
      <c r="S143" s="155">
        <f t="shared" si="130"/>
        <v>561.11510866245339</v>
      </c>
      <c r="T143" s="155">
        <f t="shared" si="131"/>
        <v>971.87987709790048</v>
      </c>
      <c r="U143" s="155">
        <f t="shared" si="132"/>
        <v>407.71588240339275</v>
      </c>
      <c r="V143" s="155">
        <f t="shared" si="133"/>
        <v>706.18462337545361</v>
      </c>
      <c r="Z143" s="165">
        <v>93</v>
      </c>
      <c r="AA143" s="153">
        <f t="shared" si="134"/>
        <v>2.3014894330914428</v>
      </c>
      <c r="AB143" s="153">
        <f t="shared" si="134"/>
        <v>2.1745421837628958</v>
      </c>
      <c r="AC143" s="153">
        <f t="shared" si="134"/>
        <v>3.6785809838652783</v>
      </c>
      <c r="AD143" s="153">
        <f t="shared" si="134"/>
        <v>3.4825515722333122</v>
      </c>
      <c r="AE143" s="153">
        <f t="shared" si="134"/>
        <v>3.0923523659881913</v>
      </c>
    </row>
    <row r="144" spans="2:31" x14ac:dyDescent="0.2">
      <c r="B144" s="161">
        <v>7.5</v>
      </c>
      <c r="C144" s="160">
        <v>4.2699999999999996</v>
      </c>
      <c r="D144" s="159">
        <v>60</v>
      </c>
      <c r="E144" s="158">
        <f t="shared" si="116"/>
        <v>103.9230484541326</v>
      </c>
      <c r="F144" s="158">
        <f t="shared" si="117"/>
        <v>119.99999999999997</v>
      </c>
      <c r="G144" s="158">
        <f t="shared" si="118"/>
        <v>120.66666666666663</v>
      </c>
      <c r="H144" s="157" t="str">
        <f t="shared" si="119"/>
        <v>✓</v>
      </c>
      <c r="I144" s="157" t="str">
        <f t="shared" si="120"/>
        <v>✓</v>
      </c>
      <c r="J144" s="157" t="str">
        <f t="shared" si="121"/>
        <v>✓</v>
      </c>
      <c r="K144" s="157" t="str">
        <f t="shared" si="122"/>
        <v>✓</v>
      </c>
      <c r="L144" s="157" t="str">
        <f t="shared" si="123"/>
        <v>✓</v>
      </c>
      <c r="M144" s="156" t="str">
        <f t="shared" si="124"/>
        <v>✓</v>
      </c>
      <c r="N144" s="156" t="str">
        <f t="shared" si="125"/>
        <v>✓</v>
      </c>
      <c r="O144" s="156" t="str">
        <f t="shared" si="126"/>
        <v>✓</v>
      </c>
      <c r="P144" s="156" t="str">
        <f t="shared" si="127"/>
        <v>✓</v>
      </c>
      <c r="Q144" s="156" t="str">
        <f t="shared" si="128"/>
        <v>✓</v>
      </c>
      <c r="R144" s="156" t="str">
        <f t="shared" si="129"/>
        <v>✓</v>
      </c>
      <c r="S144" s="155">
        <f t="shared" si="130"/>
        <v>560.68020361414699</v>
      </c>
      <c r="T144" s="155">
        <f t="shared" si="131"/>
        <v>971.12659945776556</v>
      </c>
      <c r="U144" s="155">
        <f t="shared" si="132"/>
        <v>407.39987292014314</v>
      </c>
      <c r="V144" s="155">
        <f t="shared" si="133"/>
        <v>705.63727889479162</v>
      </c>
      <c r="Z144" s="165">
        <v>94</v>
      </c>
      <c r="AA144" s="153">
        <f t="shared" si="134"/>
        <v>2.2527820401548082</v>
      </c>
      <c r="AB144" s="153">
        <f t="shared" si="134"/>
        <v>2.1285214290816303</v>
      </c>
      <c r="AC144" s="153">
        <f t="shared" si="134"/>
        <v>3.6007296208070163</v>
      </c>
      <c r="AD144" s="153">
        <f t="shared" si="134"/>
        <v>3.4088488624089992</v>
      </c>
      <c r="AE144" s="153">
        <f t="shared" si="134"/>
        <v>3.0269076067713736</v>
      </c>
    </row>
    <row r="145" spans="2:31" x14ac:dyDescent="0.2">
      <c r="B145" s="161">
        <v>8</v>
      </c>
      <c r="C145" s="160">
        <v>4</v>
      </c>
      <c r="D145" s="159">
        <v>60</v>
      </c>
      <c r="E145" s="158">
        <f t="shared" si="116"/>
        <v>110.85125168440811</v>
      </c>
      <c r="F145" s="158">
        <f t="shared" si="117"/>
        <v>127.99999999999997</v>
      </c>
      <c r="G145" s="158">
        <f t="shared" si="118"/>
        <v>128.66666666666663</v>
      </c>
      <c r="H145" s="157" t="str">
        <f t="shared" si="119"/>
        <v>✓</v>
      </c>
      <c r="I145" s="157" t="str">
        <f t="shared" si="120"/>
        <v>✓</v>
      </c>
      <c r="J145" s="157" t="str">
        <f t="shared" si="121"/>
        <v>✓</v>
      </c>
      <c r="K145" s="157" t="str">
        <f t="shared" si="122"/>
        <v>✓</v>
      </c>
      <c r="L145" s="157" t="str">
        <f t="shared" si="123"/>
        <v>✓</v>
      </c>
      <c r="M145" s="156" t="str">
        <f t="shared" si="124"/>
        <v>✓</v>
      </c>
      <c r="N145" s="156" t="str">
        <f t="shared" si="125"/>
        <v>✓</v>
      </c>
      <c r="O145" s="156" t="str">
        <f t="shared" si="126"/>
        <v>✓</v>
      </c>
      <c r="P145" s="156" t="str">
        <f t="shared" si="127"/>
        <v>✓</v>
      </c>
      <c r="Q145" s="156" t="str">
        <f t="shared" si="128"/>
        <v>✓</v>
      </c>
      <c r="R145" s="156" t="str">
        <f t="shared" si="129"/>
        <v>✓</v>
      </c>
      <c r="S145" s="155">
        <f t="shared" si="130"/>
        <v>559.32948393013123</v>
      </c>
      <c r="T145" s="155">
        <f t="shared" si="131"/>
        <v>968.78708433826694</v>
      </c>
      <c r="U145" s="155">
        <f t="shared" si="132"/>
        <v>406.41841678156078</v>
      </c>
      <c r="V145" s="155">
        <f t="shared" si="133"/>
        <v>703.93734699736672</v>
      </c>
      <c r="Z145" s="165">
        <v>95</v>
      </c>
      <c r="AA145" s="153">
        <f t="shared" si="134"/>
        <v>2.2056046655742811</v>
      </c>
      <c r="AB145" s="153">
        <f t="shared" si="134"/>
        <v>2.0839462988770401</v>
      </c>
      <c r="AC145" s="153">
        <f t="shared" si="134"/>
        <v>3.525323759495933</v>
      </c>
      <c r="AD145" s="153">
        <f t="shared" si="134"/>
        <v>3.3374613349856976</v>
      </c>
      <c r="AE145" s="153">
        <f t="shared" si="134"/>
        <v>2.9635186275270757</v>
      </c>
    </row>
    <row r="146" spans="2:31" x14ac:dyDescent="0.2">
      <c r="Z146" s="165">
        <v>96</v>
      </c>
      <c r="AA146" s="153">
        <f t="shared" si="134"/>
        <v>2.1598938917977311</v>
      </c>
      <c r="AB146" s="153">
        <f t="shared" si="134"/>
        <v>2.0407568736290456</v>
      </c>
      <c r="AC146" s="153">
        <f t="shared" si="134"/>
        <v>3.4522620366157546</v>
      </c>
      <c r="AD146" s="153">
        <f t="shared" si="134"/>
        <v>3.2682930282384892</v>
      </c>
      <c r="AE146" s="153">
        <f t="shared" si="134"/>
        <v>2.9021002184713391</v>
      </c>
    </row>
    <row r="147" spans="2:31" x14ac:dyDescent="0.2">
      <c r="Z147" s="165">
        <v>97</v>
      </c>
      <c r="AA147" s="153">
        <f t="shared" si="134"/>
        <v>2.1155895532796136</v>
      </c>
      <c r="AB147" s="153">
        <f t="shared" si="134"/>
        <v>1.9988963064475804</v>
      </c>
      <c r="AC147" s="153">
        <f t="shared" si="134"/>
        <v>3.3814482866883613</v>
      </c>
      <c r="AD147" s="153">
        <f t="shared" si="134"/>
        <v>3.201252901290883</v>
      </c>
      <c r="AE147" s="153">
        <f t="shared" si="134"/>
        <v>2.8425715393168098</v>
      </c>
    </row>
    <row r="148" spans="2:31" x14ac:dyDescent="0.2">
      <c r="B148" s="128"/>
      <c r="C148" s="128"/>
      <c r="D148" s="128"/>
      <c r="E148" s="128"/>
      <c r="F148" s="128"/>
      <c r="G148" s="129" t="s">
        <v>90</v>
      </c>
      <c r="H148" s="129" t="s">
        <v>89</v>
      </c>
      <c r="Z148" s="165">
        <v>98</v>
      </c>
      <c r="AA148" s="153">
        <f t="shared" si="134"/>
        <v>2.0726345384014877</v>
      </c>
      <c r="AB148" s="153">
        <f t="shared" si="134"/>
        <v>1.9583106359189177</v>
      </c>
      <c r="AC148" s="153">
        <f t="shared" si="134"/>
        <v>3.3127912254738439</v>
      </c>
      <c r="AD148" s="153">
        <f t="shared" si="134"/>
        <v>3.1362545343862891</v>
      </c>
      <c r="AE148" s="153">
        <f t="shared" si="134"/>
        <v>2.7848558531270156</v>
      </c>
    </row>
    <row r="149" spans="2:31" x14ac:dyDescent="0.2">
      <c r="B149" s="144" t="s">
        <v>559</v>
      </c>
      <c r="C149" s="128"/>
      <c r="D149" s="128"/>
      <c r="E149" s="128"/>
      <c r="F149" s="128"/>
      <c r="G149" s="129">
        <f>15318/2.5</f>
        <v>6127.2</v>
      </c>
      <c r="H149" s="129">
        <f>11896/2.5</f>
        <v>4758.3999999999996</v>
      </c>
      <c r="Z149" s="165">
        <v>99</v>
      </c>
      <c r="AA149" s="153">
        <f t="shared" ref="AA149:AE150" si="135">IF(($Z149/AA$11)&lt;AA$15,0.85*(AA$12-AA$13*($Z149/AA$11)),(0.85*(PI())^2*(10100)/(($Z149/AA$11)^2)))/AA$16</f>
        <v>2.0309746053267914</v>
      </c>
      <c r="AB149" s="153">
        <f t="shared" si="135"/>
        <v>1.9189486121176702</v>
      </c>
      <c r="AC149" s="153">
        <f t="shared" si="135"/>
        <v>3.2462041556423631</v>
      </c>
      <c r="AD149" s="153">
        <f t="shared" si="135"/>
        <v>3.0732158502444569</v>
      </c>
      <c r="AE149" s="153">
        <f t="shared" si="135"/>
        <v>2.7288802788931599</v>
      </c>
    </row>
    <row r="150" spans="2:31" s="358" customFormat="1" x14ac:dyDescent="0.2">
      <c r="B150" s="144" t="s">
        <v>560</v>
      </c>
      <c r="C150" s="128"/>
      <c r="D150" s="128"/>
      <c r="E150" s="128"/>
      <c r="F150" s="128"/>
      <c r="G150" s="129">
        <f>10920/2.5</f>
        <v>4368</v>
      </c>
      <c r="H150" s="129">
        <f>3974/2.5</f>
        <v>1589.6</v>
      </c>
      <c r="W150" s="16"/>
      <c r="X150" s="16"/>
      <c r="Y150" s="16"/>
      <c r="Z150" s="165">
        <v>100</v>
      </c>
      <c r="AA150" s="153">
        <f t="shared" si="135"/>
        <v>1.9905582106807889</v>
      </c>
      <c r="AB150" s="153">
        <f t="shared" si="135"/>
        <v>1.8807615347365283</v>
      </c>
      <c r="AC150" s="153">
        <f t="shared" si="135"/>
        <v>3.1816046929450792</v>
      </c>
      <c r="AD150" s="153">
        <f t="shared" si="135"/>
        <v>3.0120588548245926</v>
      </c>
      <c r="AE150" s="153">
        <f t="shared" si="135"/>
        <v>2.6745755613431865</v>
      </c>
    </row>
    <row r="151" spans="2:31" s="404" customFormat="1" x14ac:dyDescent="0.2">
      <c r="B151" s="144" t="s">
        <v>561</v>
      </c>
      <c r="C151" s="128"/>
      <c r="D151" s="128"/>
      <c r="E151" s="128"/>
      <c r="F151" s="128"/>
      <c r="G151" s="129">
        <f>20098/2.5</f>
        <v>8039.2</v>
      </c>
      <c r="H151" s="129">
        <f>12745/2.5</f>
        <v>5098</v>
      </c>
      <c r="W151" s="16"/>
      <c r="X151" s="16"/>
      <c r="Y151" s="16"/>
      <c r="Z151" s="165">
        <v>101</v>
      </c>
      <c r="AA151" s="153">
        <f t="shared" ref="AA151:AE160" si="136">IF(($Z151/AA$11)&lt;AA$15,0.85*(AA$12-AA$13*($Z151/AA$11)),(0.85*(PI())^2*(10100)/(($Z151/AA$11)^2)))/AA$16</f>
        <v>1.9513363500448866</v>
      </c>
      <c r="AB151" s="153">
        <f t="shared" si="136"/>
        <v>1.8437031023787163</v>
      </c>
      <c r="AC151" s="153">
        <f t="shared" si="136"/>
        <v>3.1189145112685805</v>
      </c>
      <c r="AD151" s="153">
        <f t="shared" si="136"/>
        <v>2.952709395965682</v>
      </c>
      <c r="AE151" s="153">
        <f t="shared" si="136"/>
        <v>2.6218758566250235</v>
      </c>
    </row>
    <row r="152" spans="2:31" s="404" customFormat="1" x14ac:dyDescent="0.2">
      <c r="B152" s="144" t="s">
        <v>562</v>
      </c>
      <c r="C152" s="128"/>
      <c r="D152" s="128"/>
      <c r="E152" s="128"/>
      <c r="F152" s="128"/>
      <c r="G152" s="129">
        <f>14863/2.5</f>
        <v>5945.2</v>
      </c>
      <c r="H152" s="129">
        <f>4636/2.5</f>
        <v>1854.4</v>
      </c>
      <c r="W152" s="16"/>
      <c r="X152" s="16"/>
      <c r="Y152" s="16"/>
      <c r="Z152" s="165">
        <v>102</v>
      </c>
      <c r="AA152" s="153">
        <f t="shared" si="136"/>
        <v>1.9132624093433186</v>
      </c>
      <c r="AB152" s="153">
        <f t="shared" si="136"/>
        <v>1.807729272141992</v>
      </c>
      <c r="AC152" s="153">
        <f t="shared" si="136"/>
        <v>3.0580591050990766</v>
      </c>
      <c r="AD152" s="153">
        <f t="shared" si="136"/>
        <v>2.8950969385088343</v>
      </c>
      <c r="AE152" s="153">
        <f t="shared" si="136"/>
        <v>2.5707185326251305</v>
      </c>
    </row>
    <row r="153" spans="2:31" s="404" customFormat="1" x14ac:dyDescent="0.2">
      <c r="B153" s="144" t="s">
        <v>563</v>
      </c>
      <c r="C153" s="128"/>
      <c r="D153" s="128"/>
      <c r="E153" s="128"/>
      <c r="F153" s="128"/>
      <c r="G153" s="129">
        <f>25526/2.5</f>
        <v>10210.4</v>
      </c>
      <c r="H153" s="129">
        <f>13595/2.5</f>
        <v>5438</v>
      </c>
      <c r="W153" s="16"/>
      <c r="X153" s="16"/>
      <c r="Y153" s="16"/>
      <c r="Z153" s="165">
        <v>103</v>
      </c>
      <c r="AA153" s="153">
        <f t="shared" si="136"/>
        <v>1.8762920262803173</v>
      </c>
      <c r="AB153" s="153">
        <f t="shared" si="136"/>
        <v>1.7727981286987731</v>
      </c>
      <c r="AC153" s="153">
        <f t="shared" si="136"/>
        <v>2.9989675680507868</v>
      </c>
      <c r="AD153" s="153">
        <f t="shared" si="136"/>
        <v>2.8391543546277607</v>
      </c>
      <c r="AE153" s="153">
        <f t="shared" si="136"/>
        <v>2.5210439827912015</v>
      </c>
    </row>
    <row r="154" spans="2:31" s="404" customFormat="1" x14ac:dyDescent="0.2">
      <c r="B154" s="144" t="s">
        <v>564</v>
      </c>
      <c r="C154" s="128"/>
      <c r="D154" s="128"/>
      <c r="E154" s="128"/>
      <c r="F154" s="128"/>
      <c r="G154" s="129">
        <f>19413/2.5</f>
        <v>7765.2</v>
      </c>
      <c r="H154" s="129">
        <f>5298/2.5</f>
        <v>2119.1999999999998</v>
      </c>
      <c r="W154" s="16"/>
      <c r="X154" s="16"/>
      <c r="Y154" s="16"/>
      <c r="Z154" s="165">
        <v>104</v>
      </c>
      <c r="AA154" s="153">
        <f t="shared" si="136"/>
        <v>1.8403829610584217</v>
      </c>
      <c r="AB154" s="153">
        <f t="shared" si="136"/>
        <v>1.738869762145459</v>
      </c>
      <c r="AC154" s="153">
        <f t="shared" si="136"/>
        <v>2.9415723862288088</v>
      </c>
      <c r="AD154" s="153">
        <f t="shared" si="136"/>
        <v>2.7848177282032096</v>
      </c>
      <c r="AE154" s="153">
        <f t="shared" si="136"/>
        <v>2.4727954524252835</v>
      </c>
    </row>
    <row r="155" spans="2:31" s="404" customFormat="1" x14ac:dyDescent="0.2">
      <c r="B155" s="144" t="s">
        <v>565</v>
      </c>
      <c r="C155" s="128"/>
      <c r="D155" s="128"/>
      <c r="E155" s="128"/>
      <c r="F155" s="128"/>
      <c r="G155" s="129">
        <f>30808/2.5</f>
        <v>12323.2</v>
      </c>
      <c r="H155" s="129">
        <f>14445/2.5</f>
        <v>5778</v>
      </c>
      <c r="W155" s="16"/>
      <c r="X155" s="16"/>
      <c r="Y155" s="16"/>
      <c r="Z155" s="165">
        <v>105</v>
      </c>
      <c r="AA155" s="153">
        <f t="shared" si="136"/>
        <v>1.8054949756741845</v>
      </c>
      <c r="AB155" s="153">
        <f t="shared" si="136"/>
        <v>1.7059061539560347</v>
      </c>
      <c r="AC155" s="153">
        <f t="shared" si="136"/>
        <v>2.8858092453016595</v>
      </c>
      <c r="AD155" s="153">
        <f t="shared" si="136"/>
        <v>2.7320261721765005</v>
      </c>
      <c r="AE155" s="153">
        <f t="shared" si="136"/>
        <v>2.4259188765017567</v>
      </c>
    </row>
    <row r="156" spans="2:31" s="404" customFormat="1" x14ac:dyDescent="0.2">
      <c r="B156" s="144" t="s">
        <v>566</v>
      </c>
      <c r="C156" s="128"/>
      <c r="D156" s="128"/>
      <c r="E156" s="128"/>
      <c r="F156" s="128"/>
      <c r="G156" s="129">
        <f>20476/2.5</f>
        <v>8190.4</v>
      </c>
      <c r="H156" s="129">
        <f>5960/2.5</f>
        <v>2384</v>
      </c>
      <c r="W156" s="16"/>
      <c r="X156" s="16"/>
      <c r="Y156" s="16"/>
      <c r="Z156" s="165">
        <v>106</v>
      </c>
      <c r="AA156" s="153">
        <f t="shared" si="136"/>
        <v>1.7715897211470173</v>
      </c>
      <c r="AB156" s="153">
        <f t="shared" si="136"/>
        <v>1.6738710704312285</v>
      </c>
      <c r="AC156" s="153">
        <f t="shared" si="136"/>
        <v>2.8316168502537202</v>
      </c>
      <c r="AD156" s="153">
        <f t="shared" si="136"/>
        <v>2.6807216579072546</v>
      </c>
      <c r="AE156" s="153">
        <f t="shared" si="136"/>
        <v>2.3803627281445228</v>
      </c>
    </row>
    <row r="157" spans="2:31" x14ac:dyDescent="0.2">
      <c r="B157" s="144" t="s">
        <v>482</v>
      </c>
      <c r="C157" s="128"/>
      <c r="D157" s="128"/>
      <c r="E157" s="128"/>
      <c r="F157" s="128"/>
      <c r="G157" s="129">
        <f>4*905</f>
        <v>3620</v>
      </c>
      <c r="H157" s="129">
        <f>4*2375</f>
        <v>9500</v>
      </c>
      <c r="Z157" s="165">
        <v>107</v>
      </c>
      <c r="AA157" s="153">
        <f t="shared" si="136"/>
        <v>1.738630632090828</v>
      </c>
      <c r="AB157" s="153">
        <f t="shared" si="136"/>
        <v>1.6427299630854471</v>
      </c>
      <c r="AC157" s="153">
        <f t="shared" si="136"/>
        <v>2.7789367568740322</v>
      </c>
      <c r="AD157" s="153">
        <f t="shared" si="136"/>
        <v>2.6308488556420575</v>
      </c>
      <c r="AE157" s="153">
        <f t="shared" si="136"/>
        <v>2.3360778769702035</v>
      </c>
    </row>
    <row r="158" spans="2:31" s="358" customFormat="1" x14ac:dyDescent="0.2">
      <c r="B158" s="144" t="s">
        <v>483</v>
      </c>
      <c r="C158" s="128"/>
      <c r="D158" s="128"/>
      <c r="E158" s="128"/>
      <c r="F158" s="128"/>
      <c r="G158" s="129">
        <f>4*905</f>
        <v>3620</v>
      </c>
      <c r="H158" s="129">
        <f>4*1080</f>
        <v>4320</v>
      </c>
      <c r="W158" s="16"/>
      <c r="X158" s="16"/>
      <c r="Y158" s="16"/>
      <c r="Z158" s="165">
        <v>108</v>
      </c>
      <c r="AA158" s="153">
        <f t="shared" si="136"/>
        <v>1.706582828087096</v>
      </c>
      <c r="AB158" s="153">
        <f t="shared" si="136"/>
        <v>1.6124498754599865</v>
      </c>
      <c r="AC158" s="153">
        <f t="shared" si="136"/>
        <v>2.727713214116152</v>
      </c>
      <c r="AD158" s="153">
        <f t="shared" si="136"/>
        <v>2.582354985274856</v>
      </c>
      <c r="AE158" s="153">
        <f t="shared" si="136"/>
        <v>2.2930174565699475</v>
      </c>
    </row>
    <row r="159" spans="2:31" x14ac:dyDescent="0.2">
      <c r="B159" s="144" t="s">
        <v>484</v>
      </c>
      <c r="C159" s="128"/>
      <c r="D159" s="128"/>
      <c r="E159" s="128"/>
      <c r="F159" s="128"/>
      <c r="G159" s="129">
        <f>4*390</f>
        <v>1560</v>
      </c>
      <c r="H159" s="129">
        <f>4*670</f>
        <v>2680</v>
      </c>
      <c r="Z159" s="165">
        <v>109</v>
      </c>
      <c r="AA159" s="153">
        <f t="shared" si="136"/>
        <v>1.6754130213625023</v>
      </c>
      <c r="AB159" s="153">
        <f t="shared" si="136"/>
        <v>1.5829993558930464</v>
      </c>
      <c r="AC159" s="153">
        <f t="shared" si="136"/>
        <v>2.6778930165348704</v>
      </c>
      <c r="AD159" s="153">
        <f t="shared" si="136"/>
        <v>2.5351896766472453</v>
      </c>
      <c r="AE159" s="153">
        <f t="shared" si="136"/>
        <v>2.2511367404622393</v>
      </c>
    </row>
    <row r="160" spans="2:31" s="358" customFormat="1" x14ac:dyDescent="0.2">
      <c r="B160" s="144" t="s">
        <v>485</v>
      </c>
      <c r="C160" s="128"/>
      <c r="D160" s="128"/>
      <c r="E160" s="128"/>
      <c r="F160" s="128"/>
      <c r="G160" s="129">
        <f>4*390</f>
        <v>1560</v>
      </c>
      <c r="H160" s="129">
        <f>670*0.73*4</f>
        <v>1956.3999999999999</v>
      </c>
      <c r="W160" s="16"/>
      <c r="X160" s="16"/>
      <c r="Y160" s="16"/>
      <c r="Z160" s="165">
        <v>110</v>
      </c>
      <c r="AA160" s="153">
        <f t="shared" si="136"/>
        <v>1.645089430314701</v>
      </c>
      <c r="AB160" s="153">
        <f t="shared" si="136"/>
        <v>1.5543483758153125</v>
      </c>
      <c r="AC160" s="153">
        <f t="shared" si="136"/>
        <v>2.6294253660703135</v>
      </c>
      <c r="AD160" s="153">
        <f t="shared" si="136"/>
        <v>2.4893048386980099</v>
      </c>
      <c r="AE160" s="153">
        <f t="shared" si="136"/>
        <v>2.2103930259034592</v>
      </c>
    </row>
    <row r="161" spans="2:31" x14ac:dyDescent="0.2">
      <c r="B161" s="128" t="s">
        <v>88</v>
      </c>
      <c r="C161" s="128"/>
      <c r="D161" s="128"/>
      <c r="E161" s="128"/>
      <c r="F161" s="128"/>
      <c r="G161" s="129">
        <f>IF(Control!Q17=0.9,
3483,
IF(Control!Q17=1,
3820,
IF(Control!Q17=1.15,
4393,
IF(Control!Q17=1.6,
6112))))</f>
        <v>6112</v>
      </c>
      <c r="H161" s="129">
        <f>IF(Control!Q17=0.9,
1234,
IF(Control!Q17=1,
1371,
IF(Control!Q17=1.15,
1577,
IF(Control!Q17=1.6,
2194))))</f>
        <v>2194</v>
      </c>
      <c r="Z161" s="165">
        <v>111</v>
      </c>
      <c r="AA161" s="153">
        <f t="shared" ref="AA161:AE170" si="137">IF(($Z161/AA$11)&lt;AA$15,0.85*(AA$12-AA$13*($Z161/AA$11)),(0.85*(PI())^2*(10100)/(($Z161/AA$11)^2)))/AA$16</f>
        <v>1.6155816984666738</v>
      </c>
      <c r="AB161" s="153">
        <f t="shared" si="137"/>
        <v>1.5264682531746838</v>
      </c>
      <c r="AC161" s="153">
        <f t="shared" si="137"/>
        <v>2.5822617425087899</v>
      </c>
      <c r="AD161" s="153">
        <f t="shared" si="137"/>
        <v>2.4446545368270356</v>
      </c>
      <c r="AE161" s="153">
        <f t="shared" si="137"/>
        <v>2.1707455249924408</v>
      </c>
    </row>
    <row r="162" spans="2:31" x14ac:dyDescent="0.2">
      <c r="B162" s="144" t="s">
        <v>479</v>
      </c>
      <c r="C162" s="128"/>
      <c r="D162" s="128"/>
      <c r="E162" s="128"/>
      <c r="F162" s="128"/>
      <c r="G162" s="129">
        <v>6162</v>
      </c>
      <c r="H162" s="129">
        <f>2984*4</f>
        <v>11936</v>
      </c>
      <c r="Z162" s="165">
        <v>112</v>
      </c>
      <c r="AA162" s="153">
        <f t="shared" si="137"/>
        <v>1.586860818463639</v>
      </c>
      <c r="AB162" s="153">
        <f t="shared" si="137"/>
        <v>1.4993315806254215</v>
      </c>
      <c r="AC162" s="153">
        <f t="shared" si="137"/>
        <v>2.5363557820034113</v>
      </c>
      <c r="AD162" s="153">
        <f t="shared" si="137"/>
        <v>2.4011948778895023</v>
      </c>
      <c r="AE162" s="153">
        <f t="shared" si="137"/>
        <v>2.1321552625503721</v>
      </c>
    </row>
    <row r="163" spans="2:31" x14ac:dyDescent="0.2">
      <c r="B163" s="144" t="s">
        <v>469</v>
      </c>
      <c r="C163" s="128"/>
      <c r="D163" s="128"/>
      <c r="E163" s="128"/>
      <c r="F163" s="128"/>
      <c r="G163" s="129">
        <v>7125</v>
      </c>
      <c r="H163" s="129">
        <v>7138</v>
      </c>
      <c r="Z163" s="165">
        <v>113</v>
      </c>
      <c r="AA163" s="153">
        <f t="shared" si="137"/>
        <v>1.5588990607571374</v>
      </c>
      <c r="AB163" s="153">
        <f t="shared" si="137"/>
        <v>1.4729121581459228</v>
      </c>
      <c r="AC163" s="153">
        <f t="shared" si="137"/>
        <v>2.4916631630864434</v>
      </c>
      <c r="AD163" s="153">
        <f t="shared" si="137"/>
        <v>2.3588839022825527</v>
      </c>
      <c r="AE163" s="153">
        <f t="shared" si="137"/>
        <v>2.0945849802985252</v>
      </c>
    </row>
    <row r="164" spans="2:31" x14ac:dyDescent="0.2">
      <c r="Z164" s="165">
        <v>114</v>
      </c>
      <c r="AA164" s="153">
        <f t="shared" si="137"/>
        <v>1.5316699066488062</v>
      </c>
      <c r="AB164" s="153">
        <f t="shared" si="137"/>
        <v>1.4471849297757222</v>
      </c>
      <c r="AC164" s="153">
        <f t="shared" si="137"/>
        <v>2.448141499649954</v>
      </c>
      <c r="AD164" s="153">
        <f t="shared" si="137"/>
        <v>2.3176814826289562</v>
      </c>
      <c r="AE164" s="153">
        <f t="shared" si="137"/>
        <v>2.0579990468938028</v>
      </c>
    </row>
    <row r="165" spans="2:31" x14ac:dyDescent="0.2">
      <c r="Z165" s="165">
        <v>115</v>
      </c>
      <c r="AA165" s="153">
        <f t="shared" si="137"/>
        <v>1.5051479853919008</v>
      </c>
      <c r="AB165" s="153">
        <f t="shared" si="137"/>
        <v>1.422125924186411</v>
      </c>
      <c r="AC165" s="153">
        <f t="shared" si="137"/>
        <v>2.405750240412158</v>
      </c>
      <c r="AD165" s="153">
        <f t="shared" si="137"/>
        <v>2.2775492286008254</v>
      </c>
      <c r="AE165" s="153">
        <f t="shared" si="137"/>
        <v>2.0223633734163977</v>
      </c>
    </row>
    <row r="166" spans="2:31" x14ac:dyDescent="0.2">
      <c r="Z166" s="165">
        <v>116</v>
      </c>
      <c r="AA166" s="153">
        <f t="shared" si="137"/>
        <v>1.4793090150719297</v>
      </c>
      <c r="AB166" s="153">
        <f t="shared" si="137"/>
        <v>1.3977121988232226</v>
      </c>
      <c r="AC166" s="153">
        <f t="shared" si="137"/>
        <v>2.364450574424108</v>
      </c>
      <c r="AD166" s="153">
        <f t="shared" si="137"/>
        <v>2.2384503974617953</v>
      </c>
      <c r="AE166" s="153">
        <f t="shared" si="137"/>
        <v>1.9876453339351863</v>
      </c>
    </row>
    <row r="167" spans="2:31" x14ac:dyDescent="0.2">
      <c r="Z167" s="165">
        <v>117</v>
      </c>
      <c r="AA167" s="153">
        <f t="shared" si="137"/>
        <v>1.454129747009123</v>
      </c>
      <c r="AB167" s="153">
        <f t="shared" si="137"/>
        <v>1.37392178737419</v>
      </c>
      <c r="AC167" s="153">
        <f t="shared" si="137"/>
        <v>2.3242053422054787</v>
      </c>
      <c r="AD167" s="153">
        <f t="shared" si="137"/>
        <v>2.2003498099383387</v>
      </c>
      <c r="AE167" s="153">
        <f t="shared" si="137"/>
        <v>1.9538136908051627</v>
      </c>
    </row>
    <row r="168" spans="2:31" x14ac:dyDescent="0.2">
      <c r="Z168" s="165">
        <v>118</v>
      </c>
      <c r="AA168" s="153">
        <f t="shared" si="137"/>
        <v>1.4295879134449789</v>
      </c>
      <c r="AB168" s="153">
        <f t="shared" si="137"/>
        <v>1.3507336503422351</v>
      </c>
      <c r="AC168" s="153">
        <f t="shared" si="137"/>
        <v>2.2849789521294737</v>
      </c>
      <c r="AD168" s="153">
        <f t="shared" si="137"/>
        <v>2.1632137710604655</v>
      </c>
      <c r="AE168" s="153">
        <f t="shared" si="137"/>
        <v>1.9208385243774677</v>
      </c>
    </row>
    <row r="169" spans="2:31" x14ac:dyDescent="0.2">
      <c r="Z169" s="165">
        <v>119</v>
      </c>
      <c r="AA169" s="153">
        <f t="shared" si="137"/>
        <v>1.4056621782930503</v>
      </c>
      <c r="AB169" s="153">
        <f t="shared" si="137"/>
        <v>1.3281276285124839</v>
      </c>
      <c r="AC169" s="153">
        <f t="shared" si="137"/>
        <v>2.2467373017054446</v>
      </c>
      <c r="AD169" s="153">
        <f t="shared" si="137"/>
        <v>2.1270099956391442</v>
      </c>
      <c r="AE169" s="153">
        <f t="shared" si="137"/>
        <v>1.8886911668266266</v>
      </c>
    </row>
    <row r="170" spans="2:31" x14ac:dyDescent="0.2">
      <c r="Z170" s="165">
        <v>120</v>
      </c>
      <c r="AA170" s="153">
        <f t="shared" si="137"/>
        <v>1.3823320907505476</v>
      </c>
      <c r="AB170" s="153">
        <f t="shared" si="137"/>
        <v>1.3060843991225892</v>
      </c>
      <c r="AC170" s="153">
        <f t="shared" si="137"/>
        <v>2.2094477034340834</v>
      </c>
      <c r="AD170" s="153">
        <f t="shared" si="137"/>
        <v>2.0917075380726331</v>
      </c>
      <c r="AE170" s="153">
        <f t="shared" si="137"/>
        <v>1.8573441398216575</v>
      </c>
    </row>
    <row r="171" spans="2:31" x14ac:dyDescent="0.2">
      <c r="Z171" s="165">
        <v>121</v>
      </c>
      <c r="AA171" s="153">
        <f t="shared" ref="AA171:AE180" si="138">IF(($Z171/AA$11)&lt;AA$15,0.85*(AA$12-AA$13*($Z171/AA$11)),(0.85*(PI())^2*(10100)/(($Z171/AA$11)^2)))/AA$16</f>
        <v>1.3595780415823981</v>
      </c>
      <c r="AB171" s="153">
        <f t="shared" si="138"/>
        <v>1.2845854345581096</v>
      </c>
      <c r="AC171" s="153">
        <f t="shared" si="138"/>
        <v>2.1730788149341436</v>
      </c>
      <c r="AD171" s="153">
        <f t="shared" si="138"/>
        <v>2.0572767261967022</v>
      </c>
      <c r="AE171" s="153">
        <f t="shared" si="138"/>
        <v>1.826771095787983</v>
      </c>
    </row>
    <row r="172" spans="2:31" x14ac:dyDescent="0.2">
      <c r="Z172" s="165">
        <v>122</v>
      </c>
      <c r="AA172" s="153">
        <f t="shared" si="138"/>
        <v>1.3373812219032439</v>
      </c>
      <c r="AB172" s="153">
        <f t="shared" si="138"/>
        <v>1.2636129634080411</v>
      </c>
      <c r="AC172" s="153">
        <f t="shared" si="138"/>
        <v>2.1376005730617305</v>
      </c>
      <c r="AD172" s="153">
        <f t="shared" si="138"/>
        <v>2.0236890989146676</v>
      </c>
      <c r="AE172" s="153">
        <f t="shared" si="138"/>
        <v>1.7969467625256559</v>
      </c>
    </row>
    <row r="173" spans="2:31" x14ac:dyDescent="0.2">
      <c r="Z173" s="165">
        <v>123</v>
      </c>
      <c r="AA173" s="153">
        <f t="shared" si="138"/>
        <v>1.3157235842955839</v>
      </c>
      <c r="AB173" s="153">
        <f t="shared" si="138"/>
        <v>1.2431499337276279</v>
      </c>
      <c r="AC173" s="153">
        <f t="shared" si="138"/>
        <v>2.1029841317635536</v>
      </c>
      <c r="AD173" s="153">
        <f t="shared" si="138"/>
        <v>1.9909173473624109</v>
      </c>
      <c r="AE173" s="153">
        <f t="shared" si="138"/>
        <v>1.7678468909664793</v>
      </c>
    </row>
    <row r="174" spans="2:31" x14ac:dyDescent="0.2">
      <c r="Z174" s="165">
        <v>124</v>
      </c>
      <c r="AA174" s="153">
        <f t="shared" si="138"/>
        <v>1.2945878061139364</v>
      </c>
      <c r="AB174" s="153">
        <f t="shared" si="138"/>
        <v>1.2231799783666286</v>
      </c>
      <c r="AC174" s="153">
        <f t="shared" si="138"/>
        <v>2.0692018034242188</v>
      </c>
      <c r="AD174" s="153">
        <f t="shared" si="138"/>
        <v>1.9589352593812384</v>
      </c>
      <c r="AE174" s="153">
        <f t="shared" si="138"/>
        <v>1.7394482058683576</v>
      </c>
    </row>
    <row r="175" spans="2:31" x14ac:dyDescent="0.2">
      <c r="Z175" s="165">
        <v>125</v>
      </c>
      <c r="AA175" s="153">
        <f t="shared" si="138"/>
        <v>1.2739572548357048</v>
      </c>
      <c r="AB175" s="153">
        <f t="shared" si="138"/>
        <v>1.2036873822313781</v>
      </c>
      <c r="AC175" s="153">
        <f t="shared" si="138"/>
        <v>2.0362270034848509</v>
      </c>
      <c r="AD175" s="153">
        <f t="shared" si="138"/>
        <v>1.9277176670877387</v>
      </c>
      <c r="AE175" s="153">
        <f t="shared" si="138"/>
        <v>1.7117283592596391</v>
      </c>
    </row>
    <row r="176" spans="2:31" x14ac:dyDescent="0.2">
      <c r="Z176" s="165">
        <v>126</v>
      </c>
      <c r="AA176" s="153">
        <f t="shared" si="138"/>
        <v>1.2538159553292949</v>
      </c>
      <c r="AB176" s="153">
        <f t="shared" si="138"/>
        <v>1.1846570513583574</v>
      </c>
      <c r="AC176" s="153">
        <f t="shared" si="138"/>
        <v>2.0040341981261522</v>
      </c>
      <c r="AD176" s="153">
        <f t="shared" si="138"/>
        <v>1.8972403973447924</v>
      </c>
      <c r="AE176" s="153">
        <f t="shared" si="138"/>
        <v>1.684665886459553</v>
      </c>
    </row>
    <row r="177" spans="26:31" x14ac:dyDescent="0.2">
      <c r="Z177" s="165">
        <v>127</v>
      </c>
      <c r="AA177" s="153">
        <f t="shared" si="138"/>
        <v>1.2341485589192067</v>
      </c>
      <c r="AB177" s="153">
        <f t="shared" si="138"/>
        <v>1.1660744836856147</v>
      </c>
      <c r="AC177" s="153">
        <f t="shared" si="138"/>
        <v>1.9725988548236588</v>
      </c>
      <c r="AD177" s="153">
        <f t="shared" si="138"/>
        <v>1.8674802249516969</v>
      </c>
      <c r="AE177" s="153">
        <f t="shared" si="138"/>
        <v>1.6582401645131046</v>
      </c>
    </row>
    <row r="178" spans="26:31" x14ac:dyDescent="0.2">
      <c r="Z178" s="165">
        <v>128</v>
      </c>
      <c r="AA178" s="153">
        <f t="shared" si="138"/>
        <v>1.2149403141362236</v>
      </c>
      <c r="AB178" s="153">
        <f t="shared" si="138"/>
        <v>1.147925741416338</v>
      </c>
      <c r="AC178" s="153">
        <f t="shared" si="138"/>
        <v>1.9418973955963621</v>
      </c>
      <c r="AD178" s="153">
        <f t="shared" si="138"/>
        <v>1.8384148283841506</v>
      </c>
      <c r="AE178" s="153">
        <f t="shared" si="138"/>
        <v>1.6324313728901285</v>
      </c>
    </row>
    <row r="179" spans="26:31" x14ac:dyDescent="0.2">
      <c r="Z179" s="164">
        <v>129</v>
      </c>
      <c r="AA179" s="163">
        <f t="shared" si="138"/>
        <v>1.1961770390486082</v>
      </c>
      <c r="AB179" s="163">
        <f t="shared" si="138"/>
        <v>1.1301974248762261</v>
      </c>
      <c r="AC179" s="163">
        <f t="shared" si="138"/>
        <v>1.9119071527823321</v>
      </c>
      <c r="AD179" s="163">
        <f t="shared" si="138"/>
        <v>1.8100227479265618</v>
      </c>
      <c r="AE179" s="163">
        <f t="shared" si="138"/>
        <v>1.607220456308627</v>
      </c>
    </row>
    <row r="180" spans="26:31" x14ac:dyDescent="0.2">
      <c r="Z180" s="164">
        <v>130</v>
      </c>
      <c r="AA180" s="163">
        <f t="shared" si="138"/>
        <v>1.1778450950773895</v>
      </c>
      <c r="AB180" s="163">
        <f t="shared" si="138"/>
        <v>1.1128766477730936</v>
      </c>
      <c r="AC180" s="163">
        <f t="shared" si="138"/>
        <v>1.8826063271864373</v>
      </c>
      <c r="AD180" s="163">
        <f t="shared" si="138"/>
        <v>1.7822833460500542</v>
      </c>
      <c r="AE180" s="163">
        <f t="shared" si="138"/>
        <v>1.5825890895521812</v>
      </c>
    </row>
    <row r="181" spans="26:31" x14ac:dyDescent="0.2">
      <c r="Z181" s="164">
        <v>131</v>
      </c>
      <c r="AA181" s="163">
        <f t="shared" ref="AA181:AE190" si="139">IF(($Z181/AA$11)&lt;AA$15,0.85*(AA$12-AA$13*($Z181/AA$11)),(0.85*(PI())^2*(10100)/(($Z181/AA$11)^2)))/AA$16</f>
        <v>1.1599313622054592</v>
      </c>
      <c r="AB181" s="163">
        <f t="shared" si="139"/>
        <v>1.0959510137733979</v>
      </c>
      <c r="AC181" s="163">
        <f t="shared" si="139"/>
        <v>1.8539739484558475</v>
      </c>
      <c r="AD181" s="163">
        <f t="shared" si="139"/>
        <v>1.7551767698995349</v>
      </c>
      <c r="AE181" s="163">
        <f t="shared" si="139"/>
        <v>1.5585196441601223</v>
      </c>
    </row>
    <row r="182" spans="26:31" x14ac:dyDescent="0.2">
      <c r="Z182" s="164">
        <v>132</v>
      </c>
      <c r="AA182" s="163">
        <f t="shared" si="139"/>
        <v>1.1424232154963208</v>
      </c>
      <c r="AB182" s="163">
        <f t="shared" si="139"/>
        <v>1.0794085943161893</v>
      </c>
      <c r="AC182" s="163">
        <f t="shared" si="139"/>
        <v>1.8259898375488286</v>
      </c>
      <c r="AD182" s="163">
        <f t="shared" si="139"/>
        <v>1.7286839157625065</v>
      </c>
      <c r="AE182" s="163">
        <f t="shared" si="139"/>
        <v>1.534995156877403</v>
      </c>
    </row>
    <row r="183" spans="26:31" x14ac:dyDescent="0.2">
      <c r="Z183" s="164">
        <v>133</v>
      </c>
      <c r="AA183" s="163">
        <f t="shared" si="139"/>
        <v>1.1253085028440208</v>
      </c>
      <c r="AB183" s="163">
        <f t="shared" si="139"/>
        <v>1.0632379075903264</v>
      </c>
      <c r="AC183" s="163">
        <f t="shared" si="139"/>
        <v>1.7986345711713947</v>
      </c>
      <c r="AD183" s="163">
        <f t="shared" si="139"/>
        <v>1.702786395400866</v>
      </c>
      <c r="AE183" s="163">
        <f t="shared" si="139"/>
        <v>1.5119992997587122</v>
      </c>
    </row>
    <row r="184" spans="26:31" x14ac:dyDescent="0.2">
      <c r="Z184" s="164">
        <v>134</v>
      </c>
      <c r="AA184" s="163">
        <f t="shared" si="139"/>
        <v>1.1085755238810364</v>
      </c>
      <c r="AB184" s="163">
        <f t="shared" si="139"/>
        <v>1.0474278986057743</v>
      </c>
      <c r="AC184" s="163">
        <f t="shared" si="139"/>
        <v>1.7718894480647582</v>
      </c>
      <c r="AD184" s="163">
        <f t="shared" si="139"/>
        <v>1.6774665041348806</v>
      </c>
      <c r="AE184" s="163">
        <f t="shared" si="139"/>
        <v>1.489516351828462</v>
      </c>
    </row>
    <row r="185" spans="26:31" x14ac:dyDescent="0.2">
      <c r="Z185" s="164">
        <v>135</v>
      </c>
      <c r="AA185" s="163">
        <f t="shared" si="139"/>
        <v>1.0922130099757414</v>
      </c>
      <c r="AB185" s="163">
        <f t="shared" si="139"/>
        <v>1.0319679202943917</v>
      </c>
      <c r="AC185" s="163">
        <f t="shared" si="139"/>
        <v>1.745736457034337</v>
      </c>
      <c r="AD185" s="163">
        <f t="shared" si="139"/>
        <v>1.6527071905759079</v>
      </c>
      <c r="AE185" s="163">
        <f t="shared" si="139"/>
        <v>1.4675311722047661</v>
      </c>
    </row>
    <row r="186" spans="26:31" x14ac:dyDescent="0.2">
      <c r="Z186" s="164">
        <v>136</v>
      </c>
      <c r="AA186" s="163">
        <f t="shared" si="139"/>
        <v>1.0762101052556168</v>
      </c>
      <c r="AB186" s="163">
        <f t="shared" si="139"/>
        <v>1.0168477155798705</v>
      </c>
      <c r="AC186" s="163">
        <f t="shared" si="139"/>
        <v>1.7201582466182308</v>
      </c>
      <c r="AD186" s="163">
        <f t="shared" si="139"/>
        <v>1.6284920279112198</v>
      </c>
      <c r="AE186" s="163">
        <f t="shared" si="139"/>
        <v>1.4460291746016367</v>
      </c>
    </row>
    <row r="187" spans="26:31" x14ac:dyDescent="0.2">
      <c r="Z187" s="164">
        <v>137</v>
      </c>
      <c r="AA187" s="163">
        <f t="shared" si="139"/>
        <v>1.0605563485965095</v>
      </c>
      <c r="AB187" s="163">
        <f t="shared" si="139"/>
        <v>1.0020574003604501</v>
      </c>
      <c r="AC187" s="163">
        <f t="shared" si="139"/>
        <v>1.6951380962997924</v>
      </c>
      <c r="AD187" s="163">
        <f t="shared" si="139"/>
        <v>1.6048051866506434</v>
      </c>
      <c r="AE187" s="163">
        <f t="shared" si="139"/>
        <v>1.424996303129195</v>
      </c>
    </row>
    <row r="188" spans="26:31" x14ac:dyDescent="0.2">
      <c r="Z188" s="164">
        <v>138</v>
      </c>
      <c r="AA188" s="163">
        <f t="shared" si="139"/>
        <v>1.0452416565221532</v>
      </c>
      <c r="AB188" s="163">
        <f t="shared" si="139"/>
        <v>0.98758744735167425</v>
      </c>
      <c r="AC188" s="163">
        <f t="shared" si="139"/>
        <v>1.6706598891751099</v>
      </c>
      <c r="AD188" s="163">
        <f t="shared" si="139"/>
        <v>1.581631408750573</v>
      </c>
      <c r="AE188" s="163">
        <f t="shared" si="139"/>
        <v>1.4044190093169431</v>
      </c>
    </row>
    <row r="189" spans="26:31" x14ac:dyDescent="0.2">
      <c r="Z189" s="164">
        <v>139</v>
      </c>
      <c r="AA189" s="163">
        <f t="shared" si="139"/>
        <v>1.0302563069617456</v>
      </c>
      <c r="AB189" s="163">
        <f t="shared" si="139"/>
        <v>0.97342867073988326</v>
      </c>
      <c r="AC189" s="163">
        <f t="shared" si="139"/>
        <v>1.6467080859919672</v>
      </c>
      <c r="AD189" s="163">
        <f t="shared" si="139"/>
        <v>1.5589559830363808</v>
      </c>
      <c r="AE189" s="163">
        <f t="shared" si="139"/>
        <v>1.3842842302899365</v>
      </c>
    </row>
    <row r="190" spans="26:31" x14ac:dyDescent="0.2">
      <c r="Z190" s="164">
        <v>140</v>
      </c>
      <c r="AA190" s="163">
        <f t="shared" si="139"/>
        <v>1.0155909238167291</v>
      </c>
      <c r="AB190" s="163">
        <f t="shared" si="139"/>
        <v>0.95957221160026951</v>
      </c>
      <c r="AC190" s="163">
        <f t="shared" si="139"/>
        <v>1.6232677004821836</v>
      </c>
      <c r="AD190" s="163">
        <f t="shared" si="139"/>
        <v>1.5367647218492815</v>
      </c>
      <c r="AE190" s="163">
        <f t="shared" si="139"/>
        <v>1.3645793680322382</v>
      </c>
    </row>
    <row r="191" spans="26:31" x14ac:dyDescent="0.2">
      <c r="Z191" s="164">
        <v>141</v>
      </c>
      <c r="AA191" s="163">
        <f t="shared" ref="AA191:AE200" si="140">IF(($Z191/AA$11)&lt;AA$15,0.85*(AA$12-AA$13*($Z191/AA$11)),(0.85*(PI())^2*(10100)/(($Z191/AA$11)^2)))/AA$16</f>
        <v>1.0012364622910259</v>
      </c>
      <c r="AB191" s="163">
        <f t="shared" si="140"/>
        <v>0.94600952403628003</v>
      </c>
      <c r="AC191" s="163">
        <f t="shared" si="140"/>
        <v>1.6003242759142295</v>
      </c>
      <c r="AD191" s="163">
        <f t="shared" si="140"/>
        <v>1.5150439388484442</v>
      </c>
      <c r="AE191" s="163">
        <f t="shared" si="140"/>
        <v>1.3452922696761662</v>
      </c>
    </row>
    <row r="192" spans="26:31" x14ac:dyDescent="0.2">
      <c r="Z192" s="164">
        <v>142</v>
      </c>
      <c r="AA192" s="163">
        <f t="shared" si="140"/>
        <v>0.98718419494187104</v>
      </c>
      <c r="AB192" s="163">
        <f t="shared" si="140"/>
        <v>0.93273236199986531</v>
      </c>
      <c r="AC192" s="163">
        <f t="shared" si="140"/>
        <v>1.5778638627975994</v>
      </c>
      <c r="AD192" s="163">
        <f t="shared" si="140"/>
        <v>1.4937804279034874</v>
      </c>
      <c r="AE192" s="163">
        <f t="shared" si="140"/>
        <v>1.3264112087597633</v>
      </c>
    </row>
    <row r="193" spans="26:31" x14ac:dyDescent="0.2">
      <c r="Z193" s="164">
        <v>143</v>
      </c>
      <c r="AA193" s="163">
        <f t="shared" si="140"/>
        <v>0.97342569841106596</v>
      </c>
      <c r="AB193" s="163">
        <f t="shared" si="140"/>
        <v>0.9197327667546229</v>
      </c>
      <c r="AC193" s="163">
        <f t="shared" si="140"/>
        <v>1.5558729976747416</v>
      </c>
      <c r="AD193" s="163">
        <f t="shared" si="140"/>
        <v>1.4729614430165741</v>
      </c>
      <c r="AE193" s="163">
        <f t="shared" si="140"/>
        <v>1.3079248673984971</v>
      </c>
    </row>
    <row r="194" spans="26:31" x14ac:dyDescent="0.2">
      <c r="Z194" s="164">
        <v>144</v>
      </c>
      <c r="AA194" s="163">
        <f t="shared" si="140"/>
        <v>0.95995284079899146</v>
      </c>
      <c r="AB194" s="163">
        <f t="shared" si="140"/>
        <v>0.90700305494624245</v>
      </c>
      <c r="AC194" s="163">
        <f t="shared" si="140"/>
        <v>1.5343386829403354</v>
      </c>
      <c r="AD194" s="163">
        <f t="shared" si="140"/>
        <v>1.4525746792171066</v>
      </c>
      <c r="AE194" s="163">
        <f t="shared" si="140"/>
        <v>1.2898223193205951</v>
      </c>
    </row>
    <row r="195" spans="26:31" x14ac:dyDescent="0.2">
      <c r="Z195" s="164">
        <v>145</v>
      </c>
      <c r="AA195" s="163">
        <f t="shared" si="140"/>
        <v>0.94675776964603509</v>
      </c>
      <c r="AB195" s="163">
        <f t="shared" si="140"/>
        <v>0.89453580724686244</v>
      </c>
      <c r="AC195" s="163">
        <f t="shared" si="140"/>
        <v>1.5132483676314292</v>
      </c>
      <c r="AD195" s="163">
        <f t="shared" si="140"/>
        <v>1.4326082543755492</v>
      </c>
      <c r="AE195" s="163">
        <f t="shared" si="140"/>
        <v>1.2720930137185191</v>
      </c>
    </row>
    <row r="196" spans="26:31" x14ac:dyDescent="0.2">
      <c r="Z196" s="164">
        <v>146</v>
      </c>
      <c r="AA196" s="163">
        <f t="shared" si="140"/>
        <v>0.93383290048826662</v>
      </c>
      <c r="AB196" s="163">
        <f t="shared" si="140"/>
        <v>0.8823238575420006</v>
      </c>
      <c r="AC196" s="163">
        <f t="shared" si="140"/>
        <v>1.4925899291354281</v>
      </c>
      <c r="AD196" s="163">
        <f t="shared" si="140"/>
        <v>1.4130506918861849</v>
      </c>
      <c r="AE196" s="163">
        <f t="shared" si="140"/>
        <v>1.2547267598720144</v>
      </c>
    </row>
    <row r="197" spans="26:31" x14ac:dyDescent="0.2">
      <c r="Z197" s="164">
        <v>147</v>
      </c>
      <c r="AA197" s="163">
        <f t="shared" si="140"/>
        <v>0.92117090595621665</v>
      </c>
      <c r="AB197" s="163">
        <f t="shared" si="140"/>
        <v>0.87036028263062992</v>
      </c>
      <c r="AC197" s="163">
        <f t="shared" si="140"/>
        <v>1.4723516557661529</v>
      </c>
      <c r="AD197" s="163">
        <f t="shared" si="140"/>
        <v>1.3938909041716838</v>
      </c>
      <c r="AE197" s="163">
        <f t="shared" si="140"/>
        <v>1.2377137125008961</v>
      </c>
    </row>
    <row r="198" spans="26:31" x14ac:dyDescent="0.2">
      <c r="Z198" s="164">
        <v>148</v>
      </c>
      <c r="AA198" s="163">
        <f t="shared" si="140"/>
        <v>0.90876470538750398</v>
      </c>
      <c r="AB198" s="163">
        <f t="shared" si="140"/>
        <v>0.85863839241075979</v>
      </c>
      <c r="AC198" s="163">
        <f t="shared" si="140"/>
        <v>1.4525222301611942</v>
      </c>
      <c r="AD198" s="163">
        <f t="shared" si="140"/>
        <v>1.3751181769652079</v>
      </c>
      <c r="AE198" s="163">
        <f t="shared" si="140"/>
        <v>1.2210443578082477</v>
      </c>
    </row>
    <row r="199" spans="26:31" x14ac:dyDescent="0.2">
      <c r="Z199" s="164">
        <v>149</v>
      </c>
      <c r="AA199" s="163">
        <f t="shared" si="140"/>
        <v>0.89660745492580896</v>
      </c>
      <c r="AB199" s="163">
        <f t="shared" si="140"/>
        <v>0.84715172052453869</v>
      </c>
      <c r="AC199" s="163">
        <f t="shared" si="140"/>
        <v>1.4330907134566369</v>
      </c>
      <c r="AD199" s="163">
        <f t="shared" si="140"/>
        <v>1.3567221543284498</v>
      </c>
      <c r="AE199" s="163">
        <f t="shared" si="140"/>
        <v>1.2047095001771031</v>
      </c>
    </row>
    <row r="200" spans="26:31" x14ac:dyDescent="0.2">
      <c r="Z200" s="164">
        <v>150</v>
      </c>
      <c r="AA200" s="163">
        <f t="shared" si="140"/>
        <v>0.88469253808035053</v>
      </c>
      <c r="AB200" s="163">
        <f t="shared" si="140"/>
        <v>0.83589401543845698</v>
      </c>
      <c r="AC200" s="163">
        <f t="shared" si="140"/>
        <v>1.4140465301978131</v>
      </c>
      <c r="AD200" s="163">
        <f t="shared" si="140"/>
        <v>1.3386928243664853</v>
      </c>
      <c r="AE200" s="163">
        <f t="shared" si="140"/>
        <v>1.1887002494858605</v>
      </c>
    </row>
    <row r="201" spans="26:31" x14ac:dyDescent="0.2">
      <c r="Z201" s="164">
        <v>151</v>
      </c>
      <c r="AA201" s="163">
        <f t="shared" ref="AA201:AE210" si="141">IF(($Z201/AA$11)&lt;AA$15,0.85*(AA$12-AA$13*($Z201/AA$11)),(0.85*(PI())^2*(10100)/(($Z201/AA$11)^2)))/AA$16</f>
        <v>0.87301355672154235</v>
      </c>
      <c r="AB201" s="163">
        <f t="shared" si="141"/>
        <v>0.82485923193567312</v>
      </c>
      <c r="AC201" s="163">
        <f t="shared" si="141"/>
        <v>1.3953794539472304</v>
      </c>
      <c r="AD201" s="163">
        <f t="shared" si="141"/>
        <v>1.3210205056026456</v>
      </c>
      <c r="AE201" s="163">
        <f t="shared" si="141"/>
        <v>1.1730080090097743</v>
      </c>
    </row>
    <row r="202" spans="26:31" x14ac:dyDescent="0.2">
      <c r="Z202" s="164">
        <v>152</v>
      </c>
      <c r="AA202" s="163">
        <f t="shared" si="141"/>
        <v>0.8615643224899534</v>
      </c>
      <c r="AB202" s="163">
        <f t="shared" si="141"/>
        <v>0.81404152299884347</v>
      </c>
      <c r="AC202" s="163">
        <f t="shared" si="141"/>
        <v>1.3770795935530988</v>
      </c>
      <c r="AD202" s="163">
        <f t="shared" si="141"/>
        <v>1.3036958339787881</v>
      </c>
      <c r="AE202" s="163">
        <f t="shared" si="141"/>
        <v>1.1576244638777642</v>
      </c>
    </row>
    <row r="203" spans="26:31" x14ac:dyDescent="0.2">
      <c r="Z203" s="164">
        <v>153</v>
      </c>
      <c r="AA203" s="163">
        <f t="shared" si="141"/>
        <v>0.85033884859703046</v>
      </c>
      <c r="AB203" s="163">
        <f t="shared" si="141"/>
        <v>0.80343523206310763</v>
      </c>
      <c r="AC203" s="163">
        <f t="shared" si="141"/>
        <v>1.3591373800440343</v>
      </c>
      <c r="AD203" s="163">
        <f t="shared" si="141"/>
        <v>1.2867097504483711</v>
      </c>
      <c r="AE203" s="163">
        <f t="shared" si="141"/>
        <v>1.1425415700556139</v>
      </c>
    </row>
    <row r="204" spans="26:31" x14ac:dyDescent="0.2">
      <c r="Z204" s="164">
        <v>154</v>
      </c>
      <c r="AA204" s="163">
        <f t="shared" si="141"/>
        <v>0.83933134199729675</v>
      </c>
      <c r="AB204" s="163">
        <f t="shared" si="141"/>
        <v>0.79303488562005764</v>
      </c>
      <c r="AC204" s="163">
        <f t="shared" si="141"/>
        <v>1.3415435541175071</v>
      </c>
      <c r="AD204" s="163">
        <f t="shared" si="141"/>
        <v>1.2700534891316377</v>
      </c>
      <c r="AE204" s="163">
        <f t="shared" si="141"/>
        <v>1.1277515438282959</v>
      </c>
    </row>
    <row r="205" spans="26:31" x14ac:dyDescent="0.2">
      <c r="Z205" s="164">
        <v>155</v>
      </c>
      <c r="AA205" s="163">
        <f t="shared" si="141"/>
        <v>0.82853619591291927</v>
      </c>
      <c r="AB205" s="163">
        <f t="shared" si="141"/>
        <v>0.78283518615464232</v>
      </c>
      <c r="AC205" s="163">
        <f t="shared" si="141"/>
        <v>1.3242891541915005</v>
      </c>
      <c r="AD205" s="163">
        <f t="shared" si="141"/>
        <v>1.2537185660039922</v>
      </c>
      <c r="AE205" s="163">
        <f t="shared" si="141"/>
        <v>1.113246851755749</v>
      </c>
    </row>
    <row r="206" spans="26:31" x14ac:dyDescent="0.2">
      <c r="Z206" s="164">
        <v>156</v>
      </c>
      <c r="AA206" s="163">
        <f t="shared" si="141"/>
        <v>0.81794798269263169</v>
      </c>
      <c r="AB206" s="163">
        <f t="shared" si="141"/>
        <v>0.77283100539798188</v>
      </c>
      <c r="AC206" s="163">
        <f t="shared" si="141"/>
        <v>1.3073655049905819</v>
      </c>
      <c r="AD206" s="163">
        <f t="shared" si="141"/>
        <v>1.2376967680903155</v>
      </c>
      <c r="AE206" s="163">
        <f t="shared" si="141"/>
        <v>1.0990202010779035</v>
      </c>
    </row>
    <row r="207" spans="26:31" x14ac:dyDescent="0.2">
      <c r="Z207" s="164">
        <v>157</v>
      </c>
      <c r="AA207" s="163">
        <f t="shared" si="141"/>
        <v>0.80756144698802745</v>
      </c>
      <c r="AB207" s="163">
        <f t="shared" si="141"/>
        <v>0.7630173778800472</v>
      </c>
      <c r="AC207" s="163">
        <f t="shared" si="141"/>
        <v>1.2907642066392468</v>
      </c>
      <c r="AD207" s="163">
        <f t="shared" si="141"/>
        <v>1.2219801431395154</v>
      </c>
      <c r="AE207" s="163">
        <f t="shared" si="141"/>
        <v>1.0850645305461424</v>
      </c>
    </row>
    <row r="208" spans="26:31" x14ac:dyDescent="0.2">
      <c r="Z208" s="164">
        <v>158</v>
      </c>
      <c r="AA208" s="163">
        <f t="shared" si="141"/>
        <v>0.79737149923120842</v>
      </c>
      <c r="AB208" s="163">
        <f t="shared" si="141"/>
        <v>0.75338949476707595</v>
      </c>
      <c r="AC208" s="163">
        <f t="shared" si="141"/>
        <v>1.2744771242369328</v>
      </c>
      <c r="AD208" s="163">
        <f t="shared" si="141"/>
        <v>1.206560989755084</v>
      </c>
      <c r="AE208" s="163">
        <f t="shared" si="141"/>
        <v>1.0713730016596645</v>
      </c>
    </row>
    <row r="209" spans="26:31" x14ac:dyDescent="0.2">
      <c r="Z209" s="164">
        <v>159</v>
      </c>
      <c r="AA209" s="163">
        <f t="shared" si="141"/>
        <v>0.78737320939867439</v>
      </c>
      <c r="AB209" s="163">
        <f t="shared" si="141"/>
        <v>0.7439426979694348</v>
      </c>
      <c r="AC209" s="163">
        <f t="shared" si="141"/>
        <v>1.2584963778905423</v>
      </c>
      <c r="AD209" s="163">
        <f t="shared" si="141"/>
        <v>1.19143184795878</v>
      </c>
      <c r="AE209" s="163">
        <f t="shared" si="141"/>
        <v>1.0579389902864549</v>
      </c>
    </row>
    <row r="210" spans="26:31" x14ac:dyDescent="0.2">
      <c r="Z210" s="164">
        <v>160</v>
      </c>
      <c r="AA210" s="163">
        <f t="shared" si="141"/>
        <v>0.77756180104718298</v>
      </c>
      <c r="AB210" s="163">
        <f t="shared" si="141"/>
        <v>0.73467247450645634</v>
      </c>
      <c r="AC210" s="163">
        <f t="shared" si="141"/>
        <v>1.2428143331816717</v>
      </c>
      <c r="AD210" s="163">
        <f t="shared" si="141"/>
        <v>1.1765854901658561</v>
      </c>
      <c r="AE210" s="163">
        <f t="shared" si="141"/>
        <v>1.0447560786496821</v>
      </c>
    </row>
    <row r="211" spans="26:31" x14ac:dyDescent="0.2">
      <c r="Z211" s="164">
        <v>161</v>
      </c>
      <c r="AA211" s="163">
        <f t="shared" ref="AA211:AE220" si="142">IF(($Z211/AA$11)&lt;AA$15,0.85*(AA$12-AA$13*($Z211/AA$11)),(0.85*(PI())^2*(10100)/(($Z211/AA$11)^2)))/AA$16</f>
        <v>0.7679326456081127</v>
      </c>
      <c r="AB211" s="163">
        <f t="shared" si="142"/>
        <v>0.72557445111551566</v>
      </c>
      <c r="AC211" s="163">
        <f t="shared" si="142"/>
        <v>1.2274235920470196</v>
      </c>
      <c r="AD211" s="163">
        <f t="shared" si="142"/>
        <v>1.1620149125514416</v>
      </c>
      <c r="AE211" s="163">
        <f t="shared" si="142"/>
        <v>1.0318180476614276</v>
      </c>
    </row>
    <row r="212" spans="26:31" x14ac:dyDescent="0.2">
      <c r="Z212" s="164">
        <v>162</v>
      </c>
      <c r="AA212" s="163">
        <f t="shared" si="142"/>
        <v>0.75848125692759816</v>
      </c>
      <c r="AB212" s="163">
        <f t="shared" si="142"/>
        <v>0.71664438909332728</v>
      </c>
      <c r="AC212" s="163">
        <f t="shared" si="142"/>
        <v>1.2123169840516232</v>
      </c>
      <c r="AD212" s="163">
        <f t="shared" si="142"/>
        <v>1.1477133267888249</v>
      </c>
      <c r="AE212" s="163">
        <f t="shared" si="142"/>
        <v>1.0191188695866433</v>
      </c>
    </row>
    <row r="213" spans="26:31" x14ac:dyDescent="0.2">
      <c r="Z213" s="164">
        <v>163</v>
      </c>
      <c r="AA213" s="163">
        <f t="shared" si="142"/>
        <v>0.74920328604041875</v>
      </c>
      <c r="AB213" s="163">
        <f t="shared" si="142"/>
        <v>0.70787817935809738</v>
      </c>
      <c r="AC213" s="163">
        <f t="shared" si="142"/>
        <v>1.1974875580357105</v>
      </c>
      <c r="AD213" s="163">
        <f t="shared" si="142"/>
        <v>1.1336741521414402</v>
      </c>
      <c r="AE213" s="163">
        <f t="shared" si="142"/>
        <v>1.0066527010211852</v>
      </c>
    </row>
    <row r="214" spans="26:31" x14ac:dyDescent="0.2">
      <c r="Z214" s="164">
        <v>164</v>
      </c>
      <c r="AA214" s="163">
        <f t="shared" si="142"/>
        <v>0.74009451616626598</v>
      </c>
      <c r="AB214" s="163">
        <f t="shared" si="142"/>
        <v>0.6992718377217908</v>
      </c>
      <c r="AC214" s="163">
        <f t="shared" si="142"/>
        <v>1.1829285741169986</v>
      </c>
      <c r="AD214" s="163">
        <f t="shared" si="142"/>
        <v>1.1198910078913562</v>
      </c>
      <c r="AE214" s="163">
        <f t="shared" si="142"/>
        <v>0.99441387616864452</v>
      </c>
    </row>
    <row r="215" spans="26:31" x14ac:dyDescent="0.2">
      <c r="Z215" s="164">
        <v>165</v>
      </c>
      <c r="AA215" s="163">
        <f t="shared" si="142"/>
        <v>0.73115085791764511</v>
      </c>
      <c r="AB215" s="163">
        <f t="shared" si="142"/>
        <v>0.69082150036236134</v>
      </c>
      <c r="AC215" s="163">
        <f t="shared" si="142"/>
        <v>1.1686334960312506</v>
      </c>
      <c r="AD215" s="163">
        <f t="shared" si="142"/>
        <v>1.1063577060880041</v>
      </c>
      <c r="AE215" s="163">
        <f t="shared" si="142"/>
        <v>0.98239690040153771</v>
      </c>
    </row>
    <row r="216" spans="26:31" x14ac:dyDescent="0.2">
      <c r="Z216" s="164">
        <v>166</v>
      </c>
      <c r="AA216" s="163">
        <f t="shared" si="142"/>
        <v>0.7223683447092426</v>
      </c>
      <c r="AB216" s="163">
        <f t="shared" si="142"/>
        <v>0.68252341948632911</v>
      </c>
      <c r="AC216" s="163">
        <f t="shared" si="142"/>
        <v>1.1545959837948465</v>
      </c>
      <c r="AD216" s="163">
        <f t="shared" si="142"/>
        <v>1.0930682446017532</v>
      </c>
      <c r="AE216" s="163">
        <f t="shared" si="142"/>
        <v>0.97059644409318702</v>
      </c>
    </row>
    <row r="217" spans="26:31" x14ac:dyDescent="0.2">
      <c r="Z217" s="164">
        <v>167</v>
      </c>
      <c r="AA217" s="163">
        <f t="shared" si="142"/>
        <v>0.71374312835913412</v>
      </c>
      <c r="AB217" s="163">
        <f t="shared" si="142"/>
        <v>0.67437395917262311</v>
      </c>
      <c r="AC217" s="163">
        <f t="shared" si="142"/>
        <v>1.140809886673986</v>
      </c>
      <c r="AD217" s="163">
        <f t="shared" si="142"/>
        <v>1.0800168004677799</v>
      </c>
      <c r="AE217" s="163">
        <f t="shared" si="142"/>
        <v>0.95900733670737071</v>
      </c>
    </row>
    <row r="218" spans="26:31" x14ac:dyDescent="0.2">
      <c r="Z218" s="164">
        <v>168</v>
      </c>
      <c r="AA218" s="163">
        <f t="shared" si="142"/>
        <v>0.70527147487272845</v>
      </c>
      <c r="AB218" s="163">
        <f t="shared" si="142"/>
        <v>0.66636959138907614</v>
      </c>
      <c r="AC218" s="163">
        <f t="shared" si="142"/>
        <v>1.1272692364459609</v>
      </c>
      <c r="AD218" s="163">
        <f t="shared" si="142"/>
        <v>1.0671977235064456</v>
      </c>
      <c r="AE218" s="163">
        <f t="shared" si="142"/>
        <v>0.94762456113349847</v>
      </c>
    </row>
    <row r="219" spans="26:31" x14ac:dyDescent="0.2">
      <c r="Z219" s="164">
        <v>169</v>
      </c>
      <c r="AA219" s="163">
        <f t="shared" si="142"/>
        <v>0.69694976040082235</v>
      </c>
      <c r="AB219" s="163">
        <f t="shared" si="142"/>
        <v>0.65850689217342839</v>
      </c>
      <c r="AC219" s="163">
        <f t="shared" si="142"/>
        <v>1.1139682409387204</v>
      </c>
      <c r="AD219" s="163">
        <f t="shared" si="142"/>
        <v>1.0546055302071329</v>
      </c>
      <c r="AE219" s="163">
        <f t="shared" si="142"/>
        <v>0.93644324825572856</v>
      </c>
    </row>
    <row r="220" spans="26:31" x14ac:dyDescent="0.2">
      <c r="Z220" s="164">
        <v>170</v>
      </c>
      <c r="AA220" s="163">
        <f t="shared" si="142"/>
        <v>0.6887744673635946</v>
      </c>
      <c r="AB220" s="163">
        <f t="shared" si="142"/>
        <v>0.65078253797111696</v>
      </c>
      <c r="AC220" s="163">
        <f t="shared" si="142"/>
        <v>1.1009012778356677</v>
      </c>
      <c r="AD220" s="163">
        <f t="shared" si="142"/>
        <v>1.0422348978631808</v>
      </c>
      <c r="AE220" s="163">
        <f t="shared" si="142"/>
        <v>0.92545867174504715</v>
      </c>
    </row>
    <row r="221" spans="26:31" x14ac:dyDescent="0.2">
      <c r="Z221" s="164">
        <v>171</v>
      </c>
      <c r="AA221" s="163">
        <f t="shared" ref="AA221:AE230" si="143">IF(($Z221/AA$11)&lt;AA$15,0.85*(AA$12-AA$13*($Z221/AA$11)),(0.85*(PI())^2*(10100)/(($Z221/AA$11)^2)))/AA$16</f>
        <v>0.6807421807328029</v>
      </c>
      <c r="AB221" s="163">
        <f t="shared" si="143"/>
        <v>0.64319330212254322</v>
      </c>
      <c r="AC221" s="163">
        <f t="shared" si="143"/>
        <v>1.0880628887333128</v>
      </c>
      <c r="AD221" s="163">
        <f t="shared" si="143"/>
        <v>1.030080658946203</v>
      </c>
      <c r="AE221" s="163">
        <f t="shared" si="143"/>
        <v>0.91466624306391242</v>
      </c>
    </row>
    <row r="222" spans="26:31" x14ac:dyDescent="0.2">
      <c r="Z222" s="164">
        <v>172</v>
      </c>
      <c r="AA222" s="163">
        <f t="shared" si="143"/>
        <v>0.672849584464842</v>
      </c>
      <c r="AB222" s="163">
        <f t="shared" si="143"/>
        <v>0.63573605149287737</v>
      </c>
      <c r="AC222" s="163">
        <f t="shared" si="143"/>
        <v>1.075447773440062</v>
      </c>
      <c r="AD222" s="163">
        <f t="shared" si="143"/>
        <v>1.0181377957086912</v>
      </c>
      <c r="AE222" s="163">
        <f t="shared" si="143"/>
        <v>0.90406150667360274</v>
      </c>
    </row>
    <row r="223" spans="26:31" x14ac:dyDescent="0.2">
      <c r="Z223" s="164">
        <v>173</v>
      </c>
      <c r="AA223" s="163">
        <f t="shared" si="143"/>
        <v>0.66509345807771336</v>
      </c>
      <c r="AB223" s="163">
        <f t="shared" si="143"/>
        <v>0.62840774323783921</v>
      </c>
      <c r="AC223" s="163">
        <f t="shared" si="143"/>
        <v>1.0630507845050217</v>
      </c>
      <c r="AD223" s="163">
        <f t="shared" si="143"/>
        <v>1.0064014350043742</v>
      </c>
      <c r="AE223" s="163">
        <f t="shared" si="143"/>
        <v>0.89364013543492482</v>
      </c>
    </row>
    <row r="224" spans="26:31" x14ac:dyDescent="0.2">
      <c r="Z224" s="164">
        <v>174</v>
      </c>
      <c r="AA224" s="163">
        <f t="shared" si="143"/>
        <v>0.65747067336530229</v>
      </c>
      <c r="AB224" s="163">
        <f t="shared" si="143"/>
        <v>0.62120542169920989</v>
      </c>
      <c r="AC224" s="163">
        <f t="shared" si="143"/>
        <v>1.0508669219662703</v>
      </c>
      <c r="AD224" s="163">
        <f t="shared" si="143"/>
        <v>0.99486684331635344</v>
      </c>
      <c r="AE224" s="163">
        <f t="shared" si="143"/>
        <v>0.88339792619341617</v>
      </c>
    </row>
    <row r="225" spans="26:31" x14ac:dyDescent="0.2">
      <c r="Z225" s="164">
        <v>175</v>
      </c>
      <c r="AA225" s="163">
        <f t="shared" si="143"/>
        <v>0.6499781912427065</v>
      </c>
      <c r="AB225" s="163">
        <f t="shared" si="143"/>
        <v>0.61412621542417256</v>
      </c>
      <c r="AC225" s="163">
        <f t="shared" si="143"/>
        <v>1.0388913283085974</v>
      </c>
      <c r="AD225" s="163">
        <f t="shared" si="143"/>
        <v>0.9835294219835401</v>
      </c>
      <c r="AE225" s="163">
        <f t="shared" si="143"/>
        <v>0.8733307955406322</v>
      </c>
    </row>
    <row r="226" spans="26:31" x14ac:dyDescent="0.2">
      <c r="Z226" s="164">
        <v>176</v>
      </c>
      <c r="AA226" s="163">
        <f t="shared" si="143"/>
        <v>0.64261305871668017</v>
      </c>
      <c r="AB226" s="163">
        <f t="shared" si="143"/>
        <v>0.60716733430285641</v>
      </c>
      <c r="AC226" s="163">
        <f t="shared" si="143"/>
        <v>1.0271192836212164</v>
      </c>
      <c r="AD226" s="163">
        <f t="shared" si="143"/>
        <v>0.97238470261641008</v>
      </c>
      <c r="AE226" s="163">
        <f t="shared" si="143"/>
        <v>0.863434775743539</v>
      </c>
    </row>
    <row r="227" spans="26:31" x14ac:dyDescent="0.2">
      <c r="Z227" s="164">
        <v>177</v>
      </c>
      <c r="AA227" s="163">
        <f t="shared" si="143"/>
        <v>0.63537240597554623</v>
      </c>
      <c r="AB227" s="163">
        <f t="shared" si="143"/>
        <v>0.60032606681877132</v>
      </c>
      <c r="AC227" s="163">
        <f t="shared" si="143"/>
        <v>1.0155462009464327</v>
      </c>
      <c r="AD227" s="163">
        <f t="shared" si="143"/>
        <v>0.96142834269354016</v>
      </c>
      <c r="AE227" s="163">
        <f t="shared" si="143"/>
        <v>0.85370601083443021</v>
      </c>
    </row>
    <row r="228" spans="26:31" x14ac:dyDescent="0.2">
      <c r="Z228" s="164">
        <v>178</v>
      </c>
      <c r="AA228" s="163">
        <f t="shared" si="143"/>
        <v>0.62825344359322954</v>
      </c>
      <c r="AB228" s="163">
        <f t="shared" si="143"/>
        <v>0.59359977740705983</v>
      </c>
      <c r="AC228" s="163">
        <f t="shared" si="143"/>
        <v>1.0041676218107183</v>
      </c>
      <c r="AD228" s="163">
        <f t="shared" si="143"/>
        <v>0.95065612133082689</v>
      </c>
      <c r="AE228" s="163">
        <f t="shared" si="143"/>
        <v>0.84414075285418089</v>
      </c>
    </row>
    <row r="229" spans="26:31" x14ac:dyDescent="0.2">
      <c r="Z229" s="164">
        <v>179</v>
      </c>
      <c r="AA229" s="163">
        <f t="shared" si="143"/>
        <v>0.6212534598423235</v>
      </c>
      <c r="AB229" s="163">
        <f t="shared" si="143"/>
        <v>0.5869859039157731</v>
      </c>
      <c r="AC229" s="163">
        <f t="shared" si="143"/>
        <v>0.99297921193005201</v>
      </c>
      <c r="AD229" s="163">
        <f t="shared" si="143"/>
        <v>0.94006393521568976</v>
      </c>
      <c r="AE229" s="163">
        <f t="shared" si="143"/>
        <v>0.83473535824199807</v>
      </c>
    </row>
    <row r="230" spans="26:31" x14ac:dyDescent="0.2">
      <c r="Z230" s="164">
        <v>180</v>
      </c>
      <c r="AA230" s="163">
        <f t="shared" si="143"/>
        <v>0.6143698181113546</v>
      </c>
      <c r="AB230" s="163">
        <f t="shared" si="143"/>
        <v>0.58048195516559509</v>
      </c>
      <c r="AC230" s="163">
        <f t="shared" si="143"/>
        <v>0.98197675708181464</v>
      </c>
      <c r="AD230" s="163">
        <f t="shared" si="143"/>
        <v>0.9296477946989482</v>
      </c>
      <c r="AE230" s="163">
        <f t="shared" si="143"/>
        <v>0.8254862843651809</v>
      </c>
    </row>
    <row r="231" spans="26:31" x14ac:dyDescent="0.2">
      <c r="Z231" s="164">
        <v>181</v>
      </c>
      <c r="AA231" s="163">
        <f t="shared" ref="AA231:AE240" si="144">IF(($Z231/AA$11)&lt;AA$15,0.85*(AA$12-AA$13*($Z231/AA$11)),(0.85*(PI())^2*(10100)/(($Z231/AA$11)^2)))/AA$16</f>
        <v>0.60759995442165649</v>
      </c>
      <c r="AB231" s="163">
        <f t="shared" si="144"/>
        <v>0.57408550860368379</v>
      </c>
      <c r="AC231" s="163">
        <f t="shared" si="144"/>
        <v>0.97115615913588693</v>
      </c>
      <c r="AD231" s="163">
        <f t="shared" si="144"/>
        <v>0.91940382003742016</v>
      </c>
      <c r="AE231" s="163">
        <f t="shared" si="144"/>
        <v>0.81639008618271303</v>
      </c>
    </row>
    <row r="232" spans="26:31" x14ac:dyDescent="0.2">
      <c r="Z232" s="164">
        <v>182</v>
      </c>
      <c r="AA232" s="163">
        <f t="shared" si="144"/>
        <v>0.60094137503948453</v>
      </c>
      <c r="AB232" s="163">
        <f t="shared" si="144"/>
        <v>0.56779420804749681</v>
      </c>
      <c r="AC232" s="163">
        <f t="shared" si="144"/>
        <v>0.96051343223797847</v>
      </c>
      <c r="AD232" s="163">
        <f t="shared" si="144"/>
        <v>0.90932823778063987</v>
      </c>
      <c r="AE232" s="163">
        <f t="shared" si="144"/>
        <v>0.80744341303682721</v>
      </c>
    </row>
    <row r="233" spans="26:31" x14ac:dyDescent="0.2">
      <c r="Z233" s="164">
        <v>183</v>
      </c>
      <c r="AA233" s="163">
        <f t="shared" si="144"/>
        <v>0.5943916541792198</v>
      </c>
      <c r="AB233" s="163">
        <f t="shared" si="144"/>
        <v>0.561605761514685</v>
      </c>
      <c r="AC233" s="163">
        <f t="shared" si="144"/>
        <v>0.95004469913854694</v>
      </c>
      <c r="AD233" s="163">
        <f t="shared" si="144"/>
        <v>0.89941737729540794</v>
      </c>
      <c r="AE233" s="163">
        <f t="shared" si="144"/>
        <v>0.79864300556695811</v>
      </c>
    </row>
    <row r="234" spans="26:31" x14ac:dyDescent="0.2">
      <c r="Z234" s="164">
        <v>184</v>
      </c>
      <c r="AA234" s="163">
        <f t="shared" si="144"/>
        <v>0.58794843179371126</v>
      </c>
      <c r="AB234" s="163">
        <f t="shared" si="144"/>
        <v>0.55551793913531688</v>
      </c>
      <c r="AC234" s="163">
        <f t="shared" si="144"/>
        <v>0.93974618766099949</v>
      </c>
      <c r="AD234" s="163">
        <f t="shared" si="144"/>
        <v>0.88966766742219749</v>
      </c>
      <c r="AE234" s="163">
        <f t="shared" si="144"/>
        <v>0.78998569274078045</v>
      </c>
    </row>
    <row r="235" spans="26:31" x14ac:dyDescent="0.2">
      <c r="Z235" s="164">
        <v>185</v>
      </c>
      <c r="AA235" s="163">
        <f t="shared" si="144"/>
        <v>0.58160941144800249</v>
      </c>
      <c r="AB235" s="163">
        <f t="shared" si="144"/>
        <v>0.54952857114288634</v>
      </c>
      <c r="AC235" s="163">
        <f t="shared" si="144"/>
        <v>0.92961422730316434</v>
      </c>
      <c r="AD235" s="163">
        <f t="shared" si="144"/>
        <v>0.88007563325773308</v>
      </c>
      <c r="AE235" s="163">
        <f t="shared" si="144"/>
        <v>0.78146838899727877</v>
      </c>
    </row>
    <row r="236" spans="26:31" x14ac:dyDescent="0.2">
      <c r="Z236" s="164">
        <v>186</v>
      </c>
      <c r="AA236" s="163">
        <f t="shared" si="144"/>
        <v>0.57537235827286071</v>
      </c>
      <c r="AB236" s="163">
        <f t="shared" si="144"/>
        <v>0.54363554594072394</v>
      </c>
      <c r="AC236" s="163">
        <f t="shared" si="144"/>
        <v>0.91964524596631958</v>
      </c>
      <c r="AD236" s="163">
        <f t="shared" si="144"/>
        <v>0.87063789305832806</v>
      </c>
      <c r="AE236" s="163">
        <f t="shared" si="144"/>
        <v>0.77308809149704782</v>
      </c>
    </row>
    <row r="237" spans="26:31" x14ac:dyDescent="0.2">
      <c r="Z237" s="164">
        <v>187</v>
      </c>
      <c r="AA237" s="163">
        <f t="shared" si="144"/>
        <v>0.56923509699470631</v>
      </c>
      <c r="AB237" s="163">
        <f t="shared" si="144"/>
        <v>0.53783680824059266</v>
      </c>
      <c r="AC237" s="163">
        <f t="shared" si="144"/>
        <v>0.90983576680633693</v>
      </c>
      <c r="AD237" s="163">
        <f t="shared" si="144"/>
        <v>0.86135115525882699</v>
      </c>
      <c r="AE237" s="163">
        <f t="shared" si="144"/>
        <v>0.76484187747524568</v>
      </c>
    </row>
    <row r="238" spans="26:31" x14ac:dyDescent="0.2">
      <c r="Z238" s="164">
        <v>188</v>
      </c>
      <c r="AA238" s="163">
        <f t="shared" si="144"/>
        <v>0.56319551003870205</v>
      </c>
      <c r="AB238" s="163">
        <f t="shared" si="144"/>
        <v>0.53213035727040758</v>
      </c>
      <c r="AC238" s="163">
        <f t="shared" si="144"/>
        <v>0.90018240520175408</v>
      </c>
      <c r="AD238" s="163">
        <f t="shared" si="144"/>
        <v>0.8522122156022498</v>
      </c>
      <c r="AE238" s="163">
        <f t="shared" si="144"/>
        <v>0.7567269016928434</v>
      </c>
    </row>
    <row r="239" spans="26:31" x14ac:dyDescent="0.2">
      <c r="Z239" s="164">
        <v>189</v>
      </c>
      <c r="AA239" s="163">
        <f t="shared" si="144"/>
        <v>0.557251535701909</v>
      </c>
      <c r="AB239" s="163">
        <f t="shared" si="144"/>
        <v>0.5265142450481588</v>
      </c>
      <c r="AC239" s="163">
        <f t="shared" si="144"/>
        <v>0.89068186583384545</v>
      </c>
      <c r="AD239" s="163">
        <f t="shared" si="144"/>
        <v>0.84321795437546321</v>
      </c>
      <c r="AE239" s="163">
        <f t="shared" si="144"/>
        <v>0.74874039398202352</v>
      </c>
    </row>
    <row r="240" spans="26:31" x14ac:dyDescent="0.2">
      <c r="Z240" s="164">
        <v>190</v>
      </c>
      <c r="AA240" s="163">
        <f t="shared" si="144"/>
        <v>0.55140116639357029</v>
      </c>
      <c r="AB240" s="163">
        <f t="shared" si="144"/>
        <v>0.52098657471926002</v>
      </c>
      <c r="AC240" s="163">
        <f t="shared" si="144"/>
        <v>0.88133093987398325</v>
      </c>
      <c r="AD240" s="163">
        <f t="shared" si="144"/>
        <v>0.83436533374642441</v>
      </c>
      <c r="AE240" s="163">
        <f t="shared" si="144"/>
        <v>0.74087965688176893</v>
      </c>
    </row>
    <row r="241" spans="26:31" x14ac:dyDescent="0.2">
      <c r="Z241" s="164">
        <v>191</v>
      </c>
      <c r="AA241" s="163">
        <f t="shared" ref="AA241:AE250" si="145">IF(($Z241/AA$11)&lt;AA$15,0.85*(AA$12-AA$13*($Z241/AA$11)),(0.85*(PI())^2*(10100)/(($Z241/AA$11)^2)))/AA$16</f>
        <v>0.54564244693971897</v>
      </c>
      <c r="AB241" s="163">
        <f t="shared" si="145"/>
        <v>0.51554549895466906</v>
      </c>
      <c r="AC241" s="163">
        <f t="shared" si="145"/>
        <v>0.87212650227380817</v>
      </c>
      <c r="AD241" s="163">
        <f t="shared" si="145"/>
        <v>0.82565139519875863</v>
      </c>
      <c r="AE241" s="163">
        <f t="shared" si="145"/>
        <v>0.73314206335988219</v>
      </c>
    </row>
    <row r="242" spans="26:31" x14ac:dyDescent="0.2">
      <c r="Z242" s="164">
        <v>192</v>
      </c>
      <c r="AA242" s="163">
        <f t="shared" si="145"/>
        <v>0.53997347294943276</v>
      </c>
      <c r="AB242" s="163">
        <f t="shared" si="145"/>
        <v>0.51018921840726139</v>
      </c>
      <c r="AC242" s="163">
        <f t="shared" si="145"/>
        <v>0.86306550915393865</v>
      </c>
      <c r="AD242" s="163">
        <f t="shared" si="145"/>
        <v>0.8170732570596223</v>
      </c>
      <c r="AE242" s="163">
        <f t="shared" si="145"/>
        <v>0.72552505461783479</v>
      </c>
    </row>
    <row r="243" spans="26:31" x14ac:dyDescent="0.2">
      <c r="Z243" s="164">
        <v>193</v>
      </c>
      <c r="AA243" s="163">
        <f t="shared" si="145"/>
        <v>0.53439238924019139</v>
      </c>
      <c r="AB243" s="163">
        <f t="shared" si="145"/>
        <v>0.50491598022404049</v>
      </c>
      <c r="AC243" s="163">
        <f t="shared" si="145"/>
        <v>0.85414499528714327</v>
      </c>
      <c r="AD243" s="163">
        <f t="shared" si="145"/>
        <v>0.80862811211699415</v>
      </c>
      <c r="AE243" s="163">
        <f t="shared" si="145"/>
        <v>0.71802613797502912</v>
      </c>
    </row>
    <row r="244" spans="26:31" x14ac:dyDescent="0.2">
      <c r="Z244" s="164">
        <v>194</v>
      </c>
      <c r="AA244" s="163">
        <f t="shared" si="145"/>
        <v>0.52889738831990341</v>
      </c>
      <c r="AB244" s="163">
        <f t="shared" si="145"/>
        <v>0.49972407661189511</v>
      </c>
      <c r="AC244" s="163">
        <f t="shared" si="145"/>
        <v>0.84536207167209032</v>
      </c>
      <c r="AD244" s="163">
        <f t="shared" si="145"/>
        <v>0.80031322532272076</v>
      </c>
      <c r="AE244" s="163">
        <f t="shared" si="145"/>
        <v>0.71064288482920246</v>
      </c>
    </row>
    <row r="245" spans="26:31" x14ac:dyDescent="0.2">
      <c r="Z245" s="164">
        <v>195</v>
      </c>
      <c r="AA245" s="163">
        <f t="shared" si="145"/>
        <v>0.52348670892328419</v>
      </c>
      <c r="AB245" s="163">
        <f t="shared" si="145"/>
        <v>0.49461184345470827</v>
      </c>
      <c r="AC245" s="163">
        <f t="shared" si="145"/>
        <v>0.8367139231939722</v>
      </c>
      <c r="AD245" s="163">
        <f t="shared" si="145"/>
        <v>0.79212593157780198</v>
      </c>
      <c r="AE245" s="163">
        <f t="shared" si="145"/>
        <v>0.70337292868985857</v>
      </c>
    </row>
    <row r="246" spans="26:31" x14ac:dyDescent="0.2">
      <c r="Z246" s="164">
        <v>196</v>
      </c>
      <c r="AA246" s="163">
        <f t="shared" si="145"/>
        <v>0.51815863460037193</v>
      </c>
      <c r="AB246" s="163">
        <f t="shared" si="145"/>
        <v>0.48957765897972944</v>
      </c>
      <c r="AC246" s="163">
        <f t="shared" si="145"/>
        <v>0.82819780636846096</v>
      </c>
      <c r="AD246" s="163">
        <f t="shared" si="145"/>
        <v>0.78406363359657227</v>
      </c>
      <c r="AE246" s="163">
        <f t="shared" si="145"/>
        <v>0.69621396328175389</v>
      </c>
    </row>
    <row r="247" spans="26:31" x14ac:dyDescent="0.2">
      <c r="Z247" s="164">
        <v>197</v>
      </c>
      <c r="AA247" s="163">
        <f t="shared" si="145"/>
        <v>0.51291149235506939</v>
      </c>
      <c r="AB247" s="163">
        <f t="shared" si="145"/>
        <v>0.48461994247121243</v>
      </c>
      <c r="AC247" s="163">
        <f t="shared" si="145"/>
        <v>0.81981104716562636</v>
      </c>
      <c r="AD247" s="163">
        <f t="shared" si="145"/>
        <v>0.77612379984657998</v>
      </c>
      <c r="AE247" s="163">
        <f t="shared" si="145"/>
        <v>0.6891637407156036</v>
      </c>
    </row>
    <row r="248" spans="26:31" x14ac:dyDescent="0.2">
      <c r="Z248" s="164">
        <v>198</v>
      </c>
      <c r="AA248" s="163">
        <f t="shared" si="145"/>
        <v>0.50774365133169785</v>
      </c>
      <c r="AB248" s="163">
        <f t="shared" si="145"/>
        <v>0.47973715302941755</v>
      </c>
      <c r="AC248" s="163">
        <f t="shared" si="145"/>
        <v>0.81155103891059077</v>
      </c>
      <c r="AD248" s="163">
        <f t="shared" si="145"/>
        <v>0.76830396256111422</v>
      </c>
      <c r="AE248" s="163">
        <f t="shared" si="145"/>
        <v>0.68222006972328997</v>
      </c>
    </row>
    <row r="249" spans="26:31" x14ac:dyDescent="0.2">
      <c r="Z249" s="164">
        <v>199</v>
      </c>
      <c r="AA249" s="163">
        <f t="shared" si="145"/>
        <v>0.50265352154763487</v>
      </c>
      <c r="AB249" s="163">
        <f t="shared" si="145"/>
        <v>0.47492778837315419</v>
      </c>
      <c r="AC249" s="163">
        <f t="shared" si="145"/>
        <v>0.80341524025784194</v>
      </c>
      <c r="AD249" s="163">
        <f t="shared" si="145"/>
        <v>0.76060171582146718</v>
      </c>
      <c r="AE249" s="163">
        <f t="shared" si="145"/>
        <v>0.67538081395499772</v>
      </c>
    </row>
    <row r="250" spans="26:31" x14ac:dyDescent="0.2">
      <c r="Z250" s="164">
        <v>200</v>
      </c>
      <c r="AA250" s="163">
        <f t="shared" si="145"/>
        <v>0.49763955267019722</v>
      </c>
      <c r="AB250" s="163">
        <f t="shared" si="145"/>
        <v>0.47019038368413207</v>
      </c>
      <c r="AC250" s="163">
        <f t="shared" si="145"/>
        <v>0.7954011732362698</v>
      </c>
      <c r="AD250" s="163">
        <f t="shared" si="145"/>
        <v>0.75301471370614814</v>
      </c>
      <c r="AE250" s="163">
        <f t="shared" si="145"/>
        <v>0.66864389033579663</v>
      </c>
    </row>
    <row r="251" spans="26:31" x14ac:dyDescent="0.2">
      <c r="Z251" s="164">
        <v>201</v>
      </c>
      <c r="AA251" s="163">
        <f t="shared" ref="AA251:AE260" si="146">IF(($Z251/AA$11)&lt;AA$15,0.85*(AA$12-AA$13*($Z251/AA$11)),(0.85*(PI())^2*(10100)/(($Z251/AA$11)^2)))/AA$16</f>
        <v>0.49270023283601599</v>
      </c>
      <c r="AB251" s="163">
        <f t="shared" si="146"/>
        <v>0.46552351049145518</v>
      </c>
      <c r="AC251" s="163">
        <f t="shared" si="146"/>
        <v>0.78750642136211479</v>
      </c>
      <c r="AD251" s="163">
        <f t="shared" si="146"/>
        <v>0.74554066850439149</v>
      </c>
      <c r="AE251" s="163">
        <f t="shared" si="146"/>
        <v>0.66200726747931649</v>
      </c>
    </row>
    <row r="252" spans="26:31" x14ac:dyDescent="0.2">
      <c r="Z252" s="164">
        <v>202</v>
      </c>
      <c r="AA252" s="163">
        <f t="shared" si="146"/>
        <v>0.48783408751122165</v>
      </c>
      <c r="AB252" s="163">
        <f t="shared" si="146"/>
        <v>0.46092577559467907</v>
      </c>
      <c r="AC252" s="163">
        <f t="shared" si="146"/>
        <v>0.77972862781714514</v>
      </c>
      <c r="AD252" s="163">
        <f t="shared" si="146"/>
        <v>0.73817734899142051</v>
      </c>
      <c r="AE252" s="163">
        <f t="shared" si="146"/>
        <v>0.65546896415625588</v>
      </c>
    </row>
    <row r="253" spans="26:31" x14ac:dyDescent="0.2">
      <c r="Z253" s="164">
        <v>203</v>
      </c>
      <c r="AA253" s="163">
        <f t="shared" si="146"/>
        <v>0.48303967839083423</v>
      </c>
      <c r="AB253" s="163">
        <f t="shared" si="146"/>
        <v>0.45639582002390933</v>
      </c>
      <c r="AC253" s="163">
        <f t="shared" si="146"/>
        <v>0.77206549368950461</v>
      </c>
      <c r="AD253" s="163">
        <f t="shared" si="146"/>
        <v>0.73092257876303535</v>
      </c>
      <c r="AE253" s="163">
        <f t="shared" si="146"/>
        <v>0.64902704781557108</v>
      </c>
    </row>
    <row r="254" spans="26:31" x14ac:dyDescent="0.2">
      <c r="Z254" s="164">
        <v>204</v>
      </c>
      <c r="AA254" s="163">
        <f t="shared" si="146"/>
        <v>0.47831560233582965</v>
      </c>
      <c r="AB254" s="163">
        <f t="shared" si="146"/>
        <v>0.45193231803549799</v>
      </c>
      <c r="AC254" s="163">
        <f t="shared" si="146"/>
        <v>0.76451477627476916</v>
      </c>
      <c r="AD254" s="163">
        <f t="shared" si="146"/>
        <v>0.72377423462720858</v>
      </c>
      <c r="AE254" s="163">
        <f t="shared" si="146"/>
        <v>0.64267963315628263</v>
      </c>
    </row>
    <row r="255" spans="26:31" x14ac:dyDescent="0.2">
      <c r="Z255" s="164">
        <v>205</v>
      </c>
      <c r="AA255" s="163">
        <f t="shared" si="146"/>
        <v>0.47366049034641017</v>
      </c>
      <c r="AB255" s="163">
        <f t="shared" si="146"/>
        <v>0.44753397614194618</v>
      </c>
      <c r="AC255" s="163">
        <f t="shared" si="146"/>
        <v>0.75707428743487926</v>
      </c>
      <c r="AD255" s="163">
        <f t="shared" si="146"/>
        <v>0.71673024505046778</v>
      </c>
      <c r="AE255" s="163">
        <f t="shared" si="146"/>
        <v>0.63642488074793246</v>
      </c>
    </row>
    <row r="256" spans="26:31" x14ac:dyDescent="0.2">
      <c r="Z256" s="164">
        <v>206</v>
      </c>
      <c r="AA256" s="163">
        <f t="shared" si="146"/>
        <v>0.46907300657007933</v>
      </c>
      <c r="AB256" s="163">
        <f t="shared" si="146"/>
        <v>0.44319953217469327</v>
      </c>
      <c r="AC256" s="163">
        <f t="shared" si="146"/>
        <v>0.7497418920126967</v>
      </c>
      <c r="AD256" s="163">
        <f t="shared" si="146"/>
        <v>0.70978858865694017</v>
      </c>
      <c r="AE256" s="163">
        <f t="shared" si="146"/>
        <v>0.63026099569780036</v>
      </c>
    </row>
    <row r="257" spans="26:31" x14ac:dyDescent="0.2">
      <c r="Z257" s="164">
        <v>207</v>
      </c>
      <c r="AA257" s="163">
        <f t="shared" si="146"/>
        <v>0.46455184734317923</v>
      </c>
      <c r="AB257" s="163">
        <f t="shared" si="146"/>
        <v>0.43892775437852194</v>
      </c>
      <c r="AC257" s="163">
        <f t="shared" si="146"/>
        <v>0.7425155063000487</v>
      </c>
      <c r="AD257" s="163">
        <f t="shared" si="146"/>
        <v>0.70294729277803236</v>
      </c>
      <c r="AE257" s="163">
        <f t="shared" si="146"/>
        <v>0.62418622636308574</v>
      </c>
    </row>
    <row r="258" spans="26:31" x14ac:dyDescent="0.2">
      <c r="Z258" s="164">
        <v>208</v>
      </c>
      <c r="AA258" s="163">
        <f t="shared" si="146"/>
        <v>0.46009574026460542</v>
      </c>
      <c r="AB258" s="163">
        <f t="shared" si="146"/>
        <v>0.43471744053636474</v>
      </c>
      <c r="AC258" s="163">
        <f t="shared" si="146"/>
        <v>0.7353930965572022</v>
      </c>
      <c r="AD258" s="163">
        <f t="shared" si="146"/>
        <v>0.6962044320508024</v>
      </c>
      <c r="AE258" s="163">
        <f t="shared" si="146"/>
        <v>0.61819886310632088</v>
      </c>
    </row>
    <row r="259" spans="26:31" x14ac:dyDescent="0.2">
      <c r="Z259" s="164">
        <v>209</v>
      </c>
      <c r="AA259" s="163">
        <f t="shared" si="146"/>
        <v>0.45570344330047136</v>
      </c>
      <c r="AB259" s="163">
        <f t="shared" si="146"/>
        <v>0.43056741712335544</v>
      </c>
      <c r="AC259" s="163">
        <f t="shared" si="146"/>
        <v>0.72837267758180435</v>
      </c>
      <c r="AD259" s="163">
        <f t="shared" si="146"/>
        <v>0.68955812706316055</v>
      </c>
      <c r="AE259" s="163">
        <f t="shared" si="146"/>
        <v>0.61229723709237127</v>
      </c>
    </row>
    <row r="260" spans="26:31" x14ac:dyDescent="0.2">
      <c r="Z260" s="164">
        <v>210</v>
      </c>
      <c r="AA260" s="163">
        <f t="shared" si="146"/>
        <v>0.45137374391854612</v>
      </c>
      <c r="AB260" s="163">
        <f t="shared" si="146"/>
        <v>0.42647653848900868</v>
      </c>
      <c r="AC260" s="163">
        <f t="shared" si="146"/>
        <v>0.72145231132541487</v>
      </c>
      <c r="AD260" s="163">
        <f t="shared" si="146"/>
        <v>0.68300654304412511</v>
      </c>
      <c r="AE260" s="163">
        <f t="shared" si="146"/>
        <v>0.60647971912543919</v>
      </c>
    </row>
    <row r="261" spans="26:31" x14ac:dyDescent="0.2">
      <c r="Z261" s="164">
        <v>211</v>
      </c>
      <c r="AA261" s="163">
        <f t="shared" ref="AA261:AE270" si="147">IF(($Z261/AA$11)&lt;AA$15,0.85*(AA$12-AA$13*($Z261/AA$11)),(0.85*(PI())^2*(10100)/(($Z261/AA$11)^2)))/AA$16</f>
        <v>0.44710545825133963</v>
      </c>
      <c r="AB261" s="163">
        <f t="shared" si="147"/>
        <v>0.42244368606646948</v>
      </c>
      <c r="AC261" s="163">
        <f t="shared" si="147"/>
        <v>0.71463010555582296</v>
      </c>
      <c r="AD261" s="163">
        <f t="shared" si="147"/>
        <v>0.67654788859742399</v>
      </c>
      <c r="AE261" s="163">
        <f t="shared" si="147"/>
        <v>0.60074471852455857</v>
      </c>
    </row>
    <row r="262" spans="26:31" x14ac:dyDescent="0.2">
      <c r="Z262" s="164">
        <v>212</v>
      </c>
      <c r="AA262" s="163">
        <f t="shared" si="147"/>
        <v>0.44289743028675432</v>
      </c>
      <c r="AB262" s="163">
        <f t="shared" si="147"/>
        <v>0.41846776760780713</v>
      </c>
      <c r="AC262" s="163">
        <f t="shared" si="147"/>
        <v>0.70790421256343006</v>
      </c>
      <c r="AD262" s="163">
        <f t="shared" si="147"/>
        <v>0.67018041447681365</v>
      </c>
      <c r="AE262" s="163">
        <f t="shared" si="147"/>
        <v>0.59509068203613069</v>
      </c>
    </row>
    <row r="263" spans="26:31" x14ac:dyDescent="0.2">
      <c r="Z263" s="164">
        <v>213</v>
      </c>
      <c r="AA263" s="163">
        <f t="shared" si="147"/>
        <v>0.43874853108527595</v>
      </c>
      <c r="AB263" s="163">
        <f t="shared" si="147"/>
        <v>0.4145477164443846</v>
      </c>
      <c r="AC263" s="163">
        <f t="shared" si="147"/>
        <v>0.70127282791004408</v>
      </c>
      <c r="AD263" s="163">
        <f t="shared" si="147"/>
        <v>0.6639024124015499</v>
      </c>
      <c r="AE263" s="163">
        <f t="shared" si="147"/>
        <v>0.58951609278211692</v>
      </c>
    </row>
    <row r="264" spans="26:31" x14ac:dyDescent="0.2">
      <c r="Z264" s="164">
        <v>214</v>
      </c>
      <c r="AA264" s="163">
        <f t="shared" si="147"/>
        <v>0.43465765802270701</v>
      </c>
      <c r="AB264" s="163">
        <f t="shared" si="147"/>
        <v>0.41068249077136176</v>
      </c>
      <c r="AC264" s="163">
        <f t="shared" si="147"/>
        <v>0.69473418921850805</v>
      </c>
      <c r="AD264" s="163">
        <f t="shared" si="147"/>
        <v>0.65771221391051438</v>
      </c>
      <c r="AE264" s="163">
        <f t="shared" si="147"/>
        <v>0.58401946924255088</v>
      </c>
    </row>
    <row r="265" spans="26:31" x14ac:dyDescent="0.2">
      <c r="Z265" s="164">
        <v>215</v>
      </c>
      <c r="AA265" s="163">
        <f t="shared" si="147"/>
        <v>0.43062373405749893</v>
      </c>
      <c r="AB265" s="163">
        <f t="shared" si="147"/>
        <v>0.40687107295544156</v>
      </c>
      <c r="AC265" s="163">
        <f t="shared" si="147"/>
        <v>0.6882865750016397</v>
      </c>
      <c r="AD265" s="163">
        <f t="shared" si="147"/>
        <v>0.65160818925356245</v>
      </c>
      <c r="AE265" s="163">
        <f t="shared" si="147"/>
        <v>0.5785993642711057</v>
      </c>
    </row>
    <row r="266" spans="26:31" x14ac:dyDescent="0.2">
      <c r="Z266" s="164">
        <v>216</v>
      </c>
      <c r="AA266" s="163">
        <f t="shared" si="147"/>
        <v>0.42664570702177401</v>
      </c>
      <c r="AB266" s="163">
        <f t="shared" si="147"/>
        <v>0.40311246886499663</v>
      </c>
      <c r="AC266" s="163">
        <f t="shared" si="147"/>
        <v>0.68192830352903799</v>
      </c>
      <c r="AD266" s="163">
        <f t="shared" si="147"/>
        <v>0.64558874631871399</v>
      </c>
      <c r="AE266" s="163">
        <f t="shared" si="147"/>
        <v>0.57325436414248687</v>
      </c>
    </row>
    <row r="267" spans="26:31" x14ac:dyDescent="0.2">
      <c r="Z267" s="164">
        <v>217</v>
      </c>
      <c r="AA267" s="163">
        <f t="shared" si="147"/>
        <v>0.42272254893516303</v>
      </c>
      <c r="AB267" s="163">
        <f t="shared" si="147"/>
        <v>0.39940570722175633</v>
      </c>
      <c r="AC267" s="163">
        <f t="shared" si="147"/>
        <v>0.67565773173035748</v>
      </c>
      <c r="AD267" s="163">
        <f t="shared" si="147"/>
        <v>0.63965232959387375</v>
      </c>
      <c r="AE267" s="163">
        <f t="shared" si="147"/>
        <v>0.56798308763048411</v>
      </c>
    </row>
    <row r="268" spans="26:31" x14ac:dyDescent="0.2">
      <c r="Z268" s="164">
        <v>218</v>
      </c>
      <c r="AA268" s="163">
        <f t="shared" si="147"/>
        <v>0.41885325534062556</v>
      </c>
      <c r="AB268" s="163">
        <f t="shared" si="147"/>
        <v>0.3957498389732616</v>
      </c>
      <c r="AC268" s="163">
        <f t="shared" si="147"/>
        <v>0.66947325413371761</v>
      </c>
      <c r="AD268" s="163">
        <f t="shared" si="147"/>
        <v>0.63379741916181132</v>
      </c>
      <c r="AE268" s="163">
        <f t="shared" si="147"/>
        <v>0.56278418511555983</v>
      </c>
    </row>
    <row r="269" spans="26:31" x14ac:dyDescent="0.2">
      <c r="Z269" s="164">
        <v>219</v>
      </c>
      <c r="AA269" s="163">
        <f t="shared" si="147"/>
        <v>0.41503684466145174</v>
      </c>
      <c r="AB269" s="163">
        <f t="shared" si="147"/>
        <v>0.39214393668533365</v>
      </c>
      <c r="AC269" s="163">
        <f t="shared" si="147"/>
        <v>0.66337330183796805</v>
      </c>
      <c r="AD269" s="163">
        <f t="shared" si="147"/>
        <v>0.62802252972719341</v>
      </c>
      <c r="AE269" s="163">
        <f t="shared" si="147"/>
        <v>0.55765633772089529</v>
      </c>
    </row>
    <row r="270" spans="26:31" x14ac:dyDescent="0.2">
      <c r="Z270" s="164">
        <v>220</v>
      </c>
      <c r="AA270" s="163">
        <f t="shared" si="147"/>
        <v>0.41127235757867525</v>
      </c>
      <c r="AB270" s="163">
        <f t="shared" si="147"/>
        <v>0.38858709395382812</v>
      </c>
      <c r="AC270" s="163">
        <f t="shared" si="147"/>
        <v>0.65735634151757838</v>
      </c>
      <c r="AD270" s="163">
        <f t="shared" si="147"/>
        <v>0.62232620967450247</v>
      </c>
      <c r="AE270" s="163">
        <f t="shared" si="147"/>
        <v>0.5525982564758648</v>
      </c>
    </row>
    <row r="271" spans="26:31" x14ac:dyDescent="0.2">
      <c r="Z271" s="164">
        <v>221</v>
      </c>
      <c r="AA271" s="163">
        <f t="shared" ref="AA271:AE280" si="148">IF(($Z271/AA$11)&lt;AA$15,0.85*(AA$12-AA$13*($Z271/AA$11)),(0.85*(PI())^2*(10100)/(($Z271/AA$11)^2)))/AA$16</f>
        <v>0.40755885642816253</v>
      </c>
      <c r="AB271" s="163">
        <f t="shared" si="148"/>
        <v>0.3850784248349805</v>
      </c>
      <c r="AC271" s="163">
        <f t="shared" si="148"/>
        <v>0.65142087445897501</v>
      </c>
      <c r="AD271" s="163">
        <f t="shared" si="148"/>
        <v>0.61670704015572819</v>
      </c>
      <c r="AE271" s="163">
        <f t="shared" si="148"/>
        <v>0.54760868150594511</v>
      </c>
    </row>
    <row r="272" spans="26:31" x14ac:dyDescent="0.2">
      <c r="Z272" s="164">
        <v>222</v>
      </c>
      <c r="AA272" s="163">
        <f t="shared" si="148"/>
        <v>0.40389542461666844</v>
      </c>
      <c r="AB272" s="163">
        <f t="shared" si="148"/>
        <v>0.38161706329367096</v>
      </c>
      <c r="AC272" s="163">
        <f t="shared" si="148"/>
        <v>0.64556543562719748</v>
      </c>
      <c r="AD272" s="163">
        <f t="shared" si="148"/>
        <v>0.6111636342067589</v>
      </c>
      <c r="AE272" s="163">
        <f t="shared" si="148"/>
        <v>0.54268638124811019</v>
      </c>
    </row>
    <row r="273" spans="26:31" x14ac:dyDescent="0.2">
      <c r="Z273" s="164">
        <v>223</v>
      </c>
      <c r="AA273" s="163">
        <f t="shared" si="148"/>
        <v>0.40028116605618219</v>
      </c>
      <c r="AB273" s="163">
        <f t="shared" si="148"/>
        <v>0.3782021626689715</v>
      </c>
      <c r="AC273" s="163">
        <f t="shared" si="148"/>
        <v>0.6397885927617849</v>
      </c>
      <c r="AD273" s="163">
        <f t="shared" si="148"/>
        <v>0.6056946358914499</v>
      </c>
      <c r="AE273" s="163">
        <f t="shared" si="148"/>
        <v>0.53783015169080139</v>
      </c>
    </row>
    <row r="274" spans="26:31" x14ac:dyDescent="0.2">
      <c r="Z274" s="164">
        <v>224</v>
      </c>
      <c r="AA274" s="163">
        <f t="shared" si="148"/>
        <v>0.39671520461590976</v>
      </c>
      <c r="AB274" s="163">
        <f t="shared" si="148"/>
        <v>0.37483289515635537</v>
      </c>
      <c r="AC274" s="163">
        <f t="shared" si="148"/>
        <v>0.63408894550085282</v>
      </c>
      <c r="AD274" s="163">
        <f t="shared" si="148"/>
        <v>0.60029871947237556</v>
      </c>
      <c r="AE274" s="163">
        <f t="shared" si="148"/>
        <v>0.53303881563759303</v>
      </c>
    </row>
    <row r="275" spans="26:31" x14ac:dyDescent="0.2">
      <c r="Z275" s="164">
        <v>225</v>
      </c>
      <c r="AA275" s="163">
        <f t="shared" si="148"/>
        <v>0.39319668359126686</v>
      </c>
      <c r="AB275" s="163">
        <f t="shared" si="148"/>
        <v>0.37150845130598092</v>
      </c>
      <c r="AC275" s="163">
        <f t="shared" si="148"/>
        <v>0.62846512453236147</v>
      </c>
      <c r="AD275" s="163">
        <f t="shared" si="148"/>
        <v>0.59497458860732677</v>
      </c>
      <c r="AE275" s="163">
        <f t="shared" si="148"/>
        <v>0.52831122199371583</v>
      </c>
    </row>
    <row r="276" spans="26:31" x14ac:dyDescent="0.2">
      <c r="Z276" s="164">
        <v>226</v>
      </c>
      <c r="AA276" s="163">
        <f t="shared" si="148"/>
        <v>0.38972476518928434</v>
      </c>
      <c r="AB276" s="163">
        <f t="shared" si="148"/>
        <v>0.3682280395364807</v>
      </c>
      <c r="AC276" s="163">
        <f t="shared" si="148"/>
        <v>0.62291579077161086</v>
      </c>
      <c r="AD276" s="163">
        <f t="shared" si="148"/>
        <v>0.58972097557063818</v>
      </c>
      <c r="AE276" s="163">
        <f t="shared" si="148"/>
        <v>0.52364624507463131</v>
      </c>
    </row>
    <row r="277" spans="26:31" x14ac:dyDescent="0.2">
      <c r="Z277" s="164">
        <v>227</v>
      </c>
      <c r="AA277" s="163">
        <f t="shared" si="148"/>
        <v>0.38629863002984516</v>
      </c>
      <c r="AB277" s="163">
        <f t="shared" si="148"/>
        <v>0.36499088566370946</v>
      </c>
      <c r="AC277" s="163">
        <f t="shared" si="148"/>
        <v>0.61743963456404738</v>
      </c>
      <c r="AD277" s="163">
        <f t="shared" si="148"/>
        <v>0.58453664049847498</v>
      </c>
      <c r="AE277" s="163">
        <f t="shared" si="148"/>
        <v>0.5190427839358781</v>
      </c>
    </row>
    <row r="278" spans="26:31" x14ac:dyDescent="0.2">
      <c r="Z278" s="164">
        <v>228</v>
      </c>
      <c r="AA278" s="163">
        <f t="shared" si="148"/>
        <v>0.38291747666220155</v>
      </c>
      <c r="AB278" s="163">
        <f t="shared" si="148"/>
        <v>0.36179623244393055</v>
      </c>
      <c r="AC278" s="163">
        <f t="shared" si="148"/>
        <v>0.61203537491248849</v>
      </c>
      <c r="AD278" s="163">
        <f t="shared" si="148"/>
        <v>0.57942037065723906</v>
      </c>
      <c r="AE278" s="163">
        <f t="shared" si="148"/>
        <v>0.51449976172345069</v>
      </c>
    </row>
    <row r="279" spans="26:31" x14ac:dyDescent="0.2">
      <c r="Z279" s="164">
        <v>229</v>
      </c>
      <c r="AA279" s="163">
        <f t="shared" si="148"/>
        <v>0.37958052109623935</v>
      </c>
      <c r="AB279" s="163">
        <f t="shared" si="148"/>
        <v>0.35864333913093349</v>
      </c>
      <c r="AC279" s="163">
        <f t="shared" si="148"/>
        <v>0.60670175872791909</v>
      </c>
      <c r="AD279" s="163">
        <f t="shared" si="148"/>
        <v>0.57437097973429019</v>
      </c>
      <c r="AE279" s="163">
        <f t="shared" si="148"/>
        <v>0.51001612504398963</v>
      </c>
    </row>
    <row r="280" spans="26:31" x14ac:dyDescent="0.2">
      <c r="Z280" s="164">
        <v>230</v>
      </c>
      <c r="AA280" s="163">
        <f t="shared" si="148"/>
        <v>0.37628699634797519</v>
      </c>
      <c r="AB280" s="163">
        <f t="shared" si="148"/>
        <v>0.35553148104660276</v>
      </c>
      <c r="AC280" s="163">
        <f t="shared" si="148"/>
        <v>0.6014375601030395</v>
      </c>
      <c r="AD280" s="163">
        <f t="shared" si="148"/>
        <v>0.56938730715020636</v>
      </c>
      <c r="AE280" s="163">
        <f t="shared" si="148"/>
        <v>0.50559084335409943</v>
      </c>
    </row>
    <row r="281" spans="26:31" x14ac:dyDescent="0.2">
      <c r="Z281" s="164">
        <v>231</v>
      </c>
      <c r="AA281" s="163">
        <f t="shared" ref="AA281:AE290" si="149">IF(($Z281/AA$11)&lt;AA$15,0.85*(AA$12-AA$13*($Z281/AA$11)),(0.85*(PI())^2*(10100)/(($Z281/AA$11)^2)))/AA$16</f>
        <v>0.37303615199879847</v>
      </c>
      <c r="AB281" s="163">
        <f t="shared" si="149"/>
        <v>0.35245994916446999</v>
      </c>
      <c r="AC281" s="163">
        <f t="shared" si="149"/>
        <v>0.59624157960778079</v>
      </c>
      <c r="AD281" s="163">
        <f t="shared" si="149"/>
        <v>0.56446821739183894</v>
      </c>
      <c r="AE281" s="163">
        <f t="shared" si="149"/>
        <v>0.50122290836813144</v>
      </c>
    </row>
    <row r="282" spans="26:31" x14ac:dyDescent="0.2">
      <c r="Z282" s="164">
        <v>232</v>
      </c>
      <c r="AA282" s="163">
        <f t="shared" si="149"/>
        <v>0.36982725376798242</v>
      </c>
      <c r="AB282" s="163">
        <f t="shared" si="149"/>
        <v>0.34942804970580565</v>
      </c>
      <c r="AC282" s="163">
        <f t="shared" si="149"/>
        <v>0.591112643606027</v>
      </c>
      <c r="AD282" s="163">
        <f t="shared" si="149"/>
        <v>0.55961259936544883</v>
      </c>
      <c r="AE282" s="163">
        <f t="shared" si="149"/>
        <v>0.49691133348379657</v>
      </c>
    </row>
    <row r="283" spans="26:31" x14ac:dyDescent="0.2">
      <c r="Z283" s="164">
        <v>233</v>
      </c>
      <c r="AA283" s="163">
        <f t="shared" si="149"/>
        <v>0.36665958309801039</v>
      </c>
      <c r="AB283" s="163">
        <f t="shared" si="149"/>
        <v>0.34643510374781783</v>
      </c>
      <c r="AC283" s="163">
        <f t="shared" si="149"/>
        <v>0.58604960359282354</v>
      </c>
      <c r="AD283" s="163">
        <f t="shared" si="149"/>
        <v>0.55481936576923363</v>
      </c>
      <c r="AE283" s="163">
        <f t="shared" si="149"/>
        <v>0.49265515322499714</v>
      </c>
    </row>
    <row r="284" spans="26:31" x14ac:dyDescent="0.2">
      <c r="Z284" s="164">
        <v>234</v>
      </c>
      <c r="AA284" s="163">
        <f t="shared" si="149"/>
        <v>0.36353243675228075</v>
      </c>
      <c r="AB284" s="163">
        <f t="shared" si="149"/>
        <v>0.3434804468435475</v>
      </c>
      <c r="AC284" s="163">
        <f t="shared" si="149"/>
        <v>0.58105133555136967</v>
      </c>
      <c r="AD284" s="163">
        <f t="shared" si="149"/>
        <v>0.55008745248458468</v>
      </c>
      <c r="AE284" s="163">
        <f t="shared" si="149"/>
        <v>0.48845342270129066</v>
      </c>
    </row>
    <row r="285" spans="26:31" x14ac:dyDescent="0.2">
      <c r="Z285" s="164">
        <v>235</v>
      </c>
      <c r="AA285" s="163">
        <f t="shared" si="149"/>
        <v>0.36044512642476928</v>
      </c>
      <c r="AB285" s="163">
        <f t="shared" si="149"/>
        <v>0.34056342865306077</v>
      </c>
      <c r="AC285" s="163">
        <f t="shared" si="149"/>
        <v>0.57611673932912255</v>
      </c>
      <c r="AD285" s="163">
        <f t="shared" si="149"/>
        <v>0.54541581798543992</v>
      </c>
      <c r="AE285" s="163">
        <f t="shared" si="149"/>
        <v>0.48430521708341978</v>
      </c>
    </row>
    <row r="286" spans="26:31" x14ac:dyDescent="0.2">
      <c r="Z286" s="164">
        <v>236</v>
      </c>
      <c r="AA286" s="163">
        <f t="shared" si="149"/>
        <v>0.35739697836124473</v>
      </c>
      <c r="AB286" s="163">
        <f t="shared" si="149"/>
        <v>0.33768341258555878</v>
      </c>
      <c r="AC286" s="163">
        <f t="shared" si="149"/>
        <v>0.57124473803236842</v>
      </c>
      <c r="AD286" s="163">
        <f t="shared" si="149"/>
        <v>0.54080344276511638</v>
      </c>
      <c r="AE286" s="163">
        <f t="shared" si="149"/>
        <v>0.48020963109436693</v>
      </c>
    </row>
    <row r="287" spans="26:31" x14ac:dyDescent="0.2">
      <c r="Z287" s="164">
        <v>237</v>
      </c>
      <c r="AA287" s="163">
        <f t="shared" si="149"/>
        <v>0.35438733299164821</v>
      </c>
      <c r="AB287" s="163">
        <f t="shared" si="149"/>
        <v>0.33483977545203369</v>
      </c>
      <c r="AC287" s="163">
        <f t="shared" si="149"/>
        <v>0.56643427743863684</v>
      </c>
      <c r="AD287" s="163">
        <f t="shared" si="149"/>
        <v>0.53624932878003739</v>
      </c>
      <c r="AE287" s="163">
        <f t="shared" si="149"/>
        <v>0.47616577851540642</v>
      </c>
    </row>
    <row r="288" spans="26:31" x14ac:dyDescent="0.2">
      <c r="Z288" s="164">
        <v>238</v>
      </c>
      <c r="AA288" s="163">
        <f t="shared" si="149"/>
        <v>0.35141554457326257</v>
      </c>
      <c r="AB288" s="163">
        <f t="shared" si="149"/>
        <v>0.33203190712812097</v>
      </c>
      <c r="AC288" s="163">
        <f t="shared" si="149"/>
        <v>0.56168432542636115</v>
      </c>
      <c r="AD288" s="163">
        <f t="shared" si="149"/>
        <v>0.53175249890978604</v>
      </c>
      <c r="AE288" s="163">
        <f t="shared" si="149"/>
        <v>0.47217279170665666</v>
      </c>
    </row>
    <row r="289" spans="26:31" x14ac:dyDescent="0.2">
      <c r="Z289" s="164">
        <v>239</v>
      </c>
      <c r="AA289" s="163">
        <f t="shared" si="149"/>
        <v>0.34848098084431101</v>
      </c>
      <c r="AB289" s="163">
        <f t="shared" si="149"/>
        <v>0.32925921022680421</v>
      </c>
      <c r="AC289" s="163">
        <f t="shared" si="149"/>
        <v>0.5569938714212076</v>
      </c>
      <c r="AD289" s="163">
        <f t="shared" si="149"/>
        <v>0.52731199643293902</v>
      </c>
      <c r="AE289" s="163">
        <f t="shared" si="149"/>
        <v>0.4682298211416443</v>
      </c>
    </row>
    <row r="290" spans="26:31" x14ac:dyDescent="0.2">
      <c r="Z290" s="164">
        <v>240</v>
      </c>
      <c r="AA290" s="163">
        <f t="shared" si="149"/>
        <v>0.34558302268763691</v>
      </c>
      <c r="AB290" s="163">
        <f t="shared" si="149"/>
        <v>0.32652109978064731</v>
      </c>
      <c r="AC290" s="163">
        <f t="shared" si="149"/>
        <v>0.55236192585852084</v>
      </c>
      <c r="AD290" s="163">
        <f t="shared" si="149"/>
        <v>0.52292688451815827</v>
      </c>
      <c r="AE290" s="163">
        <f t="shared" si="149"/>
        <v>0.46433603495541437</v>
      </c>
    </row>
    <row r="291" spans="26:31" x14ac:dyDescent="0.2">
      <c r="Z291" s="164">
        <v>241</v>
      </c>
      <c r="AA291" s="163">
        <f t="shared" ref="AA291:AE300" si="150">IF(($Z291/AA$11)&lt;AA$15,0.85*(AA$12-AA$13*($Z291/AA$11)),(0.85*(PI())^2*(10100)/(($Z291/AA$11)^2)))/AA$16</f>
        <v>0.34272106380413364</v>
      </c>
      <c r="AB291" s="163">
        <f t="shared" si="150"/>
        <v>0.32381700293323606</v>
      </c>
      <c r="AC291" s="163">
        <f t="shared" si="150"/>
        <v>0.54778751966134875</v>
      </c>
      <c r="AD291" s="163">
        <f t="shared" si="150"/>
        <v>0.51859624573003071</v>
      </c>
      <c r="AE291" s="163">
        <f t="shared" si="150"/>
        <v>0.46049061850573969</v>
      </c>
    </row>
    <row r="292" spans="26:31" x14ac:dyDescent="0.2">
      <c r="Z292" s="164">
        <v>242</v>
      </c>
      <c r="AA292" s="163">
        <f t="shared" si="150"/>
        <v>0.33989451039559954</v>
      </c>
      <c r="AB292" s="163">
        <f t="shared" si="150"/>
        <v>0.3211463586395274</v>
      </c>
      <c r="AC292" s="163">
        <f t="shared" si="150"/>
        <v>0.54326970373353589</v>
      </c>
      <c r="AD292" s="163">
        <f t="shared" si="150"/>
        <v>0.51431918154917555</v>
      </c>
      <c r="AE292" s="163">
        <f t="shared" si="150"/>
        <v>0.45669277394699576</v>
      </c>
    </row>
    <row r="293" spans="26:31" x14ac:dyDescent="0.2">
      <c r="Z293" s="164">
        <v>243</v>
      </c>
      <c r="AA293" s="163">
        <f t="shared" si="150"/>
        <v>0.3371027808567103</v>
      </c>
      <c r="AB293" s="163">
        <f t="shared" si="150"/>
        <v>0.31850861737481212</v>
      </c>
      <c r="AC293" s="163">
        <f t="shared" si="150"/>
        <v>0.53880754846738799</v>
      </c>
      <c r="AD293" s="163">
        <f t="shared" si="150"/>
        <v>0.51009481190614425</v>
      </c>
      <c r="AE293" s="163">
        <f t="shared" si="150"/>
        <v>0.45294171981628584</v>
      </c>
    </row>
    <row r="294" spans="26:31" x14ac:dyDescent="0.2">
      <c r="Z294" s="164">
        <v>244</v>
      </c>
      <c r="AA294" s="163">
        <f t="shared" si="150"/>
        <v>0.33434530547581098</v>
      </c>
      <c r="AB294" s="163">
        <f t="shared" si="150"/>
        <v>0.31590324085201027</v>
      </c>
      <c r="AC294" s="163">
        <f t="shared" si="150"/>
        <v>0.53440014326543261</v>
      </c>
      <c r="AD294" s="163">
        <f t="shared" si="150"/>
        <v>0.50592227472866691</v>
      </c>
      <c r="AE294" s="163">
        <f t="shared" si="150"/>
        <v>0.44923669063141397</v>
      </c>
    </row>
    <row r="295" spans="26:31" x14ac:dyDescent="0.2">
      <c r="Z295" s="164">
        <v>245</v>
      </c>
      <c r="AA295" s="163">
        <f t="shared" si="150"/>
        <v>0.33162152614423807</v>
      </c>
      <c r="AB295" s="163">
        <f t="shared" si="150"/>
        <v>0.31332970174702685</v>
      </c>
      <c r="AC295" s="163">
        <f t="shared" si="150"/>
        <v>0.53004659607581506</v>
      </c>
      <c r="AD295" s="163">
        <f t="shared" si="150"/>
        <v>0.50180072550180621</v>
      </c>
      <c r="AE295" s="163">
        <f t="shared" si="150"/>
        <v>0.44557693650032254</v>
      </c>
    </row>
    <row r="296" spans="26:31" x14ac:dyDescent="0.2">
      <c r="Z296" s="164">
        <v>246</v>
      </c>
      <c r="AA296" s="163">
        <f t="shared" si="150"/>
        <v>0.32893089607389597</v>
      </c>
      <c r="AB296" s="163">
        <f t="shared" si="150"/>
        <v>0.31078748343190699</v>
      </c>
      <c r="AC296" s="163">
        <f t="shared" si="150"/>
        <v>0.5257460329408884</v>
      </c>
      <c r="AD296" s="163">
        <f t="shared" si="150"/>
        <v>0.49772933684060272</v>
      </c>
      <c r="AE296" s="163">
        <f t="shared" si="150"/>
        <v>0.44196172274161982</v>
      </c>
    </row>
    <row r="297" spans="26:31" x14ac:dyDescent="0.2">
      <c r="Z297" s="164">
        <v>247</v>
      </c>
      <c r="AA297" s="163">
        <f t="shared" si="150"/>
        <v>0.32627287952282263</v>
      </c>
      <c r="AB297" s="163">
        <f t="shared" si="150"/>
        <v>0.3082760797155385</v>
      </c>
      <c r="AC297" s="163">
        <f t="shared" si="150"/>
        <v>0.52149759755856995</v>
      </c>
      <c r="AD297" s="163">
        <f t="shared" si="150"/>
        <v>0.49370729807480729</v>
      </c>
      <c r="AE297" s="163">
        <f t="shared" si="150"/>
        <v>0.43839032951583973</v>
      </c>
    </row>
    <row r="298" spans="26:31" x14ac:dyDescent="0.2">
      <c r="Z298" s="164">
        <v>248</v>
      </c>
      <c r="AA298" s="163">
        <f t="shared" si="150"/>
        <v>0.32364695152848411</v>
      </c>
      <c r="AB298" s="163">
        <f t="shared" si="150"/>
        <v>0.30579499459165715</v>
      </c>
      <c r="AC298" s="163">
        <f t="shared" si="150"/>
        <v>0.51730045085605469</v>
      </c>
      <c r="AD298" s="163">
        <f t="shared" si="150"/>
        <v>0.48973381484530959</v>
      </c>
      <c r="AE298" s="163">
        <f t="shared" si="150"/>
        <v>0.43486205146708939</v>
      </c>
    </row>
    <row r="299" spans="26:31" x14ac:dyDescent="0.2">
      <c r="Z299" s="164">
        <v>249</v>
      </c>
      <c r="AA299" s="163">
        <f t="shared" si="150"/>
        <v>0.32105259764855226</v>
      </c>
      <c r="AB299" s="163">
        <f t="shared" si="150"/>
        <v>0.30334374199392405</v>
      </c>
      <c r="AC299" s="163">
        <f t="shared" si="150"/>
        <v>0.5131537705754875</v>
      </c>
      <c r="AD299" s="163">
        <f t="shared" si="150"/>
        <v>0.48580810871189045</v>
      </c>
      <c r="AE299" s="163">
        <f t="shared" si="150"/>
        <v>0.43137619737474991</v>
      </c>
    </row>
    <row r="300" spans="26:31" x14ac:dyDescent="0.2">
      <c r="Z300" s="164">
        <v>250</v>
      </c>
      <c r="AA300" s="163">
        <f t="shared" si="150"/>
        <v>0.31848931370892619</v>
      </c>
      <c r="AB300" s="163">
        <f t="shared" si="150"/>
        <v>0.30092184555784451</v>
      </c>
      <c r="AC300" s="163">
        <f t="shared" si="150"/>
        <v>0.50905675087121272</v>
      </c>
      <c r="AD300" s="163">
        <f t="shared" si="150"/>
        <v>0.48192941677193468</v>
      </c>
      <c r="AE300" s="163">
        <f t="shared" si="150"/>
        <v>0.42793208981490977</v>
      </c>
    </row>
    <row r="301" spans="26:31" x14ac:dyDescent="0.2">
      <c r="Z301" s="164">
        <v>251</v>
      </c>
      <c r="AA301" s="163">
        <f t="shared" ref="AA301:AE310" si="151">IF(($Z301/AA$11)&lt;AA$15,0.85*(AA$12-AA$13*($Z301/AA$11)),(0.85*(PI())^2*(10100)/(($Z301/AA$11)^2)))/AA$16</f>
        <v>0.31595660555876715</v>
      </c>
      <c r="AB301" s="163">
        <f t="shared" si="151"/>
        <v>0.29852883838931576</v>
      </c>
      <c r="AC301" s="163">
        <f t="shared" si="151"/>
        <v>0.50500860191823627</v>
      </c>
      <c r="AD301" s="163">
        <f t="shared" si="151"/>
        <v>0.47809699128975602</v>
      </c>
      <c r="AE301" s="163">
        <f t="shared" si="151"/>
        <v>0.42452906483122271</v>
      </c>
    </row>
    <row r="302" spans="26:31" x14ac:dyDescent="0.2">
      <c r="Z302" s="164">
        <v>252</v>
      </c>
      <c r="AA302" s="163">
        <f t="shared" si="151"/>
        <v>0.31345398883232373</v>
      </c>
      <c r="AB302" s="163">
        <f t="shared" si="151"/>
        <v>0.29616426283958935</v>
      </c>
      <c r="AC302" s="163">
        <f t="shared" si="151"/>
        <v>0.50100854953153806</v>
      </c>
      <c r="AD302" s="163">
        <f t="shared" si="151"/>
        <v>0.47431009933619811</v>
      </c>
      <c r="AE302" s="163">
        <f t="shared" si="151"/>
        <v>0.42116647161488824</v>
      </c>
    </row>
    <row r="303" spans="26:31" x14ac:dyDescent="0.2">
      <c r="Z303" s="164">
        <v>253</v>
      </c>
      <c r="AA303" s="163">
        <f t="shared" si="151"/>
        <v>0.31098098871733487</v>
      </c>
      <c r="AB303" s="163">
        <f t="shared" si="151"/>
        <v>0.29382767028644857</v>
      </c>
      <c r="AC303" s="163">
        <f t="shared" si="151"/>
        <v>0.49705583479590049</v>
      </c>
      <c r="AD303" s="163">
        <f t="shared" si="151"/>
        <v>0.47056802243818718</v>
      </c>
      <c r="AE303" s="163">
        <f t="shared" si="151"/>
        <v>0.41784367219347063</v>
      </c>
    </row>
    <row r="304" spans="26:31" x14ac:dyDescent="0.2">
      <c r="Z304" s="164">
        <v>254</v>
      </c>
      <c r="AA304" s="163">
        <f t="shared" si="151"/>
        <v>0.30853713972980168</v>
      </c>
      <c r="AB304" s="163">
        <f t="shared" si="151"/>
        <v>0.29151862092140368</v>
      </c>
      <c r="AC304" s="163">
        <f t="shared" si="151"/>
        <v>0.49314971370591471</v>
      </c>
      <c r="AD304" s="163">
        <f t="shared" si="151"/>
        <v>0.46687005623792421</v>
      </c>
      <c r="AE304" s="163">
        <f t="shared" si="151"/>
        <v>0.41456004112827616</v>
      </c>
    </row>
    <row r="305" spans="26:31" x14ac:dyDescent="0.2">
      <c r="Z305" s="164">
        <v>255</v>
      </c>
      <c r="AA305" s="163">
        <f t="shared" si="151"/>
        <v>0.30612198549493103</v>
      </c>
      <c r="AB305" s="163">
        <f t="shared" si="151"/>
        <v>0.28923668354271875</v>
      </c>
      <c r="AC305" s="163">
        <f t="shared" si="151"/>
        <v>0.48928945681585234</v>
      </c>
      <c r="AD305" s="163">
        <f t="shared" si="151"/>
        <v>0.4632155101614136</v>
      </c>
      <c r="AE305" s="163">
        <f t="shared" si="151"/>
        <v>0.41131496522002098</v>
      </c>
    </row>
    <row r="306" spans="26:31" x14ac:dyDescent="0.2">
      <c r="Z306" s="164">
        <v>256</v>
      </c>
      <c r="AA306" s="163">
        <f t="shared" si="151"/>
        <v>0.3037350785340559</v>
      </c>
      <c r="AB306" s="163">
        <f t="shared" si="151"/>
        <v>0.28698143535408449</v>
      </c>
      <c r="AC306" s="163">
        <f t="shared" si="151"/>
        <v>0.48547434889909052</v>
      </c>
      <c r="AD306" s="163">
        <f t="shared" si="151"/>
        <v>0.45960370709603765</v>
      </c>
      <c r="AE306" s="163">
        <f t="shared" si="151"/>
        <v>0.40810784322253213</v>
      </c>
    </row>
    <row r="307" spans="26:31" x14ac:dyDescent="0.2">
      <c r="Z307" s="164">
        <v>257</v>
      </c>
      <c r="AA307" s="163">
        <f t="shared" si="151"/>
        <v>0.30137598005734961</v>
      </c>
      <c r="AB307" s="163">
        <f t="shared" si="151"/>
        <v>0.2847524617687669</v>
      </c>
      <c r="AC307" s="163">
        <f t="shared" si="151"/>
        <v>0.48170368861679658</v>
      </c>
      <c r="AD307" s="163">
        <f t="shared" si="151"/>
        <v>0.45603398307689613</v>
      </c>
      <c r="AE307" s="163">
        <f t="shared" si="151"/>
        <v>0.40493808556423061</v>
      </c>
    </row>
    <row r="308" spans="26:31" x14ac:dyDescent="0.2">
      <c r="Z308" s="164">
        <v>258</v>
      </c>
      <c r="AA308" s="163">
        <f t="shared" si="151"/>
        <v>0.29904425976215204</v>
      </c>
      <c r="AB308" s="163">
        <f t="shared" si="151"/>
        <v>0.28254935621905652</v>
      </c>
      <c r="AC308" s="163">
        <f t="shared" si="151"/>
        <v>0.47797678819558304</v>
      </c>
      <c r="AD308" s="163">
        <f t="shared" si="151"/>
        <v>0.45250568698164045</v>
      </c>
      <c r="AE308" s="163">
        <f t="shared" si="151"/>
        <v>0.40180511407715674</v>
      </c>
    </row>
    <row r="309" spans="26:31" x14ac:dyDescent="0.2">
      <c r="Z309" s="164">
        <v>259</v>
      </c>
      <c r="AA309" s="163">
        <f t="shared" si="151"/>
        <v>0.29673949563673602</v>
      </c>
      <c r="AB309" s="163">
        <f t="shared" si="151"/>
        <v>0.28037171997086036</v>
      </c>
      <c r="AC309" s="163">
        <f t="shared" si="151"/>
        <v>0.47429297311385926</v>
      </c>
      <c r="AD309" s="163">
        <f t="shared" si="151"/>
        <v>0.44901818023353729</v>
      </c>
      <c r="AE309" s="163">
        <f t="shared" si="151"/>
        <v>0.39870836173330543</v>
      </c>
    </row>
    <row r="310" spans="26:31" x14ac:dyDescent="0.2">
      <c r="Z310" s="164">
        <v>260</v>
      </c>
      <c r="AA310" s="163">
        <f t="shared" si="151"/>
        <v>0.29446127376934739</v>
      </c>
      <c r="AB310" s="163">
        <f t="shared" si="151"/>
        <v>0.2782191619432734</v>
      </c>
      <c r="AC310" s="163">
        <f t="shared" si="151"/>
        <v>0.47065158179660932</v>
      </c>
      <c r="AD310" s="163">
        <f t="shared" si="151"/>
        <v>0.44557083651251356</v>
      </c>
      <c r="AE310" s="163">
        <f t="shared" si="151"/>
        <v>0.39564727238804531</v>
      </c>
    </row>
    <row r="311" spans="26:31" x14ac:dyDescent="0.2">
      <c r="Z311" s="164">
        <v>261</v>
      </c>
      <c r="AA311" s="163">
        <f t="shared" ref="AA311:AE320" si="152">IF(($Z311/AA$11)&lt;AA$15,0.85*(AA$12-AA$13*($Z311/AA$11)),(0.85*(PI())^2*(10100)/(($Z311/AA$11)^2)))/AA$16</f>
        <v>0.29220918816235653</v>
      </c>
      <c r="AB311" s="163">
        <f t="shared" si="152"/>
        <v>0.27609129853298225</v>
      </c>
      <c r="AC311" s="163">
        <f t="shared" si="152"/>
        <v>0.46705196531834231</v>
      </c>
      <c r="AD311" s="163">
        <f t="shared" si="152"/>
        <v>0.44216304147393481</v>
      </c>
      <c r="AE311" s="163">
        <f t="shared" si="152"/>
        <v>0.39262130053040711</v>
      </c>
    </row>
    <row r="312" spans="26:31" x14ac:dyDescent="0.2">
      <c r="Z312" s="164">
        <v>262</v>
      </c>
      <c r="AA312" s="163">
        <f t="shared" si="152"/>
        <v>0.28998284055136481</v>
      </c>
      <c r="AB312" s="163">
        <f t="shared" si="152"/>
        <v>0.27398775344334947</v>
      </c>
      <c r="AC312" s="163">
        <f t="shared" si="152"/>
        <v>0.46349348711396188</v>
      </c>
      <c r="AD312" s="163">
        <f t="shared" si="152"/>
        <v>0.43879419247488372</v>
      </c>
      <c r="AE312" s="163">
        <f t="shared" si="152"/>
        <v>0.38962991104003059</v>
      </c>
    </row>
    <row r="313" spans="26:31" x14ac:dyDescent="0.2">
      <c r="Z313" s="164">
        <v>263</v>
      </c>
      <c r="AA313" s="163">
        <f t="shared" si="152"/>
        <v>0.28778184022911835</v>
      </c>
      <c r="AB313" s="163">
        <f t="shared" si="152"/>
        <v>0.27190815751803965</v>
      </c>
      <c r="AC313" s="163">
        <f t="shared" si="152"/>
        <v>0.45997552269731817</v>
      </c>
      <c r="AD313" s="163">
        <f t="shared" si="152"/>
        <v>0.43546369830770887</v>
      </c>
      <c r="AE313" s="163">
        <f t="shared" si="152"/>
        <v>0.38667257895056839</v>
      </c>
    </row>
    <row r="314" spans="26:31" x14ac:dyDescent="0.2">
      <c r="Z314" s="164">
        <v>264</v>
      </c>
      <c r="AA314" s="163">
        <f t="shared" si="152"/>
        <v>0.28560580387408019</v>
      </c>
      <c r="AB314" s="163">
        <f t="shared" si="152"/>
        <v>0.26985214857904732</v>
      </c>
      <c r="AC314" s="163">
        <f t="shared" si="152"/>
        <v>0.45649745938720715</v>
      </c>
      <c r="AD314" s="163">
        <f t="shared" si="152"/>
        <v>0.43217097894062662</v>
      </c>
      <c r="AE314" s="163">
        <f t="shared" si="152"/>
        <v>0.38374878921935074</v>
      </c>
    </row>
    <row r="315" spans="26:31" x14ac:dyDescent="0.2">
      <c r="Z315" s="164">
        <v>265</v>
      </c>
      <c r="AA315" s="163">
        <f t="shared" si="152"/>
        <v>0.28345435538352276</v>
      </c>
      <c r="AB315" s="163">
        <f t="shared" si="152"/>
        <v>0.26781937126899658</v>
      </c>
      <c r="AC315" s="163">
        <f t="shared" si="152"/>
        <v>0.45305869604059512</v>
      </c>
      <c r="AD315" s="163">
        <f t="shared" si="152"/>
        <v>0.42891546526516078</v>
      </c>
      <c r="AE315" s="163">
        <f t="shared" si="152"/>
        <v>0.38085803650312366</v>
      </c>
    </row>
    <row r="316" spans="26:31" x14ac:dyDescent="0.2">
      <c r="Z316" s="164">
        <v>266</v>
      </c>
      <c r="AA316" s="163">
        <f t="shared" si="152"/>
        <v>0.28132712571100521</v>
      </c>
      <c r="AB316" s="163">
        <f t="shared" si="152"/>
        <v>0.26580947689758161</v>
      </c>
      <c r="AC316" s="163">
        <f t="shared" si="152"/>
        <v>0.44965864279284867</v>
      </c>
      <c r="AD316" s="163">
        <f t="shared" si="152"/>
        <v>0.42569659885021649</v>
      </c>
      <c r="AE316" s="163">
        <f t="shared" si="152"/>
        <v>0.37799982493967804</v>
      </c>
    </row>
    <row r="317" spans="26:31" x14ac:dyDescent="0.2">
      <c r="Z317" s="164">
        <v>267</v>
      </c>
      <c r="AA317" s="163">
        <f t="shared" si="152"/>
        <v>0.27922375270810207</v>
      </c>
      <c r="AB317" s="163">
        <f t="shared" si="152"/>
        <v>0.26382212329202653</v>
      </c>
      <c r="AC317" s="163">
        <f t="shared" si="152"/>
        <v>0.44629672080476368</v>
      </c>
      <c r="AD317" s="163">
        <f t="shared" si="152"/>
        <v>0.42251383170258977</v>
      </c>
      <c r="AE317" s="163">
        <f t="shared" si="152"/>
        <v>0.37517366793519147</v>
      </c>
    </row>
    <row r="318" spans="26:31" x14ac:dyDescent="0.2">
      <c r="Z318" s="164">
        <v>268</v>
      </c>
      <c r="AA318" s="163">
        <f t="shared" si="152"/>
        <v>0.2771438809702591</v>
      </c>
      <c r="AB318" s="163">
        <f t="shared" si="152"/>
        <v>0.26185697465144359</v>
      </c>
      <c r="AC318" s="163">
        <f t="shared" si="152"/>
        <v>0.44297236201618956</v>
      </c>
      <c r="AD318" s="163">
        <f t="shared" si="152"/>
        <v>0.41936662603372016</v>
      </c>
      <c r="AE318" s="163">
        <f t="shared" si="152"/>
        <v>0.3723790879571155</v>
      </c>
    </row>
    <row r="319" spans="26:31" x14ac:dyDescent="0.2">
      <c r="Z319" s="164">
        <v>269</v>
      </c>
      <c r="AA319" s="163">
        <f t="shared" si="152"/>
        <v>0.27508716168665287</v>
      </c>
      <c r="AB319" s="163">
        <f t="shared" si="152"/>
        <v>0.25991370140497344</v>
      </c>
      <c r="AC319" s="163">
        <f t="shared" si="152"/>
        <v>0.4396850089060515</v>
      </c>
      <c r="AD319" s="163">
        <f t="shared" si="152"/>
        <v>0.41625445403250261</v>
      </c>
      <c r="AE319" s="163">
        <f t="shared" si="152"/>
        <v>0.36961561633244239</v>
      </c>
    </row>
    <row r="320" spans="26:31" x14ac:dyDescent="0.2">
      <c r="Z320" s="164">
        <v>270</v>
      </c>
      <c r="AA320" s="163">
        <f t="shared" si="152"/>
        <v>0.27305325249393536</v>
      </c>
      <c r="AB320" s="163">
        <f t="shared" si="152"/>
        <v>0.25799198007359792</v>
      </c>
      <c r="AC320" s="163">
        <f t="shared" si="152"/>
        <v>0.43643411425858425</v>
      </c>
      <c r="AD320" s="163">
        <f t="shared" si="152"/>
        <v>0.41317679764397697</v>
      </c>
      <c r="AE320" s="163">
        <f t="shared" si="152"/>
        <v>0.36688279305119154</v>
      </c>
    </row>
    <row r="321" spans="26:31" x14ac:dyDescent="0.2">
      <c r="Z321" s="164">
        <v>271</v>
      </c>
      <c r="AA321" s="163">
        <f t="shared" ref="AA321:AE330" si="153">IF(($Z321/AA$11)&lt;AA$15,0.85*(AA$12-AA$13*($Z321/AA$11)),(0.85*(PI())^2*(10100)/(($Z321/AA$11)^2)))/AA$16</f>
        <v>0.27104181733374938</v>
      </c>
      <c r="AB321" s="163">
        <f t="shared" si="153"/>
        <v>0.25609149313551399</v>
      </c>
      <c r="AC321" s="163">
        <f t="shared" si="153"/>
        <v>0.43321914093559177</v>
      </c>
      <c r="AD321" s="163">
        <f t="shared" si="153"/>
        <v>0.410133148353725</v>
      </c>
      <c r="AE321" s="163">
        <f t="shared" si="153"/>
        <v>0.3641801665749631</v>
      </c>
    </row>
    <row r="322" spans="26:31" x14ac:dyDescent="0.2">
      <c r="Z322" s="164">
        <v>272</v>
      </c>
      <c r="AA322" s="163">
        <f t="shared" si="153"/>
        <v>0.26905252631390419</v>
      </c>
      <c r="AB322" s="163">
        <f t="shared" si="153"/>
        <v>0.25421192889496763</v>
      </c>
      <c r="AC322" s="163">
        <f t="shared" si="153"/>
        <v>0.4300395616545577</v>
      </c>
      <c r="AD322" s="163">
        <f t="shared" si="153"/>
        <v>0.40712300697780496</v>
      </c>
      <c r="AE322" s="163">
        <f t="shared" si="153"/>
        <v>0.36150729365040918</v>
      </c>
    </row>
    <row r="323" spans="26:31" x14ac:dyDescent="0.2">
      <c r="Z323" s="164">
        <v>273</v>
      </c>
      <c r="AA323" s="163">
        <f t="shared" si="153"/>
        <v>0.26708505557310419</v>
      </c>
      <c r="AB323" s="163">
        <f t="shared" si="153"/>
        <v>0.25235298135444301</v>
      </c>
      <c r="AC323" s="163">
        <f t="shared" si="153"/>
        <v>0.42689485877243488</v>
      </c>
      <c r="AD323" s="163">
        <f t="shared" si="153"/>
        <v>0.40414588345806224</v>
      </c>
      <c r="AE323" s="163">
        <f t="shared" si="153"/>
        <v>0.35886373912747865</v>
      </c>
    </row>
    <row r="324" spans="26:31" x14ac:dyDescent="0.2">
      <c r="Z324" s="164">
        <v>274</v>
      </c>
      <c r="AA324" s="163">
        <f t="shared" si="153"/>
        <v>0.26513908714912737</v>
      </c>
      <c r="AB324" s="163">
        <f t="shared" si="153"/>
        <v>0.25051435009011253</v>
      </c>
      <c r="AC324" s="163">
        <f t="shared" si="153"/>
        <v>0.4237845240749481</v>
      </c>
      <c r="AD324" s="163">
        <f t="shared" si="153"/>
        <v>0.40120129666266086</v>
      </c>
      <c r="AE324" s="163">
        <f t="shared" si="153"/>
        <v>0.35624907578229875</v>
      </c>
    </row>
    <row r="325" spans="26:31" x14ac:dyDescent="0.2">
      <c r="Z325" s="164">
        <v>275</v>
      </c>
      <c r="AA325" s="163">
        <f t="shared" si="153"/>
        <v>0.26321430885035219</v>
      </c>
      <c r="AB325" s="163">
        <f t="shared" si="153"/>
        <v>0.24869574013044998</v>
      </c>
      <c r="AC325" s="163">
        <f t="shared" si="153"/>
        <v>0.42070805857125015</v>
      </c>
      <c r="AD325" s="163">
        <f t="shared" si="153"/>
        <v>0.39828877419168152</v>
      </c>
      <c r="AE325" s="163">
        <f t="shared" si="153"/>
        <v>0.3536628841445536</v>
      </c>
    </row>
    <row r="326" spans="26:31" x14ac:dyDescent="0.2">
      <c r="Z326" s="164">
        <v>276</v>
      </c>
      <c r="AA326" s="163">
        <f t="shared" si="153"/>
        <v>0.26131041413053829</v>
      </c>
      <c r="AB326" s="163">
        <f t="shared" si="153"/>
        <v>0.24689686183791856</v>
      </c>
      <c r="AC326" s="163">
        <f t="shared" si="153"/>
        <v>0.41766497229377747</v>
      </c>
      <c r="AD326" s="163">
        <f t="shared" si="153"/>
        <v>0.39540785218764324</v>
      </c>
      <c r="AE326" s="163">
        <f t="shared" si="153"/>
        <v>0.35110475232923577</v>
      </c>
    </row>
    <row r="327" spans="26:31" x14ac:dyDescent="0.2">
      <c r="Z327" s="164">
        <v>277</v>
      </c>
      <c r="AA327" s="163">
        <f t="shared" si="153"/>
        <v>0.25942710196676472</v>
      </c>
      <c r="AB327" s="163">
        <f t="shared" si="153"/>
        <v>0.24511743079364101</v>
      </c>
      <c r="AC327" s="163">
        <f t="shared" si="153"/>
        <v>0.41465478410315254</v>
      </c>
      <c r="AD327" s="163">
        <f t="shared" si="153"/>
        <v>0.39255807515080232</v>
      </c>
      <c r="AE327" s="163">
        <f t="shared" si="153"/>
        <v>0.34857427587264095</v>
      </c>
    </row>
    <row r="328" spans="26:31" x14ac:dyDescent="0.2">
      <c r="Z328" s="164">
        <v>278</v>
      </c>
      <c r="AA328" s="163">
        <f t="shared" si="153"/>
        <v>0.25756407674043641</v>
      </c>
      <c r="AB328" s="163">
        <f t="shared" si="153"/>
        <v>0.24335716768497082</v>
      </c>
      <c r="AC328" s="163">
        <f t="shared" si="153"/>
        <v>0.41167702149799179</v>
      </c>
      <c r="AD328" s="163">
        <f t="shared" si="153"/>
        <v>0.38973899575909521</v>
      </c>
      <c r="AE328" s="163">
        <f t="shared" si="153"/>
        <v>0.34607105757248413</v>
      </c>
    </row>
    <row r="329" spans="26:31" x14ac:dyDescent="0.2">
      <c r="Z329" s="164">
        <v>279</v>
      </c>
      <c r="AA329" s="163">
        <f t="shared" si="153"/>
        <v>0.25572104812127133</v>
      </c>
      <c r="AB329" s="163">
        <f t="shared" si="153"/>
        <v>0.24161579819587725</v>
      </c>
      <c r="AC329" s="163">
        <f t="shared" si="153"/>
        <v>0.40873122042947546</v>
      </c>
      <c r="AD329" s="163">
        <f t="shared" si="153"/>
        <v>0.38695017469259024</v>
      </c>
      <c r="AE329" s="163">
        <f t="shared" si="153"/>
        <v>0.34359470733202124</v>
      </c>
    </row>
    <row r="330" spans="26:31" x14ac:dyDescent="0.2">
      <c r="Z330" s="164">
        <v>280</v>
      </c>
      <c r="AA330" s="163">
        <f t="shared" si="153"/>
        <v>0.25389773095418228</v>
      </c>
      <c r="AB330" s="163">
        <f t="shared" si="153"/>
        <v>0.23989305290006738</v>
      </c>
      <c r="AC330" s="163">
        <f t="shared" si="153"/>
        <v>0.4058169251205459</v>
      </c>
      <c r="AD330" s="163">
        <f t="shared" si="153"/>
        <v>0.38419118046232037</v>
      </c>
      <c r="AE330" s="163">
        <f t="shared" si="153"/>
        <v>0.34114484200805956</v>
      </c>
    </row>
    <row r="331" spans="26:31" x14ac:dyDescent="0.2">
      <c r="Z331" s="164">
        <v>281</v>
      </c>
      <c r="AA331" s="163">
        <f t="shared" ref="AA331:AE340" si="154">IF(($Z331/AA$11)&lt;AA$15,0.85*(AA$12-AA$13*($Z331/AA$11)),(0.85*(PI())^2*(10100)/(($Z331/AA$11)^2)))/AA$16</f>
        <v>0.25209384514897087</v>
      </c>
      <c r="AB331" s="163">
        <f t="shared" si="154"/>
        <v>0.23818866715676448</v>
      </c>
      <c r="AC331" s="163">
        <f t="shared" si="154"/>
        <v>0.40293368788960104</v>
      </c>
      <c r="AD331" s="163">
        <f t="shared" si="154"/>
        <v>0.3814615892433722</v>
      </c>
      <c r="AE331" s="163">
        <f t="shared" si="154"/>
        <v>0.33872108526274819</v>
      </c>
    </row>
    <row r="332" spans="26:31" x14ac:dyDescent="0.2">
      <c r="Z332" s="164">
        <v>282</v>
      </c>
      <c r="AA332" s="163">
        <f t="shared" si="154"/>
        <v>0.25030911557275648</v>
      </c>
      <c r="AB332" s="163">
        <f t="shared" si="154"/>
        <v>0.23650238100907001</v>
      </c>
      <c r="AC332" s="163">
        <f t="shared" si="154"/>
        <v>0.40008106897855739</v>
      </c>
      <c r="AD332" s="163">
        <f t="shared" si="154"/>
        <v>0.37876098471211106</v>
      </c>
      <c r="AE332" s="163">
        <f t="shared" si="154"/>
        <v>0.33632306741904155</v>
      </c>
    </row>
    <row r="333" spans="26:31" x14ac:dyDescent="0.2">
      <c r="Z333" s="164">
        <v>283</v>
      </c>
      <c r="AA333" s="163">
        <f t="shared" si="154"/>
        <v>0.24854327194505971</v>
      </c>
      <c r="AB333" s="163">
        <f t="shared" si="154"/>
        <v>0.23483393908483416</v>
      </c>
      <c r="AC333" s="163">
        <f t="shared" si="154"/>
        <v>0.39725863638515652</v>
      </c>
      <c r="AD333" s="163">
        <f t="shared" si="154"/>
        <v>0.37608895788742425</v>
      </c>
      <c r="AE333" s="163">
        <f t="shared" si="154"/>
        <v>0.33395042531973007</v>
      </c>
    </row>
    <row r="334" spans="26:31" x14ac:dyDescent="0.2">
      <c r="Z334" s="164">
        <v>284</v>
      </c>
      <c r="AA334" s="163">
        <f t="shared" si="154"/>
        <v>0.24679604873546776</v>
      </c>
      <c r="AB334" s="163">
        <f t="shared" si="154"/>
        <v>0.23318309049996633</v>
      </c>
      <c r="AC334" s="163">
        <f t="shared" si="154"/>
        <v>0.39446596569939985</v>
      </c>
      <c r="AD334" s="163">
        <f t="shared" si="154"/>
        <v>0.37344510697587185</v>
      </c>
      <c r="AE334" s="163">
        <f t="shared" si="154"/>
        <v>0.33160280218994082</v>
      </c>
    </row>
    <row r="335" spans="26:31" x14ac:dyDescent="0.2">
      <c r="Z335" s="164">
        <v>285</v>
      </c>
      <c r="AA335" s="163">
        <f t="shared" si="154"/>
        <v>0.24506718506380901</v>
      </c>
      <c r="AB335" s="163">
        <f t="shared" si="154"/>
        <v>0.23154958876411558</v>
      </c>
      <c r="AC335" s="163">
        <f t="shared" si="154"/>
        <v>0.39170263994399263</v>
      </c>
      <c r="AD335" s="163">
        <f t="shared" si="154"/>
        <v>0.37082903722063304</v>
      </c>
      <c r="AE335" s="163">
        <f t="shared" si="154"/>
        <v>0.32927984750300848</v>
      </c>
    </row>
    <row r="336" spans="26:31" x14ac:dyDescent="0.2">
      <c r="Z336" s="164">
        <v>286</v>
      </c>
      <c r="AA336" s="163">
        <f t="shared" si="154"/>
        <v>0.24335642460276649</v>
      </c>
      <c r="AB336" s="163">
        <f t="shared" si="154"/>
        <v>0.22993319168865572</v>
      </c>
      <c r="AC336" s="163">
        <f t="shared" si="154"/>
        <v>0.38896824941868541</v>
      </c>
      <c r="AD336" s="163">
        <f t="shared" si="154"/>
        <v>0.36824036075414351</v>
      </c>
      <c r="AE336" s="163">
        <f t="shared" si="154"/>
        <v>0.32698121684962428</v>
      </c>
    </row>
    <row r="337" spans="26:31" x14ac:dyDescent="0.2">
      <c r="Z337" s="164">
        <v>287</v>
      </c>
      <c r="AA337" s="163">
        <f t="shared" si="154"/>
        <v>0.24166351548286233</v>
      </c>
      <c r="AB337" s="163">
        <f t="shared" si="154"/>
        <v>0.22833366129691127</v>
      </c>
      <c r="AC337" s="163">
        <f t="shared" si="154"/>
        <v>0.38626239154840769</v>
      </c>
      <c r="AD337" s="163">
        <f t="shared" si="154"/>
        <v>0.3656786964543205</v>
      </c>
      <c r="AE337" s="163">
        <f t="shared" si="154"/>
        <v>0.32470657181016965</v>
      </c>
    </row>
    <row r="338" spans="26:31" x14ac:dyDescent="0.2">
      <c r="Z338" s="164">
        <v>288</v>
      </c>
      <c r="AA338" s="163">
        <f t="shared" si="154"/>
        <v>0.23998821019974786</v>
      </c>
      <c r="AB338" s="163">
        <f t="shared" si="154"/>
        <v>0.22675076373656061</v>
      </c>
      <c r="AC338" s="163">
        <f t="shared" si="154"/>
        <v>0.38358467073508384</v>
      </c>
      <c r="AD338" s="163">
        <f t="shared" si="154"/>
        <v>0.36314366980427665</v>
      </c>
      <c r="AE338" s="163">
        <f t="shared" si="154"/>
        <v>0.32245557983014878</v>
      </c>
    </row>
    <row r="339" spans="26:31" x14ac:dyDescent="0.2">
      <c r="Z339" s="164">
        <v>289</v>
      </c>
      <c r="AA339" s="163">
        <f t="shared" si="154"/>
        <v>0.23833026552373521</v>
      </c>
      <c r="AB339" s="163">
        <f t="shared" si="154"/>
        <v>0.22518426919415818</v>
      </c>
      <c r="AC339" s="163">
        <f t="shared" si="154"/>
        <v>0.38093469821303377</v>
      </c>
      <c r="AD339" s="163">
        <f t="shared" si="154"/>
        <v>0.36063491275542581</v>
      </c>
      <c r="AE339" s="163">
        <f t="shared" si="154"/>
        <v>0.32022791409863222</v>
      </c>
    </row>
    <row r="340" spans="26:31" x14ac:dyDescent="0.2">
      <c r="Z340" s="164">
        <v>290</v>
      </c>
      <c r="AA340" s="163">
        <f t="shared" si="154"/>
        <v>0.23668944241150877</v>
      </c>
      <c r="AB340" s="163">
        <f t="shared" si="154"/>
        <v>0.22363395181171561</v>
      </c>
      <c r="AC340" s="163">
        <f t="shared" si="154"/>
        <v>0.37831209190785731</v>
      </c>
      <c r="AD340" s="163">
        <f t="shared" si="154"/>
        <v>0.35815206359388729</v>
      </c>
      <c r="AE340" s="163">
        <f t="shared" si="154"/>
        <v>0.31802325342962978</v>
      </c>
    </row>
    <row r="341" spans="26:31" x14ac:dyDescent="0.2">
      <c r="Z341" s="164">
        <v>291</v>
      </c>
      <c r="AA341" s="163">
        <f t="shared" ref="AA341:AE350" si="155">IF(($Z341/AA$11)&lt;AA$15,0.85*(AA$12-AA$13*($Z341/AA$11)),(0.85*(PI())^2*(10100)/(($Z341/AA$11)^2)))/AA$16</f>
        <v>0.23506550591995709</v>
      </c>
      <c r="AB341" s="163">
        <f t="shared" si="155"/>
        <v>0.22209958960528675</v>
      </c>
      <c r="AC341" s="163">
        <f t="shared" si="155"/>
        <v>0.37571647629870691</v>
      </c>
      <c r="AD341" s="163">
        <f t="shared" si="155"/>
        <v>0.35569476681009815</v>
      </c>
      <c r="AE341" s="163">
        <f t="shared" si="155"/>
        <v>0.31584128214631219</v>
      </c>
    </row>
    <row r="342" spans="26:31" x14ac:dyDescent="0.2">
      <c r="Z342" s="164">
        <v>292</v>
      </c>
      <c r="AA342" s="163">
        <f t="shared" si="155"/>
        <v>0.23345822512206665</v>
      </c>
      <c r="AB342" s="163">
        <f t="shared" si="155"/>
        <v>0.22058096438550015</v>
      </c>
      <c r="AC342" s="163">
        <f t="shared" si="155"/>
        <v>0.37314748228385702</v>
      </c>
      <c r="AD342" s="163">
        <f t="shared" si="155"/>
        <v>0.35326267297154623</v>
      </c>
      <c r="AE342" s="163">
        <f t="shared" si="155"/>
        <v>0.31368168996800361</v>
      </c>
    </row>
    <row r="343" spans="26:31" x14ac:dyDescent="0.2">
      <c r="Z343" s="164">
        <v>293</v>
      </c>
      <c r="AA343" s="163">
        <f t="shared" si="155"/>
        <v>0.23186737302482135</v>
      </c>
      <c r="AB343" s="163">
        <f t="shared" si="155"/>
        <v>0.21907786167998797</v>
      </c>
      <c r="AC343" s="163">
        <f t="shared" si="155"/>
        <v>0.37060474704947982</v>
      </c>
      <c r="AD343" s="163">
        <f t="shared" si="155"/>
        <v>0.35085543859853824</v>
      </c>
      <c r="AE343" s="163">
        <f t="shared" si="155"/>
        <v>0.31154417189986916</v>
      </c>
    </row>
    <row r="344" spans="26:31" x14ac:dyDescent="0.2">
      <c r="Z344" s="164">
        <v>294</v>
      </c>
      <c r="AA344" s="163">
        <f t="shared" si="155"/>
        <v>0.23029272648905416</v>
      </c>
      <c r="AB344" s="163">
        <f t="shared" si="155"/>
        <v>0.21759007065765748</v>
      </c>
      <c r="AC344" s="163">
        <f t="shared" si="155"/>
        <v>0.36808791394153823</v>
      </c>
      <c r="AD344" s="163">
        <f t="shared" si="155"/>
        <v>0.34847272604292095</v>
      </c>
      <c r="AE344" s="163">
        <f t="shared" si="155"/>
        <v>0.30942842812522403</v>
      </c>
    </row>
    <row r="345" spans="26:31" x14ac:dyDescent="0.2">
      <c r="Z345" s="164">
        <v>295</v>
      </c>
      <c r="AA345" s="163">
        <f t="shared" si="155"/>
        <v>0.22873406615119668</v>
      </c>
      <c r="AB345" s="163">
        <f t="shared" si="155"/>
        <v>0.21611738405475764</v>
      </c>
      <c r="AC345" s="163">
        <f t="shared" si="155"/>
        <v>0.36559663234071588</v>
      </c>
      <c r="AD345" s="163">
        <f t="shared" si="155"/>
        <v>0.34611420336967436</v>
      </c>
      <c r="AE345" s="163">
        <f t="shared" si="155"/>
        <v>0.30733416390039492</v>
      </c>
    </row>
    <row r="346" spans="26:31" x14ac:dyDescent="0.2">
      <c r="Z346" s="164">
        <v>296</v>
      </c>
      <c r="AA346" s="163">
        <f t="shared" si="155"/>
        <v>0.22719117634687599</v>
      </c>
      <c r="AB346" s="163">
        <f t="shared" si="155"/>
        <v>0.21465959810268995</v>
      </c>
      <c r="AC346" s="163">
        <f t="shared" si="155"/>
        <v>0.36313055754029855</v>
      </c>
      <c r="AD346" s="163">
        <f t="shared" si="155"/>
        <v>0.34377954424130197</v>
      </c>
      <c r="AE346" s="163">
        <f t="shared" si="155"/>
        <v>0.30526108945206193</v>
      </c>
    </row>
    <row r="347" spans="26:31" x14ac:dyDescent="0.2">
      <c r="Z347" s="164">
        <v>297</v>
      </c>
      <c r="AA347" s="163">
        <f t="shared" si="155"/>
        <v>0.22566384503631018</v>
      </c>
      <c r="AB347" s="163">
        <f t="shared" si="155"/>
        <v>0.21321651245751891</v>
      </c>
      <c r="AC347" s="163">
        <f t="shared" si="155"/>
        <v>0.36068935062692925</v>
      </c>
      <c r="AD347" s="163">
        <f t="shared" si="155"/>
        <v>0.34146842780493958</v>
      </c>
      <c r="AE347" s="163">
        <f t="shared" si="155"/>
        <v>0.30320891987701781</v>
      </c>
    </row>
    <row r="348" spans="26:31" x14ac:dyDescent="0.2">
      <c r="Z348" s="164">
        <v>298</v>
      </c>
      <c r="AA348" s="163">
        <f t="shared" si="155"/>
        <v>0.22415186373145224</v>
      </c>
      <c r="AB348" s="163">
        <f t="shared" si="155"/>
        <v>0.21178793013113467</v>
      </c>
      <c r="AC348" s="163">
        <f t="shared" si="155"/>
        <v>0.35827267836415921</v>
      </c>
      <c r="AD348" s="163">
        <f t="shared" si="155"/>
        <v>0.33918053858211245</v>
      </c>
      <c r="AE348" s="163">
        <f t="shared" si="155"/>
        <v>0.30117737504427577</v>
      </c>
    </row>
    <row r="349" spans="26:31" x14ac:dyDescent="0.2">
      <c r="Z349" s="164">
        <v>299</v>
      </c>
      <c r="AA349" s="163">
        <f t="shared" si="155"/>
        <v>0.22265502742483742</v>
      </c>
      <c r="AB349" s="163">
        <f t="shared" si="155"/>
        <v>0.21037365742402525</v>
      </c>
      <c r="AC349" s="163">
        <f t="shared" si="155"/>
        <v>0.3558802130787217</v>
      </c>
      <c r="AD349" s="163">
        <f t="shared" si="155"/>
        <v>0.33691556636106884</v>
      </c>
      <c r="AE349" s="163">
        <f t="shared" si="155"/>
        <v>0.29916617949946722</v>
      </c>
    </row>
    <row r="350" spans="26:31" x14ac:dyDescent="0.2">
      <c r="Z350" s="164">
        <v>300</v>
      </c>
      <c r="AA350" s="163">
        <f t="shared" si="155"/>
        <v>0.22117313452008763</v>
      </c>
      <c r="AB350" s="163">
        <f t="shared" si="155"/>
        <v>0.20897350385961425</v>
      </c>
      <c r="AC350" s="163">
        <f t="shared" si="155"/>
        <v>0.35351163254945328</v>
      </c>
      <c r="AD350" s="163">
        <f t="shared" si="155"/>
        <v>0.33467320609162132</v>
      </c>
      <c r="AE350" s="163">
        <f t="shared" si="155"/>
        <v>0.29717506237146513</v>
      </c>
    </row>
    <row r="351" spans="26:31" x14ac:dyDescent="0.2">
      <c r="Z351" s="164">
        <v>301</v>
      </c>
      <c r="AA351" s="163">
        <f t="shared" ref="AA351:AE360" si="156">IF(($Z351/AA$11)&lt;AA$15,0.85*(AA$12-AA$13*($Z351/AA$11)),(0.85*(PI())^2*(10100)/(($Z351/AA$11)^2)))/AA$16</f>
        <v>0.21970598676403003</v>
      </c>
      <c r="AB351" s="163">
        <f t="shared" si="156"/>
        <v>0.20758728212012323</v>
      </c>
      <c r="AC351" s="163">
        <f t="shared" si="156"/>
        <v>0.35116661989879583</v>
      </c>
      <c r="AD351" s="163">
        <f t="shared" si="156"/>
        <v>0.33245315778242973</v>
      </c>
      <c r="AE351" s="163">
        <f t="shared" si="156"/>
        <v>0.29520375728117643</v>
      </c>
    </row>
    <row r="352" spans="26:31" x14ac:dyDescent="0.2">
      <c r="Z352" s="164">
        <v>302</v>
      </c>
      <c r="AA352" s="163">
        <f t="shared" si="156"/>
        <v>0.21825338918038559</v>
      </c>
      <c r="AB352" s="163">
        <f t="shared" si="156"/>
        <v>0.20621480798391828</v>
      </c>
      <c r="AC352" s="163">
        <f t="shared" si="156"/>
        <v>0.3488448634868076</v>
      </c>
      <c r="AD352" s="163">
        <f t="shared" si="156"/>
        <v>0.3302551264006614</v>
      </c>
      <c r="AE352" s="163">
        <f t="shared" si="156"/>
        <v>0.29325200225244358</v>
      </c>
    </row>
    <row r="353" spans="26:31" x14ac:dyDescent="0.2">
      <c r="Z353" s="164">
        <v>303</v>
      </c>
      <c r="AA353" s="163">
        <f t="shared" si="156"/>
        <v>0.21681515000498741</v>
      </c>
      <c r="AB353" s="163">
        <f t="shared" si="156"/>
        <v>0.20485590026430181</v>
      </c>
      <c r="AC353" s="163">
        <f t="shared" si="156"/>
        <v>0.34654605680762007</v>
      </c>
      <c r="AD353" s="163">
        <f t="shared" si="156"/>
        <v>0.32807882177396458</v>
      </c>
      <c r="AE353" s="163">
        <f t="shared" si="156"/>
        <v>0.29131953962500262</v>
      </c>
    </row>
    <row r="354" spans="26:31" x14ac:dyDescent="0.2">
      <c r="Z354" s="164">
        <v>304</v>
      </c>
      <c r="AA354" s="163">
        <f t="shared" si="156"/>
        <v>0.21539108062248835</v>
      </c>
      <c r="AB354" s="163">
        <f t="shared" si="156"/>
        <v>0.20351038074971087</v>
      </c>
      <c r="AC354" s="163">
        <f t="shared" si="156"/>
        <v>0.34426989838827471</v>
      </c>
      <c r="AD354" s="163">
        <f t="shared" si="156"/>
        <v>0.32592395849469702</v>
      </c>
      <c r="AE354" s="163">
        <f t="shared" si="156"/>
        <v>0.28940611596944105</v>
      </c>
    </row>
    <row r="355" spans="26:31" x14ac:dyDescent="0.2">
      <c r="Z355" s="164">
        <v>305</v>
      </c>
      <c r="AA355" s="163">
        <f t="shared" si="156"/>
        <v>0.2139809955045191</v>
      </c>
      <c r="AB355" s="163">
        <f t="shared" si="156"/>
        <v>0.20217807414528657</v>
      </c>
      <c r="AC355" s="163">
        <f t="shared" si="156"/>
        <v>0.34201609168987684</v>
      </c>
      <c r="AD355" s="163">
        <f t="shared" si="156"/>
        <v>0.32379025582634691</v>
      </c>
      <c r="AE355" s="163">
        <f t="shared" si="156"/>
        <v>0.28751148200410498</v>
      </c>
    </row>
    <row r="356" spans="26:31" x14ac:dyDescent="0.2">
      <c r="Z356" s="164">
        <v>306</v>
      </c>
      <c r="AA356" s="163">
        <f t="shared" si="156"/>
        <v>0.21258471214925762</v>
      </c>
      <c r="AB356" s="163">
        <f t="shared" si="156"/>
        <v>0.20085880801577691</v>
      </c>
      <c r="AC356" s="163">
        <f t="shared" si="156"/>
        <v>0.33978434501100857</v>
      </c>
      <c r="AD356" s="163">
        <f t="shared" si="156"/>
        <v>0.32167743761209278</v>
      </c>
      <c r="AE356" s="163">
        <f t="shared" si="156"/>
        <v>0.28563539251390346</v>
      </c>
    </row>
    <row r="357" spans="26:31" x14ac:dyDescent="0.2">
      <c r="Z357" s="164">
        <v>307</v>
      </c>
      <c r="AA357" s="163">
        <f t="shared" si="156"/>
        <v>0.21120205102237569</v>
      </c>
      <c r="AB357" s="163">
        <f t="shared" si="156"/>
        <v>0.1995524127297402</v>
      </c>
      <c r="AC357" s="163">
        <f t="shared" si="156"/>
        <v>0.33757437139333896</v>
      </c>
      <c r="AD357" s="163">
        <f t="shared" si="156"/>
        <v>0.3195852321854441</v>
      </c>
      <c r="AE357" s="163">
        <f t="shared" si="156"/>
        <v>0.28377760627096166</v>
      </c>
    </row>
    <row r="358" spans="26:31" x14ac:dyDescent="0.2">
      <c r="Z358" s="164">
        <v>308</v>
      </c>
      <c r="AA358" s="163">
        <f t="shared" si="156"/>
        <v>0.20983283549932419</v>
      </c>
      <c r="AB358" s="163">
        <f t="shared" si="156"/>
        <v>0.19825872140501441</v>
      </c>
      <c r="AC358" s="163">
        <f t="shared" si="156"/>
        <v>0.33538588852937679</v>
      </c>
      <c r="AD358" s="163">
        <f t="shared" si="156"/>
        <v>0.31751337228290943</v>
      </c>
      <c r="AE358" s="163">
        <f t="shared" si="156"/>
        <v>0.28193788595707397</v>
      </c>
    </row>
    <row r="359" spans="26:31" x14ac:dyDescent="0.2">
      <c r="Z359" s="164">
        <v>309</v>
      </c>
      <c r="AA359" s="163">
        <f t="shared" si="156"/>
        <v>0.20847689180892415</v>
      </c>
      <c r="AB359" s="163">
        <f t="shared" si="156"/>
        <v>0.19697756985541923</v>
      </c>
      <c r="AC359" s="163">
        <f t="shared" si="156"/>
        <v>0.33321861867230962</v>
      </c>
      <c r="AD359" s="163">
        <f t="shared" si="156"/>
        <v>0.31546159495864012</v>
      </c>
      <c r="AE359" s="163">
        <f t="shared" si="156"/>
        <v>0.28011599808791138</v>
      </c>
    </row>
    <row r="360" spans="26:31" x14ac:dyDescent="0.2">
      <c r="Z360" s="164">
        <v>310</v>
      </c>
      <c r="AA360" s="163">
        <f t="shared" si="156"/>
        <v>0.20713404897822982</v>
      </c>
      <c r="AB360" s="163">
        <f t="shared" si="156"/>
        <v>0.19570879653866058</v>
      </c>
      <c r="AC360" s="163">
        <f t="shared" si="156"/>
        <v>0.33107228854787513</v>
      </c>
      <c r="AD360" s="163">
        <f t="shared" si="156"/>
        <v>0.31342964150099806</v>
      </c>
      <c r="AE360" s="163">
        <f t="shared" si="156"/>
        <v>0.27831171293893725</v>
      </c>
    </row>
    <row r="361" spans="26:31" x14ac:dyDescent="0.2">
      <c r="Z361" s="164">
        <v>311</v>
      </c>
      <c r="AA361" s="163">
        <f t="shared" ref="AA361:AE370" si="157">IF(($Z361/AA$11)&lt;AA$15,0.85*(AA$12-AA$13*($Z361/AA$11)),(0.85*(PI())^2*(10100)/(($Z361/AA$11)^2)))/AA$16</f>
        <v>0.20580413877863019</v>
      </c>
      <c r="AB361" s="163">
        <f t="shared" si="157"/>
        <v>0.19445224250540508</v>
      </c>
      <c r="AC361" s="163">
        <f t="shared" si="157"/>
        <v>0.32894662926821272</v>
      </c>
      <c r="AD361" s="163">
        <f t="shared" si="157"/>
        <v>0.31141725735099834</v>
      </c>
      <c r="AE361" s="163">
        <f t="shared" si="157"/>
        <v>0.27652480447298788</v>
      </c>
    </row>
    <row r="362" spans="26:31" x14ac:dyDescent="0.2">
      <c r="Z362" s="164">
        <v>312</v>
      </c>
      <c r="AA362" s="163">
        <f t="shared" si="157"/>
        <v>0.20448699567315792</v>
      </c>
      <c r="AB362" s="163">
        <f t="shared" si="157"/>
        <v>0.19320775134949547</v>
      </c>
      <c r="AC362" s="163">
        <f t="shared" si="157"/>
        <v>0.32684137624764548</v>
      </c>
      <c r="AD362" s="163">
        <f t="shared" si="157"/>
        <v>0.30942419202257887</v>
      </c>
      <c r="AE362" s="163">
        <f t="shared" si="157"/>
        <v>0.27475505026947589</v>
      </c>
    </row>
    <row r="363" spans="26:31" x14ac:dyDescent="0.2">
      <c r="Z363" s="164">
        <v>313</v>
      </c>
      <c r="AA363" s="163">
        <f t="shared" si="157"/>
        <v>0.20318245676497551</v>
      </c>
      <c r="AB363" s="163">
        <f t="shared" si="157"/>
        <v>0.19197516915927779</v>
      </c>
      <c r="AC363" s="163">
        <f t="shared" si="157"/>
        <v>0.32475626912034217</v>
      </c>
      <c r="AD363" s="163">
        <f t="shared" si="157"/>
        <v>0.30745019902464982</v>
      </c>
      <c r="AE363" s="163">
        <f t="shared" si="157"/>
        <v>0.27300223145517322</v>
      </c>
    </row>
    <row r="364" spans="26:31" x14ac:dyDescent="0.2">
      <c r="Z364" s="164">
        <v>314</v>
      </c>
      <c r="AA364" s="163">
        <f t="shared" si="157"/>
        <v>0.20189036174700686</v>
      </c>
      <c r="AB364" s="163">
        <f t="shared" si="157"/>
        <v>0.1907543444700118</v>
      </c>
      <c r="AC364" s="163">
        <f t="shared" si="157"/>
        <v>0.32269105165981171</v>
      </c>
      <c r="AD364" s="163">
        <f t="shared" si="157"/>
        <v>0.30549503578487885</v>
      </c>
      <c r="AE364" s="163">
        <f t="shared" si="157"/>
        <v>0.2712661326365356</v>
      </c>
    </row>
    <row r="365" spans="26:31" x14ac:dyDescent="0.2">
      <c r="Z365" s="164">
        <v>315</v>
      </c>
      <c r="AA365" s="163">
        <f t="shared" si="157"/>
        <v>0.2006105528526872</v>
      </c>
      <c r="AB365" s="163">
        <f t="shared" si="157"/>
        <v>0.18954512821733718</v>
      </c>
      <c r="AC365" s="163">
        <f t="shared" si="157"/>
        <v>0.32064547170018437</v>
      </c>
      <c r="AD365" s="163">
        <f t="shared" si="157"/>
        <v>0.30355846357516669</v>
      </c>
      <c r="AE365" s="163">
        <f t="shared" si="157"/>
        <v>0.26954654183352844</v>
      </c>
    </row>
    <row r="366" spans="26:31" x14ac:dyDescent="0.2">
      <c r="Z366" s="164">
        <v>316</v>
      </c>
      <c r="AA366" s="163">
        <f t="shared" si="157"/>
        <v>0.19934287480780211</v>
      </c>
      <c r="AB366" s="163">
        <f t="shared" si="157"/>
        <v>0.18834737369176899</v>
      </c>
      <c r="AC366" s="163">
        <f t="shared" si="157"/>
        <v>0.31861928105923321</v>
      </c>
      <c r="AD366" s="163">
        <f t="shared" si="157"/>
        <v>0.30164024743877099</v>
      </c>
      <c r="AE366" s="163">
        <f t="shared" si="157"/>
        <v>0.26784325041491613</v>
      </c>
    </row>
    <row r="367" spans="26:31" x14ac:dyDescent="0.2">
      <c r="Z367" s="164">
        <v>317</v>
      </c>
      <c r="AA367" s="163">
        <f t="shared" si="157"/>
        <v>0.19808717478338814</v>
      </c>
      <c r="AB367" s="163">
        <f t="shared" si="157"/>
        <v>0.18716093649419627</v>
      </c>
      <c r="AC367" s="163">
        <f t="shared" si="157"/>
        <v>0.31661223546309342</v>
      </c>
      <c r="AD367" s="163">
        <f t="shared" si="157"/>
        <v>0.29974015611903704</v>
      </c>
      <c r="AE367" s="163">
        <f t="shared" si="157"/>
        <v>0.26615605303497764</v>
      </c>
    </row>
    <row r="368" spans="26:31" x14ac:dyDescent="0.2">
      <c r="Z368" s="164">
        <v>318</v>
      </c>
      <c r="AA368" s="163">
        <f t="shared" si="157"/>
        <v>0.1968433023496686</v>
      </c>
      <c r="AB368" s="163">
        <f t="shared" si="157"/>
        <v>0.1859856744923587</v>
      </c>
      <c r="AC368" s="163">
        <f t="shared" si="157"/>
        <v>0.31462409447263556</v>
      </c>
      <c r="AD368" s="163">
        <f t="shared" si="157"/>
        <v>0.297857961989695</v>
      </c>
      <c r="AE368" s="163">
        <f t="shared" si="157"/>
        <v>0.26448474757161372</v>
      </c>
    </row>
    <row r="369" spans="26:31" x14ac:dyDescent="0.2">
      <c r="Z369" s="164">
        <v>319</v>
      </c>
      <c r="AA369" s="163">
        <f t="shared" si="157"/>
        <v>0.19561110943099899</v>
      </c>
      <c r="AB369" s="163">
        <f t="shared" si="157"/>
        <v>0.18482144777827739</v>
      </c>
      <c r="AC369" s="163">
        <f t="shared" si="157"/>
        <v>0.31265462141145239</v>
      </c>
      <c r="AD369" s="163">
        <f t="shared" si="157"/>
        <v>0.29599344098668368</v>
      </c>
      <c r="AE369" s="163">
        <f t="shared" si="157"/>
        <v>0.26282913506580968</v>
      </c>
    </row>
    <row r="370" spans="26:31" x14ac:dyDescent="0.2">
      <c r="Z370" s="164">
        <v>320</v>
      </c>
      <c r="AA370" s="163">
        <f t="shared" si="157"/>
        <v>0.19439045026179574</v>
      </c>
      <c r="AB370" s="163">
        <f t="shared" si="157"/>
        <v>0.18366811862661409</v>
      </c>
      <c r="AC370" s="163">
        <f t="shared" si="157"/>
        <v>0.31070358329541792</v>
      </c>
      <c r="AD370" s="163">
        <f t="shared" si="157"/>
        <v>0.29414637254146403</v>
      </c>
      <c r="AE370" s="163">
        <f t="shared" si="157"/>
        <v>0.26118901966242053</v>
      </c>
    </row>
    <row r="371" spans="26:31" x14ac:dyDescent="0.2">
      <c r="Z371" s="164">
        <v>321</v>
      </c>
      <c r="AA371" s="163">
        <f t="shared" ref="AA371:AE380" si="158">IF(($Z371/AA$11)&lt;AA$15,0.85*(AA$12-AA$13*($Z371/AA$11)),(0.85*(PI())^2*(10100)/(($Z371/AA$11)^2)))/AA$16</f>
        <v>0.1931811813434253</v>
      </c>
      <c r="AB371" s="163">
        <f t="shared" si="158"/>
        <v>0.18252555145393859</v>
      </c>
      <c r="AC371" s="163">
        <f t="shared" si="158"/>
        <v>0.30877075076378135</v>
      </c>
      <c r="AD371" s="163">
        <f t="shared" si="158"/>
        <v>0.29231653951578424</v>
      </c>
      <c r="AE371" s="163">
        <f t="shared" si="158"/>
        <v>0.25956420855224488</v>
      </c>
    </row>
    <row r="372" spans="26:31" x14ac:dyDescent="0.2">
      <c r="Z372" s="164">
        <v>322</v>
      </c>
      <c r="AA372" s="163">
        <f t="shared" si="158"/>
        <v>0.19198316140202817</v>
      </c>
      <c r="AB372" s="163">
        <f t="shared" si="158"/>
        <v>0.18139361277887892</v>
      </c>
      <c r="AC372" s="163">
        <f t="shared" si="158"/>
        <v>0.30685589801175489</v>
      </c>
      <c r="AD372" s="163">
        <f t="shared" si="158"/>
        <v>0.29050372813786041</v>
      </c>
      <c r="AE372" s="163">
        <f t="shared" si="158"/>
        <v>0.2579545119153569</v>
      </c>
    </row>
    <row r="373" spans="26:31" x14ac:dyDescent="0.2">
      <c r="Z373" s="164">
        <v>323</v>
      </c>
      <c r="AA373" s="163">
        <f t="shared" si="158"/>
        <v>0.19079625134725617</v>
      </c>
      <c r="AB373" s="163">
        <f t="shared" si="158"/>
        <v>0.18027217118313493</v>
      </c>
      <c r="AC373" s="163">
        <f t="shared" si="158"/>
        <v>0.30495880272456166</v>
      </c>
      <c r="AD373" s="163">
        <f t="shared" si="158"/>
        <v>0.28870772793993926</v>
      </c>
      <c r="AE373" s="163">
        <f t="shared" si="158"/>
        <v>0.25635974286566404</v>
      </c>
    </row>
    <row r="374" spans="26:31" x14ac:dyDescent="0.2">
      <c r="Z374" s="164">
        <v>324</v>
      </c>
      <c r="AA374" s="163">
        <f t="shared" si="158"/>
        <v>0.18962031423189954</v>
      </c>
      <c r="AB374" s="163">
        <f t="shared" si="158"/>
        <v>0.17916109727333182</v>
      </c>
      <c r="AC374" s="163">
        <f t="shared" si="158"/>
        <v>0.30307924601290581</v>
      </c>
      <c r="AD374" s="163">
        <f t="shared" si="158"/>
        <v>0.28692833169720622</v>
      </c>
      <c r="AE374" s="163">
        <f t="shared" si="158"/>
        <v>0.25477971739666083</v>
      </c>
    </row>
    <row r="375" spans="26:31" x14ac:dyDescent="0.2">
      <c r="Z375" s="164">
        <v>325</v>
      </c>
      <c r="AA375" s="163">
        <f t="shared" si="158"/>
        <v>0.18845521521238237</v>
      </c>
      <c r="AB375" s="163">
        <f t="shared" si="158"/>
        <v>0.17806026364369501</v>
      </c>
      <c r="AC375" s="163">
        <f t="shared" si="158"/>
        <v>0.30121701234983006</v>
      </c>
      <c r="AD375" s="163">
        <f t="shared" si="158"/>
        <v>0.28516533536800875</v>
      </c>
      <c r="AE375" s="163">
        <f t="shared" si="158"/>
        <v>0.25321425432834904</v>
      </c>
    </row>
    <row r="376" spans="26:31" x14ac:dyDescent="0.2">
      <c r="Z376" s="164">
        <v>326</v>
      </c>
      <c r="AA376" s="163">
        <f t="shared" si="158"/>
        <v>0.18730082151010469</v>
      </c>
      <c r="AB376" s="163">
        <f t="shared" si="158"/>
        <v>0.17696954483952435</v>
      </c>
      <c r="AC376" s="163">
        <f t="shared" si="158"/>
        <v>0.29937188950892762</v>
      </c>
      <c r="AD376" s="163">
        <f t="shared" si="158"/>
        <v>0.28341853803536005</v>
      </c>
      <c r="AE376" s="163">
        <f t="shared" si="158"/>
        <v>0.2516631752552963</v>
      </c>
    </row>
    <row r="377" spans="26:31" x14ac:dyDescent="0.2">
      <c r="Z377" s="164">
        <v>327</v>
      </c>
      <c r="AA377" s="163">
        <f t="shared" si="158"/>
        <v>0.18615700237361132</v>
      </c>
      <c r="AB377" s="163">
        <f t="shared" si="158"/>
        <v>0.17588881732144959</v>
      </c>
      <c r="AC377" s="163">
        <f t="shared" si="158"/>
        <v>0.29754366850387448</v>
      </c>
      <c r="AD377" s="163">
        <f t="shared" si="158"/>
        <v>0.28168774184969392</v>
      </c>
      <c r="AE377" s="163">
        <f t="shared" si="158"/>
        <v>0.25012630449580431</v>
      </c>
    </row>
    <row r="378" spans="26:31" x14ac:dyDescent="0.2">
      <c r="Z378" s="164">
        <v>328</v>
      </c>
      <c r="AA378" s="163">
        <f t="shared" si="158"/>
        <v>0.1850236290415665</v>
      </c>
      <c r="AB378" s="163">
        <f t="shared" si="158"/>
        <v>0.1748179594304477</v>
      </c>
      <c r="AC378" s="163">
        <f t="shared" si="158"/>
        <v>0.29573214352924965</v>
      </c>
      <c r="AD378" s="163">
        <f t="shared" si="158"/>
        <v>0.27997275197283905</v>
      </c>
      <c r="AE378" s="163">
        <f t="shared" si="158"/>
        <v>0.24860346904216113</v>
      </c>
    </row>
    <row r="379" spans="26:31" x14ac:dyDescent="0.2">
      <c r="Z379" s="164">
        <v>329</v>
      </c>
      <c r="AA379" s="163">
        <f t="shared" si="158"/>
        <v>0.183900574706515</v>
      </c>
      <c r="AB379" s="163">
        <f t="shared" si="158"/>
        <v>0.17375685135360247</v>
      </c>
      <c r="AC379" s="163">
        <f t="shared" si="158"/>
        <v>0.29393711190261357</v>
      </c>
      <c r="AD379" s="163">
        <f t="shared" si="158"/>
        <v>0.27827337652318357</v>
      </c>
      <c r="AE379" s="163">
        <f t="shared" si="158"/>
        <v>0.2470944985119489</v>
      </c>
    </row>
    <row r="380" spans="26:31" x14ac:dyDescent="0.2">
      <c r="Z380" s="164">
        <v>330</v>
      </c>
      <c r="AA380" s="163">
        <f t="shared" si="158"/>
        <v>0.18278771447941128</v>
      </c>
      <c r="AB380" s="163">
        <f t="shared" si="158"/>
        <v>0.17270537509059034</v>
      </c>
      <c r="AC380" s="163">
        <f t="shared" si="158"/>
        <v>0.29215837400781264</v>
      </c>
      <c r="AD380" s="163">
        <f t="shared" si="158"/>
        <v>0.27658942652200103</v>
      </c>
      <c r="AE380" s="163">
        <f t="shared" si="158"/>
        <v>0.24559922510038443</v>
      </c>
    </row>
    <row r="381" spans="26:31" x14ac:dyDescent="0.2">
      <c r="Z381" s="164">
        <v>331</v>
      </c>
      <c r="AA381" s="163">
        <f t="shared" ref="AA381:AE390" si="159">IF(($Z381/AA$11)&lt;AA$15,0.85*(AA$12-AA$13*($Z381/AA$11)),(0.85*(PI())^2*(10100)/(($Z381/AA$11)^2)))/AA$16</f>
        <v>0.18168492535489714</v>
      </c>
      <c r="AB381" s="163">
        <f t="shared" si="159"/>
        <v>0.17166341442087313</v>
      </c>
      <c r="AC381" s="163">
        <f t="shared" si="159"/>
        <v>0.2903957332394812</v>
      </c>
      <c r="AD381" s="163">
        <f t="shared" si="159"/>
        <v>0.27492071584090977</v>
      </c>
      <c r="AE381" s="163">
        <f t="shared" si="159"/>
        <v>0.24411748353366494</v>
      </c>
    </row>
    <row r="382" spans="26:31" x14ac:dyDescent="0.2">
      <c r="Z382" s="164">
        <v>332</v>
      </c>
      <c r="AA382" s="163">
        <f t="shared" si="159"/>
        <v>0.18059208617731065</v>
      </c>
      <c r="AB382" s="163">
        <f t="shared" si="159"/>
        <v>0.17063085487158228</v>
      </c>
      <c r="AC382" s="163">
        <f t="shared" si="159"/>
        <v>0.28864899594871163</v>
      </c>
      <c r="AD382" s="163">
        <f t="shared" si="159"/>
        <v>0.27326706115043831</v>
      </c>
      <c r="AE382" s="163">
        <f t="shared" si="159"/>
        <v>0.24264911102329675</v>
      </c>
    </row>
    <row r="383" spans="26:31" x14ac:dyDescent="0.2">
      <c r="Z383" s="164">
        <v>333</v>
      </c>
      <c r="AA383" s="163">
        <f t="shared" si="159"/>
        <v>0.17950907760740817</v>
      </c>
      <c r="AB383" s="163">
        <f t="shared" si="159"/>
        <v>0.16960758368607601</v>
      </c>
      <c r="AC383" s="163">
        <f t="shared" si="159"/>
        <v>0.28691797138986552</v>
      </c>
      <c r="AD383" s="163">
        <f t="shared" si="159"/>
        <v>0.2716282818696707</v>
      </c>
      <c r="AE383" s="163">
        <f t="shared" si="159"/>
        <v>0.24119394722138235</v>
      </c>
    </row>
    <row r="384" spans="26:31" x14ac:dyDescent="0.2">
      <c r="Z384" s="164">
        <v>334</v>
      </c>
      <c r="AA384" s="163">
        <f t="shared" si="159"/>
        <v>0.17843578208978353</v>
      </c>
      <c r="AB384" s="163">
        <f t="shared" si="159"/>
        <v>0.16859348979315578</v>
      </c>
      <c r="AC384" s="163">
        <f t="shared" si="159"/>
        <v>0.28520247166849649</v>
      </c>
      <c r="AD384" s="163">
        <f t="shared" si="159"/>
        <v>0.27000420011694498</v>
      </c>
      <c r="AE384" s="163">
        <f t="shared" si="159"/>
        <v>0.23975183417684268</v>
      </c>
    </row>
    <row r="385" spans="26:31" x14ac:dyDescent="0.2">
      <c r="Z385" s="164">
        <v>335</v>
      </c>
      <c r="AA385" s="163">
        <f t="shared" si="159"/>
        <v>0.17737208382096581</v>
      </c>
      <c r="AB385" s="163">
        <f t="shared" si="159"/>
        <v>0.16758846377692388</v>
      </c>
      <c r="AC385" s="163">
        <f t="shared" si="159"/>
        <v>0.28350231169036127</v>
      </c>
      <c r="AD385" s="163">
        <f t="shared" si="159"/>
        <v>0.26839464066158092</v>
      </c>
      <c r="AE385" s="163">
        <f t="shared" si="159"/>
        <v>0.23832261629255391</v>
      </c>
    </row>
    <row r="386" spans="26:31" x14ac:dyDescent="0.2">
      <c r="Z386" s="164">
        <v>336</v>
      </c>
      <c r="AA386" s="163">
        <f t="shared" si="159"/>
        <v>0.17631786871818211</v>
      </c>
      <c r="AB386" s="163">
        <f t="shared" si="159"/>
        <v>0.16659239784726904</v>
      </c>
      <c r="AC386" s="163">
        <f t="shared" si="159"/>
        <v>0.28181730911149022</v>
      </c>
      <c r="AD386" s="163">
        <f t="shared" si="159"/>
        <v>0.2667994308766114</v>
      </c>
      <c r="AE386" s="163">
        <f t="shared" si="159"/>
        <v>0.23690614028337462</v>
      </c>
    </row>
    <row r="387" spans="26:31" x14ac:dyDescent="0.2">
      <c r="Z387" s="164">
        <v>337</v>
      </c>
      <c r="AA387" s="163">
        <f t="shared" si="159"/>
        <v>0.17527302438876707</v>
      </c>
      <c r="AB387" s="163">
        <f t="shared" si="159"/>
        <v>0.16560518581096323</v>
      </c>
      <c r="AC387" s="163">
        <f t="shared" si="159"/>
        <v>0.2801472842892937</v>
      </c>
      <c r="AD387" s="163">
        <f t="shared" si="159"/>
        <v>0.26521840069249458</v>
      </c>
      <c r="AE387" s="163">
        <f t="shared" si="159"/>
        <v>0.23550225513504447</v>
      </c>
    </row>
    <row r="388" spans="26:31" x14ac:dyDescent="0.2">
      <c r="Z388" s="164">
        <v>338</v>
      </c>
      <c r="AA388" s="163">
        <f t="shared" si="159"/>
        <v>0.17423744010020559</v>
      </c>
      <c r="AB388" s="163">
        <f t="shared" si="159"/>
        <v>0.1646267230433571</v>
      </c>
      <c r="AC388" s="163">
        <f t="shared" si="159"/>
        <v>0.27849206023468009</v>
      </c>
      <c r="AD388" s="163">
        <f t="shared" si="159"/>
        <v>0.26365138255178322</v>
      </c>
      <c r="AE388" s="163">
        <f t="shared" si="159"/>
        <v>0.23411081206393214</v>
      </c>
    </row>
    <row r="389" spans="26:31" x14ac:dyDescent="0.2">
      <c r="Z389" s="164">
        <v>339</v>
      </c>
      <c r="AA389" s="163">
        <f t="shared" si="159"/>
        <v>0.17321100675079301</v>
      </c>
      <c r="AB389" s="163">
        <f t="shared" si="159"/>
        <v>0.16365690646065803</v>
      </c>
      <c r="AC389" s="163">
        <f t="shared" si="159"/>
        <v>0.27685146256516036</v>
      </c>
      <c r="AD389" s="163">
        <f t="shared" si="159"/>
        <v>0.26209821136472811</v>
      </c>
      <c r="AE389" s="163">
        <f t="shared" si="159"/>
        <v>0.23273166447761387</v>
      </c>
    </row>
    <row r="390" spans="26:31" x14ac:dyDescent="0.2">
      <c r="Z390" s="164">
        <v>340</v>
      </c>
      <c r="AA390" s="163">
        <f t="shared" si="159"/>
        <v>0.17219361684089865</v>
      </c>
      <c r="AB390" s="163">
        <f t="shared" si="159"/>
        <v>0.16269563449277924</v>
      </c>
      <c r="AC390" s="163">
        <f t="shared" si="159"/>
        <v>0.27522531945891693</v>
      </c>
      <c r="AD390" s="163">
        <f t="shared" si="159"/>
        <v>0.2605587244657952</v>
      </c>
      <c r="AE390" s="163">
        <f t="shared" si="159"/>
        <v>0.23136466793626179</v>
      </c>
    </row>
    <row r="391" spans="26:31" x14ac:dyDescent="0.2">
      <c r="Z391" s="164">
        <v>341</v>
      </c>
      <c r="AA391" s="163">
        <f t="shared" ref="AA391:AE400" si="160">IF(($Z391/AA$11)&lt;AA$15,0.85*(AA$12-AA$13*($Z391/AA$11)),(0.85*(PI())^2*(10100)/(($Z391/AA$11)^2)))/AA$16</f>
        <v>0.1711851644448181</v>
      </c>
      <c r="AB391" s="163">
        <f t="shared" si="160"/>
        <v>0.16174280705674432</v>
      </c>
      <c r="AC391" s="163">
        <f t="shared" si="160"/>
        <v>0.27361346160981415</v>
      </c>
      <c r="AD391" s="163">
        <f t="shared" si="160"/>
        <v>0.25903276157107286</v>
      </c>
      <c r="AE391" s="163">
        <f t="shared" si="160"/>
        <v>0.23000968011482414</v>
      </c>
    </row>
    <row r="392" spans="26:31" x14ac:dyDescent="0.2">
      <c r="Z392" s="164">
        <v>342</v>
      </c>
      <c r="AA392" s="163">
        <f t="shared" si="160"/>
        <v>0.17018554518320073</v>
      </c>
      <c r="AB392" s="163">
        <f t="shared" si="160"/>
        <v>0.16079832553063581</v>
      </c>
      <c r="AC392" s="163">
        <f t="shared" si="160"/>
        <v>0.2720157221833282</v>
      </c>
      <c r="AD392" s="163">
        <f t="shared" si="160"/>
        <v>0.25752016473655076</v>
      </c>
      <c r="AE392" s="163">
        <f t="shared" si="160"/>
        <v>0.22866656076597811</v>
      </c>
    </row>
    <row r="393" spans="26:31" x14ac:dyDescent="0.2">
      <c r="Z393" s="164">
        <v>343</v>
      </c>
      <c r="AA393" s="163">
        <f t="shared" si="160"/>
        <v>0.16919465619603979</v>
      </c>
      <c r="AB393" s="163">
        <f t="shared" si="160"/>
        <v>0.15986209272807486</v>
      </c>
      <c r="AC393" s="163">
        <f t="shared" si="160"/>
        <v>0.27043193677337496</v>
      </c>
      <c r="AD393" s="163">
        <f t="shared" si="160"/>
        <v>0.25602077831724812</v>
      </c>
      <c r="AE393" s="163">
        <f t="shared" si="160"/>
        <v>0.22733517168383802</v>
      </c>
    </row>
    <row r="394" spans="26:31" x14ac:dyDescent="0.2">
      <c r="Z394" s="164">
        <v>344</v>
      </c>
      <c r="AA394" s="163">
        <f t="shared" si="160"/>
        <v>0.1682123961162105</v>
      </c>
      <c r="AB394" s="163">
        <f t="shared" si="160"/>
        <v>0.15893401287321934</v>
      </c>
      <c r="AC394" s="163">
        <f t="shared" si="160"/>
        <v>0.26886194336001551</v>
      </c>
      <c r="AD394" s="163">
        <f t="shared" si="160"/>
        <v>0.25453444892717281</v>
      </c>
      <c r="AE394" s="163">
        <f t="shared" si="160"/>
        <v>0.22601537666840069</v>
      </c>
    </row>
    <row r="395" spans="26:31" x14ac:dyDescent="0.2">
      <c r="Z395" s="164">
        <v>345</v>
      </c>
      <c r="AA395" s="163">
        <f t="shared" si="160"/>
        <v>0.16723866504354451</v>
      </c>
      <c r="AB395" s="163">
        <f t="shared" si="160"/>
        <v>0.15801399157626789</v>
      </c>
      <c r="AC395" s="163">
        <f t="shared" si="160"/>
        <v>0.26730558226801759</v>
      </c>
      <c r="AD395" s="163">
        <f t="shared" si="160"/>
        <v>0.25306102540009168</v>
      </c>
      <c r="AE395" s="163">
        <f t="shared" si="160"/>
        <v>0.22470704149071086</v>
      </c>
    </row>
    <row r="396" spans="26:31" x14ac:dyDescent="0.2">
      <c r="Z396" s="164">
        <v>346</v>
      </c>
      <c r="AA396" s="163">
        <f t="shared" si="160"/>
        <v>0.16627336451942834</v>
      </c>
      <c r="AB396" s="163">
        <f t="shared" si="160"/>
        <v>0.1571019358094598</v>
      </c>
      <c r="AC396" s="163">
        <f t="shared" si="160"/>
        <v>0.26576269612625542</v>
      </c>
      <c r="AD396" s="163">
        <f t="shared" si="160"/>
        <v>0.25160035875109354</v>
      </c>
      <c r="AE396" s="163">
        <f t="shared" si="160"/>
        <v>0.22341003385873121</v>
      </c>
    </row>
    <row r="397" spans="26:31" x14ac:dyDescent="0.2">
      <c r="Z397" s="164">
        <v>347</v>
      </c>
      <c r="AA397" s="163">
        <f t="shared" si="160"/>
        <v>0.16531639750191338</v>
      </c>
      <c r="AB397" s="163">
        <f t="shared" si="160"/>
        <v>0.15619775388355758</v>
      </c>
      <c r="AC397" s="163">
        <f t="shared" si="160"/>
        <v>0.26423312982792646</v>
      </c>
      <c r="AD397" s="163">
        <f t="shared" si="160"/>
        <v>0.25015230213892581</v>
      </c>
      <c r="AE397" s="163">
        <f t="shared" si="160"/>
        <v>0.22212422338389878</v>
      </c>
    </row>
    <row r="398" spans="26:31" x14ac:dyDescent="0.2">
      <c r="Z398" s="164">
        <v>348</v>
      </c>
      <c r="AA398" s="163">
        <f t="shared" si="160"/>
        <v>0.16436766834132557</v>
      </c>
      <c r="AB398" s="163">
        <f t="shared" si="160"/>
        <v>0.15530135542480247</v>
      </c>
      <c r="AC398" s="163">
        <f t="shared" si="160"/>
        <v>0.26271673049156757</v>
      </c>
      <c r="AD398" s="163">
        <f t="shared" si="160"/>
        <v>0.24871671082908836</v>
      </c>
      <c r="AE398" s="163">
        <f t="shared" si="160"/>
        <v>0.22084948154835404</v>
      </c>
    </row>
    <row r="399" spans="26:31" x14ac:dyDescent="0.2">
      <c r="Z399" s="164">
        <v>349</v>
      </c>
      <c r="AA399" s="163">
        <f t="shared" si="160"/>
        <v>0.16342708275636394</v>
      </c>
      <c r="AB399" s="163">
        <f t="shared" si="160"/>
        <v>0.15441265135233115</v>
      </c>
      <c r="AC399" s="163">
        <f t="shared" si="160"/>
        <v>0.26121334742285196</v>
      </c>
      <c r="AD399" s="163">
        <f t="shared" si="160"/>
        <v>0.24729344215766633</v>
      </c>
      <c r="AE399" s="163">
        <f t="shared" si="160"/>
        <v>0.21958568167282588</v>
      </c>
    </row>
    <row r="400" spans="26:31" x14ac:dyDescent="0.2">
      <c r="Z400" s="164">
        <v>350</v>
      </c>
      <c r="AA400" s="163">
        <f t="shared" si="160"/>
        <v>0.16249454781067663</v>
      </c>
      <c r="AB400" s="163">
        <f t="shared" si="160"/>
        <v>0.15353155385604314</v>
      </c>
      <c r="AC400" s="163">
        <f t="shared" si="160"/>
        <v>0.25972283207714936</v>
      </c>
      <c r="AD400" s="163">
        <f t="shared" si="160"/>
        <v>0.24588235549588502</v>
      </c>
      <c r="AE400" s="163">
        <f t="shared" si="160"/>
        <v>0.21833269888515805</v>
      </c>
    </row>
    <row r="401" spans="26:31" x14ac:dyDescent="0.2">
      <c r="Z401" s="164">
        <v>351</v>
      </c>
      <c r="AA401" s="163">
        <f t="shared" ref="AA401:AE410" si="161">IF(($Z401/AA$11)&lt;AA$15,0.85*(AA$12-AA$13*($Z401/AA$11)),(0.85*(PI())^2*(10100)/(($Z401/AA$11)^2)))/AA$16</f>
        <v>0.16156997188990257</v>
      </c>
      <c r="AB401" s="163">
        <f t="shared" si="161"/>
        <v>0.15265797637490999</v>
      </c>
      <c r="AC401" s="163">
        <f t="shared" si="161"/>
        <v>0.25824503802283094</v>
      </c>
      <c r="AD401" s="163">
        <f t="shared" si="161"/>
        <v>0.24448331221537092</v>
      </c>
      <c r="AE401" s="163">
        <f t="shared" si="161"/>
        <v>0.21709041008946245</v>
      </c>
    </row>
    <row r="402" spans="26:31" x14ac:dyDescent="0.2">
      <c r="Z402" s="164">
        <v>352</v>
      </c>
      <c r="AA402" s="163">
        <f t="shared" si="161"/>
        <v>0.16065326467917004</v>
      </c>
      <c r="AB402" s="163">
        <f t="shared" si="161"/>
        <v>0.1517918335757141</v>
      </c>
      <c r="AC402" s="163">
        <f t="shared" si="161"/>
        <v>0.2567798209053041</v>
      </c>
      <c r="AD402" s="163">
        <f t="shared" si="161"/>
        <v>0.24309617565410252</v>
      </c>
      <c r="AE402" s="163">
        <f t="shared" si="161"/>
        <v>0.21585869393588475</v>
      </c>
    </row>
    <row r="403" spans="26:31" x14ac:dyDescent="0.2">
      <c r="Z403" s="164">
        <v>353</v>
      </c>
      <c r="AA403" s="163">
        <f t="shared" si="161"/>
        <v>0.15974433714104033</v>
      </c>
      <c r="AB403" s="163">
        <f t="shared" si="161"/>
        <v>0.15093304133220942</v>
      </c>
      <c r="AC403" s="163">
        <f t="shared" si="161"/>
        <v>0.25532703841175836</v>
      </c>
      <c r="AD403" s="163">
        <f t="shared" si="161"/>
        <v>0.24172081108303509</v>
      </c>
      <c r="AE403" s="163">
        <f t="shared" si="161"/>
        <v>0.21463743079096909</v>
      </c>
    </row>
    <row r="404" spans="26:31" x14ac:dyDescent="0.2">
      <c r="Z404" s="164">
        <v>354</v>
      </c>
      <c r="AA404" s="163">
        <f t="shared" si="161"/>
        <v>0.15884310149388656</v>
      </c>
      <c r="AB404" s="163">
        <f t="shared" si="161"/>
        <v>0.15008151670469283</v>
      </c>
      <c r="AC404" s="163">
        <f t="shared" si="161"/>
        <v>0.25388655023660817</v>
      </c>
      <c r="AD404" s="163">
        <f t="shared" si="161"/>
        <v>0.24035708567338504</v>
      </c>
      <c r="AE404" s="163">
        <f t="shared" si="161"/>
        <v>0.21342650270860755</v>
      </c>
    </row>
    <row r="405" spans="26:31" x14ac:dyDescent="0.2">
      <c r="Z405" s="164">
        <v>355</v>
      </c>
      <c r="AA405" s="163">
        <f t="shared" si="161"/>
        <v>0.15794947119069935</v>
      </c>
      <c r="AB405" s="163">
        <f t="shared" si="161"/>
        <v>0.14923717791997848</v>
      </c>
      <c r="AC405" s="163">
        <f t="shared" si="161"/>
        <v>0.25245821804761587</v>
      </c>
      <c r="AD405" s="163">
        <f t="shared" si="161"/>
        <v>0.23900486846455798</v>
      </c>
      <c r="AE405" s="163">
        <f t="shared" si="161"/>
        <v>0.21222579340156209</v>
      </c>
    </row>
    <row r="406" spans="26:31" x14ac:dyDescent="0.2">
      <c r="Z406" s="164">
        <v>356</v>
      </c>
      <c r="AA406" s="163">
        <f t="shared" si="161"/>
        <v>0.15706336089830739</v>
      </c>
      <c r="AB406" s="163">
        <f t="shared" si="161"/>
        <v>0.14839994435176496</v>
      </c>
      <c r="AC406" s="163">
        <f t="shared" si="161"/>
        <v>0.25104190545267957</v>
      </c>
      <c r="AD406" s="163">
        <f t="shared" si="161"/>
        <v>0.23766403033270672</v>
      </c>
      <c r="AE406" s="163">
        <f t="shared" si="161"/>
        <v>0.21103518821354522</v>
      </c>
    </row>
    <row r="407" spans="26:31" x14ac:dyDescent="0.2">
      <c r="Z407" s="164">
        <v>357</v>
      </c>
      <c r="AA407" s="163">
        <f t="shared" si="161"/>
        <v>0.15618468647700556</v>
      </c>
      <c r="AB407" s="163">
        <f t="shared" si="161"/>
        <v>0.14756973650138708</v>
      </c>
      <c r="AC407" s="163">
        <f t="shared" si="161"/>
        <v>0.24963747796727159</v>
      </c>
      <c r="AD407" s="163">
        <f t="shared" si="161"/>
        <v>0.23633444395990491</v>
      </c>
      <c r="AE407" s="163">
        <f t="shared" si="161"/>
        <v>0.20985457409184741</v>
      </c>
    </row>
    <row r="408" spans="26:31" x14ac:dyDescent="0.2">
      <c r="Z408" s="164">
        <v>358</v>
      </c>
      <c r="AA408" s="163">
        <f t="shared" si="161"/>
        <v>0.15531336496058087</v>
      </c>
      <c r="AB408" s="163">
        <f t="shared" si="161"/>
        <v>0.14674647597894327</v>
      </c>
      <c r="AC408" s="163">
        <f t="shared" si="161"/>
        <v>0.248244802982513</v>
      </c>
      <c r="AD408" s="163">
        <f t="shared" si="161"/>
        <v>0.23501598380392244</v>
      </c>
      <c r="AE408" s="163">
        <f t="shared" si="161"/>
        <v>0.20868383956049952</v>
      </c>
    </row>
    <row r="409" spans="26:31" x14ac:dyDescent="0.2">
      <c r="Z409" s="164">
        <v>359</v>
      </c>
      <c r="AA409" s="163">
        <f t="shared" si="161"/>
        <v>0.15444931453672683</v>
      </c>
      <c r="AB409" s="163">
        <f t="shared" si="161"/>
        <v>0.14593008548479053</v>
      </c>
      <c r="AC409" s="163">
        <f t="shared" si="161"/>
        <v>0.24686374973386921</v>
      </c>
      <c r="AD409" s="163">
        <f t="shared" si="161"/>
        <v>0.2337085260685898</v>
      </c>
      <c r="AE409" s="163">
        <f t="shared" si="161"/>
        <v>0.20752287469395692</v>
      </c>
    </row>
    <row r="410" spans="26:31" x14ac:dyDescent="0.2">
      <c r="Z410" s="164">
        <v>360</v>
      </c>
      <c r="AA410" s="163">
        <f t="shared" si="161"/>
        <v>0.15359245452783865</v>
      </c>
      <c r="AB410" s="163">
        <f t="shared" si="161"/>
        <v>0.14512048879139877</v>
      </c>
      <c r="AC410" s="163">
        <f t="shared" si="161"/>
        <v>0.24549418927045366</v>
      </c>
      <c r="AD410" s="163">
        <f t="shared" si="161"/>
        <v>0.23241194867473705</v>
      </c>
      <c r="AE410" s="163">
        <f t="shared" si="161"/>
        <v>0.20637157109129523</v>
      </c>
    </row>
    <row r="411" spans="26:31" x14ac:dyDescent="0.2">
      <c r="Z411" s="164">
        <v>361</v>
      </c>
      <c r="AA411" s="163">
        <f t="shared" ref="AA411:AE420" si="162">IF(($Z411/AA$11)&lt;AA$15,0.85*(AA$12-AA$13*($Z411/AA$11)),(0.85*(PI())^2*(10100)/(($Z411/AA$11)^2)))/AA$16</f>
        <v>0.15274270537218015</v>
      </c>
      <c r="AB411" s="163">
        <f t="shared" si="162"/>
        <v>0.14431761072555677</v>
      </c>
      <c r="AC411" s="163">
        <f t="shared" si="162"/>
        <v>0.24413599442492609</v>
      </c>
      <c r="AD411" s="163">
        <f t="shared" si="162"/>
        <v>0.23112613123169651</v>
      </c>
      <c r="AE411" s="163">
        <f t="shared" si="162"/>
        <v>0.20522982185090557</v>
      </c>
    </row>
    <row r="412" spans="26:31" x14ac:dyDescent="0.2">
      <c r="Z412" s="164">
        <v>362</v>
      </c>
      <c r="AA412" s="163">
        <f t="shared" si="162"/>
        <v>0.15189998860541412</v>
      </c>
      <c r="AB412" s="163">
        <f t="shared" si="162"/>
        <v>0.14352137715092095</v>
      </c>
      <c r="AC412" s="163">
        <f t="shared" si="162"/>
        <v>0.24278903978397173</v>
      </c>
      <c r="AD412" s="163">
        <f t="shared" si="162"/>
        <v>0.22985095500935504</v>
      </c>
      <c r="AE412" s="163">
        <f t="shared" si="162"/>
        <v>0.20409752154567826</v>
      </c>
    </row>
    <row r="413" spans="26:31" x14ac:dyDescent="0.2">
      <c r="Z413" s="164">
        <v>363</v>
      </c>
      <c r="AA413" s="163">
        <f t="shared" si="162"/>
        <v>0.15106422684248866</v>
      </c>
      <c r="AB413" s="163">
        <f t="shared" si="162"/>
        <v>0.14273171495090109</v>
      </c>
      <c r="AC413" s="163">
        <f t="shared" si="162"/>
        <v>0.2414532016593493</v>
      </c>
      <c r="AD413" s="163">
        <f t="shared" si="162"/>
        <v>0.22858630291074467</v>
      </c>
      <c r="AE413" s="163">
        <f t="shared" si="162"/>
        <v>0.20297456619866483</v>
      </c>
    </row>
    <row r="414" spans="26:31" x14ac:dyDescent="0.2">
      <c r="Z414" s="164">
        <v>364</v>
      </c>
      <c r="AA414" s="163">
        <f t="shared" si="162"/>
        <v>0.15023534375987113</v>
      </c>
      <c r="AB414" s="163">
        <f t="shared" si="162"/>
        <v>0.1419485520118742</v>
      </c>
      <c r="AC414" s="163">
        <f t="shared" si="162"/>
        <v>0.24012835805949462</v>
      </c>
      <c r="AD414" s="163">
        <f t="shared" si="162"/>
        <v>0.22733205944515997</v>
      </c>
      <c r="AE414" s="163">
        <f t="shared" si="162"/>
        <v>0.2018608532592068</v>
      </c>
    </row>
    <row r="415" spans="26:31" x14ac:dyDescent="0.2">
      <c r="Z415" s="164">
        <v>365</v>
      </c>
      <c r="AA415" s="163">
        <f t="shared" si="162"/>
        <v>0.14941326407812261</v>
      </c>
      <c r="AB415" s="163">
        <f t="shared" si="162"/>
        <v>0.14117181720672006</v>
      </c>
      <c r="AC415" s="163">
        <f t="shared" si="162"/>
        <v>0.2388143886616686</v>
      </c>
      <c r="AD415" s="163">
        <f t="shared" si="162"/>
        <v>0.22608811070178958</v>
      </c>
      <c r="AE415" s="163">
        <f t="shared" si="162"/>
        <v>0.20075628157952233</v>
      </c>
    </row>
    <row r="416" spans="26:31" x14ac:dyDescent="0.2">
      <c r="Z416" s="164">
        <v>366</v>
      </c>
      <c r="AA416" s="163">
        <f t="shared" si="162"/>
        <v>0.14859791354480495</v>
      </c>
      <c r="AB416" s="163">
        <f t="shared" si="162"/>
        <v>0.14040144037867125</v>
      </c>
      <c r="AC416" s="163">
        <f t="shared" si="162"/>
        <v>0.23751117478463674</v>
      </c>
      <c r="AD416" s="163">
        <f t="shared" si="162"/>
        <v>0.22485434432385198</v>
      </c>
      <c r="AE416" s="163">
        <f t="shared" si="162"/>
        <v>0.19966075139173953</v>
      </c>
    </row>
    <row r="417" spans="26:31" x14ac:dyDescent="0.2">
      <c r="Z417" s="164">
        <v>367</v>
      </c>
      <c r="AA417" s="163">
        <f t="shared" si="162"/>
        <v>0.14778921891771332</v>
      </c>
      <c r="AB417" s="163">
        <f t="shared" si="162"/>
        <v>0.13963735232547042</v>
      </c>
      <c r="AC417" s="163">
        <f t="shared" si="162"/>
        <v>0.23621859936186912</v>
      </c>
      <c r="AD417" s="163">
        <f t="shared" si="162"/>
        <v>0.2236306494832237</v>
      </c>
      <c r="AE417" s="163">
        <f t="shared" si="162"/>
        <v>0.19857416428536748</v>
      </c>
    </row>
    <row r="418" spans="26:31" x14ac:dyDescent="0.2">
      <c r="Z418" s="164">
        <v>368</v>
      </c>
      <c r="AA418" s="163">
        <f t="shared" si="162"/>
        <v>0.14698710794842781</v>
      </c>
      <c r="AB418" s="163">
        <f t="shared" si="162"/>
        <v>0.13887948478382922</v>
      </c>
      <c r="AC418" s="163">
        <f t="shared" si="162"/>
        <v>0.23493654691524987</v>
      </c>
      <c r="AD418" s="163">
        <f t="shared" si="162"/>
        <v>0.22241691685554937</v>
      </c>
      <c r="AE418" s="163">
        <f t="shared" si="162"/>
        <v>0.19749642318519511</v>
      </c>
    </row>
    <row r="419" spans="26:31" x14ac:dyDescent="0.2">
      <c r="Z419" s="164">
        <v>369</v>
      </c>
      <c r="AA419" s="163">
        <f t="shared" si="162"/>
        <v>0.14619150936617598</v>
      </c>
      <c r="AB419" s="163">
        <f t="shared" si="162"/>
        <v>0.13812777041418089</v>
      </c>
      <c r="AC419" s="163">
        <f t="shared" si="162"/>
        <v>0.23366490352928368</v>
      </c>
      <c r="AD419" s="163">
        <f t="shared" si="162"/>
        <v>0.22121303859582345</v>
      </c>
      <c r="AE419" s="163">
        <f t="shared" si="162"/>
        <v>0.19642743232960883</v>
      </c>
    </row>
    <row r="420" spans="26:31" x14ac:dyDescent="0.2">
      <c r="Z420" s="164">
        <v>370</v>
      </c>
      <c r="AA420" s="163">
        <f t="shared" si="162"/>
        <v>0.14540235286200062</v>
      </c>
      <c r="AB420" s="163">
        <f t="shared" si="162"/>
        <v>0.13738214278572158</v>
      </c>
      <c r="AC420" s="163">
        <f t="shared" si="162"/>
        <v>0.23240355682579109</v>
      </c>
      <c r="AD420" s="163">
        <f t="shared" si="162"/>
        <v>0.22001890831443327</v>
      </c>
      <c r="AE420" s="163">
        <f t="shared" si="162"/>
        <v>0.19536709724931969</v>
      </c>
    </row>
    <row r="421" spans="26:31" x14ac:dyDescent="0.2">
      <c r="Z421" s="164">
        <v>371</v>
      </c>
      <c r="AA421" s="163">
        <f t="shared" ref="AA421:AE430" si="163">IF(($Z421/AA$11)&lt;AA$15,0.85*(AA$12-AA$13*($Z421/AA$11)),(0.85*(PI())^2*(10100)/(($Z421/AA$11)^2)))/AA$16</f>
        <v>0.1446195690732259</v>
      </c>
      <c r="AB421" s="163">
        <f t="shared" si="163"/>
        <v>0.13664253636173296</v>
      </c>
      <c r="AC421" s="163">
        <f t="shared" si="163"/>
        <v>0.23115239593907913</v>
      </c>
      <c r="AD421" s="163">
        <f t="shared" si="163"/>
        <v>0.21883442105365347</v>
      </c>
      <c r="AE421" s="163">
        <f t="shared" si="163"/>
        <v>0.19431532474649171</v>
      </c>
    </row>
    <row r="422" spans="26:31" x14ac:dyDescent="0.2">
      <c r="Z422" s="164">
        <v>372</v>
      </c>
      <c r="AA422" s="163">
        <f t="shared" si="163"/>
        <v>0.14384308956821518</v>
      </c>
      <c r="AB422" s="163">
        <f t="shared" si="163"/>
        <v>0.13590888648518099</v>
      </c>
      <c r="AC422" s="163">
        <f t="shared" si="163"/>
        <v>0.22991131149157989</v>
      </c>
      <c r="AD422" s="163">
        <f t="shared" si="163"/>
        <v>0.21765947326458202</v>
      </c>
      <c r="AE422" s="163">
        <f t="shared" si="163"/>
        <v>0.19327202287426196</v>
      </c>
    </row>
    <row r="423" spans="26:31" x14ac:dyDescent="0.2">
      <c r="Z423" s="164">
        <v>373</v>
      </c>
      <c r="AA423" s="163">
        <f t="shared" si="163"/>
        <v>0.14307284683141466</v>
      </c>
      <c r="AB423" s="163">
        <f t="shared" si="163"/>
        <v>0.13518112936458454</v>
      </c>
      <c r="AC423" s="163">
        <f t="shared" si="163"/>
        <v>0.22868019556994443</v>
      </c>
      <c r="AD423" s="163">
        <f t="shared" si="163"/>
        <v>0.21649396278450875</v>
      </c>
      <c r="AE423" s="163">
        <f t="shared" si="163"/>
        <v>0.19223710091664473</v>
      </c>
    </row>
    <row r="424" spans="26:31" x14ac:dyDescent="0.2">
      <c r="Z424" s="164">
        <v>374</v>
      </c>
      <c r="AA424" s="163">
        <f t="shared" si="163"/>
        <v>0.14230877424867658</v>
      </c>
      <c r="AB424" s="163">
        <f t="shared" si="163"/>
        <v>0.13445920206014816</v>
      </c>
      <c r="AC424" s="163">
        <f t="shared" si="163"/>
        <v>0.22745894170158423</v>
      </c>
      <c r="AD424" s="163">
        <f t="shared" si="163"/>
        <v>0.21533778881470675</v>
      </c>
      <c r="AE424" s="163">
        <f t="shared" si="163"/>
        <v>0.19121046936881142</v>
      </c>
    </row>
    <row r="425" spans="26:31" x14ac:dyDescent="0.2">
      <c r="Z425" s="164">
        <v>375</v>
      </c>
      <c r="AA425" s="163">
        <f t="shared" si="163"/>
        <v>0.14155080609285609</v>
      </c>
      <c r="AB425" s="163">
        <f t="shared" si="163"/>
        <v>0.13374304247015315</v>
      </c>
      <c r="AC425" s="163">
        <f t="shared" si="163"/>
        <v>0.2262474448316501</v>
      </c>
      <c r="AD425" s="163">
        <f t="shared" si="163"/>
        <v>0.21419085189863768</v>
      </c>
      <c r="AE425" s="163">
        <f t="shared" si="163"/>
        <v>0.19019203991773775</v>
      </c>
    </row>
    <row r="426" spans="26:31" x14ac:dyDescent="0.2">
      <c r="Z426" s="164">
        <v>376</v>
      </c>
      <c r="AA426" s="163">
        <f t="shared" si="163"/>
        <v>0.14079887750967551</v>
      </c>
      <c r="AB426" s="163">
        <f t="shared" si="163"/>
        <v>0.1330325893176019</v>
      </c>
      <c r="AC426" s="163">
        <f t="shared" si="163"/>
        <v>0.22504560130043852</v>
      </c>
      <c r="AD426" s="163">
        <f t="shared" si="163"/>
        <v>0.21305305390056245</v>
      </c>
      <c r="AE426" s="163">
        <f t="shared" si="163"/>
        <v>0.18918172542321085</v>
      </c>
    </row>
    <row r="427" spans="26:31" x14ac:dyDescent="0.2">
      <c r="Z427" s="164">
        <v>377</v>
      </c>
      <c r="AA427" s="163">
        <f t="shared" si="163"/>
        <v>0.14005292450385132</v>
      </c>
      <c r="AB427" s="163">
        <f t="shared" si="163"/>
        <v>0.1323277821371098</v>
      </c>
      <c r="AC427" s="163">
        <f t="shared" si="163"/>
        <v>0.22385330882121729</v>
      </c>
      <c r="AD427" s="163">
        <f t="shared" si="163"/>
        <v>0.21192429798454868</v>
      </c>
      <c r="AE427" s="163">
        <f t="shared" si="163"/>
        <v>0.18817943989918917</v>
      </c>
    </row>
    <row r="428" spans="26:31" x14ac:dyDescent="0.2">
      <c r="Z428" s="164">
        <v>378</v>
      </c>
      <c r="AA428" s="163">
        <f t="shared" si="163"/>
        <v>0.13931288392547725</v>
      </c>
      <c r="AB428" s="163">
        <f t="shared" si="163"/>
        <v>0.1316285612620397</v>
      </c>
      <c r="AC428" s="163">
        <f t="shared" si="163"/>
        <v>0.22267046645846136</v>
      </c>
      <c r="AD428" s="163">
        <f t="shared" si="163"/>
        <v>0.2108044885938658</v>
      </c>
      <c r="AE428" s="163">
        <f t="shared" si="163"/>
        <v>0.18718509849550588</v>
      </c>
    </row>
    <row r="429" spans="26:31" x14ac:dyDescent="0.2">
      <c r="Z429" s="164">
        <v>379</v>
      </c>
      <c r="AA429" s="163">
        <f t="shared" si="163"/>
        <v>0.13857869345665855</v>
      </c>
      <c r="AB429" s="163">
        <f t="shared" si="163"/>
        <v>0.13093486781187325</v>
      </c>
      <c r="AC429" s="163">
        <f t="shared" si="163"/>
        <v>0.22149697460648976</v>
      </c>
      <c r="AD429" s="163">
        <f t="shared" si="163"/>
        <v>0.20969353143076083</v>
      </c>
      <c r="AE429" s="163">
        <f t="shared" si="163"/>
        <v>0.18619861747991076</v>
      </c>
    </row>
    <row r="430" spans="26:31" x14ac:dyDescent="0.2">
      <c r="Z430" s="164">
        <v>380</v>
      </c>
      <c r="AA430" s="163">
        <f t="shared" si="163"/>
        <v>0.13785029159839257</v>
      </c>
      <c r="AB430" s="163">
        <f t="shared" si="163"/>
        <v>0.13024664367981501</v>
      </c>
      <c r="AC430" s="163">
        <f t="shared" si="163"/>
        <v>0.22033273496849581</v>
      </c>
      <c r="AD430" s="163">
        <f t="shared" si="163"/>
        <v>0.2085913334366061</v>
      </c>
      <c r="AE430" s="163">
        <f t="shared" si="163"/>
        <v>0.18521991422044223</v>
      </c>
    </row>
    <row r="431" spans="26:31" x14ac:dyDescent="0.2">
      <c r="Z431" s="164">
        <v>381</v>
      </c>
      <c r="AA431" s="163">
        <f t="shared" ref="AA431:AE440" si="164">IF(($Z431/AA$11)&lt;AA$15,0.85*(AA$12-AA$13*($Z431/AA$11)),(0.85*(PI())^2*(10100)/(($Z431/AA$11)^2)))/AA$16</f>
        <v>0.13712761765768966</v>
      </c>
      <c r="AB431" s="163">
        <f t="shared" si="164"/>
        <v>0.12956383152062387</v>
      </c>
      <c r="AC431" s="163">
        <f t="shared" si="164"/>
        <v>0.21917765053596214</v>
      </c>
      <c r="AD431" s="163">
        <f t="shared" si="164"/>
        <v>0.20749780277241073</v>
      </c>
      <c r="AE431" s="163">
        <f t="shared" si="164"/>
        <v>0.1842489071681227</v>
      </c>
    </row>
    <row r="432" spans="26:31" x14ac:dyDescent="0.2">
      <c r="Z432" s="164">
        <v>382</v>
      </c>
      <c r="AA432" s="163">
        <f t="shared" si="164"/>
        <v>0.13641061173492974</v>
      </c>
      <c r="AB432" s="163">
        <f t="shared" si="164"/>
        <v>0.12888637473866726</v>
      </c>
      <c r="AC432" s="163">
        <f t="shared" si="164"/>
        <v>0.21803162556845204</v>
      </c>
      <c r="AD432" s="163">
        <f t="shared" si="164"/>
        <v>0.20641284879968966</v>
      </c>
      <c r="AE432" s="163">
        <f t="shared" si="164"/>
        <v>0.18328551583997055</v>
      </c>
    </row>
    <row r="433" spans="26:31" x14ac:dyDescent="0.2">
      <c r="Z433" s="164">
        <v>383</v>
      </c>
      <c r="AA433" s="163">
        <f t="shared" si="164"/>
        <v>0.13569921471144997</v>
      </c>
      <c r="AB433" s="163">
        <f t="shared" si="164"/>
        <v>0.12821421747619308</v>
      </c>
      <c r="AC433" s="163">
        <f t="shared" si="164"/>
        <v>0.21689456557377032</v>
      </c>
      <c r="AD433" s="163">
        <f t="shared" si="164"/>
        <v>0.20533638206168095</v>
      </c>
      <c r="AE433" s="163">
        <f t="shared" si="164"/>
        <v>0.18232966080232235</v>
      </c>
    </row>
    <row r="434" spans="26:31" x14ac:dyDescent="0.2">
      <c r="Z434" s="164">
        <v>384</v>
      </c>
      <c r="AA434" s="163">
        <f t="shared" si="164"/>
        <v>0.13499336823735819</v>
      </c>
      <c r="AB434" s="163">
        <f t="shared" si="164"/>
        <v>0.12754730460181535</v>
      </c>
      <c r="AC434" s="163">
        <f t="shared" si="164"/>
        <v>0.21576637728848466</v>
      </c>
      <c r="AD434" s="163">
        <f t="shared" si="164"/>
        <v>0.20426831426490558</v>
      </c>
      <c r="AE434" s="163">
        <f t="shared" si="164"/>
        <v>0.1813812636544587</v>
      </c>
    </row>
    <row r="435" spans="26:31" x14ac:dyDescent="0.2">
      <c r="Z435" s="164">
        <v>385</v>
      </c>
      <c r="AA435" s="163">
        <f t="shared" si="164"/>
        <v>0.13429301471956748</v>
      </c>
      <c r="AB435" s="163">
        <f t="shared" si="164"/>
        <v>0.12688558169920919</v>
      </c>
      <c r="AC435" s="163">
        <f t="shared" si="164"/>
        <v>0.21464696865880112</v>
      </c>
      <c r="AD435" s="163">
        <f t="shared" si="164"/>
        <v>0.20320855826106202</v>
      </c>
      <c r="AE435" s="163">
        <f t="shared" si="164"/>
        <v>0.18044024701252734</v>
      </c>
    </row>
    <row r="436" spans="26:31" x14ac:dyDescent="0.2">
      <c r="Z436" s="164">
        <v>386</v>
      </c>
      <c r="AA436" s="163">
        <f t="shared" si="164"/>
        <v>0.13359809731004785</v>
      </c>
      <c r="AB436" s="163">
        <f t="shared" si="164"/>
        <v>0.12622899505601012</v>
      </c>
      <c r="AC436" s="163">
        <f t="shared" si="164"/>
        <v>0.21353624882178582</v>
      </c>
      <c r="AD436" s="163">
        <f t="shared" si="164"/>
        <v>0.20215702802924854</v>
      </c>
      <c r="AE436" s="163">
        <f t="shared" si="164"/>
        <v>0.17950653449375728</v>
      </c>
    </row>
    <row r="437" spans="26:31" x14ac:dyDescent="0.2">
      <c r="Z437" s="164">
        <v>387</v>
      </c>
      <c r="AA437" s="163">
        <f t="shared" si="164"/>
        <v>0.13290855989428979</v>
      </c>
      <c r="AB437" s="163">
        <f t="shared" si="164"/>
        <v>0.12557749165291407</v>
      </c>
      <c r="AC437" s="163">
        <f t="shared" si="164"/>
        <v>0.21243412808692586</v>
      </c>
      <c r="AD437" s="163">
        <f t="shared" si="164"/>
        <v>0.20111363865850687</v>
      </c>
      <c r="AE437" s="163">
        <f t="shared" si="164"/>
        <v>0.17858005070095859</v>
      </c>
    </row>
    <row r="438" spans="26:31" x14ac:dyDescent="0.2">
      <c r="Z438" s="164">
        <v>388</v>
      </c>
      <c r="AA438" s="163">
        <f t="shared" si="164"/>
        <v>0.13222434707997585</v>
      </c>
      <c r="AB438" s="163">
        <f t="shared" si="164"/>
        <v>0.12493101915297378</v>
      </c>
      <c r="AC438" s="163">
        <f t="shared" si="164"/>
        <v>0.21134051791802258</v>
      </c>
      <c r="AD438" s="163">
        <f t="shared" si="164"/>
        <v>0.20007830633068019</v>
      </c>
      <c r="AE438" s="163">
        <f t="shared" si="164"/>
        <v>0.17766072120730061</v>
      </c>
    </row>
    <row r="439" spans="26:31" x14ac:dyDescent="0.2">
      <c r="Z439" s="164">
        <v>389</v>
      </c>
      <c r="AA439" s="163">
        <f t="shared" si="164"/>
        <v>0.13154540418585578</v>
      </c>
      <c r="AB439" s="163">
        <f t="shared" si="164"/>
        <v>0.12428952589108773</v>
      </c>
      <c r="AC439" s="163">
        <f t="shared" si="164"/>
        <v>0.21025533091541024</v>
      </c>
      <c r="AD439" s="163">
        <f t="shared" si="164"/>
        <v>0.19905094830357925</v>
      </c>
      <c r="AE439" s="163">
        <f t="shared" si="164"/>
        <v>0.17674847254136483</v>
      </c>
    </row>
    <row r="440" spans="26:31" x14ac:dyDescent="0.2">
      <c r="Z440" s="164">
        <v>390</v>
      </c>
      <c r="AA440" s="163">
        <f t="shared" si="164"/>
        <v>0.13087167723082105</v>
      </c>
      <c r="AB440" s="163">
        <f t="shared" si="164"/>
        <v>0.12365296086367707</v>
      </c>
      <c r="AC440" s="163">
        <f t="shared" si="164"/>
        <v>0.20917848079849305</v>
      </c>
      <c r="AD440" s="163">
        <f t="shared" si="164"/>
        <v>0.19803148289445049</v>
      </c>
      <c r="AE440" s="163">
        <f t="shared" si="164"/>
        <v>0.17584323217246464</v>
      </c>
    </row>
    <row r="441" spans="26:31" x14ac:dyDescent="0.2">
      <c r="Z441" s="164">
        <v>391</v>
      </c>
      <c r="AA441" s="163">
        <f t="shared" ref="AA441:AE450" si="165">IF(($Z441/AA$11)&lt;AA$15,0.85*(AA$12-AA$13*($Z441/AA$11)),(0.85*(PI())^2*(10100)/(($Z441/AA$11)^2)))/AA$16</f>
        <v>0.13020311292317482</v>
      </c>
      <c r="AB441" s="163">
        <f t="shared" si="165"/>
        <v>0.12302127371854765</v>
      </c>
      <c r="AC441" s="163">
        <f t="shared" si="165"/>
        <v>0.20810988238859501</v>
      </c>
      <c r="AD441" s="163">
        <f t="shared" si="165"/>
        <v>0.19701982946373925</v>
      </c>
      <c r="AE441" s="163">
        <f t="shared" si="165"/>
        <v>0.17494492849622822</v>
      </c>
    </row>
    <row r="442" spans="26:31" x14ac:dyDescent="0.2">
      <c r="Z442" s="164">
        <v>392</v>
      </c>
      <c r="AA442" s="163">
        <f t="shared" si="165"/>
        <v>0.12953965865009298</v>
      </c>
      <c r="AB442" s="163">
        <f t="shared" si="165"/>
        <v>0.12239441474493236</v>
      </c>
      <c r="AC442" s="163">
        <f t="shared" si="165"/>
        <v>0.20704945159211524</v>
      </c>
      <c r="AD442" s="163">
        <f t="shared" si="165"/>
        <v>0.19601590839914307</v>
      </c>
      <c r="AE442" s="163">
        <f t="shared" si="165"/>
        <v>0.17405349082043847</v>
      </c>
    </row>
    <row r="443" spans="26:31" x14ac:dyDescent="0.2">
      <c r="Z443" s="164">
        <v>393</v>
      </c>
      <c r="AA443" s="163">
        <f t="shared" si="165"/>
        <v>0.12888126246727327</v>
      </c>
      <c r="AB443" s="163">
        <f t="shared" si="165"/>
        <v>0.12177233486371092</v>
      </c>
      <c r="AC443" s="163">
        <f t="shared" si="165"/>
        <v>0.20599710538398305</v>
      </c>
      <c r="AD443" s="163">
        <f t="shared" si="165"/>
        <v>0.19501964109994827</v>
      </c>
      <c r="AE443" s="163">
        <f t="shared" si="165"/>
        <v>0.1731688493511247</v>
      </c>
    </row>
    <row r="444" spans="26:31" x14ac:dyDescent="0.2">
      <c r="Z444" s="164">
        <v>394</v>
      </c>
      <c r="AA444" s="163">
        <f t="shared" si="165"/>
        <v>0.12822787308876735</v>
      </c>
      <c r="AB444" s="163">
        <f t="shared" si="165"/>
        <v>0.12115498561780311</v>
      </c>
      <c r="AC444" s="163">
        <f t="shared" si="165"/>
        <v>0.20495276179140659</v>
      </c>
      <c r="AD444" s="163">
        <f t="shared" si="165"/>
        <v>0.19403094996164499</v>
      </c>
      <c r="AE444" s="163">
        <f t="shared" si="165"/>
        <v>0.1722909351789009</v>
      </c>
    </row>
    <row r="445" spans="26:31" x14ac:dyDescent="0.2">
      <c r="Z445" s="164">
        <v>395</v>
      </c>
      <c r="AA445" s="163">
        <f t="shared" si="165"/>
        <v>0.12757943987699336</v>
      </c>
      <c r="AB445" s="163">
        <f t="shared" si="165"/>
        <v>0.12054231916273216</v>
      </c>
      <c r="AC445" s="163">
        <f t="shared" si="165"/>
        <v>0.20391633987790928</v>
      </c>
      <c r="AD445" s="163">
        <f t="shared" si="165"/>
        <v>0.19304975836081342</v>
      </c>
      <c r="AE445" s="163">
        <f t="shared" si="165"/>
        <v>0.1714196802655463</v>
      </c>
    </row>
    <row r="446" spans="26:31" x14ac:dyDescent="0.2">
      <c r="Z446" s="164">
        <v>396</v>
      </c>
      <c r="AA446" s="163">
        <f t="shared" si="165"/>
        <v>0.12693591283292446</v>
      </c>
      <c r="AB446" s="163">
        <f t="shared" si="165"/>
        <v>0.11993428825735439</v>
      </c>
      <c r="AC446" s="163">
        <f t="shared" si="165"/>
        <v>0.20288775972764769</v>
      </c>
      <c r="AD446" s="163">
        <f t="shared" si="165"/>
        <v>0.19207599064027855</v>
      </c>
      <c r="AE446" s="163">
        <f t="shared" si="165"/>
        <v>0.17055501743082249</v>
      </c>
    </row>
    <row r="447" spans="26:31" x14ac:dyDescent="0.2">
      <c r="Z447" s="164">
        <v>397</v>
      </c>
      <c r="AA447" s="163">
        <f t="shared" si="165"/>
        <v>0.12629724258645059</v>
      </c>
      <c r="AB447" s="163">
        <f t="shared" si="165"/>
        <v>0.11933084625475249</v>
      </c>
      <c r="AC447" s="163">
        <f t="shared" si="165"/>
        <v>0.20186694243000591</v>
      </c>
      <c r="AD447" s="163">
        <f t="shared" si="165"/>
        <v>0.1911095720945245</v>
      </c>
      <c r="AE447" s="163">
        <f t="shared" si="165"/>
        <v>0.1696968803395229</v>
      </c>
    </row>
    <row r="448" spans="26:31" x14ac:dyDescent="0.2">
      <c r="Z448" s="164">
        <v>398</v>
      </c>
      <c r="AA448" s="163">
        <f t="shared" si="165"/>
        <v>0.12566338038690872</v>
      </c>
      <c r="AB448" s="163">
        <f t="shared" si="165"/>
        <v>0.11873194709328855</v>
      </c>
      <c r="AC448" s="163">
        <f t="shared" si="165"/>
        <v>0.20085381006446049</v>
      </c>
      <c r="AD448" s="163">
        <f t="shared" si="165"/>
        <v>0.1901504289553668</v>
      </c>
      <c r="AE448" s="163">
        <f t="shared" si="165"/>
        <v>0.16884520348874943</v>
      </c>
    </row>
    <row r="449" spans="26:31" x14ac:dyDescent="0.2">
      <c r="Z449" s="164">
        <v>399</v>
      </c>
      <c r="AA449" s="163">
        <f t="shared" si="165"/>
        <v>0.12503427809378012</v>
      </c>
      <c r="AB449" s="163">
        <f t="shared" si="165"/>
        <v>0.11813754528781405</v>
      </c>
      <c r="AC449" s="163">
        <f t="shared" si="165"/>
        <v>0.19984828568571053</v>
      </c>
      <c r="AD449" s="163">
        <f t="shared" si="165"/>
        <v>0.18919848837787395</v>
      </c>
      <c r="AE449" s="163">
        <f t="shared" si="165"/>
        <v>0.16799992219541249</v>
      </c>
    </row>
    <row r="450" spans="26:31" x14ac:dyDescent="0.2">
      <c r="Z450" s="164">
        <v>400</v>
      </c>
      <c r="AA450" s="163">
        <f t="shared" si="165"/>
        <v>0.1244098881675493</v>
      </c>
      <c r="AB450" s="163">
        <f t="shared" si="165"/>
        <v>0.11754759592103302</v>
      </c>
      <c r="AC450" s="163">
        <f t="shared" si="165"/>
        <v>0.19885029330906745</v>
      </c>
      <c r="AD450" s="163">
        <f t="shared" si="165"/>
        <v>0.18825367842653704</v>
      </c>
      <c r="AE450" s="163">
        <f t="shared" si="165"/>
        <v>0.16716097258394916</v>
      </c>
    </row>
    <row r="451" spans="26:31" x14ac:dyDescent="0.2">
      <c r="Z451" s="164">
        <v>401</v>
      </c>
      <c r="AA451" s="163">
        <f t="shared" ref="AA451:AE460" si="166">IF(($Z451/AA$11)&lt;AA$15,0.85*(AA$12-AA$13*($Z451/AA$11)),(0.85*(PI())^2*(10100)/(($Z451/AA$11)^2)))/AA$16</f>
        <v>0.12379016366072278</v>
      </c>
      <c r="AB451" s="163">
        <f t="shared" si="166"/>
        <v>0.11696205463501651</v>
      </c>
      <c r="AC451" s="163">
        <f t="shared" si="166"/>
        <v>0.19785975789610014</v>
      </c>
      <c r="AD451" s="163">
        <f t="shared" si="166"/>
        <v>0.18731592806167821</v>
      </c>
      <c r="AE451" s="163">
        <f t="shared" si="166"/>
        <v>0.16632829157425555</v>
      </c>
    </row>
    <row r="452" spans="26:31" x14ac:dyDescent="0.2">
      <c r="Z452" s="164">
        <v>402</v>
      </c>
      <c r="AA452" s="163">
        <f t="shared" si="166"/>
        <v>0.123175058209004</v>
      </c>
      <c r="AB452" s="163">
        <f t="shared" si="166"/>
        <v>0.1163808776228638</v>
      </c>
      <c r="AC452" s="163">
        <f t="shared" si="166"/>
        <v>0.1968766053405287</v>
      </c>
      <c r="AD452" s="163">
        <f t="shared" si="166"/>
        <v>0.18638516712609787</v>
      </c>
      <c r="AE452" s="163">
        <f t="shared" si="166"/>
        <v>0.16550181686982912</v>
      </c>
    </row>
    <row r="453" spans="26:31" x14ac:dyDescent="0.2">
      <c r="Z453" s="164">
        <v>403</v>
      </c>
      <c r="AA453" s="163">
        <f t="shared" si="166"/>
        <v>0.12256452602262122</v>
      </c>
      <c r="AB453" s="163">
        <f t="shared" si="166"/>
        <v>0.11580402162050922</v>
      </c>
      <c r="AC453" s="163">
        <f t="shared" si="166"/>
        <v>0.19590076245436397</v>
      </c>
      <c r="AD453" s="163">
        <f t="shared" si="166"/>
        <v>0.1854613263319515</v>
      </c>
      <c r="AE453" s="163">
        <f t="shared" si="166"/>
        <v>0.1646814869461167</v>
      </c>
    </row>
    <row r="454" spans="26:31" x14ac:dyDescent="0.2">
      <c r="Z454" s="164">
        <v>404</v>
      </c>
      <c r="AA454" s="163">
        <f t="shared" si="166"/>
        <v>0.12195852187780541</v>
      </c>
      <c r="AB454" s="163">
        <f t="shared" si="166"/>
        <v>0.11523144389866977</v>
      </c>
      <c r="AC454" s="163">
        <f t="shared" si="166"/>
        <v>0.19493215695428628</v>
      </c>
      <c r="AD454" s="163">
        <f t="shared" si="166"/>
        <v>0.18454433724785513</v>
      </c>
      <c r="AE454" s="163">
        <f t="shared" si="166"/>
        <v>0.16386724103906397</v>
      </c>
    </row>
    <row r="455" spans="26:31" x14ac:dyDescent="0.2">
      <c r="Z455" s="164">
        <v>405</v>
      </c>
      <c r="AA455" s="163">
        <f t="shared" si="166"/>
        <v>0.12135700110841571</v>
      </c>
      <c r="AB455" s="163">
        <f t="shared" si="166"/>
        <v>0.11466310225493238</v>
      </c>
      <c r="AC455" s="163">
        <f t="shared" si="166"/>
        <v>0.19397071744825975</v>
      </c>
      <c r="AD455" s="163">
        <f t="shared" si="166"/>
        <v>0.18363413228621195</v>
      </c>
      <c r="AE455" s="163">
        <f t="shared" si="166"/>
        <v>0.16305901913386292</v>
      </c>
    </row>
    <row r="456" spans="26:31" x14ac:dyDescent="0.2">
      <c r="Z456" s="164">
        <v>406</v>
      </c>
      <c r="AA456" s="163">
        <f t="shared" si="166"/>
        <v>0.12075991959770856</v>
      </c>
      <c r="AB456" s="163">
        <f t="shared" si="166"/>
        <v>0.11409895500597733</v>
      </c>
      <c r="AC456" s="163">
        <f t="shared" si="166"/>
        <v>0.19301637342237615</v>
      </c>
      <c r="AD456" s="163">
        <f t="shared" si="166"/>
        <v>0.18273064469075884</v>
      </c>
      <c r="AE456" s="163">
        <f t="shared" si="166"/>
        <v>0.16225676195389277</v>
      </c>
    </row>
    <row r="457" spans="26:31" x14ac:dyDescent="0.2">
      <c r="Z457" s="164">
        <v>407</v>
      </c>
      <c r="AA457" s="163">
        <f t="shared" si="166"/>
        <v>0.12016723377024845</v>
      </c>
      <c r="AB457" s="163">
        <f t="shared" si="166"/>
        <v>0.11353896097993518</v>
      </c>
      <c r="AC457" s="163">
        <f t="shared" si="166"/>
        <v>0.19206905522792653</v>
      </c>
      <c r="AD457" s="163">
        <f t="shared" si="166"/>
        <v>0.18183380852432504</v>
      </c>
      <c r="AE457" s="163">
        <f t="shared" si="166"/>
        <v>0.16146041094985092</v>
      </c>
    </row>
    <row r="458" spans="26:31" x14ac:dyDescent="0.2">
      <c r="Z458" s="164">
        <v>408</v>
      </c>
      <c r="AA458" s="163">
        <f t="shared" si="166"/>
        <v>0.11957890058395741</v>
      </c>
      <c r="AB458" s="163">
        <f t="shared" si="166"/>
        <v>0.1129830795088745</v>
      </c>
      <c r="AC458" s="163">
        <f t="shared" si="166"/>
        <v>0.19112869406869229</v>
      </c>
      <c r="AD458" s="163">
        <f t="shared" si="166"/>
        <v>0.18094355865680214</v>
      </c>
      <c r="AE458" s="163">
        <f t="shared" si="166"/>
        <v>0.16066990828907066</v>
      </c>
    </row>
    <row r="459" spans="26:31" x14ac:dyDescent="0.2">
      <c r="Z459" s="164">
        <v>409</v>
      </c>
      <c r="AA459" s="163">
        <f t="shared" si="166"/>
        <v>0.11899487752230015</v>
      </c>
      <c r="AB459" s="163">
        <f t="shared" si="166"/>
        <v>0.11243127042141836</v>
      </c>
      <c r="AC459" s="163">
        <f t="shared" si="166"/>
        <v>0.19019522198845529</v>
      </c>
      <c r="AD459" s="163">
        <f t="shared" si="166"/>
        <v>0.18005983075331877</v>
      </c>
      <c r="AE459" s="163">
        <f t="shared" si="166"/>
        <v>0.15988519684502045</v>
      </c>
    </row>
    <row r="460" spans="26:31" x14ac:dyDescent="0.2">
      <c r="Z460" s="164">
        <v>410</v>
      </c>
      <c r="AA460" s="163">
        <f t="shared" si="166"/>
        <v>0.11841512258660254</v>
      </c>
      <c r="AB460" s="163">
        <f t="shared" si="166"/>
        <v>0.11188349403548654</v>
      </c>
      <c r="AC460" s="163">
        <f t="shared" si="166"/>
        <v>0.18926857185871981</v>
      </c>
      <c r="AD460" s="163">
        <f t="shared" si="166"/>
        <v>0.17918256126261695</v>
      </c>
      <c r="AE460" s="163">
        <f t="shared" si="166"/>
        <v>0.15910622018698312</v>
      </c>
    </row>
    <row r="461" spans="26:31" x14ac:dyDescent="0.2">
      <c r="Z461" s="164">
        <v>411</v>
      </c>
      <c r="AA461" s="163">
        <f t="shared" ref="AA461:AE470" si="167">IF(($Z461/AA$11)&lt;AA$15,0.85*(AA$12-AA$13*($Z461/AA$11)),(0.85*(PI())^2*(10100)/(($Z461/AA$11)^2)))/AA$16</f>
        <v>0.11783959428850106</v>
      </c>
      <c r="AB461" s="163">
        <f t="shared" si="167"/>
        <v>0.11133971115116109</v>
      </c>
      <c r="AC461" s="163">
        <f t="shared" si="167"/>
        <v>0.18834867736664351</v>
      </c>
      <c r="AD461" s="163">
        <f t="shared" si="167"/>
        <v>0.17831168740562703</v>
      </c>
      <c r="AE461" s="163">
        <f t="shared" si="167"/>
        <v>0.15833292256991055</v>
      </c>
    </row>
    <row r="462" spans="26:31" x14ac:dyDescent="0.2">
      <c r="Z462" s="164">
        <v>412</v>
      </c>
      <c r="AA462" s="163">
        <f t="shared" si="167"/>
        <v>0.11726825164251983</v>
      </c>
      <c r="AB462" s="163">
        <f t="shared" si="167"/>
        <v>0.11079988304367332</v>
      </c>
      <c r="AC462" s="163">
        <f t="shared" si="167"/>
        <v>0.18743547300317417</v>
      </c>
      <c r="AD462" s="163">
        <f t="shared" si="167"/>
        <v>0.17744714716423504</v>
      </c>
      <c r="AE462" s="163">
        <f t="shared" si="167"/>
        <v>0.15756524892445009</v>
      </c>
    </row>
    <row r="463" spans="26:31" x14ac:dyDescent="0.2">
      <c r="Z463" s="164">
        <v>413</v>
      </c>
      <c r="AA463" s="163">
        <f t="shared" si="167"/>
        <v>0.11670105415877378</v>
      </c>
      <c r="AB463" s="163">
        <f t="shared" si="167"/>
        <v>0.110263971456509</v>
      </c>
      <c r="AC463" s="163">
        <f t="shared" si="167"/>
        <v>0.18652889405138562</v>
      </c>
      <c r="AD463" s="163">
        <f t="shared" si="167"/>
        <v>0.17658887927024206</v>
      </c>
      <c r="AE463" s="163">
        <f t="shared" si="167"/>
        <v>0.15680314484714025</v>
      </c>
    </row>
    <row r="464" spans="26:31" x14ac:dyDescent="0.2">
      <c r="Z464" s="164">
        <v>414</v>
      </c>
      <c r="AA464" s="163">
        <f t="shared" si="167"/>
        <v>0.11613796183579481</v>
      </c>
      <c r="AB464" s="163">
        <f t="shared" si="167"/>
        <v>0.10973193859463048</v>
      </c>
      <c r="AC464" s="163">
        <f t="shared" si="167"/>
        <v>0.18562887657501217</v>
      </c>
      <c r="AD464" s="163">
        <f t="shared" si="167"/>
        <v>0.17573682319450809</v>
      </c>
      <c r="AE464" s="163">
        <f t="shared" si="167"/>
        <v>0.15604655659077143</v>
      </c>
    </row>
    <row r="465" spans="26:31" x14ac:dyDescent="0.2">
      <c r="Z465" s="164">
        <v>415</v>
      </c>
      <c r="AA465" s="163">
        <f t="shared" si="167"/>
        <v>0.11557893515347879</v>
      </c>
      <c r="AB465" s="163">
        <f t="shared" si="167"/>
        <v>0.10920374711781264</v>
      </c>
      <c r="AC465" s="163">
        <f t="shared" si="167"/>
        <v>0.1847353574071755</v>
      </c>
      <c r="AD465" s="163">
        <f t="shared" si="167"/>
        <v>0.17489091913628058</v>
      </c>
      <c r="AE465" s="163">
        <f t="shared" si="167"/>
        <v>0.15529543105490992</v>
      </c>
    </row>
    <row r="466" spans="26:31" x14ac:dyDescent="0.2">
      <c r="Z466" s="164">
        <v>416</v>
      </c>
      <c r="AA466" s="163">
        <f t="shared" si="167"/>
        <v>0.11502393506615136</v>
      </c>
      <c r="AB466" s="163">
        <f t="shared" si="167"/>
        <v>0.10867936013409119</v>
      </c>
      <c r="AC466" s="163">
        <f t="shared" si="167"/>
        <v>0.18384827413930055</v>
      </c>
      <c r="AD466" s="163">
        <f t="shared" si="167"/>
        <v>0.1740511080127006</v>
      </c>
      <c r="AE466" s="163">
        <f t="shared" si="167"/>
        <v>0.15454971577658022</v>
      </c>
    </row>
    <row r="467" spans="26:31" x14ac:dyDescent="0.2">
      <c r="Z467" s="164">
        <v>417</v>
      </c>
      <c r="AA467" s="163">
        <f t="shared" si="167"/>
        <v>0.1144729229957495</v>
      </c>
      <c r="AB467" s="163">
        <f t="shared" si="167"/>
        <v>0.10815874119332036</v>
      </c>
      <c r="AC467" s="163">
        <f t="shared" si="167"/>
        <v>0.18296756511021858</v>
      </c>
      <c r="AD467" s="163">
        <f t="shared" si="167"/>
        <v>0.17321733144848681</v>
      </c>
      <c r="AE467" s="163">
        <f t="shared" si="167"/>
        <v>0.15380935892110409</v>
      </c>
    </row>
    <row r="468" spans="26:31" x14ac:dyDescent="0.2">
      <c r="Z468" s="164">
        <v>418</v>
      </c>
      <c r="AA468" s="163">
        <f t="shared" si="167"/>
        <v>0.11392586082511784</v>
      </c>
      <c r="AB468" s="163">
        <f t="shared" si="167"/>
        <v>0.10764185428083886</v>
      </c>
      <c r="AC468" s="163">
        <f t="shared" si="167"/>
        <v>0.18209316939545109</v>
      </c>
      <c r="AD468" s="163">
        <f t="shared" si="167"/>
        <v>0.17238953176579014</v>
      </c>
      <c r="AE468" s="163">
        <f t="shared" si="167"/>
        <v>0.15307430927309282</v>
      </c>
    </row>
    <row r="469" spans="26:31" x14ac:dyDescent="0.2">
      <c r="Z469" s="164">
        <v>419</v>
      </c>
      <c r="AA469" s="163">
        <f t="shared" si="167"/>
        <v>0.11338271089141601</v>
      </c>
      <c r="AB469" s="163">
        <f t="shared" si="167"/>
        <v>0.107128663811241</v>
      </c>
      <c r="AC469" s="163">
        <f t="shared" si="167"/>
        <v>0.18122502679667349</v>
      </c>
      <c r="AD469" s="163">
        <f t="shared" si="167"/>
        <v>0.17156765197421936</v>
      </c>
      <c r="AE469" s="163">
        <f t="shared" si="167"/>
        <v>0.15234451622758965</v>
      </c>
    </row>
    <row r="470" spans="26:31" x14ac:dyDescent="0.2">
      <c r="Z470" s="164">
        <v>420</v>
      </c>
      <c r="AA470" s="163">
        <f t="shared" si="167"/>
        <v>0.11284343597963653</v>
      </c>
      <c r="AB470" s="163">
        <f t="shared" si="167"/>
        <v>0.10661913462225217</v>
      </c>
      <c r="AC470" s="163">
        <f t="shared" si="167"/>
        <v>0.18036307783135372</v>
      </c>
      <c r="AD470" s="163">
        <f t="shared" si="167"/>
        <v>0.17075163576103128</v>
      </c>
      <c r="AE470" s="163">
        <f t="shared" si="167"/>
        <v>0.1516199297813598</v>
      </c>
    </row>
    <row r="471" spans="26:31" x14ac:dyDescent="0.2">
      <c r="Z471" s="164">
        <v>421</v>
      </c>
      <c r="AA471" s="163">
        <f t="shared" ref="AA471:AE480" si="168">IF(($Z471/AA$11)&lt;AA$15,0.85*(AA$12-AA$13*($Z471/AA$11)),(0.85*(PI())^2*(10100)/(($Z471/AA$11)^2)))/AA$16</f>
        <v>0.1123079993162298</v>
      </c>
      <c r="AB471" s="163">
        <f t="shared" si="168"/>
        <v>0.10611323196870523</v>
      </c>
      <c r="AC471" s="163">
        <f t="shared" si="168"/>
        <v>0.17950726372256307</v>
      </c>
      <c r="AD471" s="163">
        <f t="shared" si="168"/>
        <v>0.16994142748148522</v>
      </c>
      <c r="AE471" s="163">
        <f t="shared" si="168"/>
        <v>0.15090050052432491</v>
      </c>
    </row>
    <row r="472" spans="26:31" x14ac:dyDescent="0.2">
      <c r="Z472" s="164">
        <v>422</v>
      </c>
      <c r="AA472" s="163">
        <f t="shared" si="168"/>
        <v>0.11177636456283491</v>
      </c>
      <c r="AB472" s="163">
        <f t="shared" si="168"/>
        <v>0.10561092151661737</v>
      </c>
      <c r="AC472" s="163">
        <f t="shared" si="168"/>
        <v>0.17865752638895574</v>
      </c>
      <c r="AD472" s="163">
        <f t="shared" si="168"/>
        <v>0.169136972149356</v>
      </c>
      <c r="AE472" s="163">
        <f t="shared" si="168"/>
        <v>0.15018617963113964</v>
      </c>
    </row>
    <row r="473" spans="26:31" x14ac:dyDescent="0.2">
      <c r="Z473" s="164">
        <v>423</v>
      </c>
      <c r="AA473" s="163">
        <f t="shared" si="168"/>
        <v>0.11124849581011402</v>
      </c>
      <c r="AB473" s="163">
        <f t="shared" si="168"/>
        <v>0.10511216933736443</v>
      </c>
      <c r="AC473" s="163">
        <f t="shared" si="168"/>
        <v>0.17781380843491437</v>
      </c>
      <c r="AD473" s="163">
        <f t="shared" si="168"/>
        <v>0.16833821542760491</v>
      </c>
      <c r="AE473" s="163">
        <f t="shared" si="168"/>
        <v>0.14947691885290734</v>
      </c>
    </row>
    <row r="474" spans="26:31" x14ac:dyDescent="0.2">
      <c r="Z474" s="164">
        <v>424</v>
      </c>
      <c r="AA474" s="163">
        <f t="shared" si="168"/>
        <v>0.11072435757168858</v>
      </c>
      <c r="AB474" s="163">
        <f t="shared" si="168"/>
        <v>0.10461694190195178</v>
      </c>
      <c r="AC474" s="163">
        <f t="shared" si="168"/>
        <v>0.17697605314085751</v>
      </c>
      <c r="AD474" s="163">
        <f t="shared" si="168"/>
        <v>0.16754510361920341</v>
      </c>
      <c r="AE474" s="163">
        <f t="shared" si="168"/>
        <v>0.14877267050903267</v>
      </c>
    </row>
    <row r="475" spans="26:31" x14ac:dyDescent="0.2">
      <c r="Z475" s="164">
        <v>425</v>
      </c>
      <c r="AA475" s="163">
        <f t="shared" si="168"/>
        <v>0.11020391477817516</v>
      </c>
      <c r="AB475" s="163">
        <f t="shared" si="168"/>
        <v>0.10412520607537873</v>
      </c>
      <c r="AC475" s="163">
        <f t="shared" si="168"/>
        <v>0.17614420445370688</v>
      </c>
      <c r="AD475" s="163">
        <f t="shared" si="168"/>
        <v>0.16675758365810886</v>
      </c>
      <c r="AE475" s="163">
        <f t="shared" si="168"/>
        <v>0.14807338747920754</v>
      </c>
    </row>
    <row r="476" spans="26:31" x14ac:dyDescent="0.2">
      <c r="Z476" s="164">
        <v>426</v>
      </c>
      <c r="AA476" s="163">
        <f t="shared" si="168"/>
        <v>0.10968713277131899</v>
      </c>
      <c r="AB476" s="163">
        <f t="shared" si="168"/>
        <v>0.10363692911109615</v>
      </c>
      <c r="AC476" s="163">
        <f t="shared" si="168"/>
        <v>0.17531820697751102</v>
      </c>
      <c r="AD476" s="163">
        <f t="shared" si="168"/>
        <v>0.16597560310038748</v>
      </c>
      <c r="AE476" s="163">
        <f t="shared" si="168"/>
        <v>0.14737902319552923</v>
      </c>
    </row>
    <row r="477" spans="26:31" x14ac:dyDescent="0.2">
      <c r="Z477" s="164">
        <v>427</v>
      </c>
      <c r="AA477" s="163">
        <f t="shared" si="168"/>
        <v>0.10917397729822401</v>
      </c>
      <c r="AB477" s="163">
        <f t="shared" si="168"/>
        <v>0.1031520786455544</v>
      </c>
      <c r="AC477" s="163">
        <f t="shared" si="168"/>
        <v>0.17449800596422294</v>
      </c>
      <c r="AD477" s="163">
        <f t="shared" si="168"/>
        <v>0.16519911011548305</v>
      </c>
      <c r="AE477" s="163">
        <f t="shared" si="168"/>
        <v>0.14668953163474743</v>
      </c>
    </row>
    <row r="478" spans="26:31" x14ac:dyDescent="0.2">
      <c r="Z478" s="164">
        <v>428</v>
      </c>
      <c r="AA478" s="163">
        <f t="shared" si="168"/>
        <v>0.10866441450567675</v>
      </c>
      <c r="AB478" s="163">
        <f t="shared" si="168"/>
        <v>0.10267062269284044</v>
      </c>
      <c r="AC478" s="163">
        <f t="shared" si="168"/>
        <v>0.17368354730462701</v>
      </c>
      <c r="AD478" s="163">
        <f t="shared" si="168"/>
        <v>0.16442805347762859</v>
      </c>
      <c r="AE478" s="163">
        <f t="shared" si="168"/>
        <v>0.14600486731063772</v>
      </c>
    </row>
    <row r="479" spans="26:31" x14ac:dyDescent="0.2">
      <c r="Z479" s="164">
        <v>429</v>
      </c>
      <c r="AA479" s="163">
        <f t="shared" si="168"/>
        <v>0.10815841093456288</v>
      </c>
      <c r="AB479" s="163">
        <f t="shared" si="168"/>
        <v>0.10219252963940255</v>
      </c>
      <c r="AC479" s="163">
        <f t="shared" si="168"/>
        <v>0.1728747775194158</v>
      </c>
      <c r="AD479" s="163">
        <f t="shared" si="168"/>
        <v>0.16366238255739707</v>
      </c>
      <c r="AE479" s="163">
        <f t="shared" si="168"/>
        <v>0.14532498526649967</v>
      </c>
    </row>
    <row r="480" spans="26:31" x14ac:dyDescent="0.2">
      <c r="Z480" s="164">
        <v>430</v>
      </c>
      <c r="AA480" s="163">
        <f t="shared" si="168"/>
        <v>0.10765593351437473</v>
      </c>
      <c r="AB480" s="163">
        <f t="shared" si="168"/>
        <v>0.10171776823886039</v>
      </c>
      <c r="AC480" s="163">
        <f t="shared" si="168"/>
        <v>0.17207164375040992</v>
      </c>
      <c r="AD480" s="163">
        <f t="shared" si="168"/>
        <v>0.16290204731339061</v>
      </c>
      <c r="AE480" s="163">
        <f t="shared" si="168"/>
        <v>0.14464984106777642</v>
      </c>
    </row>
    <row r="481" spans="26:31" x14ac:dyDescent="0.2">
      <c r="Z481" s="164">
        <v>431</v>
      </c>
      <c r="AA481" s="163">
        <f t="shared" ref="AA481:AE490" si="169">IF(($Z481/AA$11)&lt;AA$15,0.85*(AA$12-AA$13*($Z481/AA$11)),(0.85*(PI())^2*(10100)/(($Z481/AA$11)^2)))/AA$16</f>
        <v>0.10715694955780754</v>
      </c>
      <c r="AB481" s="163">
        <f t="shared" si="169"/>
        <v>0.10124630760689964</v>
      </c>
      <c r="AC481" s="163">
        <f t="shared" si="169"/>
        <v>0.17127409375192204</v>
      </c>
      <c r="AD481" s="163">
        <f t="shared" si="169"/>
        <v>0.16214699828406348</v>
      </c>
      <c r="AE481" s="163">
        <f t="shared" si="169"/>
        <v>0.14397939079479471</v>
      </c>
    </row>
    <row r="482" spans="26:31" x14ac:dyDescent="0.2">
      <c r="Z482" s="164">
        <v>432</v>
      </c>
      <c r="AA482" s="163">
        <f t="shared" si="169"/>
        <v>0.1066614267554435</v>
      </c>
      <c r="AB482" s="163">
        <f t="shared" si="169"/>
        <v>0.10077811721624916</v>
      </c>
      <c r="AC482" s="163">
        <f t="shared" si="169"/>
        <v>0.1704820758822595</v>
      </c>
      <c r="AD482" s="163">
        <f t="shared" si="169"/>
        <v>0.1613971865796785</v>
      </c>
      <c r="AE482" s="163">
        <f t="shared" si="169"/>
        <v>0.14331359103562172</v>
      </c>
    </row>
    <row r="483" spans="26:31" x14ac:dyDescent="0.2">
      <c r="Z483" s="164">
        <v>433</v>
      </c>
      <c r="AA483" s="163">
        <f t="shared" si="169"/>
        <v>0.10616933317052139</v>
      </c>
      <c r="AB483" s="163">
        <f t="shared" si="169"/>
        <v>0.10031316689173916</v>
      </c>
      <c r="AC483" s="163">
        <f t="shared" si="169"/>
        <v>0.1696955390953645</v>
      </c>
      <c r="AD483" s="163">
        <f t="shared" si="169"/>
        <v>0.1606525638743922</v>
      </c>
      <c r="AE483" s="163">
        <f t="shared" si="169"/>
        <v>0.14265239887903752</v>
      </c>
    </row>
    <row r="484" spans="26:31" x14ac:dyDescent="0.2">
      <c r="Z484" s="164">
        <v>434</v>
      </c>
      <c r="AA484" s="163">
        <f t="shared" si="169"/>
        <v>0.10568063723379076</v>
      </c>
      <c r="AB484" s="163">
        <f t="shared" si="169"/>
        <v>9.9851426805439084E-2</v>
      </c>
      <c r="AC484" s="163">
        <f t="shared" si="169"/>
        <v>0.16891443293258937</v>
      </c>
      <c r="AD484" s="163">
        <f t="shared" si="169"/>
        <v>0.15991308239846844</v>
      </c>
      <c r="AE484" s="163">
        <f t="shared" si="169"/>
        <v>0.14199577190762103</v>
      </c>
    </row>
    <row r="485" spans="26:31" x14ac:dyDescent="0.2">
      <c r="Z485" s="164">
        <v>435</v>
      </c>
      <c r="AA485" s="163">
        <f t="shared" si="169"/>
        <v>0.10519530773844835</v>
      </c>
      <c r="AB485" s="163">
        <f t="shared" si="169"/>
        <v>9.9392867471873619E-2</v>
      </c>
      <c r="AC485" s="163">
        <f t="shared" si="169"/>
        <v>0.16813870751460322</v>
      </c>
      <c r="AD485" s="163">
        <f t="shared" si="169"/>
        <v>0.15917869493061654</v>
      </c>
      <c r="AE485" s="163">
        <f t="shared" si="169"/>
        <v>0.14134366819094657</v>
      </c>
    </row>
    <row r="486" spans="26:31" x14ac:dyDescent="0.2">
      <c r="Z486" s="164">
        <v>436</v>
      </c>
      <c r="AA486" s="163">
        <f t="shared" si="169"/>
        <v>0.10471331383515639</v>
      </c>
      <c r="AB486" s="163">
        <f t="shared" si="169"/>
        <v>9.8937459743315401E-2</v>
      </c>
      <c r="AC486" s="163">
        <f t="shared" si="169"/>
        <v>0.1673683135334294</v>
      </c>
      <c r="AD486" s="163">
        <f t="shared" si="169"/>
        <v>0.15844935479045283</v>
      </c>
      <c r="AE486" s="163">
        <f t="shared" si="169"/>
        <v>0.14069604627888996</v>
      </c>
    </row>
    <row r="487" spans="26:31" x14ac:dyDescent="0.2">
      <c r="Z487" s="164">
        <v>437</v>
      </c>
      <c r="AA487" s="163">
        <f t="shared" si="169"/>
        <v>0.10423462502713995</v>
      </c>
      <c r="AB487" s="163">
        <f t="shared" si="169"/>
        <v>9.8485174805153106E-2</v>
      </c>
      <c r="AC487" s="163">
        <f t="shared" si="169"/>
        <v>0.16660320224460934</v>
      </c>
      <c r="AD487" s="163">
        <f t="shared" si="169"/>
        <v>0.15772501583108209</v>
      </c>
      <c r="AE487" s="163">
        <f t="shared" si="169"/>
        <v>0.14005286519504143</v>
      </c>
    </row>
    <row r="488" spans="26:31" x14ac:dyDescent="0.2">
      <c r="Z488" s="164">
        <v>438</v>
      </c>
      <c r="AA488" s="163">
        <f t="shared" si="169"/>
        <v>0.10375921116536294</v>
      </c>
      <c r="AB488" s="163">
        <f t="shared" si="169"/>
        <v>9.8035984171333412E-2</v>
      </c>
      <c r="AC488" s="163">
        <f t="shared" si="169"/>
        <v>0.16584332545949201</v>
      </c>
      <c r="AD488" s="163">
        <f t="shared" si="169"/>
        <v>0.15700563243179835</v>
      </c>
      <c r="AE488" s="163">
        <f t="shared" si="169"/>
        <v>0.13941408443022382</v>
      </c>
    </row>
    <row r="489" spans="26:31" x14ac:dyDescent="0.2">
      <c r="Z489" s="164">
        <v>439</v>
      </c>
      <c r="AA489" s="163">
        <f t="shared" si="169"/>
        <v>0.10328704244378083</v>
      </c>
      <c r="AB489" s="163">
        <f t="shared" si="169"/>
        <v>9.758985967987549E-2</v>
      </c>
      <c r="AC489" s="163">
        <f t="shared" si="169"/>
        <v>0.16508863553764666</v>
      </c>
      <c r="AD489" s="163">
        <f t="shared" si="169"/>
        <v>0.15629115949090092</v>
      </c>
      <c r="AE489" s="163">
        <f t="shared" si="169"/>
        <v>0.13877966393611416</v>
      </c>
    </row>
    <row r="490" spans="26:31" x14ac:dyDescent="0.2">
      <c r="Z490" s="164">
        <v>440</v>
      </c>
      <c r="AA490" s="163">
        <f t="shared" si="169"/>
        <v>0.10281808939466881</v>
      </c>
      <c r="AB490" s="163">
        <f t="shared" si="169"/>
        <v>9.7146773488457031E-2</v>
      </c>
      <c r="AC490" s="163">
        <f t="shared" si="169"/>
        <v>0.16433908537939459</v>
      </c>
      <c r="AD490" s="163">
        <f t="shared" si="169"/>
        <v>0.15558155241862562</v>
      </c>
      <c r="AE490" s="163">
        <f t="shared" si="169"/>
        <v>0.1381495641189662</v>
      </c>
    </row>
    <row r="491" spans="26:31" x14ac:dyDescent="0.2">
      <c r="Z491" s="164">
        <v>441</v>
      </c>
      <c r="AA491" s="163">
        <f t="shared" ref="AA491:AE500" si="170">IF(($Z491/AA$11)&lt;AA$15,0.85*(AA$12-AA$13*($Z491/AA$11)),(0.85*(PI())^2*(10100)/(($Z491/AA$11)^2)))/AA$16</f>
        <v>0.1023523228840241</v>
      </c>
      <c r="AB491" s="163">
        <f t="shared" si="170"/>
        <v>9.6706698070069985E-2</v>
      </c>
      <c r="AC491" s="163">
        <f t="shared" si="170"/>
        <v>0.16359462841846145</v>
      </c>
      <c r="AD491" s="163">
        <f t="shared" si="170"/>
        <v>0.15487676713018711</v>
      </c>
      <c r="AE491" s="163">
        <f t="shared" si="170"/>
        <v>0.13752374583343288</v>
      </c>
    </row>
    <row r="492" spans="26:31" x14ac:dyDescent="0.2">
      <c r="Z492" s="164">
        <v>442</v>
      </c>
      <c r="AA492" s="163">
        <f t="shared" si="170"/>
        <v>0.10188971410704063</v>
      </c>
      <c r="AB492" s="163">
        <f t="shared" si="170"/>
        <v>9.6269606208745126E-2</v>
      </c>
      <c r="AC492" s="163">
        <f t="shared" si="170"/>
        <v>0.16285521861474375</v>
      </c>
      <c r="AD492" s="163">
        <f t="shared" si="170"/>
        <v>0.15417676003893205</v>
      </c>
      <c r="AE492" s="163">
        <f t="shared" si="170"/>
        <v>0.13690217037648628</v>
      </c>
    </row>
    <row r="493" spans="26:31" x14ac:dyDescent="0.2">
      <c r="Z493" s="164">
        <v>443</v>
      </c>
      <c r="AA493" s="163">
        <f t="shared" si="170"/>
        <v>0.10143023458365591</v>
      </c>
      <c r="AB493" s="163">
        <f t="shared" si="170"/>
        <v>9.5835470995344119E-2</v>
      </c>
      <c r="AC493" s="163">
        <f t="shared" si="170"/>
        <v>0.16212081044719101</v>
      </c>
      <c r="AD493" s="163">
        <f t="shared" si="170"/>
        <v>0.15348148804959985</v>
      </c>
      <c r="AE493" s="163">
        <f t="shared" si="170"/>
        <v>0.1362847994814336</v>
      </c>
    </row>
    <row r="494" spans="26:31" x14ac:dyDescent="0.2">
      <c r="Z494" s="164">
        <v>444</v>
      </c>
      <c r="AA494" s="163">
        <f t="shared" si="170"/>
        <v>0.10097385615416711</v>
      </c>
      <c r="AB494" s="163">
        <f t="shared" si="170"/>
        <v>9.5404265823417739E-2</v>
      </c>
      <c r="AC494" s="163">
        <f t="shared" si="170"/>
        <v>0.16139135890679937</v>
      </c>
      <c r="AD494" s="163">
        <f t="shared" si="170"/>
        <v>0.15279090855168972</v>
      </c>
      <c r="AE494" s="163">
        <f t="shared" si="170"/>
        <v>0.13567159531202755</v>
      </c>
    </row>
    <row r="495" spans="26:31" x14ac:dyDescent="0.2">
      <c r="Z495" s="164">
        <v>445</v>
      </c>
      <c r="AA495" s="163">
        <f t="shared" si="170"/>
        <v>0.10052055097491673</v>
      </c>
      <c r="AB495" s="163">
        <f t="shared" si="170"/>
        <v>9.4975964385129577E-2</v>
      </c>
      <c r="AC495" s="163">
        <f t="shared" si="170"/>
        <v>0.1606668194897149</v>
      </c>
      <c r="AD495" s="163">
        <f t="shared" si="170"/>
        <v>0.15210497941293233</v>
      </c>
      <c r="AE495" s="163">
        <f t="shared" si="170"/>
        <v>0.13506252045666892</v>
      </c>
    </row>
    <row r="496" spans="26:31" x14ac:dyDescent="0.2">
      <c r="Z496" s="164">
        <v>446</v>
      </c>
      <c r="AA496" s="163">
        <f t="shared" si="170"/>
        <v>0.10007029151404555</v>
      </c>
      <c r="AB496" s="163">
        <f t="shared" si="170"/>
        <v>9.4550540667242874E-2</v>
      </c>
      <c r="AC496" s="163">
        <f t="shared" si="170"/>
        <v>0.15994714819044623</v>
      </c>
      <c r="AD496" s="163">
        <f t="shared" si="170"/>
        <v>0.15142365897286247</v>
      </c>
      <c r="AE496" s="163">
        <f t="shared" si="170"/>
        <v>0.13445753792270035</v>
      </c>
    </row>
    <row r="497" spans="26:31" x14ac:dyDescent="0.2">
      <c r="Z497" s="164">
        <v>447</v>
      </c>
      <c r="AA497" s="163">
        <f t="shared" si="170"/>
        <v>9.9623050547312131E-2</v>
      </c>
      <c r="AB497" s="163">
        <f t="shared" si="170"/>
        <v>9.4127968947170959E-2</v>
      </c>
      <c r="AC497" s="163">
        <f t="shared" si="170"/>
        <v>0.15923230149518189</v>
      </c>
      <c r="AD497" s="163">
        <f t="shared" si="170"/>
        <v>0.15074690603649446</v>
      </c>
      <c r="AE497" s="163">
        <f t="shared" si="170"/>
        <v>0.13385661113078923</v>
      </c>
    </row>
    <row r="498" spans="26:31" x14ac:dyDescent="0.2">
      <c r="Z498" s="164">
        <v>448</v>
      </c>
      <c r="AA498" s="163">
        <f t="shared" si="170"/>
        <v>9.9178801153977439E-2</v>
      </c>
      <c r="AB498" s="163">
        <f t="shared" si="170"/>
        <v>9.3708223789088843E-2</v>
      </c>
      <c r="AC498" s="163">
        <f t="shared" si="170"/>
        <v>0.1585222363752132</v>
      </c>
      <c r="AD498" s="163">
        <f t="shared" si="170"/>
        <v>0.15007467986809389</v>
      </c>
      <c r="AE498" s="163">
        <f t="shared" si="170"/>
        <v>0.13325970390939826</v>
      </c>
    </row>
    <row r="499" spans="26:31" x14ac:dyDescent="0.2">
      <c r="Z499" s="164">
        <v>449</v>
      </c>
      <c r="AA499" s="163">
        <f t="shared" si="170"/>
        <v>9.8737516712753839E-2</v>
      </c>
      <c r="AB499" s="163">
        <f t="shared" si="170"/>
        <v>9.3291280040105368E-2</v>
      </c>
      <c r="AC499" s="163">
        <f t="shared" si="170"/>
        <v>0.15781691028045891</v>
      </c>
      <c r="AD499" s="163">
        <f t="shared" si="170"/>
        <v>0.1494069401850483</v>
      </c>
      <c r="AE499" s="163">
        <f t="shared" si="170"/>
        <v>0.13266678048934216</v>
      </c>
    </row>
    <row r="500" spans="26:31" x14ac:dyDescent="0.2">
      <c r="Z500" s="164">
        <v>450</v>
      </c>
      <c r="AA500" s="163">
        <f t="shared" si="170"/>
        <v>9.8299170897816715E-2</v>
      </c>
      <c r="AB500" s="163">
        <f t="shared" si="170"/>
        <v>9.2877112826495231E-2</v>
      </c>
      <c r="AC500" s="163">
        <f t="shared" si="170"/>
        <v>0.15711628113309037</v>
      </c>
      <c r="AD500" s="163">
        <f t="shared" si="170"/>
        <v>0.14874364715183169</v>
      </c>
      <c r="AE500" s="163">
        <f t="shared" si="170"/>
        <v>0.13207780549842896</v>
      </c>
    </row>
    <row r="501" spans="26:31" x14ac:dyDescent="0.2">
      <c r="Z501" s="164">
        <v>451</v>
      </c>
      <c r="AA501" s="163">
        <f t="shared" ref="AA501:AE510" si="171">IF(($Z501/AA$11)&lt;AA$15,0.85*(AA$12-AA$13*($Z501/AA$11)),(0.85*(PI())^2*(10100)/(($Z501/AA$11)^2)))/AA$16</f>
        <v>9.7863737674878132E-2</v>
      </c>
      <c r="AB501" s="163">
        <f t="shared" si="171"/>
        <v>9.2465697549988859E-2</v>
      </c>
      <c r="AC501" s="163">
        <f t="shared" si="171"/>
        <v>0.15642030732125603</v>
      </c>
      <c r="AD501" s="163">
        <f t="shared" si="171"/>
        <v>0.14808476137406365</v>
      </c>
      <c r="AE501" s="163">
        <f t="shared" si="171"/>
        <v>0.1314927439561844</v>
      </c>
    </row>
    <row r="502" spans="26:31" x14ac:dyDescent="0.2">
      <c r="Z502" s="164">
        <v>452</v>
      </c>
      <c r="AA502" s="163">
        <f t="shared" si="171"/>
        <v>9.7431191297321085E-2</v>
      </c>
      <c r="AB502" s="163">
        <f t="shared" si="171"/>
        <v>9.2057009884120175E-2</v>
      </c>
      <c r="AC502" s="163">
        <f t="shared" si="171"/>
        <v>0.15572894769290271</v>
      </c>
      <c r="AD502" s="163">
        <f t="shared" si="171"/>
        <v>0.14743024389265955</v>
      </c>
      <c r="AE502" s="163">
        <f t="shared" si="171"/>
        <v>0.13091156126865783</v>
      </c>
    </row>
    <row r="503" spans="26:31" x14ac:dyDescent="0.2">
      <c r="Z503" s="164">
        <v>453</v>
      </c>
      <c r="AA503" s="163">
        <f t="shared" si="171"/>
        <v>9.7001506302393611E-2</v>
      </c>
      <c r="AB503" s="163">
        <f t="shared" si="171"/>
        <v>9.1651025770630334E-2</v>
      </c>
      <c r="AC503" s="163">
        <f t="shared" si="171"/>
        <v>0.15504216154969225</v>
      </c>
      <c r="AD503" s="163">
        <f t="shared" si="171"/>
        <v>0.14678005617807172</v>
      </c>
      <c r="AE503" s="163">
        <f t="shared" si="171"/>
        <v>0.13033422322330823</v>
      </c>
    </row>
    <row r="504" spans="26:31" x14ac:dyDescent="0.2">
      <c r="Z504" s="164">
        <v>454</v>
      </c>
      <c r="AA504" s="163">
        <f t="shared" si="171"/>
        <v>9.657465750746129E-2</v>
      </c>
      <c r="AB504" s="163">
        <f t="shared" si="171"/>
        <v>9.1247721415927366E-2</v>
      </c>
      <c r="AC504" s="163">
        <f t="shared" si="171"/>
        <v>0.15435990864101184</v>
      </c>
      <c r="AD504" s="163">
        <f t="shared" si="171"/>
        <v>0.14613416012461874</v>
      </c>
      <c r="AE504" s="163">
        <f t="shared" si="171"/>
        <v>0.12976069598396953</v>
      </c>
    </row>
    <row r="505" spans="26:31" x14ac:dyDescent="0.2">
      <c r="Z505" s="164">
        <v>455</v>
      </c>
      <c r="AA505" s="163">
        <f t="shared" si="171"/>
        <v>9.6150620006317536E-2</v>
      </c>
      <c r="AB505" s="163">
        <f t="shared" si="171"/>
        <v>9.0847073287599486E-2</v>
      </c>
      <c r="AC505" s="163">
        <f t="shared" si="171"/>
        <v>0.15368214915807651</v>
      </c>
      <c r="AD505" s="163">
        <f t="shared" si="171"/>
        <v>0.1454925180449024</v>
      </c>
      <c r="AE505" s="163">
        <f t="shared" si="171"/>
        <v>0.12919094608589232</v>
      </c>
    </row>
    <row r="506" spans="26:31" x14ac:dyDescent="0.2">
      <c r="Z506" s="164">
        <v>456</v>
      </c>
      <c r="AA506" s="163">
        <f t="shared" si="171"/>
        <v>9.5729369165550388E-2</v>
      </c>
      <c r="AB506" s="163">
        <f t="shared" si="171"/>
        <v>9.0449058110982639E-2</v>
      </c>
      <c r="AC506" s="163">
        <f t="shared" si="171"/>
        <v>0.15300884372812212</v>
      </c>
      <c r="AD506" s="163">
        <f t="shared" si="171"/>
        <v>0.14485509266430976</v>
      </c>
      <c r="AE506" s="163">
        <f t="shared" si="171"/>
        <v>0.12862494043086267</v>
      </c>
    </row>
    <row r="507" spans="26:31" x14ac:dyDescent="0.2">
      <c r="Z507" s="164">
        <v>457</v>
      </c>
      <c r="AA507" s="163">
        <f t="shared" si="171"/>
        <v>9.5310880620964836E-2</v>
      </c>
      <c r="AB507" s="163">
        <f t="shared" si="171"/>
        <v>9.0053652865779987E-2</v>
      </c>
      <c r="AC507" s="163">
        <f t="shared" si="171"/>
        <v>0.15233995340868664</v>
      </c>
      <c r="AD507" s="163">
        <f t="shared" si="171"/>
        <v>0.1442218471155999</v>
      </c>
      <c r="AE507" s="163">
        <f t="shared" si="171"/>
        <v>0.12806264628239475</v>
      </c>
    </row>
    <row r="508" spans="26:31" x14ac:dyDescent="0.2">
      <c r="Z508" s="164">
        <v>458</v>
      </c>
      <c r="AA508" s="163">
        <f t="shared" si="171"/>
        <v>9.4895130274059838E-2</v>
      </c>
      <c r="AB508" s="163">
        <f t="shared" si="171"/>
        <v>8.9660834782733373E-2</v>
      </c>
      <c r="AC508" s="163">
        <f t="shared" si="171"/>
        <v>0.15167543968197977</v>
      </c>
      <c r="AD508" s="163">
        <f t="shared" si="171"/>
        <v>0.14359274493357255</v>
      </c>
      <c r="AE508" s="163">
        <f t="shared" si="171"/>
        <v>0.12750403126099741</v>
      </c>
    </row>
    <row r="509" spans="26:31" x14ac:dyDescent="0.2">
      <c r="Z509" s="164">
        <v>459</v>
      </c>
      <c r="AA509" s="163">
        <f t="shared" si="171"/>
        <v>9.4482094288558957E-2</v>
      </c>
      <c r="AB509" s="163">
        <f t="shared" si="171"/>
        <v>8.9270581340345295E-2</v>
      </c>
      <c r="AC509" s="163">
        <f t="shared" si="171"/>
        <v>0.15101526444933713</v>
      </c>
      <c r="AD509" s="163">
        <f t="shared" si="171"/>
        <v>0.14296775004981901</v>
      </c>
      <c r="AE509" s="163">
        <f t="shared" si="171"/>
        <v>0.12694906333951264</v>
      </c>
    </row>
    <row r="510" spans="26:31" x14ac:dyDescent="0.2">
      <c r="Z510" s="164">
        <v>460</v>
      </c>
      <c r="AA510" s="163">
        <f t="shared" si="171"/>
        <v>9.4071749086993797E-2</v>
      </c>
      <c r="AB510" s="163">
        <f t="shared" si="171"/>
        <v>8.888287026165069E-2</v>
      </c>
      <c r="AC510" s="163">
        <f t="shared" si="171"/>
        <v>0.15035939002575988</v>
      </c>
      <c r="AD510" s="163">
        <f t="shared" si="171"/>
        <v>0.14234682678755159</v>
      </c>
      <c r="AE510" s="163">
        <f t="shared" si="171"/>
        <v>0.12639771083852486</v>
      </c>
    </row>
    <row r="511" spans="26:31" x14ac:dyDescent="0.2">
      <c r="Z511" s="164">
        <v>461</v>
      </c>
      <c r="AA511" s="163">
        <f t="shared" ref="AA511:AE520" si="172">IF(($Z511/AA$11)&lt;AA$15,0.85*(AA$12-AA$13*($Z511/AA$11)),(0.85*(PI())^2*(10100)/(($Z511/AA$11)^2)))/AA$16</f>
        <v>9.366407134733927E-2</v>
      </c>
      <c r="AB511" s="163">
        <f t="shared" si="172"/>
        <v>8.8497679511037888E-2</v>
      </c>
      <c r="AC511" s="163">
        <f t="shared" si="172"/>
        <v>0.14970777913453634</v>
      </c>
      <c r="AD511" s="163">
        <f t="shared" si="172"/>
        <v>0.14172993985651258</v>
      </c>
      <c r="AE511" s="163">
        <f t="shared" si="172"/>
        <v>0.12584994242184003</v>
      </c>
    </row>
    <row r="512" spans="26:31" x14ac:dyDescent="0.2">
      <c r="Z512" s="164">
        <v>462</v>
      </c>
      <c r="AA512" s="163">
        <f t="shared" si="172"/>
        <v>9.3259037999699618E-2</v>
      </c>
      <c r="AB512" s="163">
        <f t="shared" si="172"/>
        <v>8.8114987291117497E-2</v>
      </c>
      <c r="AC512" s="163">
        <f t="shared" si="172"/>
        <v>0.1490603949019452</v>
      </c>
      <c r="AD512" s="163">
        <f t="shared" si="172"/>
        <v>0.14111705434795974</v>
      </c>
      <c r="AE512" s="163">
        <f t="shared" si="172"/>
        <v>0.12530572709203286</v>
      </c>
    </row>
    <row r="513" spans="26:31" x14ac:dyDescent="0.2">
      <c r="Z513" s="164">
        <v>463</v>
      </c>
      <c r="AA513" s="163">
        <f t="shared" si="172"/>
        <v>9.2856626223044775E-2</v>
      </c>
      <c r="AB513" s="163">
        <f t="shared" si="172"/>
        <v>8.7734772039638587E-2</v>
      </c>
      <c r="AC513" s="163">
        <f t="shared" si="172"/>
        <v>0.14841720085203924</v>
      </c>
      <c r="AD513" s="163">
        <f t="shared" si="172"/>
        <v>0.14050813572972728</v>
      </c>
      <c r="AE513" s="163">
        <f t="shared" si="172"/>
        <v>0.12476503418606172</v>
      </c>
    </row>
    <row r="514" spans="26:31" x14ac:dyDescent="0.2">
      <c r="Z514" s="164">
        <v>464</v>
      </c>
      <c r="AA514" s="163">
        <f t="shared" si="172"/>
        <v>9.2456813441995606E-2</v>
      </c>
      <c r="AB514" s="163">
        <f t="shared" si="172"/>
        <v>8.7357012426451414E-2</v>
      </c>
      <c r="AC514" s="163">
        <f t="shared" si="172"/>
        <v>0.14777816090150675</v>
      </c>
      <c r="AD514" s="163">
        <f t="shared" si="172"/>
        <v>0.13990314984136221</v>
      </c>
      <c r="AE514" s="163">
        <f t="shared" si="172"/>
        <v>0.12422783337094914</v>
      </c>
    </row>
    <row r="515" spans="26:31" x14ac:dyDescent="0.2">
      <c r="Z515" s="164">
        <v>465</v>
      </c>
      <c r="AA515" s="163">
        <f t="shared" si="172"/>
        <v>9.2059577323657715E-2</v>
      </c>
      <c r="AB515" s="163">
        <f t="shared" si="172"/>
        <v>8.6981687350515813E-2</v>
      </c>
      <c r="AC515" s="163">
        <f t="shared" si="172"/>
        <v>0.14714323935461113</v>
      </c>
      <c r="AD515" s="163">
        <f t="shared" si="172"/>
        <v>0.13930206288933247</v>
      </c>
      <c r="AE515" s="163">
        <f t="shared" si="172"/>
        <v>0.12369409463952766</v>
      </c>
    </row>
    <row r="516" spans="26:31" x14ac:dyDescent="0.2">
      <c r="Z516" s="164">
        <v>466</v>
      </c>
      <c r="AA516" s="163">
        <f t="shared" si="172"/>
        <v>9.1664895774502597E-2</v>
      </c>
      <c r="AB516" s="163">
        <f t="shared" si="172"/>
        <v>8.6608775936954457E-2</v>
      </c>
      <c r="AC516" s="163">
        <f t="shared" si="172"/>
        <v>0.14651240089820589</v>
      </c>
      <c r="AD516" s="163">
        <f t="shared" si="172"/>
        <v>0.13870484144230841</v>
      </c>
      <c r="AE516" s="163">
        <f t="shared" si="172"/>
        <v>0.12316378830624929</v>
      </c>
    </row>
    <row r="517" spans="26:31" x14ac:dyDescent="0.2">
      <c r="Z517" s="164">
        <v>467</v>
      </c>
      <c r="AA517" s="163">
        <f t="shared" si="172"/>
        <v>9.1272746937295729E-2</v>
      </c>
      <c r="AB517" s="163">
        <f t="shared" si="172"/>
        <v>8.6238257534150195E-2</v>
      </c>
      <c r="AC517" s="163">
        <f t="shared" si="172"/>
        <v>0.1458856105968242</v>
      </c>
      <c r="AD517" s="163">
        <f t="shared" si="172"/>
        <v>0.13811145242651354</v>
      </c>
      <c r="AE517" s="163">
        <f t="shared" si="172"/>
        <v>0.12263688500305779</v>
      </c>
    </row>
    <row r="518" spans="26:31" x14ac:dyDescent="0.2">
      <c r="Z518" s="164">
        <v>468</v>
      </c>
      <c r="AA518" s="163">
        <f t="shared" si="172"/>
        <v>9.0883109188070188E-2</v>
      </c>
      <c r="AB518" s="163">
        <f t="shared" si="172"/>
        <v>8.5870111710886876E-2</v>
      </c>
      <c r="AC518" s="163">
        <f t="shared" si="172"/>
        <v>0.14526283388784242</v>
      </c>
      <c r="AD518" s="163">
        <f t="shared" si="172"/>
        <v>0.13752186312114617</v>
      </c>
      <c r="AE518" s="163">
        <f t="shared" si="172"/>
        <v>0.12211335567532267</v>
      </c>
    </row>
    <row r="519" spans="26:31" x14ac:dyDescent="0.2">
      <c r="Z519" s="164">
        <v>469</v>
      </c>
      <c r="AA519" s="163">
        <f t="shared" si="172"/>
        <v>9.0495961133145814E-2</v>
      </c>
      <c r="AB519" s="163">
        <f t="shared" si="172"/>
        <v>8.5504318253532607E-2</v>
      </c>
      <c r="AC519" s="163">
        <f t="shared" si="172"/>
        <v>0.14464403657671493</v>
      </c>
      <c r="AD519" s="163">
        <f t="shared" si="172"/>
        <v>0.13693604115386782</v>
      </c>
      <c r="AE519" s="163">
        <f t="shared" si="172"/>
        <v>0.1215931715778336</v>
      </c>
    </row>
    <row r="520" spans="26:31" x14ac:dyDescent="0.2">
      <c r="Z520" s="164">
        <v>470</v>
      </c>
      <c r="AA520" s="163">
        <f t="shared" si="172"/>
        <v>9.011128160619232E-2</v>
      </c>
      <c r="AB520" s="163">
        <f t="shared" si="172"/>
        <v>8.5140857163265193E-2</v>
      </c>
      <c r="AC520" s="163">
        <f t="shared" si="172"/>
        <v>0.14402918483228064</v>
      </c>
      <c r="AD520" s="163">
        <f t="shared" si="172"/>
        <v>0.13635395449635998</v>
      </c>
      <c r="AE520" s="163">
        <f t="shared" si="172"/>
        <v>0.12107630427085495</v>
      </c>
    </row>
    <row r="521" spans="26:31" x14ac:dyDescent="0.2">
      <c r="Z521" s="164">
        <v>471</v>
      </c>
      <c r="AA521" s="163">
        <f t="shared" ref="AA521:AE530" si="173">IF(($Z521/AA$11)&lt;AA$15,0.85*(AA$12-AA$13*($Z521/AA$11)),(0.85*(PI())^2*(10100)/(($Z521/AA$11)^2)))/AA$16</f>
        <v>8.9729049665336374E-2</v>
      </c>
      <c r="AB521" s="163">
        <f t="shared" si="173"/>
        <v>8.4779708653338587E-2</v>
      </c>
      <c r="AC521" s="163">
        <f t="shared" si="173"/>
        <v>0.14341824518213855</v>
      </c>
      <c r="AD521" s="163">
        <f t="shared" si="173"/>
        <v>0.13577557145994615</v>
      </c>
      <c r="AE521" s="163">
        <f t="shared" si="173"/>
        <v>0.12056272561623803</v>
      </c>
    </row>
    <row r="522" spans="26:31" x14ac:dyDescent="0.2">
      <c r="Z522" s="164">
        <v>472</v>
      </c>
      <c r="AA522" s="163">
        <f t="shared" si="173"/>
        <v>8.9349244590311183E-2</v>
      </c>
      <c r="AB522" s="163">
        <f t="shared" si="173"/>
        <v>8.4420853146389696E-2</v>
      </c>
      <c r="AC522" s="163">
        <f t="shared" si="173"/>
        <v>0.1428111845080921</v>
      </c>
      <c r="AD522" s="163">
        <f t="shared" si="173"/>
        <v>0.1352008606912791</v>
      </c>
      <c r="AE522" s="163">
        <f t="shared" si="173"/>
        <v>0.12005240777359173</v>
      </c>
    </row>
    <row r="523" spans="26:31" x14ac:dyDescent="0.2">
      <c r="Z523" s="164">
        <v>473</v>
      </c>
      <c r="AA523" s="163">
        <f t="shared" si="173"/>
        <v>8.8971845879648542E-2</v>
      </c>
      <c r="AB523" s="163">
        <f t="shared" si="173"/>
        <v>8.4064271271785437E-2</v>
      </c>
      <c r="AC523" s="163">
        <f t="shared" si="173"/>
        <v>0.14220797004166111</v>
      </c>
      <c r="AD523" s="163">
        <f t="shared" si="173"/>
        <v>0.13462979116809137</v>
      </c>
      <c r="AE523" s="163">
        <f t="shared" si="173"/>
        <v>0.11954532319650946</v>
      </c>
    </row>
    <row r="524" spans="26:31" x14ac:dyDescent="0.2">
      <c r="Z524" s="164">
        <v>474</v>
      </c>
      <c r="AA524" s="163">
        <f t="shared" si="173"/>
        <v>8.8596833247912052E-2</v>
      </c>
      <c r="AB524" s="163">
        <f t="shared" si="173"/>
        <v>8.3709943863008424E-2</v>
      </c>
      <c r="AC524" s="163">
        <f t="shared" si="173"/>
        <v>0.14160856935965921</v>
      </c>
      <c r="AD524" s="163">
        <f t="shared" si="173"/>
        <v>0.13406233219500935</v>
      </c>
      <c r="AE524" s="163">
        <f t="shared" si="173"/>
        <v>0.11904144462885161</v>
      </c>
    </row>
    <row r="525" spans="26:31" x14ac:dyDescent="0.2">
      <c r="Z525" s="164">
        <v>475</v>
      </c>
      <c r="AA525" s="163">
        <f t="shared" si="173"/>
        <v>8.822418662297124E-2</v>
      </c>
      <c r="AB525" s="163">
        <f t="shared" si="173"/>
        <v>8.335785195508158E-2</v>
      </c>
      <c r="AC525" s="163">
        <f t="shared" si="173"/>
        <v>0.14101295037983735</v>
      </c>
      <c r="AD525" s="163">
        <f t="shared" si="173"/>
        <v>0.1334984533994279</v>
      </c>
      <c r="AE525" s="163">
        <f t="shared" si="173"/>
        <v>0.11854074510108303</v>
      </c>
    </row>
    <row r="526" spans="26:31" x14ac:dyDescent="0.2">
      <c r="Z526" s="164">
        <v>476</v>
      </c>
      <c r="AA526" s="163">
        <f t="shared" si="173"/>
        <v>8.7853886143315643E-2</v>
      </c>
      <c r="AB526" s="163">
        <f t="shared" si="173"/>
        <v>8.3007976782030243E-2</v>
      </c>
      <c r="AC526" s="163">
        <f t="shared" si="173"/>
        <v>0.14042108135659029</v>
      </c>
      <c r="AD526" s="163">
        <f t="shared" si="173"/>
        <v>0.13293812472744651</v>
      </c>
      <c r="AE526" s="163">
        <f t="shared" si="173"/>
        <v>0.11804319792666416</v>
      </c>
    </row>
    <row r="527" spans="26:31" x14ac:dyDescent="0.2">
      <c r="Z527" s="164">
        <v>477</v>
      </c>
      <c r="AA527" s="163">
        <f t="shared" si="173"/>
        <v>8.7485912155408255E-2</v>
      </c>
      <c r="AB527" s="163">
        <f t="shared" si="173"/>
        <v>8.2660299774381676E-2</v>
      </c>
      <c r="AC527" s="163">
        <f t="shared" si="173"/>
        <v>0.13983293087672688</v>
      </c>
      <c r="AD527" s="163">
        <f t="shared" si="173"/>
        <v>0.13238131643986445</v>
      </c>
      <c r="AE527" s="163">
        <f t="shared" si="173"/>
        <v>0.11754877669849498</v>
      </c>
    </row>
    <row r="528" spans="26:31" x14ac:dyDescent="0.2">
      <c r="Z528" s="164">
        <v>478</v>
      </c>
      <c r="AA528" s="163">
        <f t="shared" si="173"/>
        <v>8.7120245211077751E-2</v>
      </c>
      <c r="AB528" s="163">
        <f t="shared" si="173"/>
        <v>8.2314802556701053E-2</v>
      </c>
      <c r="AC528" s="163">
        <f t="shared" si="173"/>
        <v>0.1392484678553019</v>
      </c>
      <c r="AD528" s="163">
        <f t="shared" si="173"/>
        <v>0.13182799910823476</v>
      </c>
      <c r="AE528" s="163">
        <f t="shared" si="173"/>
        <v>0.11705745528541107</v>
      </c>
    </row>
    <row r="529" spans="26:31" x14ac:dyDescent="0.2">
      <c r="Z529" s="164">
        <v>479</v>
      </c>
      <c r="AA529" s="163">
        <f t="shared" si="173"/>
        <v>8.6756866064948673E-2</v>
      </c>
      <c r="AB529" s="163">
        <f t="shared" si="173"/>
        <v>8.1971466945163607E-2</v>
      </c>
      <c r="AC529" s="163">
        <f t="shared" si="173"/>
        <v>0.13866766153150828</v>
      </c>
      <c r="AD529" s="163">
        <f t="shared" si="173"/>
        <v>0.13127814361097589</v>
      </c>
      <c r="AE529" s="163">
        <f t="shared" si="173"/>
        <v>0.11656920782873098</v>
      </c>
    </row>
    <row r="530" spans="26:31" x14ac:dyDescent="0.2">
      <c r="Z530" s="164">
        <v>480</v>
      </c>
      <c r="AA530" s="163">
        <f t="shared" si="173"/>
        <v>8.6395755671909227E-2</v>
      </c>
      <c r="AB530" s="163">
        <f t="shared" si="173"/>
        <v>8.1630274945161826E-2</v>
      </c>
      <c r="AC530" s="163">
        <f t="shared" si="173"/>
        <v>0.13809048146463021</v>
      </c>
      <c r="AD530" s="163">
        <f t="shared" si="173"/>
        <v>0.13073172112953957</v>
      </c>
      <c r="AE530" s="163">
        <f t="shared" si="173"/>
        <v>0.11608400873885359</v>
      </c>
    </row>
    <row r="531" spans="26:31" x14ac:dyDescent="0.2">
      <c r="Z531" s="164">
        <v>481</v>
      </c>
      <c r="AA531" s="163">
        <f t="shared" ref="AA531:AE540" si="174">IF(($Z531/AA$11)&lt;AA$15,0.85*(AA$12-AA$13*($Z531/AA$11)),(0.85*(PI())^2*(10100)/(($Z531/AA$11)^2)))/AA$16</f>
        <v>8.6036895184615769E-2</v>
      </c>
      <c r="AB531" s="163">
        <f t="shared" si="174"/>
        <v>8.1291208748947685E-2</v>
      </c>
      <c r="AC531" s="163">
        <f t="shared" si="174"/>
        <v>0.13751689753005389</v>
      </c>
      <c r="AD531" s="163">
        <f t="shared" si="174"/>
        <v>0.1301887031446351</v>
      </c>
      <c r="AE531" s="163">
        <f t="shared" si="174"/>
        <v>0.11560183269190515</v>
      </c>
    </row>
    <row r="532" spans="26:31" x14ac:dyDescent="0.2">
      <c r="Z532" s="164">
        <v>482</v>
      </c>
      <c r="AA532" s="163">
        <f t="shared" si="174"/>
        <v>8.568026595103341E-2</v>
      </c>
      <c r="AB532" s="163">
        <f t="shared" si="174"/>
        <v>8.0954250733309016E-2</v>
      </c>
      <c r="AC532" s="163">
        <f t="shared" si="174"/>
        <v>0.13694687991533719</v>
      </c>
      <c r="AD532" s="163">
        <f t="shared" si="174"/>
        <v>0.12964906143250768</v>
      </c>
      <c r="AE532" s="163">
        <f t="shared" si="174"/>
        <v>0.11512265462643492</v>
      </c>
    </row>
    <row r="533" spans="26:31" x14ac:dyDescent="0.2">
      <c r="Z533" s="164">
        <v>483</v>
      </c>
      <c r="AA533" s="163">
        <f t="shared" si="174"/>
        <v>8.5325849512012497E-2</v>
      </c>
      <c r="AB533" s="163">
        <f t="shared" si="174"/>
        <v>8.0619383457279523E-2</v>
      </c>
      <c r="AC533" s="163">
        <f t="shared" si="174"/>
        <v>0.13638039911633554</v>
      </c>
      <c r="AD533" s="163">
        <f t="shared" si="174"/>
        <v>0.12911276806127128</v>
      </c>
      <c r="AE533" s="163">
        <f t="shared" si="174"/>
        <v>0.11464644974015864</v>
      </c>
    </row>
    <row r="534" spans="26:31" x14ac:dyDescent="0.2">
      <c r="Z534" s="164">
        <v>484</v>
      </c>
      <c r="AA534" s="163">
        <f t="shared" si="174"/>
        <v>8.4973627598899884E-2</v>
      </c>
      <c r="AB534" s="163">
        <f t="shared" si="174"/>
        <v>8.0286589659881849E-2</v>
      </c>
      <c r="AC534" s="163">
        <f t="shared" si="174"/>
        <v>0.13581742593338397</v>
      </c>
      <c r="AD534" s="163">
        <f t="shared" si="174"/>
        <v>0.12857979538729389</v>
      </c>
      <c r="AE534" s="163">
        <f t="shared" si="174"/>
        <v>0.11417319348674894</v>
      </c>
    </row>
    <row r="535" spans="26:31" x14ac:dyDescent="0.2">
      <c r="Z535" s="164">
        <v>485</v>
      </c>
      <c r="AA535" s="163">
        <f t="shared" si="174"/>
        <v>8.462358213118458E-2</v>
      </c>
      <c r="AB535" s="163">
        <f t="shared" si="174"/>
        <v>7.9955852257903234E-2</v>
      </c>
      <c r="AC535" s="163">
        <f t="shared" si="174"/>
        <v>0.13525793146753451</v>
      </c>
      <c r="AD535" s="163">
        <f t="shared" si="174"/>
        <v>0.12805011605163533</v>
      </c>
      <c r="AE535" s="163">
        <f t="shared" si="174"/>
        <v>0.11370286157267237</v>
      </c>
    </row>
    <row r="536" spans="26:31" x14ac:dyDescent="0.2">
      <c r="Z536" s="164">
        <v>486</v>
      </c>
      <c r="AA536" s="163">
        <f t="shared" si="174"/>
        <v>8.4275695214177576E-2</v>
      </c>
      <c r="AB536" s="163">
        <f t="shared" si="174"/>
        <v>7.962715434370303E-2</v>
      </c>
      <c r="AC536" s="163">
        <f t="shared" si="174"/>
        <v>0.134701887116847</v>
      </c>
      <c r="AD536" s="163">
        <f t="shared" si="174"/>
        <v>0.12752370297653606</v>
      </c>
      <c r="AE536" s="163">
        <f t="shared" si="174"/>
        <v>0.11323542995407146</v>
      </c>
    </row>
    <row r="537" spans="26:31" x14ac:dyDescent="0.2">
      <c r="Z537" s="164">
        <v>487</v>
      </c>
      <c r="AA537" s="163">
        <f t="shared" si="174"/>
        <v>8.3929949136724802E-2</v>
      </c>
      <c r="AB537" s="163">
        <f t="shared" si="174"/>
        <v>7.9300479183052094E-2</v>
      </c>
      <c r="AC537" s="163">
        <f t="shared" si="174"/>
        <v>0.13414926457273418</v>
      </c>
      <c r="AD537" s="163">
        <f t="shared" si="174"/>
        <v>0.12700052936195677</v>
      </c>
      <c r="AE537" s="163">
        <f t="shared" si="174"/>
        <v>0.11277087483369184</v>
      </c>
    </row>
    <row r="538" spans="26:31" x14ac:dyDescent="0.2">
      <c r="Z538" s="164">
        <v>488</v>
      </c>
      <c r="AA538" s="163">
        <f t="shared" si="174"/>
        <v>8.3586326368952746E-2</v>
      </c>
      <c r="AB538" s="163">
        <f t="shared" si="174"/>
        <v>7.8975810213002567E-2</v>
      </c>
      <c r="AC538" s="163">
        <f t="shared" si="174"/>
        <v>0.13360003581635815</v>
      </c>
      <c r="AD538" s="163">
        <f t="shared" si="174"/>
        <v>0.12648056868216673</v>
      </c>
      <c r="AE538" s="163">
        <f t="shared" si="174"/>
        <v>0.11230917265785349</v>
      </c>
    </row>
    <row r="539" spans="26:31" x14ac:dyDescent="0.2">
      <c r="Z539" s="164">
        <v>489</v>
      </c>
      <c r="AA539" s="163">
        <f t="shared" si="174"/>
        <v>8.324480956004654E-2</v>
      </c>
      <c r="AB539" s="163">
        <f t="shared" si="174"/>
        <v>7.8653131039788576E-2</v>
      </c>
      <c r="AC539" s="163">
        <f t="shared" si="174"/>
        <v>0.13305417311507894</v>
      </c>
      <c r="AD539" s="163">
        <f t="shared" si="174"/>
        <v>0.12596379468238225</v>
      </c>
      <c r="AE539" s="163">
        <f t="shared" si="174"/>
        <v>0.11185030011346499</v>
      </c>
    </row>
    <row r="540" spans="26:31" x14ac:dyDescent="0.2">
      <c r="Z540" s="164">
        <v>490</v>
      </c>
      <c r="AA540" s="163">
        <f t="shared" si="174"/>
        <v>8.2905381536059516E-2</v>
      </c>
      <c r="AB540" s="163">
        <f t="shared" si="174"/>
        <v>7.8332425436756711E-2</v>
      </c>
      <c r="AC540" s="163">
        <f t="shared" si="174"/>
        <v>0.13251164901895376</v>
      </c>
      <c r="AD540" s="163">
        <f t="shared" si="174"/>
        <v>0.12545018137545155</v>
      </c>
      <c r="AE540" s="163">
        <f t="shared" si="174"/>
        <v>0.11139423412508064</v>
      </c>
    </row>
    <row r="541" spans="26:31" x14ac:dyDescent="0.2">
      <c r="Z541" s="164">
        <v>491</v>
      </c>
      <c r="AA541" s="163">
        <f t="shared" ref="AA541:AE550" si="175">IF(($Z541/AA$11)&lt;AA$15,0.85*(AA$12-AA$13*($Z541/AA$11)),(0.85*(PI())^2*(10100)/(($Z541/AA$11)^2)))/AA$16</f>
        <v>8.2568025297754241E-2</v>
      </c>
      <c r="AB541" s="163">
        <f t="shared" si="175"/>
        <v>7.8013677342325949E-2</v>
      </c>
      <c r="AC541" s="163">
        <f t="shared" si="175"/>
        <v>0.1319724363572857</v>
      </c>
      <c r="AD541" s="163">
        <f t="shared" si="175"/>
        <v>0.12493970303858837</v>
      </c>
      <c r="AE541" s="163">
        <f t="shared" si="175"/>
        <v>0.1109409518519994</v>
      </c>
    </row>
    <row r="542" spans="26:31" x14ac:dyDescent="0.2">
      <c r="Z542" s="164">
        <v>492</v>
      </c>
      <c r="AA542" s="163">
        <f t="shared" si="175"/>
        <v>8.2232724018473993E-2</v>
      </c>
      <c r="AB542" s="163">
        <f t="shared" si="175"/>
        <v>7.7696870857976746E-2</v>
      </c>
      <c r="AC542" s="163">
        <f t="shared" si="175"/>
        <v>0.1314365082352221</v>
      </c>
      <c r="AD542" s="163">
        <f t="shared" si="175"/>
        <v>0.12443233421015068</v>
      </c>
      <c r="AE542" s="163">
        <f t="shared" si="175"/>
        <v>0.11049043068540496</v>
      </c>
    </row>
    <row r="543" spans="26:31" x14ac:dyDescent="0.2">
      <c r="Z543" s="164">
        <v>493</v>
      </c>
      <c r="AA543" s="163">
        <f t="shared" si="175"/>
        <v>8.1899461042044555E-2</v>
      </c>
      <c r="AB543" s="163">
        <f t="shared" si="175"/>
        <v>7.7381990246268392E-2</v>
      </c>
      <c r="AC543" s="163">
        <f t="shared" si="175"/>
        <v>0.13090383803040045</v>
      </c>
      <c r="AD543" s="163">
        <f t="shared" si="175"/>
        <v>0.1239280496864662</v>
      </c>
      <c r="AE543" s="163">
        <f t="shared" si="175"/>
        <v>0.11004264824554663</v>
      </c>
    </row>
    <row r="544" spans="26:31" x14ac:dyDescent="0.2">
      <c r="Z544" s="164">
        <v>494</v>
      </c>
      <c r="AA544" s="163">
        <f t="shared" si="175"/>
        <v>8.1568219880705659E-2</v>
      </c>
      <c r="AB544" s="163">
        <f t="shared" si="175"/>
        <v>7.7069019928884624E-2</v>
      </c>
      <c r="AC544" s="163">
        <f t="shared" si="175"/>
        <v>0.13037439938964249</v>
      </c>
      <c r="AD544" s="163">
        <f t="shared" si="175"/>
        <v>0.12342682451870182</v>
      </c>
      <c r="AE544" s="163">
        <f t="shared" si="175"/>
        <v>0.10959758237895993</v>
      </c>
    </row>
    <row r="545" spans="26:31" x14ac:dyDescent="0.2">
      <c r="Z545" s="164">
        <v>495</v>
      </c>
      <c r="AA545" s="163">
        <f t="shared" si="175"/>
        <v>8.1238984213071658E-2</v>
      </c>
      <c r="AB545" s="163">
        <f t="shared" si="175"/>
        <v>7.6757944484706783E-2</v>
      </c>
      <c r="AC545" s="163">
        <f t="shared" si="175"/>
        <v>0.12984816622569453</v>
      </c>
      <c r="AD545" s="163">
        <f t="shared" si="175"/>
        <v>0.12292863400977828</v>
      </c>
      <c r="AE545" s="163">
        <f t="shared" si="175"/>
        <v>0.10915521115572642</v>
      </c>
    </row>
    <row r="546" spans="26:31" x14ac:dyDescent="0.2">
      <c r="Z546" s="164">
        <v>496</v>
      </c>
      <c r="AA546" s="163">
        <f t="shared" si="175"/>
        <v>8.0911737882121026E-2</v>
      </c>
      <c r="AB546" s="163">
        <f t="shared" si="175"/>
        <v>7.6448748647914289E-2</v>
      </c>
      <c r="AC546" s="163">
        <f t="shared" si="175"/>
        <v>0.12932511271401367</v>
      </c>
      <c r="AD546" s="163">
        <f t="shared" si="175"/>
        <v>0.1224334537113274</v>
      </c>
      <c r="AE546" s="163">
        <f t="shared" si="175"/>
        <v>0.10871551286677235</v>
      </c>
    </row>
    <row r="547" spans="26:31" x14ac:dyDescent="0.2">
      <c r="Z547" s="164">
        <v>497</v>
      </c>
      <c r="AA547" s="163">
        <f t="shared" si="175"/>
        <v>8.0586464893213985E-2</v>
      </c>
      <c r="AB547" s="163">
        <f t="shared" si="175"/>
        <v>7.6141417306111459E-2</v>
      </c>
      <c r="AC547" s="163">
        <f t="shared" si="175"/>
        <v>0.12880521328959998</v>
      </c>
      <c r="AD547" s="163">
        <f t="shared" si="175"/>
        <v>0.12194125942069282</v>
      </c>
      <c r="AE547" s="163">
        <f t="shared" si="175"/>
        <v>0.10827846602120517</v>
      </c>
    </row>
    <row r="548" spans="26:31" x14ac:dyDescent="0.2">
      <c r="Z548" s="164">
        <v>498</v>
      </c>
      <c r="AA548" s="163">
        <f t="shared" si="175"/>
        <v>8.0263149412138066E-2</v>
      </c>
      <c r="AB548" s="163">
        <f t="shared" si="175"/>
        <v>7.5835935498481014E-2</v>
      </c>
      <c r="AC548" s="163">
        <f t="shared" si="175"/>
        <v>0.12828844264387188</v>
      </c>
      <c r="AD548" s="163">
        <f t="shared" si="175"/>
        <v>0.12145202717797261</v>
      </c>
      <c r="AE548" s="163">
        <f t="shared" si="175"/>
        <v>0.10784404934368748</v>
      </c>
    </row>
    <row r="549" spans="26:31" x14ac:dyDescent="0.2">
      <c r="Z549" s="164">
        <v>499</v>
      </c>
      <c r="AA549" s="163">
        <f t="shared" si="175"/>
        <v>7.9941775763181205E-2</v>
      </c>
      <c r="AB549" s="163">
        <f t="shared" si="175"/>
        <v>7.5532288413963325E-2</v>
      </c>
      <c r="AC549" s="163">
        <f t="shared" si="175"/>
        <v>0.1277747757215866</v>
      </c>
      <c r="AD549" s="163">
        <f t="shared" si="175"/>
        <v>0.120965733263103</v>
      </c>
      <c r="AE549" s="163">
        <f t="shared" si="175"/>
        <v>0.10741224177184774</v>
      </c>
    </row>
    <row r="550" spans="26:31" x14ac:dyDescent="0.2">
      <c r="Z550" s="164">
        <v>500</v>
      </c>
      <c r="AA550" s="163">
        <f t="shared" si="175"/>
        <v>7.9622328427231548E-2</v>
      </c>
      <c r="AB550" s="163">
        <f t="shared" si="175"/>
        <v>7.5230461389461128E-2</v>
      </c>
      <c r="AC550" s="163">
        <f t="shared" si="175"/>
        <v>0.12726418771780318</v>
      </c>
      <c r="AD550" s="163">
        <f t="shared" si="175"/>
        <v>0.12048235419298367</v>
      </c>
      <c r="AE550" s="163">
        <f t="shared" si="175"/>
        <v>0.10698302245372744</v>
      </c>
    </row>
    <row r="551" spans="26:31" x14ac:dyDescent="0.2">
      <c r="Z551" s="164">
        <v>501</v>
      </c>
      <c r="AA551" s="163">
        <f t="shared" ref="AA551:AE560" si="176">IF(($Z551/AA$11)&lt;AA$15,0.85*(AA$12-AA$13*($Z551/AA$11)),(0.85*(PI())^2*(10100)/(($Z551/AA$11)^2)))/AA$16</f>
        <v>7.9304792039903774E-2</v>
      </c>
      <c r="AB551" s="163">
        <f t="shared" si="176"/>
        <v>7.4930439908069219E-2</v>
      </c>
      <c r="AC551" s="163">
        <f t="shared" si="176"/>
        <v>0.12675665407488734</v>
      </c>
      <c r="AD551" s="163">
        <f t="shared" si="176"/>
        <v>0.12000186671864221</v>
      </c>
      <c r="AE551" s="163">
        <f t="shared" si="176"/>
        <v>0.1065563707452634</v>
      </c>
    </row>
    <row r="552" spans="26:31" x14ac:dyDescent="0.2">
      <c r="Z552" s="164">
        <v>502</v>
      </c>
      <c r="AA552" s="163">
        <f t="shared" si="176"/>
        <v>7.8989151389691786E-2</v>
      </c>
      <c r="AB552" s="163">
        <f t="shared" si="176"/>
        <v>7.4632209597328941E-2</v>
      </c>
      <c r="AC552" s="163">
        <f t="shared" si="176"/>
        <v>0.12625215047955907</v>
      </c>
      <c r="AD552" s="163">
        <f t="shared" si="176"/>
        <v>0.11952424782243901</v>
      </c>
      <c r="AE552" s="163">
        <f t="shared" si="176"/>
        <v>0.10613226620780568</v>
      </c>
    </row>
    <row r="553" spans="26:31" x14ac:dyDescent="0.2">
      <c r="Z553" s="164">
        <v>503</v>
      </c>
      <c r="AA553" s="163">
        <f t="shared" si="176"/>
        <v>7.8675391416146823E-2</v>
      </c>
      <c r="AB553" s="163">
        <f t="shared" si="176"/>
        <v>7.4335756227506863E-2</v>
      </c>
      <c r="AC553" s="163">
        <f t="shared" si="176"/>
        <v>0.12575065285998047</v>
      </c>
      <c r="AD553" s="163">
        <f t="shared" si="176"/>
        <v>0.11904947471531017</v>
      </c>
      <c r="AE553" s="163">
        <f t="shared" si="176"/>
        <v>0.10571068860566959</v>
      </c>
    </row>
    <row r="554" spans="26:31" x14ac:dyDescent="0.2">
      <c r="Z554" s="164">
        <v>504</v>
      </c>
      <c r="AA554" s="163">
        <f t="shared" si="176"/>
        <v>7.8363497208080932E-2</v>
      </c>
      <c r="AB554" s="163">
        <f t="shared" si="176"/>
        <v>7.4041065709897338E-2</v>
      </c>
      <c r="AC554" s="163">
        <f t="shared" si="176"/>
        <v>0.12525213738288452</v>
      </c>
      <c r="AD554" s="163">
        <f t="shared" si="176"/>
        <v>0.11857752483404953</v>
      </c>
      <c r="AE554" s="163">
        <f t="shared" si="176"/>
        <v>0.10529161790372206</v>
      </c>
    </row>
    <row r="555" spans="26:31" x14ac:dyDescent="0.2">
      <c r="Z555" s="164">
        <v>505</v>
      </c>
      <c r="AA555" s="163">
        <f t="shared" si="176"/>
        <v>7.8053454001795475E-2</v>
      </c>
      <c r="AB555" s="163">
        <f t="shared" si="176"/>
        <v>7.3748124095148637E-2</v>
      </c>
      <c r="AC555" s="163">
        <f t="shared" si="176"/>
        <v>0.12475658045074324</v>
      </c>
      <c r="AD555" s="163">
        <f t="shared" si="176"/>
        <v>0.11810837583862727</v>
      </c>
      <c r="AE555" s="163">
        <f t="shared" si="176"/>
        <v>0.10487503426500093</v>
      </c>
    </row>
    <row r="556" spans="26:31" x14ac:dyDescent="0.2">
      <c r="Z556" s="164">
        <v>506</v>
      </c>
      <c r="AA556" s="163">
        <f t="shared" si="176"/>
        <v>7.7745247179333718E-2</v>
      </c>
      <c r="AB556" s="163">
        <f t="shared" si="176"/>
        <v>7.3456917571612143E-2</v>
      </c>
      <c r="AC556" s="163">
        <f t="shared" si="176"/>
        <v>0.12426395869897512</v>
      </c>
      <c r="AD556" s="163">
        <f t="shared" si="176"/>
        <v>0.1176420056095468</v>
      </c>
      <c r="AE556" s="163">
        <f t="shared" si="176"/>
        <v>0.10446091804836766</v>
      </c>
    </row>
    <row r="557" spans="26:31" x14ac:dyDescent="0.2">
      <c r="Z557" s="164">
        <v>507</v>
      </c>
      <c r="AA557" s="163">
        <f t="shared" si="176"/>
        <v>7.7438862266758043E-2</v>
      </c>
      <c r="AB557" s="163">
        <f t="shared" si="176"/>
        <v>7.3167432463714238E-2</v>
      </c>
      <c r="AC557" s="163">
        <f t="shared" si="176"/>
        <v>0.12377424899319117</v>
      </c>
      <c r="AD557" s="163">
        <f t="shared" si="176"/>
        <v>0.11717839224523698</v>
      </c>
      <c r="AE557" s="163">
        <f t="shared" si="176"/>
        <v>0.10404924980619207</v>
      </c>
    </row>
    <row r="558" spans="26:31" x14ac:dyDescent="0.2">
      <c r="Z558" s="164">
        <v>508</v>
      </c>
      <c r="AA558" s="163">
        <f t="shared" si="176"/>
        <v>7.713428493245042E-2</v>
      </c>
      <c r="AB558" s="163">
        <f t="shared" si="176"/>
        <v>7.287965523035092E-2</v>
      </c>
      <c r="AC558" s="163">
        <f t="shared" si="176"/>
        <v>0.12328742842647868</v>
      </c>
      <c r="AD558" s="163">
        <f t="shared" si="176"/>
        <v>0.11671751405948105</v>
      </c>
      <c r="AE558" s="163">
        <f t="shared" si="176"/>
        <v>0.10364001028206904</v>
      </c>
    </row>
    <row r="559" spans="26:31" x14ac:dyDescent="0.2">
      <c r="Z559" s="164">
        <v>509</v>
      </c>
      <c r="AA559" s="163">
        <f t="shared" si="176"/>
        <v>7.6831500985436563E-2</v>
      </c>
      <c r="AB559" s="163">
        <f t="shared" si="176"/>
        <v>7.2593572463304071E-2</v>
      </c>
      <c r="AC559" s="163">
        <f t="shared" si="176"/>
        <v>0.12280347431672257</v>
      </c>
      <c r="AD559" s="163">
        <f t="shared" si="176"/>
        <v>0.11625934957888041</v>
      </c>
      <c r="AE559" s="163">
        <f t="shared" si="176"/>
        <v>0.10323318040856667</v>
      </c>
    </row>
    <row r="560" spans="26:31" x14ac:dyDescent="0.2">
      <c r="Z560" s="164">
        <v>510</v>
      </c>
      <c r="AA560" s="163">
        <f t="shared" si="176"/>
        <v>7.6530496373732756E-2</v>
      </c>
      <c r="AB560" s="163">
        <f t="shared" si="176"/>
        <v>7.2309170885679688E-2</v>
      </c>
      <c r="AC560" s="163">
        <f t="shared" si="176"/>
        <v>0.12232236420396309</v>
      </c>
      <c r="AD560" s="163">
        <f t="shared" si="176"/>
        <v>0.1158038775403534</v>
      </c>
      <c r="AE560" s="163">
        <f t="shared" si="176"/>
        <v>0.10282874130500524</v>
      </c>
    </row>
    <row r="561" spans="26:31" x14ac:dyDescent="0.2">
      <c r="Z561" s="164">
        <v>511</v>
      </c>
      <c r="AA561" s="163">
        <f t="shared" ref="AA561:AE570" si="177">IF(($Z561/AA$11)&lt;AA$15,0.85*(AA$12-AA$13*($Z561/AA$11)),(0.85*(PI())^2*(10100)/(($Z561/AA$11)^2)))/AA$16</f>
        <v>7.6231257182715645E-2</v>
      </c>
      <c r="AB561" s="163">
        <f t="shared" si="177"/>
        <v>7.20264373503674E-2</v>
      </c>
      <c r="AC561" s="163">
        <f t="shared" si="177"/>
        <v>0.12184407584779007</v>
      </c>
      <c r="AD561" s="163">
        <f t="shared" si="177"/>
        <v>0.11535107688866815</v>
      </c>
      <c r="AE561" s="163">
        <f t="shared" si="177"/>
        <v>0.10242667427526651</v>
      </c>
    </row>
    <row r="562" spans="26:31" x14ac:dyDescent="0.2">
      <c r="Z562" s="164">
        <v>512</v>
      </c>
      <c r="AA562" s="163">
        <f t="shared" si="177"/>
        <v>7.5933769633513976E-2</v>
      </c>
      <c r="AB562" s="163">
        <f t="shared" si="177"/>
        <v>7.1745358838521123E-2</v>
      </c>
      <c r="AC562" s="163">
        <f t="shared" si="177"/>
        <v>0.12136858722477263</v>
      </c>
      <c r="AD562" s="163">
        <f t="shared" si="177"/>
        <v>0.11490092677400941</v>
      </c>
      <c r="AE562" s="163">
        <f t="shared" si="177"/>
        <v>0.10202696080563303</v>
      </c>
    </row>
    <row r="563" spans="26:31" x14ac:dyDescent="0.2">
      <c r="Z563" s="164">
        <v>513</v>
      </c>
      <c r="AA563" s="163">
        <f t="shared" si="177"/>
        <v>7.5638020081422536E-2</v>
      </c>
      <c r="AB563" s="163">
        <f t="shared" si="177"/>
        <v>7.1465922458060341E-2</v>
      </c>
      <c r="AC563" s="163">
        <f t="shared" si="177"/>
        <v>0.12089587652592362</v>
      </c>
      <c r="AD563" s="163">
        <f t="shared" si="177"/>
        <v>0.1144534065495781</v>
      </c>
      <c r="AE563" s="163">
        <f t="shared" si="177"/>
        <v>0.10162958256265696</v>
      </c>
    </row>
    <row r="564" spans="26:31" x14ac:dyDescent="0.2">
      <c r="Z564" s="164">
        <v>514</v>
      </c>
      <c r="AA564" s="163">
        <f t="shared" si="177"/>
        <v>7.5343995014337403E-2</v>
      </c>
      <c r="AB564" s="163">
        <f t="shared" si="177"/>
        <v>7.1188115442191724E-2</v>
      </c>
      <c r="AC564" s="163">
        <f t="shared" si="177"/>
        <v>0.12042592215419914</v>
      </c>
      <c r="AD564" s="163">
        <f t="shared" si="177"/>
        <v>0.11400849576922403</v>
      </c>
      <c r="AE564" s="163">
        <f t="shared" si="177"/>
        <v>0.10123452139105765</v>
      </c>
    </row>
    <row r="565" spans="26:31" x14ac:dyDescent="0.2">
      <c r="Z565" s="164">
        <v>515</v>
      </c>
      <c r="AA565" s="163">
        <f t="shared" si="177"/>
        <v>7.505168105121271E-2</v>
      </c>
      <c r="AB565" s="163">
        <f t="shared" si="177"/>
        <v>7.091192514795093E-2</v>
      </c>
      <c r="AC565" s="163">
        <f t="shared" si="177"/>
        <v>0.11995870272203148</v>
      </c>
      <c r="AD565" s="163">
        <f t="shared" si="177"/>
        <v>0.11356617418511045</v>
      </c>
      <c r="AE565" s="163">
        <f t="shared" si="177"/>
        <v>0.10084175931164807</v>
      </c>
    </row>
    <row r="566" spans="26:31" x14ac:dyDescent="0.2">
      <c r="Z566" s="164">
        <v>516</v>
      </c>
      <c r="AA566" s="163">
        <f t="shared" si="177"/>
        <v>7.4761064940538011E-2</v>
      </c>
      <c r="AB566" s="163">
        <f t="shared" si="177"/>
        <v>7.0637339054764131E-2</v>
      </c>
      <c r="AC566" s="163">
        <f t="shared" si="177"/>
        <v>0.11949419704889576</v>
      </c>
      <c r="AD566" s="163">
        <f t="shared" si="177"/>
        <v>0.11312642174541011</v>
      </c>
      <c r="AE566" s="163">
        <f t="shared" si="177"/>
        <v>0.10045127851928919</v>
      </c>
    </row>
    <row r="567" spans="26:31" x14ac:dyDescent="0.2">
      <c r="Z567" s="164">
        <v>517</v>
      </c>
      <c r="AA567" s="163">
        <f t="shared" si="177"/>
        <v>7.447213355883664E-2</v>
      </c>
      <c r="AB567" s="163">
        <f t="shared" si="177"/>
        <v>7.0364344763029094E-2</v>
      </c>
      <c r="AC567" s="163">
        <f t="shared" si="177"/>
        <v>0.11903238415890965</v>
      </c>
      <c r="AD567" s="163">
        <f t="shared" si="177"/>
        <v>0.11268921859203304</v>
      </c>
      <c r="AE567" s="163">
        <f t="shared" si="177"/>
        <v>0.10006306138087187</v>
      </c>
    </row>
    <row r="568" spans="26:31" x14ac:dyDescent="0.2">
      <c r="Z568" s="164">
        <v>518</v>
      </c>
      <c r="AA568" s="163">
        <f t="shared" si="177"/>
        <v>7.4184873909184004E-2</v>
      </c>
      <c r="AB568" s="163">
        <f t="shared" si="177"/>
        <v>7.0092929992715089E-2</v>
      </c>
      <c r="AC568" s="163">
        <f t="shared" si="177"/>
        <v>0.11857324327846482</v>
      </c>
      <c r="AD568" s="163">
        <f t="shared" si="177"/>
        <v>0.11225454505838432</v>
      </c>
      <c r="AE568" s="163">
        <f t="shared" si="177"/>
        <v>9.9677090433326357E-2</v>
      </c>
    </row>
    <row r="569" spans="26:31" x14ac:dyDescent="0.2">
      <c r="Z569" s="164">
        <v>519</v>
      </c>
      <c r="AA569" s="163">
        <f t="shared" si="177"/>
        <v>7.3899273119745937E-2</v>
      </c>
      <c r="AB569" s="163">
        <f t="shared" si="177"/>
        <v>6.9823082581982124E-2</v>
      </c>
      <c r="AC569" s="163">
        <f t="shared" si="177"/>
        <v>0.11811675383389132</v>
      </c>
      <c r="AD569" s="163">
        <f t="shared" si="177"/>
        <v>0.11182238166715271</v>
      </c>
      <c r="AE569" s="163">
        <f t="shared" si="177"/>
        <v>9.9293348381658306E-2</v>
      </c>
    </row>
    <row r="570" spans="26:31" x14ac:dyDescent="0.2">
      <c r="Z570" s="164">
        <v>520</v>
      </c>
      <c r="AA570" s="163">
        <f t="shared" si="177"/>
        <v>7.3615318442336847E-2</v>
      </c>
      <c r="AB570" s="163">
        <f t="shared" si="177"/>
        <v>6.9554790485818349E-2</v>
      </c>
      <c r="AC570" s="163">
        <f t="shared" si="177"/>
        <v>0.11766289544915233</v>
      </c>
      <c r="AD570" s="163">
        <f t="shared" si="177"/>
        <v>0.11139270912812839</v>
      </c>
      <c r="AE570" s="163">
        <f t="shared" si="177"/>
        <v>9.8911818097011328E-2</v>
      </c>
    </row>
    <row r="571" spans="26:31" x14ac:dyDescent="0.2">
      <c r="Z571" s="164">
        <v>521</v>
      </c>
      <c r="AA571" s="163">
        <f t="shared" ref="AA571:AE580" si="178">IF(($Z571/AA$11)&lt;AA$15,0.85*(AA$12-AA$13*($Z571/AA$11)),(0.85*(PI())^2*(10100)/(($Z571/AA$11)^2)))/AA$16</f>
        <v>7.3332997250997026E-2</v>
      </c>
      <c r="AB571" s="163">
        <f t="shared" si="178"/>
        <v>6.9288041774696094E-2</v>
      </c>
      <c r="AC571" s="163">
        <f t="shared" si="178"/>
        <v>0.11721164794357075</v>
      </c>
      <c r="AD571" s="163">
        <f t="shared" si="178"/>
        <v>0.11096550833605064</v>
      </c>
      <c r="AE571" s="163">
        <f t="shared" si="178"/>
        <v>9.8532482614755557E-2</v>
      </c>
    </row>
    <row r="572" spans="26:31" x14ac:dyDescent="0.2">
      <c r="Z572" s="164">
        <v>522</v>
      </c>
      <c r="AA572" s="163">
        <f t="shared" si="178"/>
        <v>7.3052297040589131E-2</v>
      </c>
      <c r="AB572" s="163">
        <f t="shared" si="178"/>
        <v>6.9022824633245564E-2</v>
      </c>
      <c r="AC572" s="163">
        <f t="shared" si="178"/>
        <v>0.11676299132958558</v>
      </c>
      <c r="AD572" s="163">
        <f t="shared" si="178"/>
        <v>0.1105407603684837</v>
      </c>
      <c r="AE572" s="163">
        <f t="shared" si="178"/>
        <v>9.8155325132601778E-2</v>
      </c>
    </row>
    <row r="573" spans="26:31" x14ac:dyDescent="0.2">
      <c r="Z573" s="164">
        <v>523</v>
      </c>
      <c r="AA573" s="163">
        <f t="shared" si="178"/>
        <v>7.2773205425413337E-2</v>
      </c>
      <c r="AB573" s="163">
        <f t="shared" si="178"/>
        <v>6.8759127358946528E-2</v>
      </c>
      <c r="AC573" s="163">
        <f t="shared" si="178"/>
        <v>0.11631690581053854</v>
      </c>
      <c r="AD573" s="163">
        <f t="shared" si="178"/>
        <v>0.11011844648372172</v>
      </c>
      <c r="AE573" s="163">
        <f t="shared" si="178"/>
        <v>9.7780329008740799E-2</v>
      </c>
    </row>
    <row r="574" spans="26:31" x14ac:dyDescent="0.2">
      <c r="Z574" s="164">
        <v>524</v>
      </c>
      <c r="AA574" s="163">
        <f t="shared" si="178"/>
        <v>7.2495710137841202E-2</v>
      </c>
      <c r="AB574" s="163">
        <f t="shared" si="178"/>
        <v>6.8496938360837367E-2</v>
      </c>
      <c r="AC574" s="163">
        <f t="shared" si="178"/>
        <v>0.11587337177849047</v>
      </c>
      <c r="AD574" s="163">
        <f t="shared" si="178"/>
        <v>0.10969854811872093</v>
      </c>
      <c r="AE574" s="163">
        <f t="shared" si="178"/>
        <v>9.7407477760007646E-2</v>
      </c>
    </row>
    <row r="575" spans="26:31" x14ac:dyDescent="0.2">
      <c r="Z575" s="164">
        <v>525</v>
      </c>
      <c r="AA575" s="163">
        <f t="shared" si="178"/>
        <v>7.2219799026967388E-2</v>
      </c>
      <c r="AB575" s="163">
        <f t="shared" si="178"/>
        <v>6.8236246158241393E-2</v>
      </c>
      <c r="AC575" s="163">
        <f t="shared" si="178"/>
        <v>0.11543236981206639</v>
      </c>
      <c r="AD575" s="163">
        <f t="shared" si="178"/>
        <v>0.10928104688706003</v>
      </c>
      <c r="AE575" s="163">
        <f t="shared" si="178"/>
        <v>9.7036755060070257E-2</v>
      </c>
    </row>
    <row r="576" spans="26:31" x14ac:dyDescent="0.2">
      <c r="Z576" s="164">
        <v>526</v>
      </c>
      <c r="AA576" s="163">
        <f t="shared" si="178"/>
        <v>7.1945460057279587E-2</v>
      </c>
      <c r="AB576" s="163">
        <f t="shared" si="178"/>
        <v>6.7977039379509913E-2</v>
      </c>
      <c r="AC576" s="163">
        <f t="shared" si="178"/>
        <v>0.11499388067432954</v>
      </c>
      <c r="AD576" s="163">
        <f t="shared" si="178"/>
        <v>0.10886592457692722</v>
      </c>
      <c r="AE576" s="163">
        <f t="shared" si="178"/>
        <v>9.6668144737642098E-2</v>
      </c>
    </row>
    <row r="577" spans="26:31" x14ac:dyDescent="0.2">
      <c r="Z577" s="164">
        <v>527</v>
      </c>
      <c r="AA577" s="163">
        <f t="shared" si="178"/>
        <v>7.1672681307345956E-2</v>
      </c>
      <c r="AB577" s="163">
        <f t="shared" si="178"/>
        <v>6.7719306760782222E-2</v>
      </c>
      <c r="AC577" s="163">
        <f t="shared" si="178"/>
        <v>0.11455788531068342</v>
      </c>
      <c r="AD577" s="163">
        <f t="shared" si="178"/>
        <v>0.10845316314913431</v>
      </c>
      <c r="AE577" s="163">
        <f t="shared" si="178"/>
        <v>9.6301630774718761E-2</v>
      </c>
    </row>
    <row r="578" spans="26:31" x14ac:dyDescent="0.2">
      <c r="Z578" s="164">
        <v>528</v>
      </c>
      <c r="AA578" s="163">
        <f t="shared" si="178"/>
        <v>7.1401450968520047E-2</v>
      </c>
      <c r="AB578" s="163">
        <f t="shared" si="178"/>
        <v>6.7463037144761831E-2</v>
      </c>
      <c r="AC578" s="163">
        <f t="shared" si="178"/>
        <v>0.11412436484680179</v>
      </c>
      <c r="AD578" s="163">
        <f t="shared" si="178"/>
        <v>0.10804274473515665</v>
      </c>
      <c r="AE578" s="163">
        <f t="shared" si="178"/>
        <v>9.5937197304837685E-2</v>
      </c>
    </row>
    <row r="579" spans="26:31" x14ac:dyDescent="0.2">
      <c r="Z579" s="164">
        <v>529</v>
      </c>
      <c r="AA579" s="163">
        <f t="shared" si="178"/>
        <v>7.1131757343662602E-2</v>
      </c>
      <c r="AB579" s="163">
        <f t="shared" si="178"/>
        <v>6.7208219479509015E-2</v>
      </c>
      <c r="AC579" s="163">
        <f t="shared" si="178"/>
        <v>0.11369330058658594</v>
      </c>
      <c r="AD579" s="163">
        <f t="shared" si="178"/>
        <v>0.1076346516351997</v>
      </c>
      <c r="AE579" s="163">
        <f t="shared" si="178"/>
        <v>9.5574828611360962E-2</v>
      </c>
    </row>
    <row r="580" spans="26:31" x14ac:dyDescent="0.2">
      <c r="Z580" s="164">
        <v>530</v>
      </c>
      <c r="AA580" s="163">
        <f t="shared" si="178"/>
        <v>7.086358884588069E-2</v>
      </c>
      <c r="AB580" s="163">
        <f t="shared" si="178"/>
        <v>6.6954842817249144E-2</v>
      </c>
      <c r="AC580" s="163">
        <f t="shared" si="178"/>
        <v>0.11326467401014878</v>
      </c>
      <c r="AD580" s="163">
        <f t="shared" si="178"/>
        <v>0.10722886631629019</v>
      </c>
      <c r="AE580" s="163">
        <f t="shared" si="178"/>
        <v>9.5214509125780916E-2</v>
      </c>
    </row>
    <row r="581" spans="26:31" x14ac:dyDescent="0.2">
      <c r="Z581" s="164">
        <v>531</v>
      </c>
      <c r="AA581" s="163">
        <f t="shared" ref="AA581:AE590" si="179">IF(($Z581/AA$11)&lt;AA$15,0.85*(AA$12-AA$13*($Z581/AA$11)),(0.85*(PI())^2*(10100)/(($Z581/AA$11)^2)))/AA$16</f>
        <v>7.059693399728291E-2</v>
      </c>
      <c r="AB581" s="163">
        <f t="shared" si="179"/>
        <v>6.6702896313196799E-2</v>
      </c>
      <c r="AC581" s="163">
        <f t="shared" si="179"/>
        <v>0.11283846677182588</v>
      </c>
      <c r="AD581" s="163">
        <f t="shared" si="179"/>
        <v>0.10682537141039333</v>
      </c>
      <c r="AE581" s="163">
        <f t="shared" si="179"/>
        <v>9.4856223426047784E-2</v>
      </c>
    </row>
    <row r="582" spans="26:31" x14ac:dyDescent="0.2">
      <c r="Z582" s="164">
        <v>532</v>
      </c>
      <c r="AA582" s="163">
        <f t="shared" si="179"/>
        <v>7.0331781427751303E-2</v>
      </c>
      <c r="AB582" s="163">
        <f t="shared" si="179"/>
        <v>6.6452369224395402E-2</v>
      </c>
      <c r="AC582" s="163">
        <f t="shared" si="179"/>
        <v>0.11241466069821217</v>
      </c>
      <c r="AD582" s="163">
        <f t="shared" si="179"/>
        <v>0.10642414971255412</v>
      </c>
      <c r="AE582" s="163">
        <f t="shared" si="179"/>
        <v>9.449995623491951E-2</v>
      </c>
    </row>
    <row r="583" spans="26:31" x14ac:dyDescent="0.2">
      <c r="Z583" s="164">
        <v>533</v>
      </c>
      <c r="AA583" s="163">
        <f t="shared" si="179"/>
        <v>7.0068119873729309E-2</v>
      </c>
      <c r="AB583" s="163">
        <f t="shared" si="179"/>
        <v>6.6203250908571903E-2</v>
      </c>
      <c r="AC583" s="163">
        <f t="shared" si="179"/>
        <v>0.11199323778622471</v>
      </c>
      <c r="AD583" s="163">
        <f t="shared" si="179"/>
        <v>0.1060251841790633</v>
      </c>
      <c r="AE583" s="163">
        <f t="shared" si="179"/>
        <v>9.4145692418333204E-2</v>
      </c>
    </row>
    <row r="584" spans="26:31" x14ac:dyDescent="0.2">
      <c r="Z584" s="164">
        <v>534</v>
      </c>
      <c r="AA584" s="163">
        <f t="shared" si="179"/>
        <v>6.9805938177025517E-2</v>
      </c>
      <c r="AB584" s="163">
        <f t="shared" si="179"/>
        <v>6.5955530823006633E-2</v>
      </c>
      <c r="AC584" s="163">
        <f t="shared" si="179"/>
        <v>0.11157418020119092</v>
      </c>
      <c r="AD584" s="163">
        <f t="shared" si="179"/>
        <v>0.10562845792564744</v>
      </c>
      <c r="AE584" s="163">
        <f t="shared" si="179"/>
        <v>9.3793416983797867E-2</v>
      </c>
    </row>
    <row r="585" spans="26:31" x14ac:dyDescent="0.2">
      <c r="Z585" s="164">
        <v>535</v>
      </c>
      <c r="AA585" s="163">
        <f t="shared" si="179"/>
        <v>6.9545225283633119E-2</v>
      </c>
      <c r="AB585" s="163">
        <f t="shared" si="179"/>
        <v>6.5709198523417889E-2</v>
      </c>
      <c r="AC585" s="163">
        <f t="shared" si="179"/>
        <v>0.11115747027496128</v>
      </c>
      <c r="AD585" s="163">
        <f t="shared" si="179"/>
        <v>0.1052339542256823</v>
      </c>
      <c r="AE585" s="163">
        <f t="shared" si="179"/>
        <v>9.3443115078808162E-2</v>
      </c>
    </row>
    <row r="586" spans="26:31" x14ac:dyDescent="0.2">
      <c r="Z586" s="164">
        <v>536</v>
      </c>
      <c r="AA586" s="163">
        <f t="shared" si="179"/>
        <v>6.9285970242564776E-2</v>
      </c>
      <c r="AB586" s="163">
        <f t="shared" si="179"/>
        <v>6.5464243662860896E-2</v>
      </c>
      <c r="AC586" s="163">
        <f t="shared" si="179"/>
        <v>0.11074309050404739</v>
      </c>
      <c r="AD586" s="163">
        <f t="shared" si="179"/>
        <v>0.10484165650843004</v>
      </c>
      <c r="AE586" s="163">
        <f t="shared" si="179"/>
        <v>9.3094771989278874E-2</v>
      </c>
    </row>
    <row r="587" spans="26:31" x14ac:dyDescent="0.2">
      <c r="Z587" s="164">
        <v>537</v>
      </c>
      <c r="AA587" s="163">
        <f t="shared" si="179"/>
        <v>6.9028162204702606E-2</v>
      </c>
      <c r="AB587" s="163">
        <f t="shared" si="179"/>
        <v>6.5220655990641446E-2</v>
      </c>
      <c r="AC587" s="163">
        <f t="shared" si="179"/>
        <v>0.11033102354778355</v>
      </c>
      <c r="AD587" s="163">
        <f t="shared" si="179"/>
        <v>0.10445154835729885</v>
      </c>
      <c r="AE587" s="163">
        <f t="shared" si="179"/>
        <v>9.2748373137999801E-2</v>
      </c>
    </row>
    <row r="588" spans="26:31" x14ac:dyDescent="0.2">
      <c r="Z588" s="164">
        <v>538</v>
      </c>
      <c r="AA588" s="163">
        <f t="shared" si="179"/>
        <v>6.8771790421663218E-2</v>
      </c>
      <c r="AB588" s="163">
        <f t="shared" si="179"/>
        <v>6.497842535124336E-2</v>
      </c>
      <c r="AC588" s="163">
        <f t="shared" si="179"/>
        <v>0.10992125222651287</v>
      </c>
      <c r="AD588" s="163">
        <f t="shared" si="179"/>
        <v>0.10406361350812565</v>
      </c>
      <c r="AE588" s="163">
        <f t="shared" si="179"/>
        <v>9.2403904083110597E-2</v>
      </c>
    </row>
    <row r="589" spans="26:31" x14ac:dyDescent="0.2">
      <c r="Z589" s="164">
        <v>539</v>
      </c>
      <c r="AA589" s="163">
        <f t="shared" si="179"/>
        <v>6.8516844244677272E-2</v>
      </c>
      <c r="AB589" s="163">
        <f t="shared" si="179"/>
        <v>6.4737541683270006E-2</v>
      </c>
      <c r="AC589" s="163">
        <f t="shared" si="179"/>
        <v>0.1095137595197965</v>
      </c>
      <c r="AD589" s="163">
        <f t="shared" si="179"/>
        <v>0.10367783584748061</v>
      </c>
      <c r="AE589" s="163">
        <f t="shared" si="179"/>
        <v>9.2061350516595586E-2</v>
      </c>
    </row>
    <row r="590" spans="26:31" x14ac:dyDescent="0.2">
      <c r="Z590" s="164">
        <v>540</v>
      </c>
      <c r="AA590" s="163">
        <f t="shared" si="179"/>
        <v>6.826331312348384E-2</v>
      </c>
      <c r="AB590" s="163">
        <f t="shared" si="179"/>
        <v>6.4497995018399479E-2</v>
      </c>
      <c r="AC590" s="163">
        <f t="shared" si="179"/>
        <v>0.10910852856464606</v>
      </c>
      <c r="AD590" s="163">
        <f t="shared" si="179"/>
        <v>0.10329419941099424</v>
      </c>
      <c r="AE590" s="163">
        <f t="shared" si="179"/>
        <v>9.1720698262797884E-2</v>
      </c>
    </row>
    <row r="591" spans="26:31" x14ac:dyDescent="0.2">
      <c r="Z591" s="164">
        <v>541</v>
      </c>
      <c r="AA591" s="163">
        <f t="shared" ref="AA591:AE600" si="180">IF(($Z591/AA$11)&lt;AA$15,0.85*(AA$12-AA$13*($Z591/AA$11)),(0.85*(PI())^2*(10100)/(($Z591/AA$11)^2)))/AA$16</f>
        <v>6.8011186605238777E-2</v>
      </c>
      <c r="AB591" s="163">
        <f t="shared" si="180"/>
        <v>6.425977548035329E-2</v>
      </c>
      <c r="AC591" s="163">
        <f t="shared" si="180"/>
        <v>0.10870554265377937</v>
      </c>
      <c r="AD591" s="163">
        <f t="shared" si="180"/>
        <v>0.10291268838170538</v>
      </c>
      <c r="AE591" s="163">
        <f t="shared" si="180"/>
        <v>9.1381933276952931E-2</v>
      </c>
    </row>
    <row r="592" spans="26:31" x14ac:dyDescent="0.2">
      <c r="Z592" s="164">
        <v>542</v>
      </c>
      <c r="AA592" s="163">
        <f t="shared" si="180"/>
        <v>6.7760454333437345E-2</v>
      </c>
      <c r="AB592" s="163">
        <f t="shared" si="180"/>
        <v>6.4022873283878498E-2</v>
      </c>
      <c r="AC592" s="163">
        <f t="shared" si="180"/>
        <v>0.10830478523389794</v>
      </c>
      <c r="AD592" s="163">
        <f t="shared" si="180"/>
        <v>0.10253328708843125</v>
      </c>
      <c r="AE592" s="163">
        <f t="shared" si="180"/>
        <v>9.1045041643740776E-2</v>
      </c>
    </row>
    <row r="593" spans="26:31" x14ac:dyDescent="0.2">
      <c r="Z593" s="164">
        <v>543</v>
      </c>
      <c r="AA593" s="163">
        <f t="shared" si="180"/>
        <v>6.7511106046850719E-2</v>
      </c>
      <c r="AB593" s="163">
        <f t="shared" si="180"/>
        <v>6.3787278733742639E-2</v>
      </c>
      <c r="AC593" s="163">
        <f t="shared" si="180"/>
        <v>0.10790623990398746</v>
      </c>
      <c r="AD593" s="163">
        <f t="shared" si="180"/>
        <v>0.10215598000415778</v>
      </c>
      <c r="AE593" s="163">
        <f t="shared" si="180"/>
        <v>9.0710009575857023E-2</v>
      </c>
    </row>
    <row r="594" spans="26:31" x14ac:dyDescent="0.2">
      <c r="Z594" s="164">
        <v>544</v>
      </c>
      <c r="AA594" s="163">
        <f t="shared" si="180"/>
        <v>6.7263131578476049E-2</v>
      </c>
      <c r="AB594" s="163">
        <f t="shared" si="180"/>
        <v>6.3552982223741908E-2</v>
      </c>
      <c r="AC594" s="163">
        <f t="shared" si="180"/>
        <v>0.10750989041363943</v>
      </c>
      <c r="AD594" s="163">
        <f t="shared" si="180"/>
        <v>0.10178075174445124</v>
      </c>
      <c r="AE594" s="163">
        <f t="shared" si="180"/>
        <v>9.0376823412602295E-2</v>
      </c>
    </row>
    <row r="595" spans="26:31" x14ac:dyDescent="0.2">
      <c r="Z595" s="164">
        <v>545</v>
      </c>
      <c r="AA595" s="163">
        <f t="shared" si="180"/>
        <v>6.7016520854500078E-2</v>
      </c>
      <c r="AB595" s="163">
        <f t="shared" si="180"/>
        <v>6.3319974235721846E-2</v>
      </c>
      <c r="AC595" s="163">
        <f t="shared" si="180"/>
        <v>0.10711572066139481</v>
      </c>
      <c r="AD595" s="163">
        <f t="shared" si="180"/>
        <v>0.1014075870658898</v>
      </c>
      <c r="AE595" s="163">
        <f t="shared" si="180"/>
        <v>9.0045469618489554E-2</v>
      </c>
    </row>
    <row r="596" spans="26:31" x14ac:dyDescent="0.2">
      <c r="Z596" s="164">
        <v>546</v>
      </c>
      <c r="AA596" s="163">
        <f t="shared" si="180"/>
        <v>6.6771263893276048E-2</v>
      </c>
      <c r="AB596" s="163">
        <f t="shared" si="180"/>
        <v>6.3088245338610752E-2</v>
      </c>
      <c r="AC596" s="163">
        <f t="shared" si="180"/>
        <v>0.10672371469310872</v>
      </c>
      <c r="AD596" s="163">
        <f t="shared" si="180"/>
        <v>0.10103647086451556</v>
      </c>
      <c r="AE596" s="163">
        <f t="shared" si="180"/>
        <v>8.9715934781869663E-2</v>
      </c>
    </row>
    <row r="597" spans="26:31" x14ac:dyDescent="0.2">
      <c r="Z597" s="164">
        <v>547</v>
      </c>
      <c r="AA597" s="163">
        <f t="shared" si="180"/>
        <v>6.652735080431367E-2</v>
      </c>
      <c r="AB597" s="163">
        <f t="shared" si="180"/>
        <v>6.2857786187465237E-2</v>
      </c>
      <c r="AC597" s="163">
        <f t="shared" si="180"/>
        <v>0.10633385670033586</v>
      </c>
      <c r="AD597" s="163">
        <f t="shared" si="180"/>
        <v>0.10066738817430598</v>
      </c>
      <c r="AE597" s="163">
        <f t="shared" si="180"/>
        <v>8.9388205613573996E-2</v>
      </c>
    </row>
    <row r="598" spans="26:31" x14ac:dyDescent="0.2">
      <c r="Z598" s="164">
        <v>548</v>
      </c>
      <c r="AA598" s="163">
        <f t="shared" si="180"/>
        <v>6.6284771787281843E-2</v>
      </c>
      <c r="AB598" s="163">
        <f t="shared" si="180"/>
        <v>6.2628587522528131E-2</v>
      </c>
      <c r="AC598" s="163">
        <f t="shared" si="180"/>
        <v>0.10594613101873702</v>
      </c>
      <c r="AD598" s="163">
        <f t="shared" si="180"/>
        <v>0.10030032416566521</v>
      </c>
      <c r="AE598" s="163">
        <f t="shared" si="180"/>
        <v>8.9062268945574688E-2</v>
      </c>
    </row>
    <row r="599" spans="26:31" x14ac:dyDescent="0.2">
      <c r="Z599" s="164">
        <v>549</v>
      </c>
      <c r="AA599" s="163">
        <f t="shared" si="180"/>
        <v>6.604351713102441E-2</v>
      </c>
      <c r="AB599" s="163">
        <f t="shared" si="180"/>
        <v>6.2400640168298327E-2</v>
      </c>
      <c r="AC599" s="163">
        <f t="shared" si="180"/>
        <v>0.10556052212650521</v>
      </c>
      <c r="AD599" s="163">
        <f t="shared" si="180"/>
        <v>9.9935264143934222E-2</v>
      </c>
      <c r="AE599" s="163">
        <f t="shared" si="180"/>
        <v>8.873811172966202E-2</v>
      </c>
    </row>
    <row r="600" spans="26:31" x14ac:dyDescent="0.2">
      <c r="Z600" s="164">
        <v>550</v>
      </c>
      <c r="AA600" s="163">
        <f t="shared" si="180"/>
        <v>6.5803577212588046E-2</v>
      </c>
      <c r="AB600" s="163">
        <f t="shared" si="180"/>
        <v>6.2173935032612496E-2</v>
      </c>
      <c r="AC600" s="163">
        <f t="shared" si="180"/>
        <v>0.10517701464281254</v>
      </c>
      <c r="AD600" s="163">
        <f t="shared" si="180"/>
        <v>9.9572193547920379E-2</v>
      </c>
      <c r="AE600" s="163">
        <f t="shared" si="180"/>
        <v>8.8415721036138401E-2</v>
      </c>
    </row>
    <row r="601" spans="26:31" x14ac:dyDescent="0.2">
      <c r="Z601" s="164">
        <v>551</v>
      </c>
      <c r="AA601" s="163">
        <f t="shared" ref="AA601:AE610" si="181">IF(($Z601/AA$11)&lt;AA$15,0.85*(AA$12-AA$13*($Z601/AA$11)),(0.85*(PI())^2*(10100)/(($Z601/AA$11)^2)))/AA$16</f>
        <v>6.556494249626281E-2</v>
      </c>
      <c r="AB601" s="163">
        <f t="shared" si="181"/>
        <v>6.1948463105738392E-2</v>
      </c>
      <c r="AC601" s="163">
        <f t="shared" si="181"/>
        <v>0.10479559332627625</v>
      </c>
      <c r="AD601" s="163">
        <f t="shared" si="181"/>
        <v>9.9211097948445223E-2</v>
      </c>
      <c r="AE601" s="163">
        <f t="shared" si="181"/>
        <v>8.8095084052529013E-2</v>
      </c>
    </row>
    <row r="602" spans="26:31" x14ac:dyDescent="0.2">
      <c r="Z602" s="164">
        <v>552</v>
      </c>
      <c r="AA602" s="163">
        <f t="shared" si="181"/>
        <v>6.5327603532634573E-2</v>
      </c>
      <c r="AB602" s="163">
        <f t="shared" si="181"/>
        <v>6.1724215459479641E-2</v>
      </c>
      <c r="AC602" s="163">
        <f t="shared" si="181"/>
        <v>0.10441624307344437</v>
      </c>
      <c r="AD602" s="163">
        <f t="shared" si="181"/>
        <v>9.885196304691081E-2</v>
      </c>
      <c r="AE602" s="163">
        <f t="shared" si="181"/>
        <v>8.7776188082308942E-2</v>
      </c>
    </row>
    <row r="603" spans="26:31" x14ac:dyDescent="0.2">
      <c r="Z603" s="164">
        <v>553</v>
      </c>
      <c r="AA603" s="163">
        <f t="shared" si="181"/>
        <v>6.5091550957649666E-2</v>
      </c>
      <c r="AB603" s="163">
        <f t="shared" si="181"/>
        <v>6.1501183246291918E-2</v>
      </c>
      <c r="AC603" s="163">
        <f t="shared" si="181"/>
        <v>0.10403894891730067</v>
      </c>
      <c r="AD603" s="163">
        <f t="shared" si="181"/>
        <v>9.8494774673884414E-2</v>
      </c>
      <c r="AE603" s="163">
        <f t="shared" si="181"/>
        <v>8.7459020543646085E-2</v>
      </c>
    </row>
    <row r="604" spans="26:31" x14ac:dyDescent="0.2">
      <c r="Z604" s="164">
        <v>554</v>
      </c>
      <c r="AA604" s="163">
        <f t="shared" si="181"/>
        <v>6.4856775491691179E-2</v>
      </c>
      <c r="AB604" s="163">
        <f t="shared" si="181"/>
        <v>6.1279357698410253E-2</v>
      </c>
      <c r="AC604" s="163">
        <f t="shared" si="181"/>
        <v>0.10366369602578814</v>
      </c>
      <c r="AD604" s="163">
        <f t="shared" si="181"/>
        <v>9.813951878770058E-2</v>
      </c>
      <c r="AE604" s="163">
        <f t="shared" si="181"/>
        <v>8.7143568968160237E-2</v>
      </c>
    </row>
    <row r="605" spans="26:31" x14ac:dyDescent="0.2">
      <c r="Z605" s="164">
        <v>555</v>
      </c>
      <c r="AA605" s="163">
        <f t="shared" si="181"/>
        <v>6.4623267938666962E-2</v>
      </c>
      <c r="AB605" s="163">
        <f t="shared" si="181"/>
        <v>6.1058730126987364E-2</v>
      </c>
      <c r="AC605" s="163">
        <f t="shared" si="181"/>
        <v>0.10329046970035156</v>
      </c>
      <c r="AD605" s="163">
        <f t="shared" si="181"/>
        <v>9.7786181473081477E-2</v>
      </c>
      <c r="AE605" s="163">
        <f t="shared" si="181"/>
        <v>8.6829820999697632E-2</v>
      </c>
    </row>
    <row r="606" spans="26:31" x14ac:dyDescent="0.2">
      <c r="Z606" s="164">
        <v>556</v>
      </c>
      <c r="AA606" s="163">
        <f t="shared" si="181"/>
        <v>6.4391019185109102E-2</v>
      </c>
      <c r="AB606" s="163">
        <f t="shared" si="181"/>
        <v>6.0839291921242704E-2</v>
      </c>
      <c r="AC606" s="163">
        <f t="shared" si="181"/>
        <v>0.10291925537449795</v>
      </c>
      <c r="AD606" s="163">
        <f t="shared" si="181"/>
        <v>9.7434748939773802E-2</v>
      </c>
      <c r="AE606" s="163">
        <f t="shared" si="181"/>
        <v>8.6517764393121033E-2</v>
      </c>
    </row>
    <row r="607" spans="26:31" x14ac:dyDescent="0.2">
      <c r="Z607" s="164">
        <v>557</v>
      </c>
      <c r="AA607" s="163">
        <f t="shared" si="181"/>
        <v>6.4160020199284726E-2</v>
      </c>
      <c r="AB607" s="163">
        <f t="shared" si="181"/>
        <v>6.0621034547622347E-2</v>
      </c>
      <c r="AC607" s="163">
        <f t="shared" si="181"/>
        <v>0.10255003861237519</v>
      </c>
      <c r="AD607" s="163">
        <f t="shared" si="181"/>
        <v>9.7085207521203684E-2</v>
      </c>
      <c r="AE607" s="163">
        <f t="shared" si="181"/>
        <v>8.6207387013114839E-2</v>
      </c>
    </row>
    <row r="608" spans="26:31" x14ac:dyDescent="0.2">
      <c r="Z608" s="164">
        <v>558</v>
      </c>
      <c r="AA608" s="163">
        <f t="shared" si="181"/>
        <v>6.3930262030317833E-2</v>
      </c>
      <c r="AB608" s="163">
        <f t="shared" si="181"/>
        <v>6.0403949548969313E-2</v>
      </c>
      <c r="AC608" s="163">
        <f t="shared" si="181"/>
        <v>0.10218280510736887</v>
      </c>
      <c r="AD608" s="163">
        <f t="shared" si="181"/>
        <v>9.6737543673147561E-2</v>
      </c>
      <c r="AE608" s="163">
        <f t="shared" si="181"/>
        <v>8.5898676833005311E-2</v>
      </c>
    </row>
    <row r="609" spans="26:31" x14ac:dyDescent="0.2">
      <c r="Z609" s="164">
        <v>559</v>
      </c>
      <c r="AA609" s="163">
        <f t="shared" si="181"/>
        <v>6.3701735807322329E-2</v>
      </c>
      <c r="AB609" s="163">
        <f t="shared" si="181"/>
        <v>6.0188028543704364E-2</v>
      </c>
      <c r="AC609" s="163">
        <f t="shared" si="181"/>
        <v>0.10181754068071594</v>
      </c>
      <c r="AD609" s="163">
        <f t="shared" si="181"/>
        <v>9.6391743972420479E-2</v>
      </c>
      <c r="AE609" s="163">
        <f t="shared" si="181"/>
        <v>8.5591621933595527E-2</v>
      </c>
    </row>
    <row r="610" spans="26:31" x14ac:dyDescent="0.2">
      <c r="Z610" s="164">
        <v>560</v>
      </c>
      <c r="AA610" s="163">
        <f t="shared" si="181"/>
        <v>6.3474432738545569E-2</v>
      </c>
      <c r="AB610" s="163">
        <f t="shared" si="181"/>
        <v>5.9973263225016844E-2</v>
      </c>
      <c r="AC610" s="163">
        <f t="shared" si="181"/>
        <v>0.10145423128013648</v>
      </c>
      <c r="AD610" s="163">
        <f t="shared" si="181"/>
        <v>9.6047795115580092E-2</v>
      </c>
      <c r="AE610" s="163">
        <f t="shared" si="181"/>
        <v>8.5286210502014889E-2</v>
      </c>
    </row>
    <row r="611" spans="26:31" x14ac:dyDescent="0.2">
      <c r="Z611" s="164">
        <v>561</v>
      </c>
      <c r="AA611" s="163">
        <f t="shared" ref="AA611:AE620" si="182">IF(($Z611/AA$11)&lt;AA$15,0.85*(AA$12-AA$13*($Z611/AA$11)),(0.85*(PI())^2*(10100)/(($Z611/AA$11)^2)))/AA$16</f>
        <v>6.3248344110522936E-2</v>
      </c>
      <c r="AB611" s="163">
        <f t="shared" si="182"/>
        <v>5.9759645360065859E-2</v>
      </c>
      <c r="AC611" s="163">
        <f t="shared" si="182"/>
        <v>0.10109286297848188</v>
      </c>
      <c r="AD611" s="163">
        <f t="shared" si="182"/>
        <v>9.5705683917647444E-2</v>
      </c>
      <c r="AE611" s="163">
        <f t="shared" si="182"/>
        <v>8.4982430830582836E-2</v>
      </c>
    </row>
    <row r="612" spans="26:31" x14ac:dyDescent="0.2">
      <c r="Z612" s="164">
        <v>562</v>
      </c>
      <c r="AA612" s="163">
        <f t="shared" si="182"/>
        <v>6.3023461287242719E-2</v>
      </c>
      <c r="AB612" s="163">
        <f t="shared" si="182"/>
        <v>5.9547166789191121E-2</v>
      </c>
      <c r="AC612" s="163">
        <f t="shared" si="182"/>
        <v>0.10073342197240026</v>
      </c>
      <c r="AD612" s="163">
        <f t="shared" si="182"/>
        <v>9.536539731084305E-2</v>
      </c>
      <c r="AE612" s="163">
        <f t="shared" si="182"/>
        <v>8.4680271315687047E-2</v>
      </c>
    </row>
    <row r="613" spans="26:31" x14ac:dyDescent="0.2">
      <c r="Z613" s="164">
        <v>563</v>
      </c>
      <c r="AA613" s="163">
        <f t="shared" si="182"/>
        <v>6.2799775709321382E-2</v>
      </c>
      <c r="AB613" s="163">
        <f t="shared" si="182"/>
        <v>5.9335819425133954E-2</v>
      </c>
      <c r="AC613" s="163">
        <f t="shared" si="182"/>
        <v>0.10037589458101832</v>
      </c>
      <c r="AD613" s="163">
        <f t="shared" si="182"/>
        <v>9.5026922343339329E-2</v>
      </c>
      <c r="AE613" s="163">
        <f t="shared" si="182"/>
        <v>8.4379720456675134E-2</v>
      </c>
    </row>
    <row r="614" spans="26:31" x14ac:dyDescent="0.2">
      <c r="Z614" s="164">
        <v>564</v>
      </c>
      <c r="AA614" s="163">
        <f t="shared" si="182"/>
        <v>6.257727889318912E-2</v>
      </c>
      <c r="AB614" s="163">
        <f t="shared" si="182"/>
        <v>5.9125595252267502E-2</v>
      </c>
      <c r="AC614" s="163">
        <f t="shared" si="182"/>
        <v>0.10002026724463935</v>
      </c>
      <c r="AD614" s="163">
        <f t="shared" si="182"/>
        <v>9.4690246178027765E-2</v>
      </c>
      <c r="AE614" s="163">
        <f t="shared" si="182"/>
        <v>8.4080766854760389E-2</v>
      </c>
    </row>
    <row r="615" spans="26:31" x14ac:dyDescent="0.2">
      <c r="Z615" s="164">
        <v>565</v>
      </c>
      <c r="AA615" s="163">
        <f t="shared" si="182"/>
        <v>6.2355962430285503E-2</v>
      </c>
      <c r="AB615" s="163">
        <f t="shared" si="182"/>
        <v>5.8916486325836903E-2</v>
      </c>
      <c r="AC615" s="163">
        <f t="shared" si="182"/>
        <v>9.9666526523457755E-2</v>
      </c>
      <c r="AD615" s="163">
        <f t="shared" si="182"/>
        <v>9.4355356091302148E-2</v>
      </c>
      <c r="AE615" s="163">
        <f t="shared" si="182"/>
        <v>8.3783399211940987E-2</v>
      </c>
    </row>
    <row r="616" spans="26:31" x14ac:dyDescent="0.2">
      <c r="Z616" s="164">
        <v>566</v>
      </c>
      <c r="AA616" s="163">
        <f t="shared" si="182"/>
        <v>6.2135817986264927E-2</v>
      </c>
      <c r="AB616" s="163">
        <f t="shared" si="182"/>
        <v>5.870848477120854E-2</v>
      </c>
      <c r="AC616" s="163">
        <f t="shared" si="182"/>
        <v>9.9314659096289129E-2</v>
      </c>
      <c r="AD616" s="163">
        <f t="shared" si="182"/>
        <v>9.4022239471856062E-2</v>
      </c>
      <c r="AE616" s="163">
        <f t="shared" si="182"/>
        <v>8.3487606329932518E-2</v>
      </c>
    </row>
    <row r="617" spans="26:31" x14ac:dyDescent="0.2">
      <c r="Z617" s="164">
        <v>567</v>
      </c>
      <c r="AA617" s="163">
        <f t="shared" si="182"/>
        <v>6.1916837300212108E-2</v>
      </c>
      <c r="AB617" s="163">
        <f t="shared" si="182"/>
        <v>5.8501582783128767E-2</v>
      </c>
      <c r="AC617" s="163">
        <f t="shared" si="182"/>
        <v>9.8964651759316152E-2</v>
      </c>
      <c r="AD617" s="163">
        <f t="shared" si="182"/>
        <v>9.3690883819495904E-2</v>
      </c>
      <c r="AE617" s="163">
        <f t="shared" si="182"/>
        <v>8.3193377109113731E-2</v>
      </c>
    </row>
    <row r="618" spans="26:31" x14ac:dyDescent="0.2">
      <c r="Z618" s="164">
        <v>568</v>
      </c>
      <c r="AA618" s="163">
        <f t="shared" si="182"/>
        <v>6.169901218386694E-2</v>
      </c>
      <c r="AB618" s="163">
        <f t="shared" si="182"/>
        <v>5.8295772624991582E-2</v>
      </c>
      <c r="AC618" s="163">
        <f t="shared" si="182"/>
        <v>9.8616491424849961E-2</v>
      </c>
      <c r="AD618" s="163">
        <f t="shared" si="182"/>
        <v>9.3361276743967964E-2</v>
      </c>
      <c r="AE618" s="163">
        <f t="shared" si="182"/>
        <v>8.2900700547485204E-2</v>
      </c>
    </row>
    <row r="619" spans="26:31" x14ac:dyDescent="0.2">
      <c r="Z619" s="164">
        <v>569</v>
      </c>
      <c r="AA619" s="163">
        <f t="shared" si="182"/>
        <v>6.1482334520859175E-2</v>
      </c>
      <c r="AB619" s="163">
        <f t="shared" si="182"/>
        <v>5.8091046628115442E-2</v>
      </c>
      <c r="AC619" s="163">
        <f t="shared" si="182"/>
        <v>9.8270165120106487E-2</v>
      </c>
      <c r="AD619" s="163">
        <f t="shared" si="182"/>
        <v>9.3033405963800206E-2</v>
      </c>
      <c r="AE619" s="163">
        <f t="shared" si="182"/>
        <v>8.2609565739640872E-2</v>
      </c>
    </row>
    <row r="620" spans="26:31" x14ac:dyDescent="0.2">
      <c r="Z620" s="164">
        <v>570</v>
      </c>
      <c r="AA620" s="163">
        <f t="shared" si="182"/>
        <v>6.1266796265952252E-2</v>
      </c>
      <c r="AB620" s="163">
        <f t="shared" si="182"/>
        <v>5.7887397191028894E-2</v>
      </c>
      <c r="AC620" s="163">
        <f t="shared" si="182"/>
        <v>9.7925659985998156E-2</v>
      </c>
      <c r="AD620" s="163">
        <f t="shared" si="182"/>
        <v>9.270725930515826E-2</v>
      </c>
      <c r="AE620" s="163">
        <f t="shared" si="182"/>
        <v>8.2319961875752121E-2</v>
      </c>
    </row>
    <row r="621" spans="26:31" x14ac:dyDescent="0.2">
      <c r="Z621" s="164">
        <v>571</v>
      </c>
      <c r="AA621" s="163">
        <f t="shared" ref="AA621:AE630" si="183">IF(($Z621/AA$11)&lt;AA$15,0.85*(AA$12-AA$13*($Z621/AA$11)),(0.85*(PI())^2*(10100)/(($Z621/AA$11)^2)))/AA$16</f>
        <v>6.1052389444296529E-2</v>
      </c>
      <c r="AB621" s="163">
        <f t="shared" si="183"/>
        <v>5.7684816778764886E-2</v>
      </c>
      <c r="AC621" s="163">
        <f t="shared" si="183"/>
        <v>9.7582963275940127E-2</v>
      </c>
      <c r="AD621" s="163">
        <f t="shared" si="183"/>
        <v>9.2382824700715294E-2</v>
      </c>
      <c r="AE621" s="163">
        <f t="shared" si="183"/>
        <v>8.2031878240564418E-2</v>
      </c>
    </row>
    <row r="622" spans="26:31" x14ac:dyDescent="0.2">
      <c r="Z622" s="164">
        <v>572</v>
      </c>
      <c r="AA622" s="163">
        <f t="shared" si="183"/>
        <v>6.0839106150691623E-2</v>
      </c>
      <c r="AB622" s="163">
        <f t="shared" si="183"/>
        <v>5.7483297922163931E-2</v>
      </c>
      <c r="AC622" s="163">
        <f t="shared" si="183"/>
        <v>9.7242062354671352E-2</v>
      </c>
      <c r="AD622" s="163">
        <f t="shared" si="183"/>
        <v>9.2060090188535879E-2</v>
      </c>
      <c r="AE622" s="163">
        <f t="shared" si="183"/>
        <v>8.174530421240607E-2</v>
      </c>
    </row>
    <row r="623" spans="26:31" x14ac:dyDescent="0.2">
      <c r="Z623" s="164">
        <v>573</v>
      </c>
      <c r="AA623" s="163">
        <f t="shared" si="183"/>
        <v>6.0626938548857666E-2</v>
      </c>
      <c r="AB623" s="163">
        <f t="shared" si="183"/>
        <v>5.7282833217185462E-2</v>
      </c>
      <c r="AC623" s="163">
        <f t="shared" si="183"/>
        <v>9.6902944697089807E-2</v>
      </c>
      <c r="AD623" s="163">
        <f t="shared" si="183"/>
        <v>9.1739043910973192E-2</v>
      </c>
      <c r="AE623" s="163">
        <f t="shared" si="183"/>
        <v>8.1460229262209138E-2</v>
      </c>
    </row>
    <row r="624" spans="26:31" x14ac:dyDescent="0.2">
      <c r="Z624" s="164">
        <v>574</v>
      </c>
      <c r="AA624" s="163">
        <f t="shared" si="183"/>
        <v>6.0415878870715582E-2</v>
      </c>
      <c r="AB624" s="163">
        <f t="shared" si="183"/>
        <v>5.7083415324227817E-2</v>
      </c>
      <c r="AC624" s="163">
        <f t="shared" si="183"/>
        <v>9.6565597887101923E-2</v>
      </c>
      <c r="AD624" s="163">
        <f t="shared" si="183"/>
        <v>9.1419674113580124E-2</v>
      </c>
      <c r="AE624" s="163">
        <f t="shared" si="183"/>
        <v>8.1176642952542413E-2</v>
      </c>
    </row>
    <row r="625" spans="26:31" x14ac:dyDescent="0.2">
      <c r="Z625" s="164">
        <v>575</v>
      </c>
      <c r="AA625" s="163">
        <f t="shared" si="183"/>
        <v>6.0205919415676032E-2</v>
      </c>
      <c r="AB625" s="163">
        <f t="shared" si="183"/>
        <v>5.6885036967456434E-2</v>
      </c>
      <c r="AC625" s="163">
        <f t="shared" si="183"/>
        <v>9.6230009616486367E-2</v>
      </c>
      <c r="AD625" s="163">
        <f t="shared" si="183"/>
        <v>9.1101969144033013E-2</v>
      </c>
      <c r="AE625" s="163">
        <f t="shared" si="183"/>
        <v>8.0894534936655924E-2</v>
      </c>
    </row>
    <row r="626" spans="26:31" x14ac:dyDescent="0.2">
      <c r="Z626" s="164">
        <v>576</v>
      </c>
      <c r="AA626" s="163">
        <f t="shared" si="183"/>
        <v>5.9997052549936966E-2</v>
      </c>
      <c r="AB626" s="163">
        <f t="shared" si="183"/>
        <v>5.6687690934140153E-2</v>
      </c>
      <c r="AC626" s="163">
        <f t="shared" si="183"/>
        <v>9.5896167683770961E-2</v>
      </c>
      <c r="AD626" s="163">
        <f t="shared" si="183"/>
        <v>9.0785917451069162E-2</v>
      </c>
      <c r="AE626" s="163">
        <f t="shared" si="183"/>
        <v>8.0613894957537194E-2</v>
      </c>
    </row>
    <row r="627" spans="26:31" x14ac:dyDescent="0.2">
      <c r="Z627" s="164">
        <v>577</v>
      </c>
      <c r="AA627" s="163">
        <f t="shared" si="183"/>
        <v>5.9789270705789772E-2</v>
      </c>
      <c r="AB627" s="163">
        <f t="shared" si="183"/>
        <v>5.6491370073995614E-2</v>
      </c>
      <c r="AC627" s="163">
        <f t="shared" si="183"/>
        <v>9.5564059993124062E-2</v>
      </c>
      <c r="AD627" s="163">
        <f t="shared" si="183"/>
        <v>9.0471507583436445E-2</v>
      </c>
      <c r="AE627" s="163">
        <f t="shared" si="183"/>
        <v>8.0334712846978962E-2</v>
      </c>
    </row>
    <row r="628" spans="26:31" x14ac:dyDescent="0.2">
      <c r="Z628" s="164">
        <v>578</v>
      </c>
      <c r="AA628" s="163">
        <f t="shared" si="183"/>
        <v>5.9582566380933802E-2</v>
      </c>
      <c r="AB628" s="163">
        <f t="shared" si="183"/>
        <v>5.6296067298539545E-2</v>
      </c>
      <c r="AC628" s="163">
        <f t="shared" si="183"/>
        <v>9.5233674553258443E-2</v>
      </c>
      <c r="AD628" s="163">
        <f t="shared" si="183"/>
        <v>9.0158728188856452E-2</v>
      </c>
      <c r="AE628" s="163">
        <f t="shared" si="183"/>
        <v>8.0056978524658054E-2</v>
      </c>
    </row>
    <row r="629" spans="26:31" x14ac:dyDescent="0.2">
      <c r="Z629" s="164">
        <v>579</v>
      </c>
      <c r="AA629" s="163">
        <f t="shared" si="183"/>
        <v>5.9376932137799036E-2</v>
      </c>
      <c r="AB629" s="163">
        <f t="shared" si="183"/>
        <v>5.6101775580448938E-2</v>
      </c>
      <c r="AC629" s="163">
        <f t="shared" si="183"/>
        <v>9.4904999476349242E-2</v>
      </c>
      <c r="AD629" s="163">
        <f t="shared" si="183"/>
        <v>8.9847568012999368E-2</v>
      </c>
      <c r="AE629" s="163">
        <f t="shared" si="183"/>
        <v>7.9780681997225447E-2</v>
      </c>
    </row>
    <row r="630" spans="26:31" x14ac:dyDescent="0.2">
      <c r="Z630" s="164">
        <v>580</v>
      </c>
      <c r="AA630" s="163">
        <f t="shared" si="183"/>
        <v>5.9172360602877193E-2</v>
      </c>
      <c r="AB630" s="163">
        <f t="shared" si="183"/>
        <v>5.5908487952928902E-2</v>
      </c>
      <c r="AC630" s="163">
        <f t="shared" si="183"/>
        <v>9.4578022976964327E-2</v>
      </c>
      <c r="AD630" s="163">
        <f t="shared" si="183"/>
        <v>8.9538015898471823E-2</v>
      </c>
      <c r="AE630" s="163">
        <f t="shared" si="183"/>
        <v>7.9505813357407445E-2</v>
      </c>
    </row>
    <row r="631" spans="26:31" x14ac:dyDescent="0.2">
      <c r="Z631" s="164">
        <v>581</v>
      </c>
      <c r="AA631" s="163">
        <f t="shared" ref="AA631:AE640" si="184">IF(($Z631/AA$11)&lt;AA$15,0.85*(AA$12-AA$13*($Z631/AA$11)),(0.85*(PI())^2*(10100)/(($Z631/AA$11)^2)))/AA$16</f>
        <v>5.896884446606062E-2</v>
      </c>
      <c r="AB631" s="163">
        <f t="shared" si="184"/>
        <v>5.5716197509088093E-2</v>
      </c>
      <c r="AC631" s="163">
        <f t="shared" si="184"/>
        <v>9.4252733371007882E-2</v>
      </c>
      <c r="AD631" s="163">
        <f t="shared" si="184"/>
        <v>8.9230060783816595E-2</v>
      </c>
      <c r="AE631" s="163">
        <f t="shared" si="184"/>
        <v>7.9232362783117308E-2</v>
      </c>
    </row>
    <row r="632" spans="26:31" x14ac:dyDescent="0.2">
      <c r="Z632" s="164">
        <v>582</v>
      </c>
      <c r="AA632" s="163">
        <f t="shared" si="184"/>
        <v>5.8766376479989273E-2</v>
      </c>
      <c r="AB632" s="163">
        <f t="shared" si="184"/>
        <v>5.5524897401321688E-2</v>
      </c>
      <c r="AC632" s="163">
        <f t="shared" si="184"/>
        <v>9.3929119074676728E-2</v>
      </c>
      <c r="AD632" s="163">
        <f t="shared" si="184"/>
        <v>8.8923691702524538E-2</v>
      </c>
      <c r="AE632" s="163">
        <f t="shared" si="184"/>
        <v>7.8960320536578046E-2</v>
      </c>
    </row>
    <row r="633" spans="26:31" x14ac:dyDescent="0.2">
      <c r="Z633" s="164">
        <v>583</v>
      </c>
      <c r="AA633" s="163">
        <f t="shared" si="184"/>
        <v>5.8564949459405533E-2</v>
      </c>
      <c r="AB633" s="163">
        <f t="shared" si="184"/>
        <v>5.5334580840701766E-2</v>
      </c>
      <c r="AC633" s="163">
        <f t="shared" si="184"/>
        <v>9.3607168603428756E-2</v>
      </c>
      <c r="AD633" s="163">
        <f t="shared" si="184"/>
        <v>8.8618897782058018E-2</v>
      </c>
      <c r="AE633" s="163">
        <f t="shared" si="184"/>
        <v>7.8689676963455316E-2</v>
      </c>
    </row>
    <row r="634" spans="26:31" x14ac:dyDescent="0.2">
      <c r="Z634" s="164">
        <v>584</v>
      </c>
      <c r="AA634" s="163">
        <f t="shared" si="184"/>
        <v>5.8364556280516663E-2</v>
      </c>
      <c r="AB634" s="163">
        <f t="shared" si="184"/>
        <v>5.5145241096375038E-2</v>
      </c>
      <c r="AC634" s="163">
        <f t="shared" si="184"/>
        <v>9.3286870570964256E-2</v>
      </c>
      <c r="AD634" s="163">
        <f t="shared" si="184"/>
        <v>8.8315668242886558E-2</v>
      </c>
      <c r="AE634" s="163">
        <f t="shared" si="184"/>
        <v>7.8420422492000902E-2</v>
      </c>
    </row>
    <row r="635" spans="26:31" x14ac:dyDescent="0.2">
      <c r="Z635" s="164">
        <v>585</v>
      </c>
      <c r="AA635" s="163">
        <f t="shared" si="184"/>
        <v>5.8165189880364933E-2</v>
      </c>
      <c r="AB635" s="163">
        <f t="shared" si="184"/>
        <v>5.4956871494967585E-2</v>
      </c>
      <c r="AC635" s="163">
        <f t="shared" si="184"/>
        <v>9.2968213688219156E-2</v>
      </c>
      <c r="AD635" s="163">
        <f t="shared" si="184"/>
        <v>8.8013992397533533E-2</v>
      </c>
      <c r="AE635" s="163">
        <f t="shared" si="184"/>
        <v>7.815254763220647E-2</v>
      </c>
    </row>
    <row r="636" spans="26:31" x14ac:dyDescent="0.2">
      <c r="Z636" s="164">
        <v>586</v>
      </c>
      <c r="AA636" s="163">
        <f t="shared" si="184"/>
        <v>5.7966843256205339E-2</v>
      </c>
      <c r="AB636" s="163">
        <f t="shared" si="184"/>
        <v>5.4769465419996992E-2</v>
      </c>
      <c r="AC636" s="163">
        <f t="shared" si="184"/>
        <v>9.2651186762369955E-2</v>
      </c>
      <c r="AD636" s="163">
        <f t="shared" si="184"/>
        <v>8.771385964963456E-2</v>
      </c>
      <c r="AE636" s="163">
        <f t="shared" si="184"/>
        <v>7.788604297496729E-2</v>
      </c>
    </row>
    <row r="637" spans="26:31" x14ac:dyDescent="0.2">
      <c r="Z637" s="164">
        <v>587</v>
      </c>
      <c r="AA637" s="163">
        <f t="shared" si="184"/>
        <v>5.7769509464890595E-2</v>
      </c>
      <c r="AB637" s="163">
        <f t="shared" si="184"/>
        <v>5.4583016311291151E-2</v>
      </c>
      <c r="AC637" s="163">
        <f t="shared" si="184"/>
        <v>9.2335778695851342E-2</v>
      </c>
      <c r="AD637" s="163">
        <f t="shared" si="184"/>
        <v>8.7415259493006978E-2</v>
      </c>
      <c r="AE637" s="163">
        <f t="shared" si="184"/>
        <v>7.7620899191255935E-2</v>
      </c>
    </row>
    <row r="638" spans="26:31" x14ac:dyDescent="0.2">
      <c r="Z638" s="164">
        <v>588</v>
      </c>
      <c r="AA638" s="163">
        <f t="shared" si="184"/>
        <v>5.757318162226354E-2</v>
      </c>
      <c r="AB638" s="163">
        <f t="shared" si="184"/>
        <v>5.439751766441437E-2</v>
      </c>
      <c r="AC638" s="163">
        <f t="shared" si="184"/>
        <v>9.2021978485384556E-2</v>
      </c>
      <c r="AD638" s="163">
        <f t="shared" si="184"/>
        <v>8.7118181510730239E-2</v>
      </c>
      <c r="AE638" s="163">
        <f t="shared" si="184"/>
        <v>7.7357107031306008E-2</v>
      </c>
    </row>
    <row r="639" spans="26:31" x14ac:dyDescent="0.2">
      <c r="Z639" s="164">
        <v>589</v>
      </c>
      <c r="AA639" s="163">
        <f t="shared" si="184"/>
        <v>5.7377852902556738E-2</v>
      </c>
      <c r="AB639" s="163">
        <f t="shared" si="184"/>
        <v>5.4212963030099891E-2</v>
      </c>
      <c r="AC639" s="163">
        <f t="shared" si="184"/>
        <v>9.1709775221018031E-2</v>
      </c>
      <c r="AD639" s="163">
        <f t="shared" si="184"/>
        <v>8.6822615374237716E-2</v>
      </c>
      <c r="AE639" s="163">
        <f t="shared" si="184"/>
        <v>7.7094657323805313E-2</v>
      </c>
    </row>
    <row r="640" spans="26:31" x14ac:dyDescent="0.2">
      <c r="Z640" s="164">
        <v>590</v>
      </c>
      <c r="AA640" s="163">
        <f t="shared" si="184"/>
        <v>5.718351653779917E-2</v>
      </c>
      <c r="AB640" s="163">
        <f t="shared" si="184"/>
        <v>5.402934601368941E-2</v>
      </c>
      <c r="AC640" s="163">
        <f t="shared" si="184"/>
        <v>9.1399158085178969E-2</v>
      </c>
      <c r="AD640" s="163">
        <f t="shared" si="184"/>
        <v>8.6528550842418589E-2</v>
      </c>
      <c r="AE640" s="163">
        <f t="shared" si="184"/>
        <v>7.683354097509873E-2</v>
      </c>
    </row>
    <row r="641" spans="26:31" x14ac:dyDescent="0.2">
      <c r="Z641" s="164">
        <v>591</v>
      </c>
      <c r="AA641" s="163">
        <f t="shared" ref="AA641:AE650" si="185">IF(($Z641/AA$11)&lt;AA$15,0.85*(AA$12-AA$13*($Z641/AA$11)),(0.85*(PI())^2*(10100)/(($Z641/AA$11)^2)))/AA$16</f>
        <v>5.6990165817229925E-2</v>
      </c>
      <c r="AB641" s="163">
        <f t="shared" si="185"/>
        <v>5.3846660274579169E-2</v>
      </c>
      <c r="AC641" s="163">
        <f t="shared" si="185"/>
        <v>9.109011635173625E-2</v>
      </c>
      <c r="AD641" s="163">
        <f t="shared" si="185"/>
        <v>8.6235977760731095E-2</v>
      </c>
      <c r="AE641" s="163">
        <f t="shared" si="185"/>
        <v>7.6573748968400399E-2</v>
      </c>
    </row>
    <row r="642" spans="26:31" x14ac:dyDescent="0.2">
      <c r="Z642" s="164">
        <v>592</v>
      </c>
      <c r="AA642" s="163">
        <f t="shared" si="185"/>
        <v>5.6797794086718999E-2</v>
      </c>
      <c r="AB642" s="163">
        <f t="shared" si="185"/>
        <v>5.3664899525672487E-2</v>
      </c>
      <c r="AC642" s="163">
        <f t="shared" si="185"/>
        <v>9.0782639385074637E-2</v>
      </c>
      <c r="AD642" s="163">
        <f t="shared" si="185"/>
        <v>8.5944886060325493E-2</v>
      </c>
      <c r="AE642" s="163">
        <f t="shared" si="185"/>
        <v>7.6315272363015482E-2</v>
      </c>
    </row>
    <row r="643" spans="26:31" x14ac:dyDescent="0.2">
      <c r="Z643" s="164">
        <v>593</v>
      </c>
      <c r="AA643" s="163">
        <f t="shared" si="185"/>
        <v>5.6606394748194608E-2</v>
      </c>
      <c r="AB643" s="163">
        <f t="shared" si="185"/>
        <v>5.3484057532838948E-2</v>
      </c>
      <c r="AC643" s="163">
        <f t="shared" si="185"/>
        <v>9.0476716639179403E-2</v>
      </c>
      <c r="AD643" s="163">
        <f t="shared" si="185"/>
        <v>8.5655265757178106E-2</v>
      </c>
      <c r="AE643" s="163">
        <f t="shared" si="185"/>
        <v>7.6058102293570753E-2</v>
      </c>
    </row>
    <row r="644" spans="26:31" x14ac:dyDescent="0.2">
      <c r="Z644" s="164">
        <v>594</v>
      </c>
      <c r="AA644" s="163">
        <f t="shared" si="185"/>
        <v>5.6415961259077545E-2</v>
      </c>
      <c r="AB644" s="163">
        <f t="shared" si="185"/>
        <v>5.3304128114379727E-2</v>
      </c>
      <c r="AC644" s="163">
        <f t="shared" si="185"/>
        <v>9.0172337656732313E-2</v>
      </c>
      <c r="AD644" s="163">
        <f t="shared" si="185"/>
        <v>8.5367106951234895E-2</v>
      </c>
      <c r="AE644" s="163">
        <f t="shared" si="185"/>
        <v>7.5802229969254453E-2</v>
      </c>
    </row>
    <row r="645" spans="26:31" x14ac:dyDescent="0.2">
      <c r="Z645" s="164">
        <v>595</v>
      </c>
      <c r="AA645" s="163">
        <f t="shared" si="185"/>
        <v>5.6226487131722014E-2</v>
      </c>
      <c r="AB645" s="163">
        <f t="shared" si="185"/>
        <v>5.3125105140499361E-2</v>
      </c>
      <c r="AC645" s="163">
        <f t="shared" si="185"/>
        <v>8.9869492068217774E-2</v>
      </c>
      <c r="AD645" s="163">
        <f t="shared" si="185"/>
        <v>8.5080399825565756E-2</v>
      </c>
      <c r="AE645" s="163">
        <f t="shared" si="185"/>
        <v>7.5547646673065072E-2</v>
      </c>
    </row>
    <row r="646" spans="26:31" x14ac:dyDescent="0.2">
      <c r="Z646" s="164">
        <v>596</v>
      </c>
      <c r="AA646" s="163">
        <f t="shared" si="185"/>
        <v>5.603796593286306E-2</v>
      </c>
      <c r="AB646" s="163">
        <f t="shared" si="185"/>
        <v>5.2946982532783668E-2</v>
      </c>
      <c r="AC646" s="163">
        <f t="shared" si="185"/>
        <v>8.9568169591039803E-2</v>
      </c>
      <c r="AD646" s="163">
        <f t="shared" si="185"/>
        <v>8.4795134645528111E-2</v>
      </c>
      <c r="AE646" s="163">
        <f t="shared" si="185"/>
        <v>7.5294343761068944E-2</v>
      </c>
    </row>
    <row r="647" spans="26:31" x14ac:dyDescent="0.2">
      <c r="Z647" s="164">
        <v>597</v>
      </c>
      <c r="AA647" s="163">
        <f t="shared" si="185"/>
        <v>5.5850391283070545E-2</v>
      </c>
      <c r="AB647" s="163">
        <f t="shared" si="185"/>
        <v>5.2769754263683806E-2</v>
      </c>
      <c r="AC647" s="163">
        <f t="shared" si="185"/>
        <v>8.9268360028649088E-2</v>
      </c>
      <c r="AD647" s="163">
        <f t="shared" si="185"/>
        <v>8.4511301757940804E-2</v>
      </c>
      <c r="AE647" s="163">
        <f t="shared" si="185"/>
        <v>7.5042312661666402E-2</v>
      </c>
    </row>
    <row r="648" spans="26:31" x14ac:dyDescent="0.2">
      <c r="Z648" s="164">
        <v>598</v>
      </c>
      <c r="AA648" s="163">
        <f t="shared" si="185"/>
        <v>5.5663756856209355E-2</v>
      </c>
      <c r="AB648" s="163">
        <f t="shared" si="185"/>
        <v>5.2593414356006313E-2</v>
      </c>
      <c r="AC648" s="163">
        <f t="shared" si="185"/>
        <v>8.8970053269680424E-2</v>
      </c>
      <c r="AD648" s="163">
        <f t="shared" si="185"/>
        <v>8.422889159026721E-2</v>
      </c>
      <c r="AE648" s="163">
        <f t="shared" si="185"/>
        <v>7.4791544874866805E-2</v>
      </c>
    </row>
    <row r="649" spans="26:31" x14ac:dyDescent="0.2">
      <c r="Z649" s="164">
        <v>599</v>
      </c>
      <c r="AA649" s="163">
        <f t="shared" si="185"/>
        <v>5.5478056378906099E-2</v>
      </c>
      <c r="AB649" s="163">
        <f t="shared" si="185"/>
        <v>5.2417956882409154E-2</v>
      </c>
      <c r="AC649" s="163">
        <f t="shared" si="185"/>
        <v>8.8673239287100095E-2</v>
      </c>
      <c r="AD649" s="163">
        <f t="shared" si="185"/>
        <v>8.3947894649808452E-2</v>
      </c>
      <c r="AE649" s="163">
        <f t="shared" si="185"/>
        <v>7.454203197157161E-2</v>
      </c>
    </row>
    <row r="650" spans="26:31" x14ac:dyDescent="0.2">
      <c r="Z650" s="164">
        <v>600</v>
      </c>
      <c r="AA650" s="163">
        <f t="shared" si="185"/>
        <v>5.5293283630021908E-2</v>
      </c>
      <c r="AB650" s="163">
        <f t="shared" si="185"/>
        <v>5.2243375964903561E-2</v>
      </c>
      <c r="AC650" s="163">
        <f t="shared" si="185"/>
        <v>8.837790813736332E-2</v>
      </c>
      <c r="AD650" s="163">
        <f t="shared" si="185"/>
        <v>8.3668301522905331E-2</v>
      </c>
      <c r="AE650" s="163">
        <f t="shared" si="185"/>
        <v>7.4293765592866282E-2</v>
      </c>
    </row>
    <row r="651" spans="26:31" x14ac:dyDescent="0.2">
      <c r="Z651" s="164">
        <v>601</v>
      </c>
      <c r="AA651" s="163">
        <f t="shared" ref="AA651:AE660" si="186">IF(($Z651/AA$11)&lt;AA$15,0.85*(AA$12-AA$13*($Z651/AA$11)),(0.85*(PI())^2*(10100)/(($Z651/AA$11)^2)))/AA$16</f>
        <v>5.5109432440131362E-2</v>
      </c>
      <c r="AB651" s="163">
        <f t="shared" si="186"/>
        <v>5.2069665774361874E-2</v>
      </c>
      <c r="AC651" s="163">
        <f t="shared" si="186"/>
        <v>8.8084049959581495E-2</v>
      </c>
      <c r="AD651" s="163">
        <f t="shared" si="186"/>
        <v>8.339010287415019E-2</v>
      </c>
      <c r="AE651" s="163">
        <f t="shared" si="186"/>
        <v>7.4046737449320096E-2</v>
      </c>
    </row>
    <row r="652" spans="26:31" x14ac:dyDescent="0.2">
      <c r="Z652" s="164">
        <v>602</v>
      </c>
      <c r="AA652" s="163">
        <f t="shared" si="186"/>
        <v>5.4926496691007506E-2</v>
      </c>
      <c r="AB652" s="163">
        <f t="shared" si="186"/>
        <v>5.1896820530030807E-2</v>
      </c>
      <c r="AC652" s="163">
        <f t="shared" si="186"/>
        <v>8.7791654974698957E-2</v>
      </c>
      <c r="AD652" s="163">
        <f t="shared" si="186"/>
        <v>8.3113289445607433E-2</v>
      </c>
      <c r="AE652" s="163">
        <f t="shared" si="186"/>
        <v>7.3800939320294107E-2</v>
      </c>
    </row>
    <row r="653" spans="26:31" x14ac:dyDescent="0.2">
      <c r="Z653" s="164">
        <v>603</v>
      </c>
      <c r="AA653" s="163">
        <f t="shared" si="186"/>
        <v>5.4744470315112904E-2</v>
      </c>
      <c r="AB653" s="163">
        <f t="shared" si="186"/>
        <v>5.1724834499050583E-2</v>
      </c>
      <c r="AC653" s="163">
        <f t="shared" si="186"/>
        <v>8.7500713484679402E-2</v>
      </c>
      <c r="AD653" s="163">
        <f t="shared" si="186"/>
        <v>8.2837852056043479E-2</v>
      </c>
      <c r="AE653" s="163">
        <f t="shared" si="186"/>
        <v>7.3556363053257398E-2</v>
      </c>
    </row>
    <row r="654" spans="26:31" x14ac:dyDescent="0.2">
      <c r="Z654" s="164">
        <v>604</v>
      </c>
      <c r="AA654" s="163">
        <f t="shared" si="186"/>
        <v>5.4563347295096397E-2</v>
      </c>
      <c r="AB654" s="163">
        <f t="shared" si="186"/>
        <v>5.155370199597957E-2</v>
      </c>
      <c r="AC654" s="163">
        <f t="shared" si="186"/>
        <v>8.72112158717019E-2</v>
      </c>
      <c r="AD654" s="163">
        <f t="shared" si="186"/>
        <v>8.2563781600165351E-2</v>
      </c>
      <c r="AE654" s="163">
        <f t="shared" si="186"/>
        <v>7.3313000563110894E-2</v>
      </c>
    </row>
    <row r="655" spans="26:31" x14ac:dyDescent="0.2">
      <c r="Z655" s="164">
        <v>605</v>
      </c>
      <c r="AA655" s="163">
        <f t="shared" si="186"/>
        <v>5.4383121663295918E-2</v>
      </c>
      <c r="AB655" s="163">
        <f t="shared" si="186"/>
        <v>5.1383417382324381E-2</v>
      </c>
      <c r="AC655" s="163">
        <f t="shared" si="186"/>
        <v>8.6923152597365758E-2</v>
      </c>
      <c r="AD655" s="163">
        <f t="shared" si="186"/>
        <v>8.2291069047868079E-2</v>
      </c>
      <c r="AE655" s="163">
        <f t="shared" si="186"/>
        <v>7.3070843831519336E-2</v>
      </c>
    </row>
    <row r="656" spans="26:31" x14ac:dyDescent="0.2">
      <c r="Z656" s="164">
        <v>606</v>
      </c>
      <c r="AA656" s="163">
        <f t="shared" si="186"/>
        <v>5.4203787501246853E-2</v>
      </c>
      <c r="AB656" s="163">
        <f t="shared" si="186"/>
        <v>5.1213975066075453E-2</v>
      </c>
      <c r="AC656" s="163">
        <f t="shared" si="186"/>
        <v>8.6636514201905018E-2</v>
      </c>
      <c r="AD656" s="163">
        <f t="shared" si="186"/>
        <v>8.2019705443491145E-2</v>
      </c>
      <c r="AE656" s="163">
        <f t="shared" si="186"/>
        <v>7.2829884906250655E-2</v>
      </c>
    </row>
    <row r="657" spans="26:31" x14ac:dyDescent="0.2">
      <c r="Z657" s="164">
        <v>607</v>
      </c>
      <c r="AA657" s="163">
        <f t="shared" si="186"/>
        <v>5.4025338939196157E-2</v>
      </c>
      <c r="AB657" s="163">
        <f t="shared" si="186"/>
        <v>5.1045369501247891E-2</v>
      </c>
      <c r="AC657" s="163">
        <f t="shared" si="186"/>
        <v>8.6351291303411862E-2</v>
      </c>
      <c r="AD657" s="163">
        <f t="shared" si="186"/>
        <v>8.1749681905082972E-2</v>
      </c>
      <c r="AE657" s="163">
        <f t="shared" si="186"/>
        <v>7.2590115900523167E-2</v>
      </c>
    </row>
    <row r="658" spans="26:31" x14ac:dyDescent="0.2">
      <c r="Z658" s="164">
        <v>608</v>
      </c>
      <c r="AA658" s="163">
        <f t="shared" si="186"/>
        <v>5.3847770155622088E-2</v>
      </c>
      <c r="AB658" s="163">
        <f t="shared" si="186"/>
        <v>5.0877595187427717E-2</v>
      </c>
      <c r="AC658" s="163">
        <f t="shared" si="186"/>
        <v>8.6067474597068677E-2</v>
      </c>
      <c r="AD658" s="163">
        <f t="shared" si="186"/>
        <v>8.1480989623674255E-2</v>
      </c>
      <c r="AE658" s="163">
        <f t="shared" si="186"/>
        <v>7.2351528992360262E-2</v>
      </c>
    </row>
    <row r="659" spans="26:31" x14ac:dyDescent="0.2">
      <c r="Z659" s="164">
        <v>609</v>
      </c>
      <c r="AA659" s="163">
        <f t="shared" si="186"/>
        <v>5.3671075376759365E-2</v>
      </c>
      <c r="AB659" s="163">
        <f t="shared" si="186"/>
        <v>5.0710646669323269E-2</v>
      </c>
      <c r="AC659" s="163">
        <f t="shared" si="186"/>
        <v>8.5785054854389406E-2</v>
      </c>
      <c r="AD659" s="163">
        <f t="shared" si="186"/>
        <v>8.1213619862559469E-2</v>
      </c>
      <c r="AE659" s="163">
        <f t="shared" si="186"/>
        <v>7.2114116423952324E-2</v>
      </c>
    </row>
    <row r="660" spans="26:31" x14ac:dyDescent="0.2">
      <c r="Z660" s="164">
        <v>610</v>
      </c>
      <c r="AA660" s="163">
        <f t="shared" si="186"/>
        <v>5.3495248876129775E-2</v>
      </c>
      <c r="AB660" s="163">
        <f t="shared" si="186"/>
        <v>5.0544518536321643E-2</v>
      </c>
      <c r="AC660" s="163">
        <f t="shared" si="186"/>
        <v>8.5504022922469211E-2</v>
      </c>
      <c r="AD660" s="163">
        <f t="shared" si="186"/>
        <v>8.0947563956586727E-2</v>
      </c>
      <c r="AE660" s="163">
        <f t="shared" si="186"/>
        <v>7.1877870501026245E-2</v>
      </c>
    </row>
    <row r="661" spans="26:31" x14ac:dyDescent="0.2">
      <c r="Z661" s="164">
        <v>611</v>
      </c>
      <c r="AA661" s="163">
        <f t="shared" ref="AA661:AE670" si="187">IF(($Z661/AA$11)&lt;AA$15,0.85*(AA$12-AA$13*($Z661/AA$11)),(0.85*(PI())^2*(10100)/(($Z661/AA$11)^2)))/AA$16</f>
        <v>5.3320284974078314E-2</v>
      </c>
      <c r="AB661" s="163">
        <f t="shared" si="187"/>
        <v>5.0379205422050419E-2</v>
      </c>
      <c r="AC661" s="163">
        <f t="shared" si="187"/>
        <v>8.5224369723243015E-2</v>
      </c>
      <c r="AD661" s="163">
        <f t="shared" si="187"/>
        <v>8.068281331145559E-2</v>
      </c>
      <c r="AE661" s="163">
        <f t="shared" si="187"/>
        <v>7.164278359222187E-2</v>
      </c>
    </row>
    <row r="662" spans="26:31" x14ac:dyDescent="0.2">
      <c r="Z662" s="164">
        <v>612</v>
      </c>
      <c r="AA662" s="163">
        <f t="shared" si="187"/>
        <v>5.3146178037314404E-2</v>
      </c>
      <c r="AB662" s="163">
        <f t="shared" si="187"/>
        <v>5.0214702003944227E-2</v>
      </c>
      <c r="AC662" s="163">
        <f t="shared" si="187"/>
        <v>8.4946086252752143E-2</v>
      </c>
      <c r="AD662" s="163">
        <f t="shared" si="187"/>
        <v>8.0419359403023194E-2</v>
      </c>
      <c r="AE662" s="163">
        <f t="shared" si="187"/>
        <v>7.1408848128475866E-2</v>
      </c>
    </row>
    <row r="663" spans="26:31" x14ac:dyDescent="0.2">
      <c r="Z663" s="164">
        <v>613</v>
      </c>
      <c r="AA663" s="163">
        <f t="shared" si="187"/>
        <v>5.2972922478458535E-2</v>
      </c>
      <c r="AB663" s="163">
        <f t="shared" si="187"/>
        <v>5.0051003002816313E-2</v>
      </c>
      <c r="AC663" s="163">
        <f t="shared" si="187"/>
        <v>8.4669163580419871E-2</v>
      </c>
      <c r="AD663" s="163">
        <f t="shared" si="187"/>
        <v>8.0157193776617869E-2</v>
      </c>
      <c r="AE663" s="163">
        <f t="shared" si="187"/>
        <v>7.1176056602412288E-2</v>
      </c>
    </row>
    <row r="664" spans="26:31" x14ac:dyDescent="0.2">
      <c r="Z664" s="164">
        <v>614</v>
      </c>
      <c r="AA664" s="163">
        <f t="shared" si="187"/>
        <v>5.2800512755593922E-2</v>
      </c>
      <c r="AB664" s="163">
        <f t="shared" si="187"/>
        <v>4.9888103182435049E-2</v>
      </c>
      <c r="AC664" s="163">
        <f t="shared" si="187"/>
        <v>8.4393592848334739E-2</v>
      </c>
      <c r="AD664" s="163">
        <f t="shared" si="187"/>
        <v>7.9896308046361025E-2</v>
      </c>
      <c r="AE664" s="163">
        <f t="shared" si="187"/>
        <v>7.0944401567740414E-2</v>
      </c>
    </row>
    <row r="665" spans="26:31" x14ac:dyDescent="0.2">
      <c r="Z665" s="164">
        <v>615</v>
      </c>
      <c r="AA665" s="163">
        <f t="shared" si="187"/>
        <v>5.2628943371823354E-2</v>
      </c>
      <c r="AB665" s="163">
        <f t="shared" si="187"/>
        <v>4.9725997349105114E-2</v>
      </c>
      <c r="AC665" s="163">
        <f t="shared" si="187"/>
        <v>8.4119365270542132E-2</v>
      </c>
      <c r="AD665" s="163">
        <f t="shared" si="187"/>
        <v>7.9636693894496444E-2</v>
      </c>
      <c r="AE665" s="163">
        <f t="shared" si="187"/>
        <v>7.0713875638659163E-2</v>
      </c>
    </row>
    <row r="666" spans="26:31" x14ac:dyDescent="0.2">
      <c r="Z666" s="164">
        <v>616</v>
      </c>
      <c r="AA666" s="163">
        <f t="shared" si="187"/>
        <v>5.2458208874831047E-2</v>
      </c>
      <c r="AB666" s="163">
        <f t="shared" si="187"/>
        <v>4.9564680351253602E-2</v>
      </c>
      <c r="AC666" s="163">
        <f t="shared" si="187"/>
        <v>8.3846472132344196E-2</v>
      </c>
      <c r="AD666" s="163">
        <f t="shared" si="187"/>
        <v>7.9378343070727359E-2</v>
      </c>
      <c r="AE666" s="163">
        <f t="shared" si="187"/>
        <v>7.0484471489268494E-2</v>
      </c>
    </row>
    <row r="667" spans="26:31" x14ac:dyDescent="0.2">
      <c r="Z667" s="164">
        <v>617</v>
      </c>
      <c r="AA667" s="163">
        <f t="shared" si="187"/>
        <v>5.2288303856449461E-2</v>
      </c>
      <c r="AB667" s="163">
        <f t="shared" si="187"/>
        <v>4.9404147079020626E-2</v>
      </c>
      <c r="AC667" s="163">
        <f t="shared" si="187"/>
        <v>8.3574904789607246E-2</v>
      </c>
      <c r="AD667" s="163">
        <f t="shared" si="187"/>
        <v>7.9121247391560873E-2</v>
      </c>
      <c r="AE667" s="163">
        <f t="shared" si="187"/>
        <v>7.0256181852987251E-2</v>
      </c>
    </row>
    <row r="668" spans="26:31" x14ac:dyDescent="0.2">
      <c r="Z668" s="164">
        <v>618</v>
      </c>
      <c r="AA668" s="163">
        <f t="shared" si="187"/>
        <v>5.2119222952231037E-2</v>
      </c>
      <c r="AB668" s="163">
        <f t="shared" si="187"/>
        <v>4.9244392463854807E-2</v>
      </c>
      <c r="AC668" s="163">
        <f t="shared" si="187"/>
        <v>8.3304654668077405E-2</v>
      </c>
      <c r="AD668" s="163">
        <f t="shared" si="187"/>
        <v>7.8865398739660031E-2</v>
      </c>
      <c r="AE668" s="163">
        <f t="shared" si="187"/>
        <v>7.0028999521977844E-2</v>
      </c>
    </row>
    <row r="669" spans="26:31" x14ac:dyDescent="0.2">
      <c r="Z669" s="164">
        <v>619</v>
      </c>
      <c r="AA669" s="163">
        <f t="shared" si="187"/>
        <v>5.1950960841024754E-2</v>
      </c>
      <c r="AB669" s="163">
        <f t="shared" si="187"/>
        <v>4.9085411478113072E-2</v>
      </c>
      <c r="AC669" s="163">
        <f t="shared" si="187"/>
        <v>8.3035713262703661E-2</v>
      </c>
      <c r="AD669" s="163">
        <f t="shared" si="187"/>
        <v>7.8610789063202985E-2</v>
      </c>
      <c r="AE669" s="163">
        <f t="shared" si="187"/>
        <v>6.9802917346577203E-2</v>
      </c>
    </row>
    <row r="670" spans="26:31" x14ac:dyDescent="0.2">
      <c r="Z670" s="164">
        <v>620</v>
      </c>
      <c r="AA670" s="163">
        <f t="shared" si="187"/>
        <v>5.1783512244557454E-2</v>
      </c>
      <c r="AB670" s="163">
        <f t="shared" si="187"/>
        <v>4.8927199134665145E-2</v>
      </c>
      <c r="AC670" s="163">
        <f t="shared" si="187"/>
        <v>8.2768072136968782E-2</v>
      </c>
      <c r="AD670" s="163">
        <f t="shared" si="187"/>
        <v>7.8357410375249514E-2</v>
      </c>
      <c r="AE670" s="163">
        <f t="shared" si="187"/>
        <v>6.9577928234734313E-2</v>
      </c>
    </row>
    <row r="671" spans="26:31" x14ac:dyDescent="0.2">
      <c r="Z671" s="164">
        <v>621</v>
      </c>
      <c r="AA671" s="163">
        <f t="shared" ref="AA671:AE680" si="188">IF(($Z671/AA$11)&lt;AA$15,0.85*(AA$12-AA$13*($Z671/AA$11)),(0.85*(PI())^2*(10100)/(($Z671/AA$11)^2)))/AA$16</f>
        <v>5.1616871927019907E-2</v>
      </c>
      <c r="AB671" s="163">
        <f t="shared" si="188"/>
        <v>4.8769750486502429E-2</v>
      </c>
      <c r="AC671" s="163">
        <f t="shared" si="188"/>
        <v>8.2501722922227669E-2</v>
      </c>
      <c r="AD671" s="163">
        <f t="shared" si="188"/>
        <v>7.8105254753114736E-2</v>
      </c>
      <c r="AE671" s="163">
        <f t="shared" si="188"/>
        <v>6.9354025151453988E-2</v>
      </c>
    </row>
    <row r="672" spans="26:31" x14ac:dyDescent="0.2">
      <c r="Z672" s="164">
        <v>622</v>
      </c>
      <c r="AA672" s="163">
        <f t="shared" si="188"/>
        <v>5.1451034694657546E-2</v>
      </c>
      <c r="AB672" s="163">
        <f t="shared" si="188"/>
        <v>4.8613060626351269E-2</v>
      </c>
      <c r="AC672" s="163">
        <f t="shared" si="188"/>
        <v>8.223665731705318E-2</v>
      </c>
      <c r="AD672" s="163">
        <f t="shared" si="188"/>
        <v>7.7854314337749586E-2</v>
      </c>
      <c r="AE672" s="163">
        <f t="shared" si="188"/>
        <v>6.9131201118246971E-2</v>
      </c>
    </row>
    <row r="673" spans="26:31" x14ac:dyDescent="0.2">
      <c r="Z673" s="164">
        <v>623</v>
      </c>
      <c r="AA673" s="163">
        <f t="shared" si="188"/>
        <v>5.1285995395365686E-2</v>
      </c>
      <c r="AB673" s="163">
        <f t="shared" si="188"/>
        <v>4.8457124686290598E-2</v>
      </c>
      <c r="AC673" s="163">
        <f t="shared" si="188"/>
        <v>8.1972867086589241E-2</v>
      </c>
      <c r="AD673" s="163">
        <f t="shared" si="188"/>
        <v>7.7604581333128711E-2</v>
      </c>
      <c r="AE673" s="163">
        <f t="shared" si="188"/>
        <v>6.8909449212586182E-2</v>
      </c>
    </row>
    <row r="674" spans="26:31" x14ac:dyDescent="0.2">
      <c r="Z674" s="164">
        <v>624</v>
      </c>
      <c r="AA674" s="163">
        <f t="shared" si="188"/>
        <v>5.1121748918289481E-2</v>
      </c>
      <c r="AB674" s="163">
        <f t="shared" si="188"/>
        <v>4.8301937837373868E-2</v>
      </c>
      <c r="AC674" s="163">
        <f t="shared" si="188"/>
        <v>8.1710344061911369E-2</v>
      </c>
      <c r="AD674" s="163">
        <f t="shared" si="188"/>
        <v>7.7356048005644718E-2</v>
      </c>
      <c r="AE674" s="163">
        <f t="shared" si="188"/>
        <v>6.8688762567368972E-2</v>
      </c>
    </row>
    <row r="675" spans="26:31" x14ac:dyDescent="0.2">
      <c r="Z675" s="164">
        <v>625</v>
      </c>
      <c r="AA675" s="163">
        <f t="shared" si="188"/>
        <v>5.0958290193428193E-2</v>
      </c>
      <c r="AB675" s="163">
        <f t="shared" si="188"/>
        <v>4.8147495289255125E-2</v>
      </c>
      <c r="AC675" s="163">
        <f t="shared" si="188"/>
        <v>8.1449080139394031E-2</v>
      </c>
      <c r="AD675" s="163">
        <f t="shared" si="188"/>
        <v>7.7108706683509554E-2</v>
      </c>
      <c r="AE675" s="163">
        <f t="shared" si="188"/>
        <v>6.846913437038557E-2</v>
      </c>
    </row>
    <row r="676" spans="26:31" x14ac:dyDescent="0.2">
      <c r="Z676" s="164">
        <v>626</v>
      </c>
      <c r="AA676" s="163">
        <f t="shared" si="188"/>
        <v>5.0795614191243878E-2</v>
      </c>
      <c r="AB676" s="163">
        <f t="shared" si="188"/>
        <v>4.7993792289819447E-2</v>
      </c>
      <c r="AC676" s="163">
        <f t="shared" si="188"/>
        <v>8.1189067280085542E-2</v>
      </c>
      <c r="AD676" s="163">
        <f t="shared" si="188"/>
        <v>7.6862549756162454E-2</v>
      </c>
      <c r="AE676" s="163">
        <f t="shared" si="188"/>
        <v>6.8250557863793304E-2</v>
      </c>
    </row>
    <row r="677" spans="26:31" x14ac:dyDescent="0.2">
      <c r="Z677" s="164">
        <v>627</v>
      </c>
      <c r="AA677" s="163">
        <f t="shared" si="188"/>
        <v>5.0633715922274586E-2</v>
      </c>
      <c r="AB677" s="163">
        <f t="shared" si="188"/>
        <v>4.7840824124817258E-2</v>
      </c>
      <c r="AC677" s="163">
        <f t="shared" si="188"/>
        <v>8.0930297509089366E-2</v>
      </c>
      <c r="AD677" s="163">
        <f t="shared" si="188"/>
        <v>7.6617569673684507E-2</v>
      </c>
      <c r="AE677" s="163">
        <f t="shared" si="188"/>
        <v>6.8033026343596786E-2</v>
      </c>
    </row>
    <row r="678" spans="26:31" x14ac:dyDescent="0.2">
      <c r="Z678" s="164">
        <v>628</v>
      </c>
      <c r="AA678" s="163">
        <f t="shared" si="188"/>
        <v>5.0472590436751716E-2</v>
      </c>
      <c r="AB678" s="163">
        <f t="shared" si="188"/>
        <v>4.768858611750295E-2</v>
      </c>
      <c r="AC678" s="163">
        <f t="shared" si="188"/>
        <v>8.0672762914952928E-2</v>
      </c>
      <c r="AD678" s="163">
        <f t="shared" si="188"/>
        <v>7.6373758946219714E-2</v>
      </c>
      <c r="AE678" s="163">
        <f t="shared" si="188"/>
        <v>6.7816533159133899E-2</v>
      </c>
    </row>
    <row r="679" spans="26:31" x14ac:dyDescent="0.2">
      <c r="Z679" s="164">
        <v>629</v>
      </c>
      <c r="AA679" s="163">
        <f t="shared" si="188"/>
        <v>5.0312232824221675E-2</v>
      </c>
      <c r="AB679" s="163">
        <f t="shared" si="188"/>
        <v>4.7537073628277374E-2</v>
      </c>
      <c r="AC679" s="163">
        <f t="shared" si="188"/>
        <v>8.0416455649062663E-2</v>
      </c>
      <c r="AD679" s="163">
        <f t="shared" si="188"/>
        <v>7.6131110143402528E-2</v>
      </c>
      <c r="AE679" s="163">
        <f t="shared" si="188"/>
        <v>6.7601071712567365E-2</v>
      </c>
    </row>
    <row r="680" spans="26:31" x14ac:dyDescent="0.2">
      <c r="Z680" s="164">
        <v>630</v>
      </c>
      <c r="AA680" s="163">
        <f t="shared" si="188"/>
        <v>5.0152638213171799E-2</v>
      </c>
      <c r="AB680" s="163">
        <f t="shared" si="188"/>
        <v>4.7386282054334296E-2</v>
      </c>
      <c r="AC680" s="163">
        <f t="shared" si="188"/>
        <v>8.0161367925046093E-2</v>
      </c>
      <c r="AD680" s="163">
        <f t="shared" si="188"/>
        <v>7.5889615893791673E-2</v>
      </c>
      <c r="AE680" s="163">
        <f t="shared" si="188"/>
        <v>6.738663545838211E-2</v>
      </c>
    </row>
    <row r="681" spans="26:31" x14ac:dyDescent="0.2">
      <c r="Z681" s="164">
        <v>631</v>
      </c>
      <c r="AA681" s="163">
        <f t="shared" ref="AA681:AE690" si="189">IF(($Z681/AA$11)&lt;AA$15,0.85*(AA$12-AA$13*($Z681/AA$11)),(0.85*(PI())^2*(10100)/(($Z681/AA$11)^2)))/AA$16</f>
        <v>4.9993801770660325E-2</v>
      </c>
      <c r="AB681" s="163">
        <f t="shared" si="189"/>
        <v>4.7236206829310984E-2</v>
      </c>
      <c r="AC681" s="163">
        <f t="shared" si="189"/>
        <v>7.9907492018180579E-2</v>
      </c>
      <c r="AD681" s="163">
        <f t="shared" si="189"/>
        <v>7.5649268884310422E-2</v>
      </c>
      <c r="AE681" s="163">
        <f t="shared" si="189"/>
        <v>6.7173217902888188E-2</v>
      </c>
    </row>
    <row r="682" spans="26:31" x14ac:dyDescent="0.2">
      <c r="Z682" s="164">
        <v>632</v>
      </c>
      <c r="AA682" s="163">
        <f t="shared" si="189"/>
        <v>4.9835718701950527E-2</v>
      </c>
      <c r="AB682" s="163">
        <f t="shared" si="189"/>
        <v>4.7086843422942247E-2</v>
      </c>
      <c r="AC682" s="163">
        <f t="shared" si="189"/>
        <v>7.9654820264808301E-2</v>
      </c>
      <c r="AD682" s="163">
        <f t="shared" si="189"/>
        <v>7.5410061859692748E-2</v>
      </c>
      <c r="AE682" s="163">
        <f t="shared" si="189"/>
        <v>6.6960812603729034E-2</v>
      </c>
    </row>
    <row r="683" spans="26:31" x14ac:dyDescent="0.2">
      <c r="Z683" s="164">
        <v>633</v>
      </c>
      <c r="AA683" s="163">
        <f t="shared" si="189"/>
        <v>4.9678384250148838E-2</v>
      </c>
      <c r="AB683" s="163">
        <f t="shared" si="189"/>
        <v>4.693818734071882E-2</v>
      </c>
      <c r="AC683" s="163">
        <f t="shared" si="189"/>
        <v>7.9403345061758127E-2</v>
      </c>
      <c r="AD683" s="163">
        <f t="shared" si="189"/>
        <v>7.5171987621936012E-2</v>
      </c>
      <c r="AE683" s="163">
        <f t="shared" si="189"/>
        <v>6.674941316939538E-2</v>
      </c>
    </row>
    <row r="684" spans="26:31" x14ac:dyDescent="0.2">
      <c r="Z684" s="164">
        <v>634</v>
      </c>
      <c r="AA684" s="163">
        <f t="shared" si="189"/>
        <v>4.9521793695847034E-2</v>
      </c>
      <c r="AB684" s="163">
        <f t="shared" si="189"/>
        <v>4.6790234123549067E-2</v>
      </c>
      <c r="AC684" s="163">
        <f t="shared" si="189"/>
        <v>7.9153058865773354E-2</v>
      </c>
      <c r="AD684" s="163">
        <f t="shared" si="189"/>
        <v>7.4935039029759259E-2</v>
      </c>
      <c r="AE684" s="163">
        <f t="shared" si="189"/>
        <v>6.6539013258744409E-2</v>
      </c>
    </row>
    <row r="685" spans="26:31" x14ac:dyDescent="0.2">
      <c r="Z685" s="164">
        <v>635</v>
      </c>
      <c r="AA685" s="163">
        <f t="shared" si="189"/>
        <v>4.9365942356768278E-2</v>
      </c>
      <c r="AB685" s="163">
        <f t="shared" si="189"/>
        <v>4.6642979347424597E-2</v>
      </c>
      <c r="AC685" s="163">
        <f t="shared" si="189"/>
        <v>7.8903954192946366E-2</v>
      </c>
      <c r="AD685" s="163">
        <f t="shared" si="189"/>
        <v>7.4699208998067881E-2</v>
      </c>
      <c r="AE685" s="163">
        <f t="shared" si="189"/>
        <v>6.6329606580524197E-2</v>
      </c>
    </row>
    <row r="686" spans="26:31" x14ac:dyDescent="0.2">
      <c r="Z686" s="164">
        <v>636</v>
      </c>
      <c r="AA686" s="163">
        <f t="shared" si="189"/>
        <v>4.9210825587417149E-2</v>
      </c>
      <c r="AB686" s="163">
        <f t="shared" si="189"/>
        <v>4.6496418623089675E-2</v>
      </c>
      <c r="AC686" s="163">
        <f t="shared" si="189"/>
        <v>7.8656023618158891E-2</v>
      </c>
      <c r="AD686" s="163">
        <f t="shared" si="189"/>
        <v>7.4464490497423749E-2</v>
      </c>
      <c r="AE686" s="163">
        <f t="shared" si="189"/>
        <v>6.612118689290343E-2</v>
      </c>
    </row>
    <row r="687" spans="26:31" x14ac:dyDescent="0.2">
      <c r="Z687" s="164">
        <v>637</v>
      </c>
      <c r="AA687" s="163">
        <f t="shared" si="189"/>
        <v>4.9056438778733433E-2</v>
      </c>
      <c r="AB687" s="163">
        <f t="shared" si="189"/>
        <v>4.6350547595714033E-2</v>
      </c>
      <c r="AC687" s="163">
        <f t="shared" si="189"/>
        <v>7.8409259774528853E-2</v>
      </c>
      <c r="AD687" s="163">
        <f t="shared" si="189"/>
        <v>7.4230876553521619E-2</v>
      </c>
      <c r="AE687" s="163">
        <f t="shared" si="189"/>
        <v>6.5913748003006298E-2</v>
      </c>
    </row>
    <row r="688" spans="26:31" x14ac:dyDescent="0.2">
      <c r="Z688" s="164">
        <v>638</v>
      </c>
      <c r="AA688" s="163">
        <f t="shared" si="189"/>
        <v>4.8902777357749748E-2</v>
      </c>
      <c r="AB688" s="163">
        <f t="shared" si="189"/>
        <v>4.6205361944569347E-2</v>
      </c>
      <c r="AC688" s="163">
        <f t="shared" si="189"/>
        <v>7.8163655352863098E-2</v>
      </c>
      <c r="AD688" s="163">
        <f t="shared" si="189"/>
        <v>7.3998360246670919E-2</v>
      </c>
      <c r="AE688" s="163">
        <f t="shared" si="189"/>
        <v>6.5707283766452421E-2</v>
      </c>
    </row>
    <row r="689" spans="26:31" x14ac:dyDescent="0.2">
      <c r="Z689" s="164">
        <v>639</v>
      </c>
      <c r="AA689" s="163">
        <f t="shared" si="189"/>
        <v>4.8749836787252893E-2</v>
      </c>
      <c r="AB689" s="163">
        <f t="shared" si="189"/>
        <v>4.6060857382709409E-2</v>
      </c>
      <c r="AC689" s="163">
        <f t="shared" si="189"/>
        <v>7.7919203101116011E-2</v>
      </c>
      <c r="AD689" s="163">
        <f t="shared" si="189"/>
        <v>7.3766934711283316E-2</v>
      </c>
      <c r="AE689" s="163">
        <f t="shared" si="189"/>
        <v>6.550178808690188E-2</v>
      </c>
    </row>
    <row r="690" spans="26:31" x14ac:dyDescent="0.2">
      <c r="Z690" s="164">
        <v>640</v>
      </c>
      <c r="AA690" s="163">
        <f t="shared" si="189"/>
        <v>4.8597612565448936E-2</v>
      </c>
      <c r="AB690" s="163">
        <f t="shared" si="189"/>
        <v>4.5917029656653521E-2</v>
      </c>
      <c r="AC690" s="163">
        <f t="shared" si="189"/>
        <v>7.7675895823854479E-2</v>
      </c>
      <c r="AD690" s="163">
        <f t="shared" si="189"/>
        <v>7.3536593135366007E-2</v>
      </c>
      <c r="AE690" s="163">
        <f t="shared" si="189"/>
        <v>6.5297254915605132E-2</v>
      </c>
    </row>
    <row r="691" spans="26:31" x14ac:dyDescent="0.2">
      <c r="Z691" s="164">
        <v>641</v>
      </c>
      <c r="AA691" s="163">
        <f t="shared" ref="AA691:AE700" si="190">IF(($Z691/AA$11)&lt;AA$15,0.85*(AA$12-AA$13*($Z691/AA$11)),(0.85*(PI())^2*(10100)/(($Z691/AA$11)^2)))/AA$16</f>
        <v>4.8446100225631977E-2</v>
      </c>
      <c r="AB691" s="163">
        <f t="shared" si="190"/>
        <v>4.577387454607363E-2</v>
      </c>
      <c r="AC691" s="163">
        <f t="shared" si="190"/>
        <v>7.7433726381728032E-2</v>
      </c>
      <c r="AD691" s="163">
        <f t="shared" si="190"/>
        <v>7.3307328760020329E-2</v>
      </c>
      <c r="AE691" s="163">
        <f t="shared" si="190"/>
        <v>6.5093678250957965E-2</v>
      </c>
    </row>
    <row r="692" spans="26:31" x14ac:dyDescent="0.2">
      <c r="Z692" s="164">
        <v>642</v>
      </c>
      <c r="AA692" s="163">
        <f t="shared" si="190"/>
        <v>4.8295295335856324E-2</v>
      </c>
      <c r="AB692" s="163">
        <f t="shared" si="190"/>
        <v>4.5631387863484647E-2</v>
      </c>
      <c r="AC692" s="163">
        <f t="shared" si="190"/>
        <v>7.7192687690945339E-2</v>
      </c>
      <c r="AD692" s="163">
        <f t="shared" si="190"/>
        <v>7.3079134878946059E-2</v>
      </c>
      <c r="AE692" s="163">
        <f t="shared" si="190"/>
        <v>6.489105213806122E-2</v>
      </c>
    </row>
    <row r="693" spans="26:31" x14ac:dyDescent="0.2">
      <c r="Z693" s="164">
        <v>643</v>
      </c>
      <c r="AA693" s="163">
        <f t="shared" si="190"/>
        <v>4.8145193498612619E-2</v>
      </c>
      <c r="AB693" s="163">
        <f t="shared" si="190"/>
        <v>4.5489565453938167E-2</v>
      </c>
      <c r="AC693" s="163">
        <f t="shared" si="190"/>
        <v>7.6952772722756121E-2</v>
      </c>
      <c r="AD693" s="163">
        <f t="shared" si="190"/>
        <v>7.285200483795079E-2</v>
      </c>
      <c r="AE693" s="163">
        <f t="shared" si="190"/>
        <v>6.4689370668285243E-2</v>
      </c>
    </row>
    <row r="694" spans="26:31" x14ac:dyDescent="0.2">
      <c r="Z694" s="164">
        <v>644</v>
      </c>
      <c r="AA694" s="163">
        <f t="shared" si="190"/>
        <v>4.7995790350507044E-2</v>
      </c>
      <c r="AB694" s="163">
        <f t="shared" si="190"/>
        <v>4.5348403194719729E-2</v>
      </c>
      <c r="AC694" s="163">
        <f t="shared" si="190"/>
        <v>7.6713974502938723E-2</v>
      </c>
      <c r="AD694" s="163">
        <f t="shared" si="190"/>
        <v>7.2625932034465102E-2</v>
      </c>
      <c r="AE694" s="163">
        <f t="shared" si="190"/>
        <v>6.4488627978839225E-2</v>
      </c>
    </row>
    <row r="695" spans="26:31" x14ac:dyDescent="0.2">
      <c r="Z695" s="164">
        <v>645</v>
      </c>
      <c r="AA695" s="163">
        <f t="shared" si="190"/>
        <v>4.7847081561944317E-2</v>
      </c>
      <c r="AB695" s="163">
        <f t="shared" si="190"/>
        <v>4.5207896995049054E-2</v>
      </c>
      <c r="AC695" s="163">
        <f t="shared" si="190"/>
        <v>7.6476286111293312E-2</v>
      </c>
      <c r="AD695" s="163">
        <f t="shared" si="190"/>
        <v>7.2400909917062467E-2</v>
      </c>
      <c r="AE695" s="163">
        <f t="shared" si="190"/>
        <v>6.4288818252345087E-2</v>
      </c>
    </row>
    <row r="696" spans="26:31" x14ac:dyDescent="0.2">
      <c r="Z696" s="164">
        <v>646</v>
      </c>
      <c r="AA696" s="163">
        <f t="shared" si="190"/>
        <v>4.7699062836814042E-2</v>
      </c>
      <c r="AB696" s="163">
        <f t="shared" si="190"/>
        <v>4.5068042795783733E-2</v>
      </c>
      <c r="AC696" s="163">
        <f t="shared" si="190"/>
        <v>7.6239700681140415E-2</v>
      </c>
      <c r="AD696" s="163">
        <f t="shared" si="190"/>
        <v>7.2176931984984816E-2</v>
      </c>
      <c r="AE696" s="163">
        <f t="shared" si="190"/>
        <v>6.4089935716416011E-2</v>
      </c>
    </row>
    <row r="697" spans="26:31" x14ac:dyDescent="0.2">
      <c r="Z697" s="164">
        <v>647</v>
      </c>
      <c r="AA697" s="163">
        <f t="shared" si="190"/>
        <v>4.7551729912180297E-2</v>
      </c>
      <c r="AB697" s="163">
        <f t="shared" si="190"/>
        <v>4.4928836569126052E-2</v>
      </c>
      <c r="AC697" s="163">
        <f t="shared" si="190"/>
        <v>7.6004211398825142E-2</v>
      </c>
      <c r="AD697" s="163">
        <f t="shared" si="190"/>
        <v>7.1953991787672783E-2</v>
      </c>
      <c r="AE697" s="163">
        <f t="shared" si="190"/>
        <v>6.3891974643239549E-2</v>
      </c>
    </row>
    <row r="698" spans="26:31" x14ac:dyDescent="0.2">
      <c r="Z698" s="164">
        <v>648</v>
      </c>
      <c r="AA698" s="163">
        <f t="shared" si="190"/>
        <v>4.7405078557974885E-2</v>
      </c>
      <c r="AB698" s="163">
        <f t="shared" si="190"/>
        <v>4.4790274318332955E-2</v>
      </c>
      <c r="AC698" s="163">
        <f t="shared" si="190"/>
        <v>7.5769811503226453E-2</v>
      </c>
      <c r="AD698" s="163">
        <f t="shared" si="190"/>
        <v>7.1732082924301555E-2</v>
      </c>
      <c r="AE698" s="163">
        <f t="shared" si="190"/>
        <v>6.3694929349165208E-2</v>
      </c>
    </row>
    <row r="699" spans="26:31" x14ac:dyDescent="0.2">
      <c r="Z699" s="164">
        <v>649</v>
      </c>
      <c r="AA699" s="163">
        <f t="shared" si="190"/>
        <v>4.7259104576693509E-2</v>
      </c>
      <c r="AB699" s="163">
        <f t="shared" si="190"/>
        <v>4.4652352077429257E-2</v>
      </c>
      <c r="AC699" s="163">
        <f t="shared" si="190"/>
        <v>7.5536494285271871E-2</v>
      </c>
      <c r="AD699" s="163">
        <f t="shared" si="190"/>
        <v>7.1511199043321164E-2</v>
      </c>
      <c r="AE699" s="163">
        <f t="shared" si="190"/>
        <v>6.3498794194296465E-2</v>
      </c>
    </row>
    <row r="700" spans="26:31" x14ac:dyDescent="0.2">
      <c r="Z700" s="164">
        <v>650</v>
      </c>
      <c r="AA700" s="163">
        <f t="shared" si="190"/>
        <v>4.7113803803095593E-2</v>
      </c>
      <c r="AB700" s="163">
        <f t="shared" si="190"/>
        <v>4.4515065910923753E-2</v>
      </c>
      <c r="AC700" s="163">
        <f t="shared" si="190"/>
        <v>7.5304253087457515E-2</v>
      </c>
      <c r="AD700" s="163">
        <f t="shared" si="190"/>
        <v>7.1291333842002189E-2</v>
      </c>
      <c r="AE700" s="163">
        <f t="shared" si="190"/>
        <v>6.3303563582087261E-2</v>
      </c>
    </row>
    <row r="701" spans="26:31" x14ac:dyDescent="0.2">
      <c r="Z701" s="164">
        <v>651</v>
      </c>
      <c r="AA701" s="163">
        <f t="shared" ref="AA701:AE710" si="191">IF(($Z701/AA$11)&lt;AA$15,0.85*(AA$12-AA$13*($Z701/AA$11)),(0.85*(PI())^2*(10100)/(($Z701/AA$11)^2)))/AA$16</f>
        <v>4.6969172103906998E-2</v>
      </c>
      <c r="AB701" s="163">
        <f t="shared" si="191"/>
        <v>4.4378411913528482E-2</v>
      </c>
      <c r="AC701" s="163">
        <f t="shared" si="191"/>
        <v>7.5073081303373035E-2</v>
      </c>
      <c r="AD701" s="163">
        <f t="shared" si="191"/>
        <v>7.107248106598596E-2</v>
      </c>
      <c r="AE701" s="163">
        <f t="shared" si="191"/>
        <v>6.3109231958942677E-2</v>
      </c>
    </row>
    <row r="702" spans="26:31" x14ac:dyDescent="0.2">
      <c r="Z702" s="164">
        <v>652</v>
      </c>
      <c r="AA702" s="163">
        <f t="shared" si="191"/>
        <v>4.6825205377526172E-2</v>
      </c>
      <c r="AB702" s="163">
        <f t="shared" si="191"/>
        <v>4.4242386209881086E-2</v>
      </c>
      <c r="AC702" s="163">
        <f t="shared" si="191"/>
        <v>7.4842972377231906E-2</v>
      </c>
      <c r="AD702" s="163">
        <f t="shared" si="191"/>
        <v>7.0854634508840011E-2</v>
      </c>
      <c r="AE702" s="163">
        <f t="shared" si="191"/>
        <v>6.2915793813824075E-2</v>
      </c>
    </row>
    <row r="703" spans="26:31" x14ac:dyDescent="0.2">
      <c r="Z703" s="164">
        <v>653</v>
      </c>
      <c r="AA703" s="163">
        <f t="shared" si="191"/>
        <v>4.6681899553733364E-2</v>
      </c>
      <c r="AB703" s="163">
        <f t="shared" si="191"/>
        <v>4.4106984954269922E-2</v>
      </c>
      <c r="AC703" s="163">
        <f t="shared" si="191"/>
        <v>7.4613919803406578E-2</v>
      </c>
      <c r="AD703" s="163">
        <f t="shared" si="191"/>
        <v>7.0637788011617755E-2</v>
      </c>
      <c r="AE703" s="163">
        <f t="shared" si="191"/>
        <v>6.2723243677858254E-2</v>
      </c>
    </row>
    <row r="704" spans="26:31" x14ac:dyDescent="0.2">
      <c r="Z704" s="164">
        <v>654</v>
      </c>
      <c r="AA704" s="163">
        <f t="shared" si="191"/>
        <v>4.6539250593402831E-2</v>
      </c>
      <c r="AB704" s="163">
        <f t="shared" si="191"/>
        <v>4.3972204330362398E-2</v>
      </c>
      <c r="AC704" s="163">
        <f t="shared" si="191"/>
        <v>7.438591712596862E-2</v>
      </c>
      <c r="AD704" s="163">
        <f t="shared" si="191"/>
        <v>7.0421935462423479E-2</v>
      </c>
      <c r="AE704" s="163">
        <f t="shared" si="191"/>
        <v>6.2531576123951077E-2</v>
      </c>
    </row>
    <row r="705" spans="23:31" x14ac:dyDescent="0.2">
      <c r="Z705" s="164">
        <v>655</v>
      </c>
      <c r="AA705" s="163">
        <f t="shared" si="191"/>
        <v>4.6397254488218374E-2</v>
      </c>
      <c r="AB705" s="163">
        <f t="shared" si="191"/>
        <v>4.3838040550935931E-2</v>
      </c>
      <c r="AC705" s="163">
        <f t="shared" si="191"/>
        <v>7.4158957938233905E-2</v>
      </c>
      <c r="AD705" s="163">
        <f t="shared" si="191"/>
        <v>7.0207070795981388E-2</v>
      </c>
      <c r="AE705" s="163">
        <f t="shared" si="191"/>
        <v>6.2340785766404894E-2</v>
      </c>
    </row>
    <row r="706" spans="23:31" x14ac:dyDescent="0.2">
      <c r="Z706" s="164">
        <v>656</v>
      </c>
      <c r="AA706" s="163">
        <f t="shared" si="191"/>
        <v>4.6255907260391624E-2</v>
      </c>
      <c r="AB706" s="163">
        <f t="shared" si="191"/>
        <v>4.3704489857611925E-2</v>
      </c>
      <c r="AC706" s="163">
        <f t="shared" si="191"/>
        <v>7.3933035882312412E-2</v>
      </c>
      <c r="AD706" s="163">
        <f t="shared" si="191"/>
        <v>6.9993187993209763E-2</v>
      </c>
      <c r="AE706" s="163">
        <f t="shared" si="191"/>
        <v>6.2150867260540282E-2</v>
      </c>
    </row>
    <row r="707" spans="23:31" x14ac:dyDescent="0.2">
      <c r="Z707" s="164">
        <v>657</v>
      </c>
      <c r="AA707" s="163">
        <f t="shared" si="191"/>
        <v>4.611520496238352E-2</v>
      </c>
      <c r="AB707" s="163">
        <f t="shared" si="191"/>
        <v>4.3571548520592612E-2</v>
      </c>
      <c r="AC707" s="163">
        <f t="shared" si="191"/>
        <v>7.3708144648663126E-2</v>
      </c>
      <c r="AD707" s="163">
        <f t="shared" si="191"/>
        <v>6.9780281080799256E-2</v>
      </c>
      <c r="AE707" s="163">
        <f t="shared" si="191"/>
        <v>6.1961815302321706E-2</v>
      </c>
    </row>
    <row r="708" spans="23:31" x14ac:dyDescent="0.2">
      <c r="Z708" s="164">
        <v>658</v>
      </c>
      <c r="AA708" s="163">
        <f t="shared" si="191"/>
        <v>4.5975143676628749E-2</v>
      </c>
      <c r="AB708" s="163">
        <f t="shared" si="191"/>
        <v>4.3439212838400618E-2</v>
      </c>
      <c r="AC708" s="163">
        <f t="shared" si="191"/>
        <v>7.3484277975653392E-2</v>
      </c>
      <c r="AD708" s="163">
        <f t="shared" si="191"/>
        <v>6.9568344130795892E-2</v>
      </c>
      <c r="AE708" s="163">
        <f t="shared" si="191"/>
        <v>6.1773624627987224E-2</v>
      </c>
    </row>
    <row r="709" spans="23:31" x14ac:dyDescent="0.2">
      <c r="Z709" s="164">
        <v>659</v>
      </c>
      <c r="AA709" s="163">
        <f t="shared" si="191"/>
        <v>4.5835719515262892E-2</v>
      </c>
      <c r="AB709" s="163">
        <f t="shared" si="191"/>
        <v>4.3307479137621216E-2</v>
      </c>
      <c r="AC709" s="163">
        <f t="shared" si="191"/>
        <v>7.3261429649123022E-2</v>
      </c>
      <c r="AD709" s="163">
        <f t="shared" si="191"/>
        <v>6.9357371260188483E-2</v>
      </c>
      <c r="AE709" s="163">
        <f t="shared" si="191"/>
        <v>6.1586290013682071E-2</v>
      </c>
    </row>
    <row r="710" spans="23:31" x14ac:dyDescent="0.2">
      <c r="Z710" s="164">
        <v>660</v>
      </c>
      <c r="AA710" s="163">
        <f t="shared" si="191"/>
        <v>4.569692861985282E-2</v>
      </c>
      <c r="AB710" s="163">
        <f t="shared" si="191"/>
        <v>4.3176343772647584E-2</v>
      </c>
      <c r="AC710" s="163">
        <f t="shared" si="191"/>
        <v>7.3039593501953159E-2</v>
      </c>
      <c r="AD710" s="163">
        <f t="shared" si="191"/>
        <v>6.9147356630500256E-2</v>
      </c>
      <c r="AE710" s="163">
        <f t="shared" si="191"/>
        <v>6.1399806275096107E-2</v>
      </c>
    </row>
    <row r="711" spans="23:31" x14ac:dyDescent="0.2">
      <c r="Z711" s="164">
        <v>661</v>
      </c>
      <c r="AA711" s="163">
        <f t="shared" ref="AA711:AE718" si="192">IF(($Z711/AA$11)&lt;AA$15,0.85*(AA$12-AA$13*($Z711/AA$11)),(0.85*(PI())^2*(10100)/(($Z711/AA$11)^2)))/AA$16</f>
        <v>4.5558767161129554E-2</v>
      </c>
      <c r="AB711" s="163">
        <f t="shared" si="192"/>
        <v>4.3045803125428356E-2</v>
      </c>
      <c r="AC711" s="163">
        <f t="shared" si="192"/>
        <v>7.2818763413639534E-2</v>
      </c>
      <c r="AD711" s="163">
        <f t="shared" si="192"/>
        <v>6.8938294447385043E-2</v>
      </c>
      <c r="AE711" s="163">
        <f t="shared" si="192"/>
        <v>6.1214168267105185E-2</v>
      </c>
    </row>
    <row r="712" spans="23:31" x14ac:dyDescent="0.2">
      <c r="Z712" s="164">
        <v>662</v>
      </c>
      <c r="AA712" s="163">
        <f t="shared" si="192"/>
        <v>4.5421231338724284E-2</v>
      </c>
      <c r="AB712" s="163">
        <f t="shared" si="192"/>
        <v>4.2915853605218282E-2</v>
      </c>
      <c r="AC712" s="163">
        <f t="shared" si="192"/>
        <v>7.25989333098703E-2</v>
      </c>
      <c r="AD712" s="163">
        <f t="shared" si="192"/>
        <v>6.8730178960227442E-2</v>
      </c>
      <c r="AE712" s="163">
        <f t="shared" si="192"/>
        <v>6.1029370883416235E-2</v>
      </c>
    </row>
    <row r="713" spans="23:31" x14ac:dyDescent="0.2">
      <c r="Z713" s="164">
        <v>663</v>
      </c>
      <c r="AA713" s="163">
        <f t="shared" si="192"/>
        <v>4.5284317380906963E-2</v>
      </c>
      <c r="AB713" s="163">
        <f t="shared" si="192"/>
        <v>4.2786491648331176E-2</v>
      </c>
      <c r="AC713" s="163">
        <f t="shared" si="192"/>
        <v>7.2380097162108331E-2</v>
      </c>
      <c r="AD713" s="163">
        <f t="shared" si="192"/>
        <v>6.8523004461747569E-2</v>
      </c>
      <c r="AE713" s="163">
        <f t="shared" si="192"/>
        <v>6.0845409056216125E-2</v>
      </c>
    </row>
    <row r="714" spans="23:31" x14ac:dyDescent="0.2">
      <c r="Z714" s="164">
        <v>664</v>
      </c>
      <c r="AA714" s="163">
        <f t="shared" si="192"/>
        <v>4.5148021544327663E-2</v>
      </c>
      <c r="AB714" s="163">
        <f t="shared" si="192"/>
        <v>4.2657713717895569E-2</v>
      </c>
      <c r="AC714" s="163">
        <f t="shared" si="192"/>
        <v>7.2162248987177907E-2</v>
      </c>
      <c r="AD714" s="163">
        <f t="shared" si="192"/>
        <v>6.8316765287609577E-2</v>
      </c>
      <c r="AE714" s="163">
        <f t="shared" si="192"/>
        <v>6.0662277755824189E-2</v>
      </c>
    </row>
    <row r="715" spans="23:31" x14ac:dyDescent="0.2">
      <c r="Z715" s="164">
        <v>665</v>
      </c>
      <c r="AA715" s="163">
        <f t="shared" si="192"/>
        <v>4.5012340113760846E-2</v>
      </c>
      <c r="AB715" s="163">
        <f t="shared" si="192"/>
        <v>4.2529516303613055E-2</v>
      </c>
      <c r="AC715" s="163">
        <f t="shared" si="192"/>
        <v>7.1945382846855782E-2</v>
      </c>
      <c r="AD715" s="163">
        <f t="shared" si="192"/>
        <v>6.8111455816034644E-2</v>
      </c>
      <c r="AE715" s="163">
        <f t="shared" si="192"/>
        <v>6.0479971990348498E-2</v>
      </c>
    </row>
    <row r="716" spans="23:31" x14ac:dyDescent="0.2">
      <c r="Z716" s="164">
        <v>666</v>
      </c>
      <c r="AA716" s="163">
        <f t="shared" si="192"/>
        <v>4.4877269401852042E-2</v>
      </c>
      <c r="AB716" s="163">
        <f t="shared" si="192"/>
        <v>4.2401895921519002E-2</v>
      </c>
      <c r="AC716" s="163">
        <f t="shared" si="192"/>
        <v>7.1729492847466381E-2</v>
      </c>
      <c r="AD716" s="163">
        <f t="shared" si="192"/>
        <v>6.7907070467417674E-2</v>
      </c>
      <c r="AE716" s="163">
        <f t="shared" si="192"/>
        <v>6.0298486805345587E-2</v>
      </c>
    </row>
    <row r="717" spans="23:31" x14ac:dyDescent="0.2">
      <c r="Z717" s="164">
        <v>667</v>
      </c>
      <c r="AA717" s="163">
        <f t="shared" si="192"/>
        <v>4.4742805748867444E-2</v>
      </c>
      <c r="AB717" s="163">
        <f t="shared" si="192"/>
        <v>4.2274849113745863E-2</v>
      </c>
      <c r="AC717" s="163">
        <f t="shared" si="192"/>
        <v>7.1514573139481535E-2</v>
      </c>
      <c r="AD717" s="163">
        <f t="shared" si="192"/>
        <v>6.7703603703948442E-2</v>
      </c>
      <c r="AE717" s="163">
        <f t="shared" si="192"/>
        <v>6.0117817283483893E-2</v>
      </c>
    </row>
    <row r="718" spans="23:31" x14ac:dyDescent="0.2">
      <c r="Z718" s="164">
        <v>668</v>
      </c>
      <c r="AA718" s="163">
        <f t="shared" si="192"/>
        <v>4.4608945522445882E-2</v>
      </c>
      <c r="AB718" s="163">
        <f t="shared" si="192"/>
        <v>4.2148372448288944E-2</v>
      </c>
      <c r="AC718" s="163">
        <f t="shared" si="192"/>
        <v>7.1300617917124123E-2</v>
      </c>
      <c r="AD718" s="163">
        <f t="shared" si="192"/>
        <v>6.7501050029236245E-2</v>
      </c>
      <c r="AE718" s="163">
        <f t="shared" si="192"/>
        <v>5.9937958544210669E-2</v>
      </c>
    </row>
    <row r="719" spans="23:31" x14ac:dyDescent="0.2">
      <c r="AA719" s="162"/>
      <c r="AB719" s="162"/>
      <c r="AC719" s="162"/>
      <c r="AD719" s="162"/>
      <c r="AE719" s="162"/>
    </row>
    <row r="720" spans="23:31" x14ac:dyDescent="0.2">
      <c r="W720" s="20" t="s">
        <v>157</v>
      </c>
    </row>
    <row r="721" spans="23:31" x14ac:dyDescent="0.2">
      <c r="W721" s="20" t="s">
        <v>150</v>
      </c>
      <c r="X721" s="154">
        <f t="shared" ref="X721:X733" si="193">G25</f>
        <v>18.860108793527772</v>
      </c>
      <c r="Y721" s="154">
        <f t="shared" ref="Y721:Y733" si="194">ROUNDUP(X721,0)</f>
        <v>19</v>
      </c>
      <c r="AA721" s="153">
        <f t="shared" ref="AA721:AA733" si="195">INDEX($AA$69:$AA$178, MATCH($Y721,$Z$69:$Z$178,0))</f>
        <v>16.415511213636361</v>
      </c>
      <c r="AB721" s="153">
        <f t="shared" ref="AB721:AB733" si="196">INDEX($AB$69:$AB$178, MATCH($Y721,$Z$69:$Z$178,0))</f>
        <v>16.304335534510141</v>
      </c>
      <c r="AC721" s="153">
        <f t="shared" ref="AC721:AC733" si="197">INDEX($AC$69:$AC$178, MATCH($Y721,$Z$69:$Z$178,0))</f>
        <v>17.223081958602091</v>
      </c>
      <c r="AD721" s="153">
        <f t="shared" ref="AD721:AD733" si="198">INDEX($AD$69:$AD$178, MATCH($Y721,$Z$69:$Z$178,0))</f>
        <v>17.138249914610359</v>
      </c>
      <c r="AE721" s="153">
        <f t="shared" ref="AE721:AE733" si="199">INDEX($AE$69:$AE$178, MATCH($Y721,$Z$69:$Z$178,0))</f>
        <v>16.945977197930659</v>
      </c>
    </row>
    <row r="722" spans="23:31" x14ac:dyDescent="0.2">
      <c r="X722" s="154">
        <f t="shared" si="193"/>
        <v>23.478910947044778</v>
      </c>
      <c r="Y722" s="154">
        <f t="shared" si="194"/>
        <v>24</v>
      </c>
      <c r="AA722" s="153">
        <f t="shared" si="195"/>
        <v>15.398783391068577</v>
      </c>
      <c r="AB722" s="153">
        <f t="shared" si="196"/>
        <v>15.258350954277562</v>
      </c>
      <c r="AC722" s="153">
        <f t="shared" si="197"/>
        <v>16.41887275313055</v>
      </c>
      <c r="AD722" s="153">
        <f t="shared" si="198"/>
        <v>16.311716487035731</v>
      </c>
      <c r="AE722" s="153">
        <f t="shared" si="199"/>
        <v>16.068845687019273</v>
      </c>
    </row>
    <row r="723" spans="23:31" x14ac:dyDescent="0.2">
      <c r="X723" s="154">
        <f t="shared" si="193"/>
        <v>28.097713100561784</v>
      </c>
      <c r="Y723" s="154">
        <f t="shared" si="194"/>
        <v>29</v>
      </c>
      <c r="AA723" s="153">
        <f t="shared" si="195"/>
        <v>14.382055568500792</v>
      </c>
      <c r="AB723" s="153">
        <f t="shared" si="196"/>
        <v>14.212366374044983</v>
      </c>
      <c r="AC723" s="153">
        <f t="shared" si="197"/>
        <v>15.614663547659012</v>
      </c>
      <c r="AD723" s="153">
        <f t="shared" si="198"/>
        <v>15.485183059461106</v>
      </c>
      <c r="AE723" s="153">
        <f t="shared" si="199"/>
        <v>15.191714176107885</v>
      </c>
    </row>
    <row r="724" spans="23:31" x14ac:dyDescent="0.2">
      <c r="X724" s="154">
        <f t="shared" si="193"/>
        <v>32.716515254078793</v>
      </c>
      <c r="Y724" s="154">
        <f t="shared" si="194"/>
        <v>33</v>
      </c>
      <c r="AA724" s="153">
        <f t="shared" si="195"/>
        <v>13.568673310446565</v>
      </c>
      <c r="AB724" s="153">
        <f t="shared" si="196"/>
        <v>13.375578709858919</v>
      </c>
      <c r="AC724" s="153">
        <f t="shared" si="197"/>
        <v>14.971296183281781</v>
      </c>
      <c r="AD724" s="153">
        <f t="shared" si="198"/>
        <v>14.823956317401406</v>
      </c>
      <c r="AE724" s="153">
        <f t="shared" si="199"/>
        <v>14.49000896737877</v>
      </c>
    </row>
    <row r="725" spans="23:31" x14ac:dyDescent="0.2">
      <c r="X725" s="154">
        <f t="shared" si="193"/>
        <v>37.335317407595788</v>
      </c>
      <c r="Y725" s="154">
        <f t="shared" si="194"/>
        <v>38</v>
      </c>
      <c r="AA725" s="153">
        <f t="shared" si="195"/>
        <v>12.551945487878777</v>
      </c>
      <c r="AB725" s="153">
        <f t="shared" si="196"/>
        <v>12.329594129626342</v>
      </c>
      <c r="AC725" s="153">
        <f t="shared" si="197"/>
        <v>14.167086977810241</v>
      </c>
      <c r="AD725" s="153">
        <f t="shared" si="198"/>
        <v>13.997422889826778</v>
      </c>
      <c r="AE725" s="153">
        <f t="shared" si="199"/>
        <v>13.612877456467382</v>
      </c>
    </row>
    <row r="726" spans="23:31" x14ac:dyDescent="0.2">
      <c r="X726" s="154">
        <f t="shared" si="193"/>
        <v>41.954119561112797</v>
      </c>
      <c r="Y726" s="154">
        <f t="shared" si="194"/>
        <v>42</v>
      </c>
      <c r="AA726" s="153">
        <f t="shared" si="195"/>
        <v>11.284343597963655</v>
      </c>
      <c r="AB726" s="153">
        <f t="shared" si="196"/>
        <v>10.661913462225218</v>
      </c>
      <c r="AC726" s="153">
        <f t="shared" si="197"/>
        <v>13.523719613433011</v>
      </c>
      <c r="AD726" s="153">
        <f t="shared" si="198"/>
        <v>13.336196147767078</v>
      </c>
      <c r="AE726" s="153">
        <f t="shared" si="199"/>
        <v>12.911172247738271</v>
      </c>
    </row>
    <row r="727" spans="23:31" x14ac:dyDescent="0.2">
      <c r="X727" s="154">
        <f t="shared" si="193"/>
        <v>46.5729217146298</v>
      </c>
      <c r="Y727" s="154">
        <f t="shared" si="194"/>
        <v>47</v>
      </c>
      <c r="AA727" s="153">
        <f t="shared" si="195"/>
        <v>9.0111281606192328</v>
      </c>
      <c r="AB727" s="153">
        <f t="shared" si="196"/>
        <v>8.5140857163265213</v>
      </c>
      <c r="AC727" s="153">
        <f t="shared" si="197"/>
        <v>12.71951040796147</v>
      </c>
      <c r="AD727" s="153">
        <f t="shared" si="198"/>
        <v>12.50966272019245</v>
      </c>
      <c r="AE727" s="153">
        <f t="shared" si="199"/>
        <v>12.034040736826878</v>
      </c>
    </row>
    <row r="728" spans="23:31" x14ac:dyDescent="0.2">
      <c r="X728" s="154">
        <f t="shared" si="193"/>
        <v>51.191723868146809</v>
      </c>
      <c r="Y728" s="154">
        <f t="shared" si="194"/>
        <v>52</v>
      </c>
      <c r="AA728" s="153">
        <f t="shared" si="195"/>
        <v>7.3615318442336868</v>
      </c>
      <c r="AB728" s="153">
        <f t="shared" si="196"/>
        <v>6.9554790485818359</v>
      </c>
      <c r="AC728" s="153">
        <f t="shared" si="197"/>
        <v>11.766289544915235</v>
      </c>
      <c r="AD728" s="153">
        <f t="shared" si="198"/>
        <v>11.139270912812838</v>
      </c>
      <c r="AE728" s="153">
        <f t="shared" si="199"/>
        <v>9.8911818097011341</v>
      </c>
    </row>
    <row r="729" spans="23:31" x14ac:dyDescent="0.2">
      <c r="X729" s="154">
        <f t="shared" si="193"/>
        <v>55.810526021663811</v>
      </c>
      <c r="Y729" s="154">
        <f t="shared" si="194"/>
        <v>56</v>
      </c>
      <c r="AA729" s="153">
        <f t="shared" si="195"/>
        <v>6.3474432738545561</v>
      </c>
      <c r="AB729" s="153">
        <f t="shared" si="196"/>
        <v>5.997326322501686</v>
      </c>
      <c r="AC729" s="153">
        <f t="shared" si="197"/>
        <v>10.145423128013645</v>
      </c>
      <c r="AD729" s="153">
        <f t="shared" si="198"/>
        <v>9.604779511558009</v>
      </c>
      <c r="AE729" s="153">
        <f t="shared" si="199"/>
        <v>8.5286210502014885</v>
      </c>
    </row>
    <row r="730" spans="23:31" x14ac:dyDescent="0.2">
      <c r="X730" s="154">
        <f t="shared" si="193"/>
        <v>60.429328175180821</v>
      </c>
      <c r="Y730" s="154">
        <f t="shared" si="194"/>
        <v>61</v>
      </c>
      <c r="AA730" s="153">
        <f t="shared" si="195"/>
        <v>5.3495248876129757</v>
      </c>
      <c r="AB730" s="153">
        <f t="shared" si="196"/>
        <v>5.0544518536321643</v>
      </c>
      <c r="AC730" s="153">
        <f t="shared" si="197"/>
        <v>8.5504022922469218</v>
      </c>
      <c r="AD730" s="153">
        <f t="shared" si="198"/>
        <v>8.0947563956586706</v>
      </c>
      <c r="AE730" s="153">
        <f t="shared" si="199"/>
        <v>7.1877870501026235</v>
      </c>
    </row>
    <row r="731" spans="23:31" x14ac:dyDescent="0.2">
      <c r="X731" s="154">
        <f t="shared" si="193"/>
        <v>65.048130328697823</v>
      </c>
      <c r="Y731" s="154">
        <f t="shared" si="194"/>
        <v>66</v>
      </c>
      <c r="AA731" s="153">
        <f t="shared" si="195"/>
        <v>4.569692861985283</v>
      </c>
      <c r="AB731" s="153">
        <f t="shared" si="196"/>
        <v>4.3176343772647572</v>
      </c>
      <c r="AC731" s="153">
        <f t="shared" si="197"/>
        <v>7.3039593501953144</v>
      </c>
      <c r="AD731" s="153">
        <f t="shared" si="198"/>
        <v>6.9147356630500258</v>
      </c>
      <c r="AE731" s="153">
        <f t="shared" si="199"/>
        <v>6.1399806275096118</v>
      </c>
    </row>
    <row r="732" spans="23:31" x14ac:dyDescent="0.2">
      <c r="X732" s="154">
        <f t="shared" si="193"/>
        <v>69.666932482214833</v>
      </c>
      <c r="Y732" s="154">
        <f t="shared" si="194"/>
        <v>70</v>
      </c>
      <c r="AA732" s="153">
        <f t="shared" si="195"/>
        <v>4.0623636952669164</v>
      </c>
      <c r="AB732" s="153">
        <f t="shared" si="196"/>
        <v>3.838288846401078</v>
      </c>
      <c r="AC732" s="153">
        <f t="shared" si="197"/>
        <v>6.4930708019287344</v>
      </c>
      <c r="AD732" s="153">
        <f t="shared" si="198"/>
        <v>6.1470588873971259</v>
      </c>
      <c r="AE732" s="153">
        <f t="shared" si="199"/>
        <v>5.4583174721289529</v>
      </c>
    </row>
    <row r="733" spans="23:31" x14ac:dyDescent="0.2">
      <c r="X733" s="154">
        <f t="shared" si="193"/>
        <v>74.285734635731842</v>
      </c>
      <c r="Y733" s="154">
        <f t="shared" si="194"/>
        <v>75</v>
      </c>
      <c r="AA733" s="153">
        <f t="shared" si="195"/>
        <v>3.5387701523214021</v>
      </c>
      <c r="AB733" s="153">
        <f t="shared" si="196"/>
        <v>3.3435760617538279</v>
      </c>
      <c r="AC733" s="153">
        <f t="shared" si="197"/>
        <v>5.6561861207912525</v>
      </c>
      <c r="AD733" s="153">
        <f t="shared" si="198"/>
        <v>5.3547712974659412</v>
      </c>
      <c r="AE733" s="153">
        <f t="shared" si="199"/>
        <v>4.754800997943442</v>
      </c>
    </row>
    <row r="735" spans="23:31" x14ac:dyDescent="0.2">
      <c r="W735" s="20" t="s">
        <v>156</v>
      </c>
    </row>
    <row r="736" spans="23:31" x14ac:dyDescent="0.2">
      <c r="W736" s="20" t="s">
        <v>150</v>
      </c>
      <c r="X736" s="154">
        <f t="shared" ref="X736:X748" si="200">G43</f>
        <v>19.939318283103781</v>
      </c>
      <c r="Y736" s="154">
        <f t="shared" ref="Y736:Y748" si="201">ROUNDUP(X736,0)</f>
        <v>20</v>
      </c>
      <c r="AA736" s="153">
        <f t="shared" ref="AA736:AA748" si="202">INDEX($AA$69:$AA$178, MATCH($Y736,$Z$69:$Z$178,0))</f>
        <v>16.212165649122802</v>
      </c>
      <c r="AB736" s="153">
        <f t="shared" ref="AB736:AB748" si="203">INDEX($AB$69:$AB$178, MATCH($Y736,$Z$69:$Z$178,0))</f>
        <v>16.095138618463626</v>
      </c>
      <c r="AC736" s="153">
        <f t="shared" ref="AC736:AC748" si="204">INDEX($AC$69:$AC$178, MATCH($Y736,$Z$69:$Z$178,0))</f>
        <v>17.062240117507784</v>
      </c>
      <c r="AD736" s="153">
        <f t="shared" ref="AD736:AD748" si="205">INDEX($AD$69:$AD$178, MATCH($Y736,$Z$69:$Z$178,0))</f>
        <v>16.972943229095435</v>
      </c>
      <c r="AE736" s="153">
        <f t="shared" ref="AE736:AE748" si="206">INDEX($AE$69:$AE$178, MATCH($Y736,$Z$69:$Z$178,0))</f>
        <v>16.770550895748382</v>
      </c>
    </row>
    <row r="737" spans="23:31" x14ac:dyDescent="0.2">
      <c r="X737" s="154">
        <f t="shared" si="200"/>
        <v>24.822416638149605</v>
      </c>
      <c r="Y737" s="154">
        <f t="shared" si="201"/>
        <v>25</v>
      </c>
      <c r="AA737" s="153">
        <f t="shared" si="202"/>
        <v>15.195437826555018</v>
      </c>
      <c r="AB737" s="153">
        <f t="shared" si="203"/>
        <v>15.049154038231046</v>
      </c>
      <c r="AC737" s="153">
        <f t="shared" si="204"/>
        <v>16.258030912036247</v>
      </c>
      <c r="AD737" s="153">
        <f t="shared" si="205"/>
        <v>16.146409801520811</v>
      </c>
      <c r="AE737" s="153">
        <f t="shared" si="206"/>
        <v>15.893419384836994</v>
      </c>
    </row>
    <row r="738" spans="23:31" x14ac:dyDescent="0.2">
      <c r="X738" s="154">
        <f t="shared" si="200"/>
        <v>29.705514993195429</v>
      </c>
      <c r="Y738" s="154">
        <f t="shared" si="201"/>
        <v>30</v>
      </c>
      <c r="AA738" s="153">
        <f t="shared" si="202"/>
        <v>14.178710003987232</v>
      </c>
      <c r="AB738" s="153">
        <f t="shared" si="203"/>
        <v>14.003169457998467</v>
      </c>
      <c r="AC738" s="153">
        <f t="shared" si="204"/>
        <v>15.453821706564705</v>
      </c>
      <c r="AD738" s="153">
        <f t="shared" si="205"/>
        <v>15.319876373946181</v>
      </c>
      <c r="AE738" s="153">
        <f t="shared" si="206"/>
        <v>15.016287873925606</v>
      </c>
    </row>
    <row r="739" spans="23:31" x14ac:dyDescent="0.2">
      <c r="X739" s="154">
        <f t="shared" si="200"/>
        <v>34.588613348241253</v>
      </c>
      <c r="Y739" s="154">
        <f t="shared" si="201"/>
        <v>35</v>
      </c>
      <c r="AA739" s="153">
        <f t="shared" si="202"/>
        <v>13.161982181419448</v>
      </c>
      <c r="AB739" s="153">
        <f t="shared" si="203"/>
        <v>12.95718487776589</v>
      </c>
      <c r="AC739" s="153">
        <f t="shared" si="204"/>
        <v>14.649612501093165</v>
      </c>
      <c r="AD739" s="153">
        <f t="shared" si="205"/>
        <v>14.493342946371556</v>
      </c>
      <c r="AE739" s="153">
        <f t="shared" si="206"/>
        <v>14.139156363014216</v>
      </c>
    </row>
    <row r="740" spans="23:31" x14ac:dyDescent="0.2">
      <c r="X740" s="154">
        <f t="shared" si="200"/>
        <v>39.47171170328707</v>
      </c>
      <c r="Y740" s="154">
        <f t="shared" si="201"/>
        <v>40</v>
      </c>
      <c r="AA740" s="153">
        <f t="shared" si="202"/>
        <v>12.145254358851664</v>
      </c>
      <c r="AB740" s="153">
        <f t="shared" si="203"/>
        <v>11.754759592103301</v>
      </c>
      <c r="AC740" s="153">
        <f t="shared" si="204"/>
        <v>13.845403295621624</v>
      </c>
      <c r="AD740" s="153">
        <f t="shared" si="205"/>
        <v>13.666809518796926</v>
      </c>
      <c r="AE740" s="153">
        <f t="shared" si="206"/>
        <v>13.262024852102826</v>
      </c>
    </row>
    <row r="741" spans="23:31" x14ac:dyDescent="0.2">
      <c r="X741" s="154">
        <f t="shared" si="200"/>
        <v>44.354810058332895</v>
      </c>
      <c r="Y741" s="154">
        <f t="shared" si="201"/>
        <v>45</v>
      </c>
      <c r="AA741" s="153">
        <f t="shared" si="202"/>
        <v>9.8299170897816737</v>
      </c>
      <c r="AB741" s="153">
        <f t="shared" si="203"/>
        <v>9.2877112826495214</v>
      </c>
      <c r="AC741" s="153">
        <f t="shared" si="204"/>
        <v>13.041194090150084</v>
      </c>
      <c r="AD741" s="153">
        <f t="shared" si="205"/>
        <v>12.840276091222302</v>
      </c>
      <c r="AE741" s="153">
        <f t="shared" si="206"/>
        <v>12.384893341191436</v>
      </c>
    </row>
    <row r="742" spans="23:31" x14ac:dyDescent="0.2">
      <c r="X742" s="154">
        <f t="shared" si="200"/>
        <v>49.237908413378719</v>
      </c>
      <c r="Y742" s="154">
        <f t="shared" si="201"/>
        <v>50</v>
      </c>
      <c r="AA742" s="153">
        <f t="shared" si="202"/>
        <v>7.9622328427231555</v>
      </c>
      <c r="AB742" s="153">
        <f t="shared" si="203"/>
        <v>7.5230461389461132</v>
      </c>
      <c r="AC742" s="153">
        <f t="shared" si="204"/>
        <v>12.236984884678545</v>
      </c>
      <c r="AD742" s="153">
        <f t="shared" si="205"/>
        <v>12.013742663647676</v>
      </c>
      <c r="AE742" s="153">
        <f t="shared" si="206"/>
        <v>10.698302245372746</v>
      </c>
    </row>
    <row r="743" spans="23:31" x14ac:dyDescent="0.2">
      <c r="X743" s="154">
        <f t="shared" si="200"/>
        <v>54.121006768424543</v>
      </c>
      <c r="Y743" s="154">
        <f t="shared" si="201"/>
        <v>55</v>
      </c>
      <c r="AA743" s="153">
        <f t="shared" si="202"/>
        <v>6.580357721258804</v>
      </c>
      <c r="AB743" s="153">
        <f t="shared" si="203"/>
        <v>6.21739350326125</v>
      </c>
      <c r="AC743" s="153">
        <f t="shared" si="204"/>
        <v>10.517701464281254</v>
      </c>
      <c r="AD743" s="153">
        <f t="shared" si="205"/>
        <v>9.9572193547920396</v>
      </c>
      <c r="AE743" s="153">
        <f t="shared" si="206"/>
        <v>8.8415721036138368</v>
      </c>
    </row>
    <row r="744" spans="23:31" x14ac:dyDescent="0.2">
      <c r="X744" s="154">
        <f t="shared" si="200"/>
        <v>59.004105123470367</v>
      </c>
      <c r="Y744" s="154">
        <f t="shared" si="201"/>
        <v>60</v>
      </c>
      <c r="AA744" s="153">
        <f t="shared" si="202"/>
        <v>5.5293283630021905</v>
      </c>
      <c r="AB744" s="153">
        <f t="shared" si="203"/>
        <v>5.2243375964903569</v>
      </c>
      <c r="AC744" s="153">
        <f t="shared" si="204"/>
        <v>8.8377908137363335</v>
      </c>
      <c r="AD744" s="153">
        <f t="shared" si="205"/>
        <v>8.3668301522905324</v>
      </c>
      <c r="AE744" s="153">
        <f t="shared" si="206"/>
        <v>7.4293765592866299</v>
      </c>
    </row>
    <row r="745" spans="23:31" x14ac:dyDescent="0.2">
      <c r="X745" s="154">
        <f t="shared" si="200"/>
        <v>63.887203478516192</v>
      </c>
      <c r="Y745" s="154">
        <f t="shared" si="201"/>
        <v>64</v>
      </c>
      <c r="AA745" s="153">
        <f t="shared" si="202"/>
        <v>4.8597612565448944</v>
      </c>
      <c r="AB745" s="153">
        <f t="shared" si="203"/>
        <v>4.5917029656653519</v>
      </c>
      <c r="AC745" s="153">
        <f t="shared" si="204"/>
        <v>7.7675895823854484</v>
      </c>
      <c r="AD745" s="153">
        <f t="shared" si="205"/>
        <v>7.3536593135366024</v>
      </c>
      <c r="AE745" s="153">
        <f t="shared" si="206"/>
        <v>6.5297254915605141</v>
      </c>
    </row>
    <row r="746" spans="23:31" x14ac:dyDescent="0.2">
      <c r="X746" s="154">
        <f t="shared" si="200"/>
        <v>68.770301833562016</v>
      </c>
      <c r="Y746" s="154">
        <f t="shared" si="201"/>
        <v>69</v>
      </c>
      <c r="AA746" s="153">
        <f t="shared" si="202"/>
        <v>4.1809666260886127</v>
      </c>
      <c r="AB746" s="153">
        <f t="shared" si="203"/>
        <v>3.950349789406697</v>
      </c>
      <c r="AC746" s="153">
        <f t="shared" si="204"/>
        <v>6.6826395567004395</v>
      </c>
      <c r="AD746" s="153">
        <f t="shared" si="205"/>
        <v>6.3265256350022918</v>
      </c>
      <c r="AE746" s="153">
        <f t="shared" si="206"/>
        <v>5.6176760372677723</v>
      </c>
    </row>
    <row r="747" spans="23:31" x14ac:dyDescent="0.2">
      <c r="X747" s="154">
        <f t="shared" si="200"/>
        <v>73.653400188607847</v>
      </c>
      <c r="Y747" s="154">
        <f t="shared" si="201"/>
        <v>74</v>
      </c>
      <c r="AA747" s="153">
        <f t="shared" si="202"/>
        <v>3.6350588215500159</v>
      </c>
      <c r="AB747" s="153">
        <f t="shared" si="203"/>
        <v>3.4345535696430392</v>
      </c>
      <c r="AC747" s="153">
        <f t="shared" si="204"/>
        <v>5.8100889206447768</v>
      </c>
      <c r="AD747" s="153">
        <f t="shared" si="205"/>
        <v>5.5004727078608315</v>
      </c>
      <c r="AE747" s="153">
        <f t="shared" si="206"/>
        <v>4.8841774312329909</v>
      </c>
    </row>
    <row r="748" spans="23:31" x14ac:dyDescent="0.2">
      <c r="X748" s="154">
        <f t="shared" si="200"/>
        <v>78.536498543653664</v>
      </c>
      <c r="Y748" s="154">
        <f t="shared" si="201"/>
        <v>79</v>
      </c>
      <c r="AA748" s="153">
        <f t="shared" si="202"/>
        <v>3.1894859969248337</v>
      </c>
      <c r="AB748" s="153">
        <f t="shared" si="203"/>
        <v>3.0135579790683038</v>
      </c>
      <c r="AC748" s="153">
        <f t="shared" si="204"/>
        <v>5.0979084969477313</v>
      </c>
      <c r="AD748" s="153">
        <f t="shared" si="205"/>
        <v>4.8262439590203359</v>
      </c>
      <c r="AE748" s="153">
        <f t="shared" si="206"/>
        <v>4.2854920066386581</v>
      </c>
    </row>
    <row r="750" spans="23:31" x14ac:dyDescent="0.2">
      <c r="W750" s="20" t="s">
        <v>155</v>
      </c>
    </row>
    <row r="751" spans="23:31" x14ac:dyDescent="0.2">
      <c r="W751" s="20" t="s">
        <v>150</v>
      </c>
      <c r="X751" s="154">
        <f t="shared" ref="X751:X763" si="207">G61</f>
        <v>21.321652392427215</v>
      </c>
      <c r="Y751" s="154">
        <f t="shared" ref="Y751:Y763" si="208">ROUNDUP(X751,0)</f>
        <v>22</v>
      </c>
      <c r="AA751" s="153">
        <f t="shared" ref="AA751:AA763" si="209">INDEX($AA$69:$AA$178, MATCH($Y751,$Z$69:$Z$178,0))</f>
        <v>15.805474520095689</v>
      </c>
      <c r="AB751" s="153">
        <f t="shared" ref="AB751:AB763" si="210">INDEX($AB$69:$AB$178, MATCH($Y751,$Z$69:$Z$178,0))</f>
        <v>15.676744786370591</v>
      </c>
      <c r="AC751" s="153">
        <f t="shared" ref="AC751:AC763" si="211">INDEX($AC$69:$AC$178, MATCH($Y751,$Z$69:$Z$178,0))</f>
        <v>16.740556435319167</v>
      </c>
      <c r="AD751" s="153">
        <f t="shared" ref="AD751:AD763" si="212">INDEX($AD$69:$AD$178, MATCH($Y751,$Z$69:$Z$178,0))</f>
        <v>16.642329858065583</v>
      </c>
      <c r="AE751" s="153">
        <f t="shared" ref="AE751:AE763" si="213">INDEX($AE$69:$AE$178, MATCH($Y751,$Z$69:$Z$178,0))</f>
        <v>16.419698291383828</v>
      </c>
    </row>
    <row r="752" spans="23:31" x14ac:dyDescent="0.2">
      <c r="X752" s="154">
        <f t="shared" si="207"/>
        <v>26.54328154975633</v>
      </c>
      <c r="Y752" s="154">
        <f t="shared" si="208"/>
        <v>27</v>
      </c>
      <c r="AA752" s="153">
        <f t="shared" si="209"/>
        <v>14.788746697527905</v>
      </c>
      <c r="AB752" s="153">
        <f t="shared" si="210"/>
        <v>14.630760206138014</v>
      </c>
      <c r="AC752" s="153">
        <f t="shared" si="211"/>
        <v>15.936347229847627</v>
      </c>
      <c r="AD752" s="153">
        <f t="shared" si="212"/>
        <v>15.815796430490957</v>
      </c>
      <c r="AE752" s="153">
        <f t="shared" si="213"/>
        <v>15.542566780472439</v>
      </c>
    </row>
    <row r="753" spans="23:31" x14ac:dyDescent="0.2">
      <c r="X753" s="154">
        <f t="shared" si="207"/>
        <v>31.764910707085445</v>
      </c>
      <c r="Y753" s="154">
        <f t="shared" si="208"/>
        <v>32</v>
      </c>
      <c r="AA753" s="153">
        <f t="shared" si="209"/>
        <v>13.772018874960118</v>
      </c>
      <c r="AB753" s="153">
        <f t="shared" si="210"/>
        <v>13.584775625905435</v>
      </c>
      <c r="AC753" s="153">
        <f t="shared" si="211"/>
        <v>15.132138024376086</v>
      </c>
      <c r="AD753" s="153">
        <f t="shared" si="212"/>
        <v>14.98926300291633</v>
      </c>
      <c r="AE753" s="153">
        <f t="shared" si="213"/>
        <v>14.665435269561049</v>
      </c>
    </row>
    <row r="754" spans="23:31" x14ac:dyDescent="0.2">
      <c r="X754" s="154">
        <f t="shared" si="207"/>
        <v>36.98653986441456</v>
      </c>
      <c r="Y754" s="154">
        <f t="shared" si="208"/>
        <v>37</v>
      </c>
      <c r="AA754" s="153">
        <f t="shared" si="209"/>
        <v>12.755291052392334</v>
      </c>
      <c r="AB754" s="153">
        <f t="shared" si="210"/>
        <v>12.538791045672857</v>
      </c>
      <c r="AC754" s="153">
        <f t="shared" si="211"/>
        <v>14.32792881890455</v>
      </c>
      <c r="AD754" s="153">
        <f t="shared" si="212"/>
        <v>14.162729575341704</v>
      </c>
      <c r="AE754" s="153">
        <f t="shared" si="213"/>
        <v>13.788303758649658</v>
      </c>
    </row>
    <row r="755" spans="23:31" x14ac:dyDescent="0.2">
      <c r="X755" s="154">
        <f t="shared" si="207"/>
        <v>42.208169021743672</v>
      </c>
      <c r="Y755" s="154">
        <f t="shared" si="208"/>
        <v>43</v>
      </c>
      <c r="AA755" s="153">
        <f t="shared" si="209"/>
        <v>10.765593351437472</v>
      </c>
      <c r="AB755" s="153">
        <f t="shared" si="210"/>
        <v>10.171776823886038</v>
      </c>
      <c r="AC755" s="153">
        <f t="shared" si="211"/>
        <v>13.362877772338701</v>
      </c>
      <c r="AD755" s="153">
        <f t="shared" si="212"/>
        <v>13.17088946225215</v>
      </c>
      <c r="AE755" s="153">
        <f t="shared" si="213"/>
        <v>12.735745945555992</v>
      </c>
    </row>
    <row r="756" spans="23:31" x14ac:dyDescent="0.2">
      <c r="X756" s="154">
        <f t="shared" si="207"/>
        <v>47.429798179072783</v>
      </c>
      <c r="Y756" s="154">
        <f t="shared" si="208"/>
        <v>48</v>
      </c>
      <c r="AA756" s="153">
        <f t="shared" si="209"/>
        <v>8.6395755671909242</v>
      </c>
      <c r="AB756" s="153">
        <f t="shared" si="210"/>
        <v>8.1630274945161823</v>
      </c>
      <c r="AC756" s="153">
        <f t="shared" si="211"/>
        <v>12.55866856686716</v>
      </c>
      <c r="AD756" s="153">
        <f t="shared" si="212"/>
        <v>12.344356034677524</v>
      </c>
      <c r="AE756" s="153">
        <f t="shared" si="213"/>
        <v>11.608400873885357</v>
      </c>
    </row>
    <row r="757" spans="23:31" x14ac:dyDescent="0.2">
      <c r="X757" s="154">
        <f t="shared" si="207"/>
        <v>52.651427336401902</v>
      </c>
      <c r="Y757" s="154">
        <f t="shared" si="208"/>
        <v>53</v>
      </c>
      <c r="AA757" s="153">
        <f t="shared" si="209"/>
        <v>7.0863588845880692</v>
      </c>
      <c r="AB757" s="153">
        <f t="shared" si="210"/>
        <v>6.6954842817249141</v>
      </c>
      <c r="AC757" s="153">
        <f t="shared" si="211"/>
        <v>11.326467401014881</v>
      </c>
      <c r="AD757" s="153">
        <f t="shared" si="212"/>
        <v>10.722886631629018</v>
      </c>
      <c r="AE757" s="153">
        <f t="shared" si="213"/>
        <v>9.5214509125780911</v>
      </c>
    </row>
    <row r="758" spans="23:31" x14ac:dyDescent="0.2">
      <c r="X758" s="154">
        <f t="shared" si="207"/>
        <v>57.873056493731013</v>
      </c>
      <c r="Y758" s="154">
        <f t="shared" si="208"/>
        <v>58</v>
      </c>
      <c r="AA758" s="153">
        <f t="shared" si="209"/>
        <v>5.9172360602877188</v>
      </c>
      <c r="AB758" s="153">
        <f t="shared" si="210"/>
        <v>5.5908487952928905</v>
      </c>
      <c r="AC758" s="153">
        <f t="shared" si="211"/>
        <v>9.457802297696432</v>
      </c>
      <c r="AD758" s="153">
        <f t="shared" si="212"/>
        <v>8.9538015898471812</v>
      </c>
      <c r="AE758" s="153">
        <f t="shared" si="213"/>
        <v>7.9505813357407451</v>
      </c>
    </row>
    <row r="759" spans="23:31" x14ac:dyDescent="0.2">
      <c r="X759" s="154">
        <f t="shared" si="207"/>
        <v>63.094685651060125</v>
      </c>
      <c r="Y759" s="154">
        <f t="shared" si="208"/>
        <v>64</v>
      </c>
      <c r="AA759" s="153">
        <f t="shared" si="209"/>
        <v>4.8597612565448944</v>
      </c>
      <c r="AB759" s="153">
        <f t="shared" si="210"/>
        <v>4.5917029656653519</v>
      </c>
      <c r="AC759" s="153">
        <f t="shared" si="211"/>
        <v>7.7675895823854484</v>
      </c>
      <c r="AD759" s="153">
        <f t="shared" si="212"/>
        <v>7.3536593135366024</v>
      </c>
      <c r="AE759" s="153">
        <f t="shared" si="213"/>
        <v>6.5297254915605141</v>
      </c>
    </row>
    <row r="760" spans="23:31" x14ac:dyDescent="0.2">
      <c r="X760" s="154">
        <f t="shared" si="207"/>
        <v>68.316314808389237</v>
      </c>
      <c r="Y760" s="154">
        <f t="shared" si="208"/>
        <v>69</v>
      </c>
      <c r="AA760" s="153">
        <f t="shared" si="209"/>
        <v>4.1809666260886127</v>
      </c>
      <c r="AB760" s="153">
        <f t="shared" si="210"/>
        <v>3.950349789406697</v>
      </c>
      <c r="AC760" s="153">
        <f t="shared" si="211"/>
        <v>6.6826395567004395</v>
      </c>
      <c r="AD760" s="153">
        <f t="shared" si="212"/>
        <v>6.3265256350022918</v>
      </c>
      <c r="AE760" s="153">
        <f t="shared" si="213"/>
        <v>5.6176760372677723</v>
      </c>
    </row>
    <row r="761" spans="23:31" x14ac:dyDescent="0.2">
      <c r="X761" s="154">
        <f t="shared" si="207"/>
        <v>73.537943965718355</v>
      </c>
      <c r="Y761" s="154">
        <f t="shared" si="208"/>
        <v>74</v>
      </c>
      <c r="AA761" s="153">
        <f t="shared" si="209"/>
        <v>3.6350588215500159</v>
      </c>
      <c r="AB761" s="153">
        <f t="shared" si="210"/>
        <v>3.4345535696430392</v>
      </c>
      <c r="AC761" s="153">
        <f t="shared" si="211"/>
        <v>5.8100889206447768</v>
      </c>
      <c r="AD761" s="153">
        <f t="shared" si="212"/>
        <v>5.5004727078608315</v>
      </c>
      <c r="AE761" s="153">
        <f t="shared" si="213"/>
        <v>4.8841774312329909</v>
      </c>
    </row>
    <row r="762" spans="23:31" x14ac:dyDescent="0.2">
      <c r="X762" s="154">
        <f t="shared" si="207"/>
        <v>78.759573123047474</v>
      </c>
      <c r="Y762" s="154">
        <f t="shared" si="208"/>
        <v>79</v>
      </c>
      <c r="AA762" s="153">
        <f t="shared" si="209"/>
        <v>3.1894859969248337</v>
      </c>
      <c r="AB762" s="153">
        <f t="shared" si="210"/>
        <v>3.0135579790683038</v>
      </c>
      <c r="AC762" s="153">
        <f t="shared" si="211"/>
        <v>5.0979084969477313</v>
      </c>
      <c r="AD762" s="153">
        <f t="shared" si="212"/>
        <v>4.8262439590203359</v>
      </c>
      <c r="AE762" s="153">
        <f t="shared" si="213"/>
        <v>4.2854920066386581</v>
      </c>
    </row>
    <row r="763" spans="23:31" x14ac:dyDescent="0.2">
      <c r="X763" s="154">
        <f t="shared" si="207"/>
        <v>83.981202280376593</v>
      </c>
      <c r="Y763" s="154">
        <f t="shared" si="208"/>
        <v>84</v>
      </c>
      <c r="AA763" s="153">
        <f t="shared" si="209"/>
        <v>2.8210858994909138</v>
      </c>
      <c r="AB763" s="153">
        <f t="shared" si="210"/>
        <v>2.6654783655563046</v>
      </c>
      <c r="AC763" s="153">
        <f t="shared" si="211"/>
        <v>4.5090769457838435</v>
      </c>
      <c r="AD763" s="153">
        <f t="shared" si="212"/>
        <v>4.2687908940257824</v>
      </c>
      <c r="AE763" s="153">
        <f t="shared" si="213"/>
        <v>3.7904982445339939</v>
      </c>
    </row>
    <row r="765" spans="23:31" x14ac:dyDescent="0.2">
      <c r="W765" s="20" t="s">
        <v>154</v>
      </c>
    </row>
    <row r="766" spans="23:31" x14ac:dyDescent="0.2">
      <c r="W766" s="20" t="s">
        <v>150</v>
      </c>
      <c r="X766" s="154">
        <f t="shared" ref="X766:X778" si="214">G79</f>
        <v>23.098821518760548</v>
      </c>
      <c r="Y766" s="154">
        <f t="shared" ref="Y766:Y778" si="215">ROUNDUP(X766,0)</f>
        <v>24</v>
      </c>
      <c r="AA766" s="153">
        <f t="shared" ref="AA766:AA778" si="216">INDEX($AA$69:$AA$178, MATCH($Y766,$Z$69:$Z$178,0))</f>
        <v>15.398783391068577</v>
      </c>
      <c r="AB766" s="153">
        <f t="shared" ref="AB766:AB778" si="217">INDEX($AB$69:$AB$178, MATCH($Y766,$Z$69:$Z$178,0))</f>
        <v>15.258350954277562</v>
      </c>
      <c r="AC766" s="153">
        <f t="shared" ref="AC766:AC778" si="218">INDEX($AC$69:$AC$178, MATCH($Y766,$Z$69:$Z$178,0))</f>
        <v>16.41887275313055</v>
      </c>
      <c r="AD766" s="153">
        <f t="shared" ref="AD766:AD778" si="219">INDEX($AD$69:$AD$178, MATCH($Y766,$Z$69:$Z$178,0))</f>
        <v>16.311716487035731</v>
      </c>
      <c r="AE766" s="153">
        <f t="shared" ref="AE766:AE778" si="220">INDEX($AE$69:$AE$178, MATCH($Y766,$Z$69:$Z$178,0))</f>
        <v>16.068845687019273</v>
      </c>
    </row>
    <row r="767" spans="23:31" x14ac:dyDescent="0.2">
      <c r="X767" s="154">
        <f t="shared" si="214"/>
        <v>28.755675768252928</v>
      </c>
      <c r="Y767" s="154">
        <f t="shared" si="215"/>
        <v>29</v>
      </c>
      <c r="AA767" s="153">
        <f t="shared" si="216"/>
        <v>14.382055568500792</v>
      </c>
      <c r="AB767" s="153">
        <f t="shared" si="217"/>
        <v>14.212366374044983</v>
      </c>
      <c r="AC767" s="153">
        <f t="shared" si="218"/>
        <v>15.614663547659012</v>
      </c>
      <c r="AD767" s="153">
        <f t="shared" si="219"/>
        <v>15.485183059461106</v>
      </c>
      <c r="AE767" s="153">
        <f t="shared" si="220"/>
        <v>15.191714176107885</v>
      </c>
    </row>
    <row r="768" spans="23:31" x14ac:dyDescent="0.2">
      <c r="X768" s="154">
        <f t="shared" si="214"/>
        <v>34.412530017745311</v>
      </c>
      <c r="Y768" s="154">
        <f t="shared" si="215"/>
        <v>35</v>
      </c>
      <c r="AA768" s="153">
        <f t="shared" si="216"/>
        <v>13.161982181419448</v>
      </c>
      <c r="AB768" s="153">
        <f t="shared" si="217"/>
        <v>12.95718487776589</v>
      </c>
      <c r="AC768" s="153">
        <f t="shared" si="218"/>
        <v>14.649612501093165</v>
      </c>
      <c r="AD768" s="153">
        <f t="shared" si="219"/>
        <v>14.493342946371556</v>
      </c>
      <c r="AE768" s="153">
        <f t="shared" si="220"/>
        <v>14.139156363014216</v>
      </c>
    </row>
    <row r="769" spans="23:31" x14ac:dyDescent="0.2">
      <c r="X769" s="154">
        <f t="shared" si="214"/>
        <v>40.069384267237687</v>
      </c>
      <c r="Y769" s="154">
        <f t="shared" si="215"/>
        <v>41</v>
      </c>
      <c r="AA769" s="153">
        <f t="shared" si="216"/>
        <v>11.841512258660256</v>
      </c>
      <c r="AB769" s="153">
        <f t="shared" si="217"/>
        <v>11.188349403548653</v>
      </c>
      <c r="AC769" s="153">
        <f t="shared" si="218"/>
        <v>13.684561454527319</v>
      </c>
      <c r="AD769" s="153">
        <f t="shared" si="219"/>
        <v>13.501502833282002</v>
      </c>
      <c r="AE769" s="153">
        <f t="shared" si="220"/>
        <v>13.086598549920549</v>
      </c>
    </row>
    <row r="770" spans="23:31" x14ac:dyDescent="0.2">
      <c r="X770" s="154">
        <f t="shared" si="214"/>
        <v>45.726238516730064</v>
      </c>
      <c r="Y770" s="154">
        <f t="shared" si="215"/>
        <v>46</v>
      </c>
      <c r="AA770" s="153">
        <f t="shared" si="216"/>
        <v>9.4071749086993801</v>
      </c>
      <c r="AB770" s="153">
        <f t="shared" si="217"/>
        <v>8.8882870261650702</v>
      </c>
      <c r="AC770" s="153">
        <f t="shared" si="218"/>
        <v>12.880352249055779</v>
      </c>
      <c r="AD770" s="153">
        <f t="shared" si="219"/>
        <v>12.674969405707376</v>
      </c>
      <c r="AE770" s="153">
        <f t="shared" si="220"/>
        <v>12.209467039009159</v>
      </c>
    </row>
    <row r="771" spans="23:31" x14ac:dyDescent="0.2">
      <c r="X771" s="154">
        <f t="shared" si="214"/>
        <v>51.38309276622244</v>
      </c>
      <c r="Y771" s="154">
        <f t="shared" si="215"/>
        <v>52</v>
      </c>
      <c r="AA771" s="153">
        <f t="shared" si="216"/>
        <v>7.3615318442336868</v>
      </c>
      <c r="AB771" s="153">
        <f t="shared" si="217"/>
        <v>6.9554790485818359</v>
      </c>
      <c r="AC771" s="153">
        <f t="shared" si="218"/>
        <v>11.766289544915235</v>
      </c>
      <c r="AD771" s="153">
        <f t="shared" si="219"/>
        <v>11.139270912812838</v>
      </c>
      <c r="AE771" s="153">
        <f t="shared" si="220"/>
        <v>9.8911818097011341</v>
      </c>
    </row>
    <row r="772" spans="23:31" x14ac:dyDescent="0.2">
      <c r="X772" s="154">
        <f t="shared" si="214"/>
        <v>57.039947015714823</v>
      </c>
      <c r="Y772" s="154">
        <f t="shared" si="215"/>
        <v>58</v>
      </c>
      <c r="AA772" s="153">
        <f t="shared" si="216"/>
        <v>5.9172360602877188</v>
      </c>
      <c r="AB772" s="153">
        <f t="shared" si="217"/>
        <v>5.5908487952928905</v>
      </c>
      <c r="AC772" s="153">
        <f t="shared" si="218"/>
        <v>9.457802297696432</v>
      </c>
      <c r="AD772" s="153">
        <f t="shared" si="219"/>
        <v>8.9538015898471812</v>
      </c>
      <c r="AE772" s="153">
        <f t="shared" si="220"/>
        <v>7.9505813357407451</v>
      </c>
    </row>
    <row r="773" spans="23:31" x14ac:dyDescent="0.2">
      <c r="X773" s="154">
        <f t="shared" si="214"/>
        <v>62.696801265207206</v>
      </c>
      <c r="Y773" s="154">
        <f t="shared" si="215"/>
        <v>63</v>
      </c>
      <c r="AA773" s="153">
        <f t="shared" si="216"/>
        <v>5.0152638213171796</v>
      </c>
      <c r="AB773" s="153">
        <f t="shared" si="217"/>
        <v>4.7386282054334297</v>
      </c>
      <c r="AC773" s="153">
        <f t="shared" si="218"/>
        <v>8.016136792504609</v>
      </c>
      <c r="AD773" s="153">
        <f t="shared" si="219"/>
        <v>7.5889615893791698</v>
      </c>
      <c r="AE773" s="153">
        <f t="shared" si="220"/>
        <v>6.7386635458382118</v>
      </c>
    </row>
    <row r="774" spans="23:31" x14ac:dyDescent="0.2">
      <c r="X774" s="154">
        <f t="shared" si="214"/>
        <v>68.353655514699582</v>
      </c>
      <c r="Y774" s="154">
        <f t="shared" si="215"/>
        <v>69</v>
      </c>
      <c r="AA774" s="153">
        <f t="shared" si="216"/>
        <v>4.1809666260886127</v>
      </c>
      <c r="AB774" s="153">
        <f t="shared" si="217"/>
        <v>3.950349789406697</v>
      </c>
      <c r="AC774" s="153">
        <f t="shared" si="218"/>
        <v>6.6826395567004395</v>
      </c>
      <c r="AD774" s="153">
        <f t="shared" si="219"/>
        <v>6.3265256350022918</v>
      </c>
      <c r="AE774" s="153">
        <f t="shared" si="220"/>
        <v>5.6176760372677723</v>
      </c>
    </row>
    <row r="775" spans="23:31" x14ac:dyDescent="0.2">
      <c r="X775" s="154">
        <f t="shared" si="214"/>
        <v>74.010509764191966</v>
      </c>
      <c r="Y775" s="154">
        <f t="shared" si="215"/>
        <v>75</v>
      </c>
      <c r="AA775" s="153">
        <f t="shared" si="216"/>
        <v>3.5387701523214021</v>
      </c>
      <c r="AB775" s="153">
        <f t="shared" si="217"/>
        <v>3.3435760617538279</v>
      </c>
      <c r="AC775" s="153">
        <f t="shared" si="218"/>
        <v>5.6561861207912525</v>
      </c>
      <c r="AD775" s="153">
        <f t="shared" si="219"/>
        <v>5.3547712974659412</v>
      </c>
      <c r="AE775" s="153">
        <f t="shared" si="220"/>
        <v>4.754800997943442</v>
      </c>
    </row>
    <row r="776" spans="23:31" x14ac:dyDescent="0.2">
      <c r="X776" s="154">
        <f t="shared" si="214"/>
        <v>79.667364013684349</v>
      </c>
      <c r="Y776" s="154">
        <f t="shared" si="215"/>
        <v>80</v>
      </c>
      <c r="AA776" s="153">
        <f t="shared" si="216"/>
        <v>3.1102472041887319</v>
      </c>
      <c r="AB776" s="153">
        <f t="shared" si="217"/>
        <v>2.9386898980258254</v>
      </c>
      <c r="AC776" s="153">
        <f t="shared" si="218"/>
        <v>4.9712573327266867</v>
      </c>
      <c r="AD776" s="153">
        <f t="shared" si="219"/>
        <v>4.7063419606634245</v>
      </c>
      <c r="AE776" s="153">
        <f t="shared" si="220"/>
        <v>4.1790243145987285</v>
      </c>
    </row>
    <row r="777" spans="23:31" x14ac:dyDescent="0.2">
      <c r="X777" s="154">
        <f t="shared" si="214"/>
        <v>85.324218263176718</v>
      </c>
      <c r="Y777" s="154">
        <f t="shared" si="215"/>
        <v>86</v>
      </c>
      <c r="AA777" s="153">
        <f t="shared" si="216"/>
        <v>2.691398337859368</v>
      </c>
      <c r="AB777" s="153">
        <f t="shared" si="217"/>
        <v>2.5429442059715095</v>
      </c>
      <c r="AC777" s="153">
        <f t="shared" si="218"/>
        <v>4.3017910937602482</v>
      </c>
      <c r="AD777" s="153">
        <f t="shared" si="219"/>
        <v>4.0725511828347649</v>
      </c>
      <c r="AE777" s="153">
        <f t="shared" si="220"/>
        <v>3.616246026694411</v>
      </c>
    </row>
    <row r="778" spans="23:31" x14ac:dyDescent="0.2">
      <c r="X778" s="154">
        <f t="shared" si="214"/>
        <v>90.981072512669101</v>
      </c>
      <c r="Y778" s="154">
        <f t="shared" si="215"/>
        <v>91</v>
      </c>
      <c r="AA778" s="153">
        <f t="shared" si="216"/>
        <v>2.4037655001579381</v>
      </c>
      <c r="AB778" s="153">
        <f t="shared" si="217"/>
        <v>2.2711768321899872</v>
      </c>
      <c r="AC778" s="153">
        <f t="shared" si="218"/>
        <v>3.8420537289519139</v>
      </c>
      <c r="AD778" s="153">
        <f t="shared" si="219"/>
        <v>3.6373129511225595</v>
      </c>
      <c r="AE778" s="153">
        <f t="shared" si="220"/>
        <v>3.2297736521473088</v>
      </c>
    </row>
    <row r="780" spans="23:31" x14ac:dyDescent="0.2">
      <c r="W780" s="20" t="s">
        <v>153</v>
      </c>
    </row>
    <row r="781" spans="23:31" x14ac:dyDescent="0.2">
      <c r="W781" s="20" t="s">
        <v>150</v>
      </c>
      <c r="X781" s="154">
        <f t="shared" ref="X781:X793" si="221">G97</f>
        <v>25.410155838720065</v>
      </c>
      <c r="Y781" s="154">
        <f t="shared" ref="Y781:Y793" si="222">ROUNDUP(X781,0)</f>
        <v>26</v>
      </c>
      <c r="AA781" s="153">
        <f t="shared" ref="AA781:AA793" si="223">INDEX($AA$69:$AA$178, MATCH($Y781,$Z$69:$Z$178,0))</f>
        <v>14.992092262041464</v>
      </c>
      <c r="AB781" s="153">
        <f t="shared" ref="AB781:AB793" si="224">INDEX($AB$69:$AB$178, MATCH($Y781,$Z$69:$Z$178,0))</f>
        <v>14.839957122184531</v>
      </c>
      <c r="AC781" s="153">
        <f t="shared" ref="AC781:AC793" si="225">INDEX($AC$69:$AC$178, MATCH($Y781,$Z$69:$Z$178,0))</f>
        <v>16.097189070941937</v>
      </c>
      <c r="AD781" s="153">
        <f t="shared" ref="AD781:AD793" si="226">INDEX($AD$69:$AD$178, MATCH($Y781,$Z$69:$Z$178,0))</f>
        <v>15.981103116005883</v>
      </c>
      <c r="AE781" s="153">
        <f t="shared" ref="AE781:AE793" si="227">INDEX($AE$69:$AE$178, MATCH($Y781,$Z$69:$Z$178,0))</f>
        <v>15.717993082654715</v>
      </c>
    </row>
    <row r="782" spans="23:31" x14ac:dyDescent="0.2">
      <c r="X782" s="154">
        <f t="shared" si="221"/>
        <v>31.633051146161712</v>
      </c>
      <c r="Y782" s="154">
        <f t="shared" si="222"/>
        <v>32</v>
      </c>
      <c r="AA782" s="153">
        <f t="shared" si="223"/>
        <v>13.772018874960118</v>
      </c>
      <c r="AB782" s="153">
        <f t="shared" si="224"/>
        <v>13.584775625905435</v>
      </c>
      <c r="AC782" s="153">
        <f t="shared" si="225"/>
        <v>15.132138024376086</v>
      </c>
      <c r="AD782" s="153">
        <f t="shared" si="226"/>
        <v>14.98926300291633</v>
      </c>
      <c r="AE782" s="153">
        <f t="shared" si="227"/>
        <v>14.665435269561049</v>
      </c>
    </row>
    <row r="783" spans="23:31" x14ac:dyDescent="0.2">
      <c r="X783" s="154">
        <f t="shared" si="221"/>
        <v>37.855946453603366</v>
      </c>
      <c r="Y783" s="154">
        <f t="shared" si="222"/>
        <v>38</v>
      </c>
      <c r="AA783" s="153">
        <f t="shared" si="223"/>
        <v>12.551945487878777</v>
      </c>
      <c r="AB783" s="153">
        <f t="shared" si="224"/>
        <v>12.329594129626342</v>
      </c>
      <c r="AC783" s="153">
        <f t="shared" si="225"/>
        <v>14.167086977810241</v>
      </c>
      <c r="AD783" s="153">
        <f t="shared" si="226"/>
        <v>13.997422889826778</v>
      </c>
      <c r="AE783" s="153">
        <f t="shared" si="227"/>
        <v>13.612877456467382</v>
      </c>
    </row>
    <row r="784" spans="23:31" x14ac:dyDescent="0.2">
      <c r="X784" s="154">
        <f t="shared" si="221"/>
        <v>44.078841761045013</v>
      </c>
      <c r="Y784" s="154">
        <f t="shared" si="222"/>
        <v>45</v>
      </c>
      <c r="AA784" s="153">
        <f t="shared" si="223"/>
        <v>9.8299170897816737</v>
      </c>
      <c r="AB784" s="153">
        <f t="shared" si="224"/>
        <v>9.2877112826495214</v>
      </c>
      <c r="AC784" s="153">
        <f t="shared" si="225"/>
        <v>13.041194090150084</v>
      </c>
      <c r="AD784" s="153">
        <f t="shared" si="226"/>
        <v>12.840276091222302</v>
      </c>
      <c r="AE784" s="153">
        <f t="shared" si="227"/>
        <v>12.384893341191436</v>
      </c>
    </row>
    <row r="785" spans="23:31" x14ac:dyDescent="0.2">
      <c r="X785" s="154">
        <f t="shared" si="221"/>
        <v>50.301737068486652</v>
      </c>
      <c r="Y785" s="154">
        <f t="shared" si="222"/>
        <v>51</v>
      </c>
      <c r="AA785" s="153">
        <f t="shared" si="223"/>
        <v>7.6530496373732744</v>
      </c>
      <c r="AB785" s="153">
        <f t="shared" si="224"/>
        <v>7.2309170885679679</v>
      </c>
      <c r="AC785" s="153">
        <f t="shared" si="225"/>
        <v>12.076143043584239</v>
      </c>
      <c r="AD785" s="153">
        <f t="shared" si="226"/>
        <v>11.580387754035337</v>
      </c>
      <c r="AE785" s="153">
        <f t="shared" si="227"/>
        <v>10.282874130500522</v>
      </c>
    </row>
    <row r="786" spans="23:31" x14ac:dyDescent="0.2">
      <c r="X786" s="154">
        <f t="shared" si="221"/>
        <v>56.524632375928306</v>
      </c>
      <c r="Y786" s="154">
        <f t="shared" si="222"/>
        <v>57</v>
      </c>
      <c r="AA786" s="153">
        <f t="shared" si="223"/>
        <v>6.1266796265952248</v>
      </c>
      <c r="AB786" s="153">
        <f t="shared" si="224"/>
        <v>5.7887397191028889</v>
      </c>
      <c r="AC786" s="153">
        <f t="shared" si="225"/>
        <v>9.7925659985998159</v>
      </c>
      <c r="AD786" s="153">
        <f t="shared" si="226"/>
        <v>9.2707259305158249</v>
      </c>
      <c r="AE786" s="153">
        <f t="shared" si="227"/>
        <v>8.231996187575211</v>
      </c>
    </row>
    <row r="787" spans="23:31" x14ac:dyDescent="0.2">
      <c r="X787" s="154">
        <f t="shared" si="221"/>
        <v>62.747527683369952</v>
      </c>
      <c r="Y787" s="154">
        <f t="shared" si="222"/>
        <v>63</v>
      </c>
      <c r="AA787" s="153">
        <f t="shared" si="223"/>
        <v>5.0152638213171796</v>
      </c>
      <c r="AB787" s="153">
        <f t="shared" si="224"/>
        <v>4.7386282054334297</v>
      </c>
      <c r="AC787" s="153">
        <f t="shared" si="225"/>
        <v>8.016136792504609</v>
      </c>
      <c r="AD787" s="153">
        <f t="shared" si="226"/>
        <v>7.5889615893791698</v>
      </c>
      <c r="AE787" s="153">
        <f t="shared" si="227"/>
        <v>6.7386635458382118</v>
      </c>
    </row>
    <row r="788" spans="23:31" x14ac:dyDescent="0.2">
      <c r="X788" s="154">
        <f t="shared" si="221"/>
        <v>68.970422990811599</v>
      </c>
      <c r="Y788" s="154">
        <f t="shared" si="222"/>
        <v>69</v>
      </c>
      <c r="AA788" s="153">
        <f t="shared" si="223"/>
        <v>4.1809666260886127</v>
      </c>
      <c r="AB788" s="153">
        <f t="shared" si="224"/>
        <v>3.950349789406697</v>
      </c>
      <c r="AC788" s="153">
        <f t="shared" si="225"/>
        <v>6.6826395567004395</v>
      </c>
      <c r="AD788" s="153">
        <f t="shared" si="226"/>
        <v>6.3265256350022918</v>
      </c>
      <c r="AE788" s="153">
        <f t="shared" si="227"/>
        <v>5.6176760372677723</v>
      </c>
    </row>
    <row r="789" spans="23:31" x14ac:dyDescent="0.2">
      <c r="X789" s="154">
        <f t="shared" si="221"/>
        <v>75.193318298253246</v>
      </c>
      <c r="Y789" s="154">
        <f t="shared" si="222"/>
        <v>76</v>
      </c>
      <c r="AA789" s="153">
        <f t="shared" si="223"/>
        <v>3.4462572899598136</v>
      </c>
      <c r="AB789" s="153">
        <f t="shared" si="224"/>
        <v>3.2561660919953739</v>
      </c>
      <c r="AC789" s="153">
        <f t="shared" si="225"/>
        <v>5.5083183742123953</v>
      </c>
      <c r="AD789" s="153">
        <f t="shared" si="226"/>
        <v>5.2147833359151523</v>
      </c>
      <c r="AE789" s="153">
        <f t="shared" si="227"/>
        <v>4.6304978555110567</v>
      </c>
    </row>
    <row r="790" spans="23:31" x14ac:dyDescent="0.2">
      <c r="X790" s="154">
        <f t="shared" si="221"/>
        <v>81.416213605694892</v>
      </c>
      <c r="Y790" s="154">
        <f t="shared" si="222"/>
        <v>82</v>
      </c>
      <c r="AA790" s="153">
        <f t="shared" si="223"/>
        <v>2.9603780646650639</v>
      </c>
      <c r="AB790" s="153">
        <f t="shared" si="224"/>
        <v>2.7970873508871632</v>
      </c>
      <c r="AC790" s="153">
        <f t="shared" si="225"/>
        <v>4.7317142964679944</v>
      </c>
      <c r="AD790" s="153">
        <f t="shared" si="226"/>
        <v>4.4795640315654248</v>
      </c>
      <c r="AE790" s="153">
        <f t="shared" si="227"/>
        <v>3.9776555046745781</v>
      </c>
    </row>
    <row r="791" spans="23:31" x14ac:dyDescent="0.2">
      <c r="X791" s="154">
        <f t="shared" si="221"/>
        <v>87.639108913136553</v>
      </c>
      <c r="Y791" s="154">
        <f t="shared" si="222"/>
        <v>88</v>
      </c>
      <c r="AA791" s="153">
        <f t="shared" si="223"/>
        <v>2.5704522348667207</v>
      </c>
      <c r="AB791" s="153">
        <f t="shared" si="224"/>
        <v>2.4286693372114256</v>
      </c>
      <c r="AC791" s="153">
        <f t="shared" si="225"/>
        <v>4.1084771344848656</v>
      </c>
      <c r="AD791" s="153">
        <f t="shared" si="226"/>
        <v>3.8895388104656403</v>
      </c>
      <c r="AE791" s="153">
        <f t="shared" si="227"/>
        <v>3.453739102974156</v>
      </c>
    </row>
    <row r="792" spans="23:31" x14ac:dyDescent="0.2">
      <c r="X792" s="154">
        <f t="shared" si="221"/>
        <v>93.8620042205782</v>
      </c>
      <c r="Y792" s="154">
        <f t="shared" si="222"/>
        <v>94</v>
      </c>
      <c r="AA792" s="153">
        <f t="shared" si="223"/>
        <v>2.2527820401548082</v>
      </c>
      <c r="AB792" s="153">
        <f t="shared" si="224"/>
        <v>2.1285214290816303</v>
      </c>
      <c r="AC792" s="153">
        <f t="shared" si="225"/>
        <v>3.6007296208070163</v>
      </c>
      <c r="AD792" s="153">
        <f t="shared" si="226"/>
        <v>3.4088488624089992</v>
      </c>
      <c r="AE792" s="153">
        <f t="shared" si="227"/>
        <v>3.0269076067713736</v>
      </c>
    </row>
    <row r="793" spans="23:31" x14ac:dyDescent="0.2">
      <c r="X793" s="154">
        <f t="shared" si="221"/>
        <v>100.08489952801985</v>
      </c>
      <c r="Y793" s="154">
        <f t="shared" si="222"/>
        <v>101</v>
      </c>
      <c r="AA793" s="153">
        <f t="shared" si="223"/>
        <v>1.9513363500448866</v>
      </c>
      <c r="AB793" s="153">
        <f t="shared" si="224"/>
        <v>1.8437031023787163</v>
      </c>
      <c r="AC793" s="153">
        <f t="shared" si="225"/>
        <v>3.1189145112685805</v>
      </c>
      <c r="AD793" s="153">
        <f t="shared" si="226"/>
        <v>2.952709395965682</v>
      </c>
      <c r="AE793" s="153">
        <f t="shared" si="227"/>
        <v>2.6218758566250235</v>
      </c>
    </row>
    <row r="795" spans="23:31" x14ac:dyDescent="0.2">
      <c r="W795" s="20" t="s">
        <v>152</v>
      </c>
    </row>
    <row r="796" spans="23:31" x14ac:dyDescent="0.2">
      <c r="W796" s="20" t="s">
        <v>150</v>
      </c>
      <c r="X796" s="154">
        <f t="shared" ref="X796:X808" si="228">G115</f>
        <v>28.476297661811262</v>
      </c>
      <c r="Y796" s="154">
        <f t="shared" ref="Y796:Y808" si="229">ROUNDUP(X796,0)</f>
        <v>29</v>
      </c>
      <c r="AA796" s="153">
        <f t="shared" ref="AA796:AA808" si="230">INDEX($AA$69:$AA$178, MATCH($Y796,$Z$69:$Z$178,0))</f>
        <v>14.382055568500792</v>
      </c>
      <c r="AB796" s="153">
        <f t="shared" ref="AB796:AB808" si="231">INDEX($AB$69:$AB$178, MATCH($Y796,$Z$69:$Z$178,0))</f>
        <v>14.212366374044983</v>
      </c>
      <c r="AC796" s="153">
        <f t="shared" ref="AC796:AC808" si="232">INDEX($AC$69:$AC$178, MATCH($Y796,$Z$69:$Z$178,0))</f>
        <v>15.614663547659012</v>
      </c>
      <c r="AD796" s="153">
        <f t="shared" ref="AD796:AD808" si="233">INDEX($AD$69:$AD$178, MATCH($Y796,$Z$69:$Z$178,0))</f>
        <v>15.485183059461106</v>
      </c>
      <c r="AE796" s="153">
        <f t="shared" ref="AE796:AE808" si="234">INDEX($AE$69:$AE$178, MATCH($Y796,$Z$69:$Z$178,0))</f>
        <v>15.191714176107885</v>
      </c>
    </row>
    <row r="797" spans="23:31" x14ac:dyDescent="0.2">
      <c r="X797" s="154">
        <f t="shared" si="228"/>
        <v>35.450084844295652</v>
      </c>
      <c r="Y797" s="154">
        <f t="shared" si="229"/>
        <v>36</v>
      </c>
      <c r="AA797" s="153">
        <f t="shared" si="230"/>
        <v>12.958636616905892</v>
      </c>
      <c r="AB797" s="153">
        <f t="shared" si="231"/>
        <v>12.747987961719375</v>
      </c>
      <c r="AC797" s="153">
        <f t="shared" si="232"/>
        <v>14.48877065999886</v>
      </c>
      <c r="AD797" s="153">
        <f t="shared" si="233"/>
        <v>14.328036260856631</v>
      </c>
      <c r="AE797" s="153">
        <f t="shared" si="234"/>
        <v>13.963730060831937</v>
      </c>
    </row>
    <row r="798" spans="23:31" x14ac:dyDescent="0.2">
      <c r="X798" s="154">
        <f t="shared" si="228"/>
        <v>42.423872026780046</v>
      </c>
      <c r="Y798" s="154">
        <f t="shared" si="229"/>
        <v>43</v>
      </c>
      <c r="AA798" s="153">
        <f t="shared" si="230"/>
        <v>10.765593351437472</v>
      </c>
      <c r="AB798" s="153">
        <f t="shared" si="231"/>
        <v>10.171776823886038</v>
      </c>
      <c r="AC798" s="153">
        <f t="shared" si="232"/>
        <v>13.362877772338701</v>
      </c>
      <c r="AD798" s="153">
        <f t="shared" si="233"/>
        <v>13.17088946225215</v>
      </c>
      <c r="AE798" s="153">
        <f t="shared" si="234"/>
        <v>12.735745945555992</v>
      </c>
    </row>
    <row r="799" spans="23:31" x14ac:dyDescent="0.2">
      <c r="X799" s="154">
        <f t="shared" si="228"/>
        <v>49.39765920926444</v>
      </c>
      <c r="Y799" s="154">
        <f t="shared" si="229"/>
        <v>50</v>
      </c>
      <c r="AA799" s="153">
        <f t="shared" si="230"/>
        <v>7.9622328427231555</v>
      </c>
      <c r="AB799" s="153">
        <f t="shared" si="231"/>
        <v>7.5230461389461132</v>
      </c>
      <c r="AC799" s="153">
        <f t="shared" si="232"/>
        <v>12.236984884678545</v>
      </c>
      <c r="AD799" s="153">
        <f t="shared" si="233"/>
        <v>12.013742663647676</v>
      </c>
      <c r="AE799" s="153">
        <f t="shared" si="234"/>
        <v>10.698302245372746</v>
      </c>
    </row>
    <row r="800" spans="23:31" x14ac:dyDescent="0.2">
      <c r="X800" s="154">
        <f t="shared" si="228"/>
        <v>56.371446391748819</v>
      </c>
      <c r="Y800" s="154">
        <f t="shared" si="229"/>
        <v>57</v>
      </c>
      <c r="AA800" s="153">
        <f t="shared" si="230"/>
        <v>6.1266796265952248</v>
      </c>
      <c r="AB800" s="153">
        <f t="shared" si="231"/>
        <v>5.7887397191028889</v>
      </c>
      <c r="AC800" s="153">
        <f t="shared" si="232"/>
        <v>9.7925659985998159</v>
      </c>
      <c r="AD800" s="153">
        <f t="shared" si="233"/>
        <v>9.2707259305158249</v>
      </c>
      <c r="AE800" s="153">
        <f t="shared" si="234"/>
        <v>8.231996187575211</v>
      </c>
    </row>
    <row r="801" spans="23:31" x14ac:dyDescent="0.2">
      <c r="X801" s="154">
        <f t="shared" si="228"/>
        <v>63.345233574233212</v>
      </c>
      <c r="Y801" s="154">
        <f t="shared" si="229"/>
        <v>64</v>
      </c>
      <c r="AA801" s="153">
        <f t="shared" si="230"/>
        <v>4.8597612565448944</v>
      </c>
      <c r="AB801" s="153">
        <f t="shared" si="231"/>
        <v>4.5917029656653519</v>
      </c>
      <c r="AC801" s="153">
        <f t="shared" si="232"/>
        <v>7.7675895823854484</v>
      </c>
      <c r="AD801" s="153">
        <f t="shared" si="233"/>
        <v>7.3536593135366024</v>
      </c>
      <c r="AE801" s="153">
        <f t="shared" si="234"/>
        <v>6.5297254915605141</v>
      </c>
    </row>
    <row r="802" spans="23:31" x14ac:dyDescent="0.2">
      <c r="X802" s="154">
        <f t="shared" si="228"/>
        <v>70.319020756717606</v>
      </c>
      <c r="Y802" s="154">
        <f t="shared" si="229"/>
        <v>71</v>
      </c>
      <c r="AA802" s="153">
        <f t="shared" si="230"/>
        <v>3.9487367797674842</v>
      </c>
      <c r="AB802" s="153">
        <f t="shared" si="231"/>
        <v>3.7309294479994612</v>
      </c>
      <c r="AC802" s="153">
        <f t="shared" si="232"/>
        <v>6.3114554511903975</v>
      </c>
      <c r="AD802" s="153">
        <f t="shared" si="233"/>
        <v>5.9751217116139497</v>
      </c>
      <c r="AE802" s="153">
        <f t="shared" si="234"/>
        <v>5.305644835039053</v>
      </c>
    </row>
    <row r="803" spans="23:31" x14ac:dyDescent="0.2">
      <c r="X803" s="154">
        <f t="shared" si="228"/>
        <v>77.292807939201992</v>
      </c>
      <c r="Y803" s="154">
        <f t="shared" si="229"/>
        <v>78</v>
      </c>
      <c r="AA803" s="153">
        <f t="shared" si="230"/>
        <v>3.2717919307705268</v>
      </c>
      <c r="AB803" s="153">
        <f t="shared" si="231"/>
        <v>3.0913240215919275</v>
      </c>
      <c r="AC803" s="153">
        <f t="shared" si="232"/>
        <v>5.2294620199623276</v>
      </c>
      <c r="AD803" s="153">
        <f t="shared" si="233"/>
        <v>4.9507870723612619</v>
      </c>
      <c r="AE803" s="153">
        <f t="shared" si="234"/>
        <v>4.3960808043116142</v>
      </c>
    </row>
    <row r="804" spans="23:31" x14ac:dyDescent="0.2">
      <c r="X804" s="154">
        <f t="shared" si="228"/>
        <v>84.266595121686393</v>
      </c>
      <c r="Y804" s="154">
        <f t="shared" si="229"/>
        <v>85</v>
      </c>
      <c r="AA804" s="153">
        <f t="shared" si="230"/>
        <v>2.7550978694543784</v>
      </c>
      <c r="AB804" s="153">
        <f t="shared" si="231"/>
        <v>2.6031301518844678</v>
      </c>
      <c r="AC804" s="153">
        <f t="shared" si="232"/>
        <v>4.4036051113426709</v>
      </c>
      <c r="AD804" s="153">
        <f t="shared" si="233"/>
        <v>4.1689395914527232</v>
      </c>
      <c r="AE804" s="153">
        <f t="shared" si="234"/>
        <v>3.7018346869801886</v>
      </c>
    </row>
    <row r="805" spans="23:31" x14ac:dyDescent="0.2">
      <c r="X805" s="154">
        <f t="shared" si="228"/>
        <v>91.24038230417078</v>
      </c>
      <c r="Y805" s="154">
        <f t="shared" si="229"/>
        <v>92</v>
      </c>
      <c r="AA805" s="153">
        <f t="shared" si="230"/>
        <v>2.351793727174845</v>
      </c>
      <c r="AB805" s="153">
        <f t="shared" si="231"/>
        <v>2.2220717565412675</v>
      </c>
      <c r="AC805" s="153">
        <f t="shared" si="232"/>
        <v>3.758984750643998</v>
      </c>
      <c r="AD805" s="153">
        <f t="shared" si="233"/>
        <v>3.55867066968879</v>
      </c>
      <c r="AE805" s="153">
        <f t="shared" si="234"/>
        <v>3.1599427709631218</v>
      </c>
    </row>
    <row r="806" spans="23:31" x14ac:dyDescent="0.2">
      <c r="X806" s="154">
        <f t="shared" si="228"/>
        <v>98.214169486655166</v>
      </c>
      <c r="Y806" s="154">
        <f t="shared" si="229"/>
        <v>99</v>
      </c>
      <c r="AA806" s="153">
        <f t="shared" si="230"/>
        <v>2.0309746053267914</v>
      </c>
      <c r="AB806" s="153">
        <f t="shared" si="231"/>
        <v>1.9189486121176702</v>
      </c>
      <c r="AC806" s="153">
        <f t="shared" si="232"/>
        <v>3.2462041556423631</v>
      </c>
      <c r="AD806" s="153">
        <f t="shared" si="233"/>
        <v>3.0732158502444569</v>
      </c>
      <c r="AE806" s="153">
        <f t="shared" si="234"/>
        <v>2.7288802788931599</v>
      </c>
    </row>
    <row r="807" spans="23:31" x14ac:dyDescent="0.2">
      <c r="X807" s="154">
        <f t="shared" si="228"/>
        <v>105.18795666913957</v>
      </c>
      <c r="Y807" s="154">
        <f t="shared" si="229"/>
        <v>106</v>
      </c>
      <c r="AA807" s="153">
        <f t="shared" si="230"/>
        <v>1.7715897211470173</v>
      </c>
      <c r="AB807" s="153">
        <f t="shared" si="231"/>
        <v>1.6738710704312285</v>
      </c>
      <c r="AC807" s="153">
        <f t="shared" si="232"/>
        <v>2.8316168502537202</v>
      </c>
      <c r="AD807" s="153">
        <f t="shared" si="233"/>
        <v>2.6807216579072546</v>
      </c>
      <c r="AE807" s="153">
        <f t="shared" si="234"/>
        <v>2.3803627281445228</v>
      </c>
    </row>
    <row r="808" spans="23:31" x14ac:dyDescent="0.2">
      <c r="X808" s="154">
        <f t="shared" si="228"/>
        <v>112.16174385162395</v>
      </c>
      <c r="Y808" s="154">
        <f t="shared" si="229"/>
        <v>113</v>
      </c>
      <c r="AA808" s="153">
        <f t="shared" si="230"/>
        <v>1.5588990607571374</v>
      </c>
      <c r="AB808" s="153">
        <f t="shared" si="231"/>
        <v>1.4729121581459228</v>
      </c>
      <c r="AC808" s="153">
        <f t="shared" si="232"/>
        <v>2.4916631630864434</v>
      </c>
      <c r="AD808" s="153">
        <f t="shared" si="233"/>
        <v>2.3588839022825527</v>
      </c>
      <c r="AE808" s="153">
        <f t="shared" si="234"/>
        <v>2.0945849802985252</v>
      </c>
    </row>
    <row r="810" spans="23:31" x14ac:dyDescent="0.2">
      <c r="W810" s="20" t="s">
        <v>151</v>
      </c>
    </row>
    <row r="811" spans="23:31" x14ac:dyDescent="0.2">
      <c r="W811" s="20" t="s">
        <v>150</v>
      </c>
      <c r="X811" s="154">
        <f t="shared" ref="X811:X823" si="235">G133</f>
        <v>32.666666666666657</v>
      </c>
      <c r="Y811" s="154">
        <f t="shared" ref="Y811:Y822" si="236">ROUNDUP(X811,0)</f>
        <v>33</v>
      </c>
      <c r="AA811" s="153">
        <f t="shared" ref="AA811:AA822" si="237">INDEX($AA$69:$AA$178, MATCH($Y811,$Z$69:$Z$178,0))</f>
        <v>13.568673310446565</v>
      </c>
      <c r="AB811" s="153">
        <f t="shared" ref="AB811:AB822" si="238">INDEX($AB$69:$AB$178, MATCH($Y811,$Z$69:$Z$178,0))</f>
        <v>13.375578709858919</v>
      </c>
      <c r="AC811" s="153">
        <f t="shared" ref="AC811:AC822" si="239">INDEX($AC$69:$AC$178, MATCH($Y811,$Z$69:$Z$178,0))</f>
        <v>14.971296183281781</v>
      </c>
      <c r="AD811" s="153">
        <f t="shared" ref="AD811:AD822" si="240">INDEX($AD$69:$AD$178, MATCH($Y811,$Z$69:$Z$178,0))</f>
        <v>14.823956317401406</v>
      </c>
      <c r="AE811" s="153">
        <f t="shared" ref="AE811:AE822" si="241">INDEX($AE$69:$AE$178, MATCH($Y811,$Z$69:$Z$178,0))</f>
        <v>14.49000896737877</v>
      </c>
    </row>
    <row r="812" spans="23:31" x14ac:dyDescent="0.2">
      <c r="X812" s="154">
        <f t="shared" si="235"/>
        <v>40.666666666666657</v>
      </c>
      <c r="Y812" s="154">
        <f t="shared" si="236"/>
        <v>41</v>
      </c>
      <c r="AA812" s="153">
        <f t="shared" si="237"/>
        <v>11.841512258660256</v>
      </c>
      <c r="AB812" s="153">
        <f t="shared" si="238"/>
        <v>11.188349403548653</v>
      </c>
      <c r="AC812" s="153">
        <f t="shared" si="239"/>
        <v>13.684561454527319</v>
      </c>
      <c r="AD812" s="153">
        <f t="shared" si="240"/>
        <v>13.501502833282002</v>
      </c>
      <c r="AE812" s="153">
        <f t="shared" si="241"/>
        <v>13.086598549920549</v>
      </c>
    </row>
    <row r="813" spans="23:31" x14ac:dyDescent="0.2">
      <c r="X813" s="154">
        <f t="shared" si="235"/>
        <v>48.66666666666665</v>
      </c>
      <c r="Y813" s="154">
        <f t="shared" si="236"/>
        <v>49</v>
      </c>
      <c r="AA813" s="153">
        <f t="shared" si="237"/>
        <v>8.2905381536059508</v>
      </c>
      <c r="AB813" s="153">
        <f t="shared" si="238"/>
        <v>7.833242543675671</v>
      </c>
      <c r="AC813" s="153">
        <f t="shared" si="239"/>
        <v>12.397826725772854</v>
      </c>
      <c r="AD813" s="153">
        <f t="shared" si="240"/>
        <v>12.1790493491626</v>
      </c>
      <c r="AE813" s="153">
        <f t="shared" si="241"/>
        <v>11.139423412508062</v>
      </c>
    </row>
    <row r="814" spans="23:31" x14ac:dyDescent="0.2">
      <c r="X814" s="154">
        <f t="shared" si="235"/>
        <v>56.66666666666665</v>
      </c>
      <c r="Y814" s="154">
        <f t="shared" si="236"/>
        <v>57</v>
      </c>
      <c r="AA814" s="153">
        <f t="shared" si="237"/>
        <v>6.1266796265952248</v>
      </c>
      <c r="AB814" s="153">
        <f t="shared" si="238"/>
        <v>5.7887397191028889</v>
      </c>
      <c r="AC814" s="153">
        <f t="shared" si="239"/>
        <v>9.7925659985998159</v>
      </c>
      <c r="AD814" s="153">
        <f t="shared" si="240"/>
        <v>9.2707259305158249</v>
      </c>
      <c r="AE814" s="153">
        <f t="shared" si="241"/>
        <v>8.231996187575211</v>
      </c>
    </row>
    <row r="815" spans="23:31" x14ac:dyDescent="0.2">
      <c r="X815" s="154">
        <f t="shared" si="235"/>
        <v>64.666666666666643</v>
      </c>
      <c r="Y815" s="154">
        <f t="shared" si="236"/>
        <v>65</v>
      </c>
      <c r="AA815" s="153">
        <f t="shared" si="237"/>
        <v>4.7113803803095582</v>
      </c>
      <c r="AB815" s="153">
        <f t="shared" si="238"/>
        <v>4.4515065910923743</v>
      </c>
      <c r="AC815" s="153">
        <f t="shared" si="239"/>
        <v>7.5304253087457491</v>
      </c>
      <c r="AD815" s="153">
        <f t="shared" si="240"/>
        <v>7.1291333842002169</v>
      </c>
      <c r="AE815" s="153">
        <f t="shared" si="241"/>
        <v>6.330356358208725</v>
      </c>
    </row>
    <row r="816" spans="23:31" x14ac:dyDescent="0.2">
      <c r="X816" s="154">
        <f t="shared" si="235"/>
        <v>72.666666666666643</v>
      </c>
      <c r="Y816" s="154">
        <f t="shared" si="236"/>
        <v>73</v>
      </c>
      <c r="AA816" s="153">
        <f t="shared" si="237"/>
        <v>3.7353316019530665</v>
      </c>
      <c r="AB816" s="153">
        <f t="shared" si="238"/>
        <v>3.5292954301680024</v>
      </c>
      <c r="AC816" s="153">
        <f t="shared" si="239"/>
        <v>5.9703597165417124</v>
      </c>
      <c r="AD816" s="153">
        <f t="shared" si="240"/>
        <v>5.6522027675447397</v>
      </c>
      <c r="AE816" s="153">
        <f t="shared" si="241"/>
        <v>5.0189070394880577</v>
      </c>
    </row>
    <row r="817" spans="24:31" x14ac:dyDescent="0.2">
      <c r="X817" s="154">
        <f t="shared" si="235"/>
        <v>80.666666666666643</v>
      </c>
      <c r="Y817" s="154">
        <f t="shared" si="236"/>
        <v>81</v>
      </c>
      <c r="AA817" s="153">
        <f t="shared" si="237"/>
        <v>3.0339250277103926</v>
      </c>
      <c r="AB817" s="153">
        <f t="shared" si="238"/>
        <v>2.8665775563733091</v>
      </c>
      <c r="AC817" s="153">
        <f t="shared" si="239"/>
        <v>4.849267936206493</v>
      </c>
      <c r="AD817" s="153">
        <f t="shared" si="240"/>
        <v>4.5908533071552995</v>
      </c>
      <c r="AE817" s="153">
        <f t="shared" si="241"/>
        <v>4.0764754783465733</v>
      </c>
    </row>
    <row r="818" spans="24:31" x14ac:dyDescent="0.2">
      <c r="X818" s="154">
        <f t="shared" si="235"/>
        <v>88.666666666666643</v>
      </c>
      <c r="Y818" s="154">
        <f t="shared" si="236"/>
        <v>89</v>
      </c>
      <c r="AA818" s="153">
        <f t="shared" si="237"/>
        <v>2.5130137743729182</v>
      </c>
      <c r="AB818" s="153">
        <f t="shared" si="238"/>
        <v>2.3743991096282393</v>
      </c>
      <c r="AC818" s="153">
        <f t="shared" si="239"/>
        <v>4.0166704872428731</v>
      </c>
      <c r="AD818" s="153">
        <f t="shared" si="240"/>
        <v>3.8026244853233075</v>
      </c>
      <c r="AE818" s="153">
        <f t="shared" si="241"/>
        <v>3.3765630114167235</v>
      </c>
    </row>
    <row r="819" spans="24:31" x14ac:dyDescent="0.2">
      <c r="X819" s="154">
        <f t="shared" si="235"/>
        <v>96.666666666666629</v>
      </c>
      <c r="Y819" s="154">
        <f t="shared" si="236"/>
        <v>97</v>
      </c>
      <c r="AA819" s="153">
        <f t="shared" si="237"/>
        <v>2.1155895532796136</v>
      </c>
      <c r="AB819" s="153">
        <f t="shared" si="238"/>
        <v>1.9988963064475804</v>
      </c>
      <c r="AC819" s="153">
        <f t="shared" si="239"/>
        <v>3.3814482866883613</v>
      </c>
      <c r="AD819" s="153">
        <f t="shared" si="240"/>
        <v>3.201252901290883</v>
      </c>
      <c r="AE819" s="153">
        <f t="shared" si="241"/>
        <v>2.8425715393168098</v>
      </c>
    </row>
    <row r="820" spans="24:31" x14ac:dyDescent="0.2">
      <c r="X820" s="154">
        <f t="shared" si="235"/>
        <v>104.66666666666663</v>
      </c>
      <c r="Y820" s="154">
        <f t="shared" si="236"/>
        <v>105</v>
      </c>
      <c r="AA820" s="153">
        <f t="shared" si="237"/>
        <v>1.8054949756741845</v>
      </c>
      <c r="AB820" s="153">
        <f t="shared" si="238"/>
        <v>1.7059061539560347</v>
      </c>
      <c r="AC820" s="153">
        <f t="shared" si="239"/>
        <v>2.8858092453016595</v>
      </c>
      <c r="AD820" s="153">
        <f t="shared" si="240"/>
        <v>2.7320261721765005</v>
      </c>
      <c r="AE820" s="153">
        <f t="shared" si="241"/>
        <v>2.4259188765017567</v>
      </c>
    </row>
    <row r="821" spans="24:31" x14ac:dyDescent="0.2">
      <c r="X821" s="154">
        <f t="shared" si="235"/>
        <v>112.66666666666663</v>
      </c>
      <c r="Y821" s="154">
        <f t="shared" si="236"/>
        <v>113</v>
      </c>
      <c r="AA821" s="153">
        <f t="shared" si="237"/>
        <v>1.5588990607571374</v>
      </c>
      <c r="AB821" s="153">
        <f t="shared" si="238"/>
        <v>1.4729121581459228</v>
      </c>
      <c r="AC821" s="153">
        <f t="shared" si="239"/>
        <v>2.4916631630864434</v>
      </c>
      <c r="AD821" s="153">
        <f t="shared" si="240"/>
        <v>2.3588839022825527</v>
      </c>
      <c r="AE821" s="153">
        <f t="shared" si="241"/>
        <v>2.0945849802985252</v>
      </c>
    </row>
    <row r="822" spans="24:31" x14ac:dyDescent="0.2">
      <c r="X822" s="154">
        <f t="shared" si="235"/>
        <v>120.66666666666663</v>
      </c>
      <c r="Y822" s="154">
        <f t="shared" si="236"/>
        <v>121</v>
      </c>
      <c r="AA822" s="153">
        <f t="shared" si="237"/>
        <v>1.3595780415823981</v>
      </c>
      <c r="AB822" s="153">
        <f t="shared" si="238"/>
        <v>1.2845854345581096</v>
      </c>
      <c r="AC822" s="153">
        <f t="shared" si="239"/>
        <v>2.1730788149341436</v>
      </c>
      <c r="AD822" s="153">
        <f t="shared" si="240"/>
        <v>2.0572767261967022</v>
      </c>
      <c r="AE822" s="153">
        <f t="shared" si="241"/>
        <v>1.826771095787983</v>
      </c>
    </row>
    <row r="823" spans="24:31" x14ac:dyDescent="0.2">
      <c r="X823" s="154">
        <f t="shared" si="235"/>
        <v>128.66666666666663</v>
      </c>
      <c r="Y823" s="154">
        <f>ROUNDUP(X823,0)</f>
        <v>129</v>
      </c>
      <c r="AA823" s="153">
        <f>INDEX($AA$69:$AA$179, MATCH($Y823,$Z$69:$Z$179,0))</f>
        <v>1.1961770390486082</v>
      </c>
      <c r="AB823" s="153">
        <f>INDEX($AB$69:$AB$179, MATCH($Y823,$Z$69:$Z$179,0))</f>
        <v>1.1301974248762261</v>
      </c>
      <c r="AC823" s="153">
        <f>INDEX($AC$69:$AC$179, MATCH($Y823,$Z$69:$Z$179,0))</f>
        <v>1.9119071527823321</v>
      </c>
      <c r="AD823" s="153">
        <f>INDEX($AD$69:$AD$179, MATCH($Y823,$Z$69:$Z$179,0))</f>
        <v>1.8100227479265618</v>
      </c>
      <c r="AE823" s="153">
        <f>INDEX($AE$69:$AE$179, MATCH($Y823,$Z$69:$Z$179,0))</f>
        <v>1.607220456308627</v>
      </c>
    </row>
    <row r="824" spans="24:31" ht="13.5" thickBot="1" x14ac:dyDescent="0.25"/>
    <row r="825" spans="24:31" ht="13.5" thickBot="1" x14ac:dyDescent="0.25">
      <c r="X825" s="244">
        <f>F19</f>
        <v>73.499975510200002</v>
      </c>
      <c r="Y825" s="245">
        <f>ROUNDUP(X825,0)</f>
        <v>74</v>
      </c>
      <c r="Z825" s="242"/>
      <c r="AA825" s="242">
        <f>INDEX($AA$50:$AA$718, MATCH($Y825,$Z$50:$Z$718,0))</f>
        <v>3.6350588215500159</v>
      </c>
      <c r="AB825" s="242">
        <f>INDEX($AB$50:$AB$718, MATCH($Y825,$Z$50:$Z$718,0))</f>
        <v>3.4345535696430392</v>
      </c>
      <c r="AC825" s="242">
        <f>INDEX($AC$50:$AC$718,MATCH($Y825,$Z$50:$Z$718,0))</f>
        <v>5.8100889206447768</v>
      </c>
      <c r="AD825" s="242">
        <f>INDEX($AD$50:$AD$718, MATCH($Y825,$Z$50:$Z$718,0))</f>
        <v>5.5004727078608315</v>
      </c>
      <c r="AE825" s="243">
        <f>INDEX($AE$50:$AE$718,MATCH($Y825,$Z$50:$Z$718,0))</f>
        <v>4.8841774312329909</v>
      </c>
    </row>
  </sheetData>
  <mergeCells count="9">
    <mergeCell ref="B94:L94"/>
    <mergeCell ref="B112:L112"/>
    <mergeCell ref="B130:L130"/>
    <mergeCell ref="A6:L6"/>
    <mergeCell ref="A7:L7"/>
    <mergeCell ref="B22:L22"/>
    <mergeCell ref="B40:L40"/>
    <mergeCell ref="B58:L58"/>
    <mergeCell ref="B76:L76"/>
  </mergeCells>
  <pageMargins left="0.7" right="0.7" top="0.75" bottom="0.75" header="0.3" footer="0.3"/>
  <pageSetup paperSize="3" scale="72" fitToHeight="0" orientation="landscape" r:id="rId1"/>
  <headerFooter>
    <oddFooter>&amp;C&amp;9______________________________________________________________________________
160 SW 12TH AVENUE SUITE 106, DEERFIELD BEACH, FLORIDA 33442
PHONE: (954) 354-0660 – FAX: (954) 354-0443
ENGINEERINGEXPRESS.COM</oddFooter>
  </headerFooter>
  <rowBreaks count="3" manualBreakCount="3">
    <brk id="38" max="21" man="1"/>
    <brk id="74" max="21" man="1"/>
    <brk id="110" max="21" man="1"/>
  </rowBreaks>
  <colBreaks count="1" manualBreakCount="1">
    <brk id="23" max="34" man="1"/>
  </colBreaks>
  <customProperties>
    <customPr name="SSC_SHEET_GUID" r:id="rId2"/>
  </customPropertie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139</vt:i4>
      </vt:variant>
    </vt:vector>
  </HeadingPairs>
  <TitlesOfParts>
    <vt:vector size="148" baseType="lpstr">
      <vt:lpstr>HTML Frame</vt:lpstr>
      <vt:lpstr>Information</vt:lpstr>
      <vt:lpstr>Printable Page</vt:lpstr>
      <vt:lpstr>Control</vt:lpstr>
      <vt:lpstr>Loading</vt:lpstr>
      <vt:lpstr>SnowLoad</vt:lpstr>
      <vt:lpstr>S8  Gutter Loading_</vt:lpstr>
      <vt:lpstr>S12  Gutter Loading_</vt:lpstr>
      <vt:lpstr>Hanger Arm Tables (2)</vt:lpstr>
      <vt:lpstr>_AA</vt:lpstr>
      <vt:lpstr>_AH</vt:lpstr>
      <vt:lpstr>_AT</vt:lpstr>
      <vt:lpstr>_CH</vt:lpstr>
      <vt:lpstr>_GO</vt:lpstr>
      <vt:lpstr>_GT</vt:lpstr>
      <vt:lpstr>_KS</vt:lpstr>
      <vt:lpstr>_options1</vt:lpstr>
      <vt:lpstr>_options10</vt:lpstr>
      <vt:lpstr>_options11</vt:lpstr>
      <vt:lpstr>_options12</vt:lpstr>
      <vt:lpstr>_options13</vt:lpstr>
      <vt:lpstr>_options14</vt:lpstr>
      <vt:lpstr>_options15</vt:lpstr>
      <vt:lpstr>_options16</vt:lpstr>
      <vt:lpstr>_options17</vt:lpstr>
      <vt:lpstr>_options18</vt:lpstr>
      <vt:lpstr>_options19</vt:lpstr>
      <vt:lpstr>_options2</vt:lpstr>
      <vt:lpstr>_options20</vt:lpstr>
      <vt:lpstr>_options21</vt:lpstr>
      <vt:lpstr>_options22</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_options48</vt:lpstr>
      <vt:lpstr>_options49</vt:lpstr>
      <vt:lpstr>_options5</vt:lpstr>
      <vt:lpstr>_options50</vt:lpstr>
      <vt:lpstr>_options51</vt:lpstr>
      <vt:lpstr>_options52</vt:lpstr>
      <vt:lpstr>_options53</vt:lpstr>
      <vt:lpstr>_options54</vt:lpstr>
      <vt:lpstr>_options55</vt:lpstr>
      <vt:lpstr>_options56</vt:lpstr>
      <vt:lpstr>_options57</vt:lpstr>
      <vt:lpstr>_options58</vt:lpstr>
      <vt:lpstr>_options59</vt:lpstr>
      <vt:lpstr>_options6</vt:lpstr>
      <vt:lpstr>_options60</vt:lpstr>
      <vt:lpstr>_options61</vt:lpstr>
      <vt:lpstr>_options62</vt:lpstr>
      <vt:lpstr>_options63</vt:lpstr>
      <vt:lpstr>_options64</vt:lpstr>
      <vt:lpstr>_options65</vt:lpstr>
      <vt:lpstr>_options66</vt:lpstr>
      <vt:lpstr>_options67</vt:lpstr>
      <vt:lpstr>_options68</vt:lpstr>
      <vt:lpstr>_options69</vt:lpstr>
      <vt:lpstr>_options7</vt:lpstr>
      <vt:lpstr>_options70</vt:lpstr>
      <vt:lpstr>_options71</vt:lpstr>
      <vt:lpstr>_options72</vt:lpstr>
      <vt:lpstr>_options73</vt:lpstr>
      <vt:lpstr>_options74</vt:lpstr>
      <vt:lpstr>_options75</vt:lpstr>
      <vt:lpstr>_options8</vt:lpstr>
      <vt:lpstr>_options9</vt:lpstr>
      <vt:lpstr>_P</vt:lpstr>
      <vt:lpstr>BotCon</vt:lpstr>
      <vt:lpstr>SnowLoad!Ce</vt:lpstr>
      <vt:lpstr>SnowLoad!Ct</vt:lpstr>
      <vt:lpstr>'Printable Page'!Enclosure</vt:lpstr>
      <vt:lpstr>Exp</vt:lpstr>
      <vt:lpstr>'Printable Page'!Exposure</vt:lpstr>
      <vt:lpstr>h_MeanRoof</vt:lpstr>
      <vt:lpstr>HAS</vt:lpstr>
      <vt:lpstr>SnowLoad!hd</vt:lpstr>
      <vt:lpstr>SnowLoad!I</vt:lpstr>
      <vt:lpstr>InternalCode</vt:lpstr>
      <vt:lpstr>'Printable Page'!K_d</vt:lpstr>
      <vt:lpstr>'HTML Frame'!Master_Contractor_Address</vt:lpstr>
      <vt:lpstr>Information!Master_Contractor_Address</vt:lpstr>
      <vt:lpstr>'HTML Frame'!Master_Contractor_City</vt:lpstr>
      <vt:lpstr>Information!Master_Contractor_City</vt:lpstr>
      <vt:lpstr>'HTML Frame'!Master_Contractor_Name</vt:lpstr>
      <vt:lpstr>Information!Master_Contractor_Name</vt:lpstr>
      <vt:lpstr>'HTML Frame'!Master_Contractor_State</vt:lpstr>
      <vt:lpstr>Information!Master_Contractor_State</vt:lpstr>
      <vt:lpstr>'HTML Frame'!Master_Project_Address</vt:lpstr>
      <vt:lpstr>Information!Master_Project_Address</vt:lpstr>
      <vt:lpstr>'HTML Frame'!Master_Project_City</vt:lpstr>
      <vt:lpstr>Information!Master_Project_City</vt:lpstr>
      <vt:lpstr>'HTML Frame'!Master_Project_Name</vt:lpstr>
      <vt:lpstr>Information!Master_Project_Name</vt:lpstr>
      <vt:lpstr>'HTML Frame'!Master_Project_State</vt:lpstr>
      <vt:lpstr>Information!Master_Project_State</vt:lpstr>
      <vt:lpstr>'Printable Page'!MinBldgDim</vt:lpstr>
      <vt:lpstr>MRH</vt:lpstr>
      <vt:lpstr>SnowLoad!Pg</vt:lpstr>
      <vt:lpstr>'Hanger Arm Tables (2)'!Print_Area</vt:lpstr>
      <vt:lpstr>'HTML Frame'!Print_Area</vt:lpstr>
      <vt:lpstr>Information!Print_Area</vt:lpstr>
      <vt:lpstr>Loading!Print_Area</vt:lpstr>
      <vt:lpstr>'Printable Page'!Print_Area</vt:lpstr>
      <vt:lpstr>SnowLoad!Print_Area</vt:lpstr>
      <vt:lpstr>Risk</vt:lpstr>
      <vt:lpstr>'Printable Page'!Roofslope</vt:lpstr>
      <vt:lpstr>Rooftype</vt:lpstr>
      <vt:lpstr>Rxgh</vt:lpstr>
      <vt:lpstr>Rxgk</vt:lpstr>
      <vt:lpstr>Rxuh</vt:lpstr>
      <vt:lpstr>Rxuk</vt:lpstr>
      <vt:lpstr>Rygh</vt:lpstr>
      <vt:lpstr>Rygk</vt:lpstr>
      <vt:lpstr>Ryuh</vt:lpstr>
      <vt:lpstr>Ryuk</vt:lpstr>
      <vt:lpstr>SnowLoad!S</vt:lpstr>
      <vt:lpstr>Snow</vt:lpstr>
      <vt:lpstr>TopCon</vt:lpstr>
      <vt:lpstr>URL</vt:lpstr>
      <vt:lpstr>'Printable Page'!V_</vt:lpstr>
      <vt:lpstr>Vult</vt:lpstr>
      <vt:lpstr>SnowLoad!W</vt:lpstr>
      <vt:lpstr>'Printable Page'!z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Rubin</dc:creator>
  <cp:lastModifiedBy>Term User</cp:lastModifiedBy>
  <cp:lastPrinted>2018-11-13T20:29:39Z</cp:lastPrinted>
  <dcterms:created xsi:type="dcterms:W3CDTF">2011-08-26T14:25:47Z</dcterms:created>
  <dcterms:modified xsi:type="dcterms:W3CDTF">2018-12-20T19:04:05Z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633eac67-07be-4d0f-b89e-d359efd9dd79</vt:lpwstr>
  </property>
</Properties>
</file>