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hma\OneDrive - Helmut-Schmidt-Universität\07-2024-Lahmann\Versuche\Reaktiver Transport\"/>
    </mc:Choice>
  </mc:AlternateContent>
  <xr:revisionPtr revIDLastSave="0" documentId="13_ncr:1_{DE2BD0FB-9425-4188-B062-913B5147E016}" xr6:coauthVersionLast="47" xr6:coauthVersionMax="47" xr10:uidLastSave="{00000000-0000-0000-0000-000000000000}"/>
  <bookViews>
    <workbookView xWindow="-96" yWindow="-96" windowWidth="23232" windowHeight="12432" firstSheet="1" activeTab="1" xr2:uid="{F7E31F8C-2E05-4DEC-BC3F-2958B847EC3C}"/>
  </bookViews>
  <sheets>
    <sheet name="#1 Water chem. measured and fit" sheetId="1" r:id="rId1"/>
    <sheet name="#2 pH, temp. and carb." sheetId="2" r:id="rId2"/>
    <sheet name="#3 Flow rate and time_step" sheetId="7" r:id="rId3"/>
    <sheet name="#4 Rates precipitates" sheetId="5" r:id="rId4"/>
    <sheet name="#5 Rates cement hydr.&amp;pore sol." sheetId="8" r:id="rId5"/>
    <sheet name="#6 Reackive Surface Are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8" l="1"/>
  <c r="X29" i="8" l="1"/>
  <c r="J30" i="8" l="1"/>
  <c r="P28" i="8"/>
  <c r="V26" i="8" l="1"/>
  <c r="T23" i="8" l="1"/>
  <c r="U23" i="8" l="1"/>
  <c r="K30" i="8" l="1"/>
  <c r="Q30" i="8"/>
  <c r="W30" i="8"/>
  <c r="AC30" i="8"/>
  <c r="AI30" i="8"/>
  <c r="AB39" i="8" l="1"/>
  <c r="K26" i="8"/>
  <c r="AK29" i="8" l="1"/>
  <c r="AK28" i="8"/>
  <c r="AK26" i="8"/>
  <c r="AK25" i="8"/>
  <c r="AK24" i="8"/>
  <c r="AK23" i="8"/>
  <c r="AE29" i="8"/>
  <c r="AE28" i="8"/>
  <c r="AE26" i="8"/>
  <c r="AE25" i="8"/>
  <c r="AE24" i="8"/>
  <c r="AE23" i="8"/>
  <c r="Y29" i="8"/>
  <c r="Y28" i="8"/>
  <c r="Y26" i="8"/>
  <c r="Y25" i="8"/>
  <c r="S29" i="8"/>
  <c r="S28" i="8"/>
  <c r="S26" i="8"/>
  <c r="S25" i="8"/>
  <c r="S24" i="8"/>
  <c r="S23" i="8"/>
  <c r="M29" i="8"/>
  <c r="M28" i="8"/>
  <c r="M26" i="8"/>
  <c r="M25" i="8"/>
  <c r="M24" i="8"/>
  <c r="M23" i="8"/>
  <c r="AJ31" i="8" l="1"/>
  <c r="AJ30" i="8"/>
  <c r="AJ29" i="8"/>
  <c r="AJ28" i="8"/>
  <c r="AJ27" i="8"/>
  <c r="AJ26" i="8"/>
  <c r="AJ25" i="8"/>
  <c r="AJ24" i="8"/>
  <c r="AJ23" i="8"/>
  <c r="AD31" i="8"/>
  <c r="AD30" i="8"/>
  <c r="AD29" i="8"/>
  <c r="AD28" i="8"/>
  <c r="AD27" i="8"/>
  <c r="AD26" i="8"/>
  <c r="AD25" i="8"/>
  <c r="AD24" i="8"/>
  <c r="AD23" i="8"/>
  <c r="X31" i="8"/>
  <c r="X30" i="8"/>
  <c r="X28" i="8"/>
  <c r="X27" i="8"/>
  <c r="X26" i="8"/>
  <c r="X25" i="8"/>
  <c r="X24" i="8"/>
  <c r="X23" i="8"/>
  <c r="R29" i="8"/>
  <c r="R30" i="8"/>
  <c r="R31" i="8"/>
  <c r="R28" i="8"/>
  <c r="R27" i="8"/>
  <c r="R26" i="8"/>
  <c r="R25" i="8"/>
  <c r="R24" i="8"/>
  <c r="R23" i="8"/>
  <c r="L31" i="8"/>
  <c r="L30" i="8"/>
  <c r="L29" i="8"/>
  <c r="L28" i="8"/>
  <c r="L27" i="8"/>
  <c r="L26" i="8"/>
  <c r="L25" i="8"/>
  <c r="L24" i="8"/>
  <c r="L23" i="8"/>
  <c r="AI32" i="8" l="1"/>
  <c r="AI31" i="8"/>
  <c r="AI29" i="8"/>
  <c r="AI28" i="8"/>
  <c r="AI26" i="8"/>
  <c r="AI24" i="8"/>
  <c r="AI23" i="8"/>
  <c r="AC32" i="8"/>
  <c r="AC31" i="8"/>
  <c r="AC29" i="8"/>
  <c r="AC28" i="8"/>
  <c r="AC26" i="8"/>
  <c r="AC24" i="8"/>
  <c r="AC23" i="8"/>
  <c r="W32" i="8"/>
  <c r="W31" i="8"/>
  <c r="W29" i="8"/>
  <c r="W28" i="8"/>
  <c r="W26" i="8"/>
  <c r="W24" i="8"/>
  <c r="W23" i="8"/>
  <c r="Q32" i="8"/>
  <c r="Q31" i="8"/>
  <c r="Q29" i="8"/>
  <c r="Q28" i="8"/>
  <c r="Q26" i="8"/>
  <c r="Q24" i="8"/>
  <c r="Q23" i="8"/>
  <c r="K32" i="8"/>
  <c r="K31" i="8"/>
  <c r="K29" i="8"/>
  <c r="K28" i="8"/>
  <c r="K24" i="8"/>
  <c r="K23" i="8"/>
  <c r="AH31" i="8" l="1"/>
  <c r="AH30" i="8"/>
  <c r="AH29" i="8"/>
  <c r="AH28" i="8"/>
  <c r="AH26" i="8"/>
  <c r="AH24" i="8"/>
  <c r="AH23" i="8"/>
  <c r="AB31" i="8"/>
  <c r="AB30" i="8"/>
  <c r="AB29" i="8"/>
  <c r="AB28" i="8"/>
  <c r="AB26" i="8"/>
  <c r="AB24" i="8"/>
  <c r="AB23" i="8"/>
  <c r="V32" i="8"/>
  <c r="V30" i="8"/>
  <c r="V29" i="8"/>
  <c r="P32" i="8"/>
  <c r="P31" i="8"/>
  <c r="P30" i="8"/>
  <c r="P29" i="8"/>
  <c r="P26" i="8"/>
  <c r="P24" i="8"/>
  <c r="P23" i="8"/>
  <c r="J31" i="8"/>
  <c r="J29" i="8"/>
  <c r="J28" i="8"/>
  <c r="J26" i="8"/>
  <c r="J24" i="8"/>
  <c r="J23" i="8"/>
  <c r="V24" i="8"/>
  <c r="AG32" i="8" l="1"/>
  <c r="AG31" i="8"/>
  <c r="AG30" i="8"/>
  <c r="AG29" i="8"/>
  <c r="AG28" i="8"/>
  <c r="AG26" i="8"/>
  <c r="AG24" i="8"/>
  <c r="AG23" i="8"/>
  <c r="AA32" i="8"/>
  <c r="AA31" i="8"/>
  <c r="AA30" i="8"/>
  <c r="AA29" i="8"/>
  <c r="AA28" i="8"/>
  <c r="AA26" i="8"/>
  <c r="AA24" i="8"/>
  <c r="AA23" i="8"/>
  <c r="U30" i="8"/>
  <c r="U29" i="8"/>
  <c r="U28" i="8"/>
  <c r="O32" i="8"/>
  <c r="O31" i="8"/>
  <c r="O30" i="8"/>
  <c r="O29" i="8"/>
  <c r="O28" i="8"/>
  <c r="O26" i="8"/>
  <c r="O24" i="8"/>
  <c r="O23" i="8"/>
  <c r="I32" i="8"/>
  <c r="I31" i="8"/>
  <c r="I30" i="8"/>
  <c r="I29" i="8"/>
  <c r="I28" i="8"/>
  <c r="I26" i="8"/>
  <c r="I24" i="8"/>
  <c r="I23" i="8"/>
  <c r="H26" i="8"/>
  <c r="H24" i="8"/>
  <c r="H23" i="8"/>
  <c r="AF24" i="8" l="1"/>
  <c r="AF26" i="8"/>
  <c r="AF28" i="8"/>
  <c r="AF30" i="8"/>
  <c r="Z30" i="8"/>
  <c r="Z28" i="8"/>
  <c r="Z26" i="8"/>
  <c r="Z24" i="8"/>
  <c r="T30" i="8"/>
  <c r="T28" i="8"/>
  <c r="N32" i="8"/>
  <c r="N31" i="8"/>
  <c r="N30" i="8"/>
  <c r="N29" i="8"/>
  <c r="N28" i="8"/>
  <c r="N26" i="8"/>
  <c r="N24" i="8"/>
  <c r="H32" i="8"/>
  <c r="H31" i="8"/>
  <c r="H30" i="8"/>
  <c r="H29" i="8"/>
  <c r="H28" i="8"/>
  <c r="AF23" i="8"/>
  <c r="Z23" i="8"/>
  <c r="N23" i="8"/>
</calcChain>
</file>

<file path=xl/sharedStrings.xml><?xml version="1.0" encoding="utf-8"?>
<sst xmlns="http://schemas.openxmlformats.org/spreadsheetml/2006/main" count="1342" uniqueCount="652">
  <si>
    <t>Sample [day]</t>
  </si>
  <si>
    <t>Ca (mg/L)</t>
  </si>
  <si>
    <t>Mg (mg/L)</t>
  </si>
  <si>
    <t>K (mg/L)</t>
  </si>
  <si>
    <t>Na (mg/L)</t>
  </si>
  <si>
    <t>S1 [0]</t>
  </si>
  <si>
    <t>47.67 ± 0.43</t>
  </si>
  <si>
    <t>40.95 ± 0.20</t>
  </si>
  <si>
    <t>5.31 ± 0.00</t>
  </si>
  <si>
    <t>4.92 ± 0.02</t>
  </si>
  <si>
    <t>1.73 ± 0.03</t>
  </si>
  <si>
    <t>3.05 ± 0.03</t>
  </si>
  <si>
    <t>11.78 ± 0.04</t>
  </si>
  <si>
    <t>12.65 ± 0.03</t>
  </si>
  <si>
    <t>S2 [0]</t>
  </si>
  <si>
    <t>45.39 ± 0.11</t>
  </si>
  <si>
    <t xml:space="preserve">5.06 ± 0.10 </t>
  </si>
  <si>
    <t>2.63 ± 0.02</t>
  </si>
  <si>
    <t xml:space="preserve">12.25 ± 0.05 </t>
  </si>
  <si>
    <t>S3 [0]</t>
  </si>
  <si>
    <t>46.72 ± 0.17</t>
  </si>
  <si>
    <t>45.28 ± 0.23</t>
  </si>
  <si>
    <t>5.48 ± 0.03</t>
  </si>
  <si>
    <t>5.41 ± 0.25</t>
  </si>
  <si>
    <t>1.68 ± 0.02</t>
  </si>
  <si>
    <t>2.19 ± 0.00</t>
  </si>
  <si>
    <t>11.69 ± 0.10</t>
  </si>
  <si>
    <t>12.43 ± 0.06</t>
  </si>
  <si>
    <t>S4 [0]</t>
  </si>
  <si>
    <t>57.10 ± 0.35</t>
  </si>
  <si>
    <t>2.26 ± 0.02</t>
  </si>
  <si>
    <t>7.44 ± 0.10</t>
  </si>
  <si>
    <t>16.14 ± 0.16</t>
  </si>
  <si>
    <t>S5 [0]</t>
  </si>
  <si>
    <t>48.09 ± 0.62</t>
  </si>
  <si>
    <t>31.68 ± 0.08</t>
  </si>
  <si>
    <t>5.26 ± 0.02</t>
  </si>
  <si>
    <t>4.41 ± 0.04</t>
  </si>
  <si>
    <t>1.77 ± 0.00</t>
  </si>
  <si>
    <t>5.18 ± 0.21</t>
  </si>
  <si>
    <t>11.29 ± 0.11</t>
  </si>
  <si>
    <t>13.91 ± 0.09</t>
  </si>
  <si>
    <t>S6 [0]</t>
  </si>
  <si>
    <t>0.05 ± 0.03</t>
  </si>
  <si>
    <t>56.36 ± 0.84</t>
  </si>
  <si>
    <t>56.53 ± 0.34</t>
  </si>
  <si>
    <t>S1 [1]</t>
  </si>
  <si>
    <t>46.15 ± 0.28</t>
  </si>
  <si>
    <t>46.04 ± 0.08</t>
  </si>
  <si>
    <t>5.40 ± 0.08</t>
  </si>
  <si>
    <t>5.31 ± 0.02</t>
  </si>
  <si>
    <t>1.69 ± 0.02</t>
  </si>
  <si>
    <t>2.03 ± 0.02</t>
  </si>
  <si>
    <t>12.09 ± 0.17</t>
  </si>
  <si>
    <t>12.45 ± 0.05</t>
  </si>
  <si>
    <t>S2 [1]</t>
  </si>
  <si>
    <t>45.12 ± 0.28</t>
  </si>
  <si>
    <t>5.24 ± 0.04</t>
  </si>
  <si>
    <t>1.82 ± 0.03</t>
  </si>
  <si>
    <t>12.36 ± 0.00</t>
  </si>
  <si>
    <t>S3 [1]</t>
  </si>
  <si>
    <t>46.70 ± 0.11</t>
  </si>
  <si>
    <t>47.86 ± 0.49</t>
  </si>
  <si>
    <t>5.78 ± 0.08</t>
  </si>
  <si>
    <t>5.67 ± 0.04</t>
  </si>
  <si>
    <t>1.64 ± 0.01</t>
  </si>
  <si>
    <t>1.90 ± 0.03</t>
  </si>
  <si>
    <t>12.14 ± 0.03</t>
  </si>
  <si>
    <t>11.96 ± 0.06</t>
  </si>
  <si>
    <t>S4 [1]</t>
  </si>
  <si>
    <t>28.61 ± 0.12</t>
  </si>
  <si>
    <t>4.83 ± 0.06</t>
  </si>
  <si>
    <t>4.95 ± 0.05</t>
  </si>
  <si>
    <t>14.42 ± 0.12</t>
  </si>
  <si>
    <t>S5 [1]</t>
  </si>
  <si>
    <t>49.68 ± 0.28</t>
  </si>
  <si>
    <t>47.42 ± 0.58</t>
  </si>
  <si>
    <t>5.68 ± 0.06</t>
  </si>
  <si>
    <t>5.48 ± 0.06</t>
  </si>
  <si>
    <t>1.87 ± 0.01</t>
  </si>
  <si>
    <t>2.97 ± 0.02</t>
  </si>
  <si>
    <t>12.31 ± 0.01</t>
  </si>
  <si>
    <t>13.30 ± 0.15</t>
  </si>
  <si>
    <t>S6 [1]</t>
  </si>
  <si>
    <t>0.04 ± 0.03</t>
  </si>
  <si>
    <t>70.20 ± 1.08</t>
  </si>
  <si>
    <t>66.55 ± 0.17</t>
  </si>
  <si>
    <t>S5 [2]</t>
  </si>
  <si>
    <t>50.58 ± 0.54</t>
  </si>
  <si>
    <t>48.64 ± 0.03</t>
  </si>
  <si>
    <t>5.85 ± 0.09</t>
  </si>
  <si>
    <t>5.70 ± 0.02</t>
  </si>
  <si>
    <t>2.01 ± 0.04</t>
  </si>
  <si>
    <t>3.06 ± 0.06</t>
  </si>
  <si>
    <t>12.89 ± 0.13</t>
  </si>
  <si>
    <t>13.69 ± 0.02</t>
  </si>
  <si>
    <t>S6 [2]</t>
  </si>
  <si>
    <t>0.01 ± 0.00</t>
  </si>
  <si>
    <t>81.32 ± 1.67</t>
  </si>
  <si>
    <t>76.65 ± 0.32</t>
  </si>
  <si>
    <t>S1 [3]</t>
  </si>
  <si>
    <t>48.71 ± 0.31</t>
  </si>
  <si>
    <t>46.49 ± 0.39</t>
  </si>
  <si>
    <t>5.25 ± 0.02</t>
  </si>
  <si>
    <t>5.22 ± 0.06</t>
  </si>
  <si>
    <t>1.63 ± 0.01</t>
  </si>
  <si>
    <t>1.99 ± 0.02</t>
  </si>
  <si>
    <t>11.93 ± 0.03</t>
  </si>
  <si>
    <t>12.40 ± 0.00</t>
  </si>
  <si>
    <t>S2 [3]</t>
  </si>
  <si>
    <t>48.53 ± 0.47</t>
  </si>
  <si>
    <t>5.19 ± 0.11</t>
  </si>
  <si>
    <t>1.77 ± 0.02</t>
  </si>
  <si>
    <t>12.05 ± 0.00</t>
  </si>
  <si>
    <t>S3 [3]</t>
  </si>
  <si>
    <t>49.95 ± 0.65</t>
  </si>
  <si>
    <t>49.79 ± 0.28</t>
  </si>
  <si>
    <t>5.46 ± 0.08</t>
  </si>
  <si>
    <t>1.66 ± 0.03</t>
  </si>
  <si>
    <t>1.78 ± 0.01</t>
  </si>
  <si>
    <t>11.68 ± 0.17</t>
  </si>
  <si>
    <t>11.69 ± 0.05</t>
  </si>
  <si>
    <t>S4 [3]</t>
  </si>
  <si>
    <t>21.51 ± 0.14</t>
  </si>
  <si>
    <t>4.22 ± 0.04</t>
  </si>
  <si>
    <t>6.65 ± 0.04</t>
  </si>
  <si>
    <t>15.04 ± 0.11</t>
  </si>
  <si>
    <t>S5 [3]</t>
  </si>
  <si>
    <t>48.08 ± 0.44</t>
  </si>
  <si>
    <t>46.08 ± 0.21</t>
  </si>
  <si>
    <t>5.83 ± 0.07</t>
  </si>
  <si>
    <t>5.61 ± 0.08</t>
  </si>
  <si>
    <t>2.10 ± 0.00</t>
  </si>
  <si>
    <t>3.32 ± 0.03</t>
  </si>
  <si>
    <t>13.67 ± 0.10</t>
  </si>
  <si>
    <t>14.48 ± 0.06</t>
  </si>
  <si>
    <t>S6 [3]</t>
  </si>
  <si>
    <t>0.02 ± 0.00</t>
  </si>
  <si>
    <t>122.74 ± 0.73</t>
  </si>
  <si>
    <t>109.78 ± 1.21</t>
  </si>
  <si>
    <t>S5 [4]</t>
  </si>
  <si>
    <t>50.00 ± 0.38</t>
  </si>
  <si>
    <t>49.64 ± 0.18</t>
  </si>
  <si>
    <t>6.24 ± 0.01</t>
  </si>
  <si>
    <t>6.05 ± 0.04</t>
  </si>
  <si>
    <t>2.21 ± 0.02</t>
  </si>
  <si>
    <t>3.51 ± 0.02</t>
  </si>
  <si>
    <t>13.42 ± 0.16</t>
  </si>
  <si>
    <t>14.40 ± 0.09</t>
  </si>
  <si>
    <t>S1 [7]</t>
  </si>
  <si>
    <t>61.63 ± 0.07</t>
  </si>
  <si>
    <t>59.19 ± 1.35</t>
  </si>
  <si>
    <t>7.08 ± 0.06</t>
  </si>
  <si>
    <t>6.99 ± 0.05</t>
  </si>
  <si>
    <t xml:space="preserve">1.86 ± 0.02 </t>
  </si>
  <si>
    <t>2.16 ± 0.00</t>
  </si>
  <si>
    <t>13.85 ± 0.01</t>
  </si>
  <si>
    <t>13.73 ± 0.09</t>
  </si>
  <si>
    <t>S2 [7]</t>
  </si>
  <si>
    <t>61.87 ± 0.66</t>
  </si>
  <si>
    <t>7.06 ± 0.01</t>
  </si>
  <si>
    <t>1.95 ± 0.01</t>
  </si>
  <si>
    <t>13.92 ± 0.10</t>
  </si>
  <si>
    <t>S3 [7]</t>
  </si>
  <si>
    <t>49.65 ± 0.49</t>
  </si>
  <si>
    <t>49.15 ± 1.19</t>
  </si>
  <si>
    <t>5.34 ± 0.10</t>
  </si>
  <si>
    <t>5.45 ± 0.14</t>
  </si>
  <si>
    <t>1.67 ± 0.01</t>
  </si>
  <si>
    <t>1.81 ± 0.02</t>
  </si>
  <si>
    <t>11.46 ± 0.17</t>
  </si>
  <si>
    <t>11.74 ± 0.26</t>
  </si>
  <si>
    <t>S4 [7]</t>
  </si>
  <si>
    <t>36.67 ± 0.79</t>
  </si>
  <si>
    <t>4.94 ± 0.10</t>
  </si>
  <si>
    <t>4.92 ± 0.03</t>
  </si>
  <si>
    <t>14.09 ± 0.26</t>
  </si>
  <si>
    <t>S5 [7]</t>
  </si>
  <si>
    <t>51.58 ± 0.26</t>
  </si>
  <si>
    <t>2.28 ± 0.03</t>
  </si>
  <si>
    <t>13.78 ± 0.11</t>
  </si>
  <si>
    <t>14.65 ± 0.19</t>
  </si>
  <si>
    <t>S6 [7]</t>
  </si>
  <si>
    <t>224.98 ± 1.06</t>
  </si>
  <si>
    <t>106.97 ± 1.33</t>
  </si>
  <si>
    <t>98.15 ± 0.03</t>
  </si>
  <si>
    <t>S1 [14]</t>
  </si>
  <si>
    <t>58.81 ± 0.37</t>
  </si>
  <si>
    <t>58.00 ± 0.82</t>
  </si>
  <si>
    <t>6.44 ± 0.01</t>
  </si>
  <si>
    <t>6.26 ± 0.03</t>
  </si>
  <si>
    <t>1.75 ± 0.03</t>
  </si>
  <si>
    <t>2.09 ± 0.01</t>
  </si>
  <si>
    <t>12.77 ± 0.01</t>
  </si>
  <si>
    <t>12.94 ± 0.04</t>
  </si>
  <si>
    <t>S2 [14]</t>
  </si>
  <si>
    <t>58.23 ± 1.06</t>
  </si>
  <si>
    <t>6.39 ± 0.06</t>
  </si>
  <si>
    <t>13.00 ± 0.07</t>
  </si>
  <si>
    <t>S3 [14]</t>
  </si>
  <si>
    <t>46.86 ± 0.56</t>
  </si>
  <si>
    <t>46.75 ± 0.46</t>
  </si>
  <si>
    <t>5.35 ± 0.11</t>
  </si>
  <si>
    <t>5.34 ± 0.03</t>
  </si>
  <si>
    <t>1.69 ± 0.01</t>
  </si>
  <si>
    <t>11.52 ± 0.35</t>
  </si>
  <si>
    <t>11.52 ± 0.11</t>
  </si>
  <si>
    <t>S4 [14]</t>
  </si>
  <si>
    <t>27.55 ± 0.24</t>
  </si>
  <si>
    <t>4.54 ± 0.01</t>
  </si>
  <si>
    <t>7.81 ± 0.13</t>
  </si>
  <si>
    <t>16.13 ± 0.03</t>
  </si>
  <si>
    <t>S5 [14]</t>
  </si>
  <si>
    <t>50.62 ± 0.93</t>
  </si>
  <si>
    <t>47.08 ± 0.26</t>
  </si>
  <si>
    <t>5.42 ± 0.02</t>
  </si>
  <si>
    <t>5.19 ± 0.00</t>
  </si>
  <si>
    <t>1.63 ± 0.05</t>
  </si>
  <si>
    <t>2.96 ± 0.01</t>
  </si>
  <si>
    <t>10.87 ± 0.24</t>
  </si>
  <si>
    <t>12.06 ± 0.09</t>
  </si>
  <si>
    <t>S6 [14]</t>
  </si>
  <si>
    <t>27.56 ± 0.03</t>
  </si>
  <si>
    <t>0.00 ± 0.00</t>
  </si>
  <si>
    <t>166.41 ± 0.46</t>
  </si>
  <si>
    <t>S1 [21]</t>
  </si>
  <si>
    <t>48.51 ± 0.05</t>
  </si>
  <si>
    <t>48.06 ± 0.15</t>
  </si>
  <si>
    <t>5.28 ± 0.05</t>
  </si>
  <si>
    <t>5.26 ± 0.01</t>
  </si>
  <si>
    <t>1.63 ± 0.02</t>
  </si>
  <si>
    <t>1.82 ± 0.01</t>
  </si>
  <si>
    <t>12.52 ± 0.06</t>
  </si>
  <si>
    <t>12.58 ± 0.15</t>
  </si>
  <si>
    <t>S2 [21]</t>
  </si>
  <si>
    <t>48.85 ± 1.19</t>
  </si>
  <si>
    <t>5.28 ± 0.06</t>
  </si>
  <si>
    <t>1.71 ± 0.04</t>
  </si>
  <si>
    <t>12.56 ± 0.96</t>
  </si>
  <si>
    <t>S3 [21]</t>
  </si>
  <si>
    <t>49.00 ± 0.44</t>
  </si>
  <si>
    <t>49.43 ± 0.36</t>
  </si>
  <si>
    <t>6.55 ± 0.15</t>
  </si>
  <si>
    <t>6.56 ± 0.04</t>
  </si>
  <si>
    <t>1.81 ± 0.05</t>
  </si>
  <si>
    <t>13.82 ± 0.24</t>
  </si>
  <si>
    <t>13.98 ± 0.21</t>
  </si>
  <si>
    <t>S4 [21]</t>
  </si>
  <si>
    <t>38.40 ± 0.09</t>
  </si>
  <si>
    <t>5.96 ± 0.14</t>
  </si>
  <si>
    <t>4.49 ± 0.02</t>
  </si>
  <si>
    <t>15.99 ± 0.18</t>
  </si>
  <si>
    <t>S5 [21]</t>
  </si>
  <si>
    <t>50.88 ± 0.36</t>
  </si>
  <si>
    <t>30.60 ± 0.18</t>
  </si>
  <si>
    <t>6.02 ± 0.02</t>
  </si>
  <si>
    <t>4.92 ± 0.06</t>
  </si>
  <si>
    <t>1.80 ± 0.03</t>
  </si>
  <si>
    <t>7.18 ± 0.06</t>
  </si>
  <si>
    <t>12.69 ± 0.28</t>
  </si>
  <si>
    <t>16.79 ± 0.24</t>
  </si>
  <si>
    <t>S6 [21]</t>
  </si>
  <si>
    <t>0.06 ± 0.01</t>
  </si>
  <si>
    <t>-</t>
  </si>
  <si>
    <t>249.89 ± 4.92</t>
  </si>
  <si>
    <t>212.68 ± 2.46</t>
  </si>
  <si>
    <t>S1 [28]</t>
  </si>
  <si>
    <t>46.39 ± 0.09</t>
  </si>
  <si>
    <t>46.01 ± 0.12</t>
  </si>
  <si>
    <t>5.48 ± 0.02</t>
  </si>
  <si>
    <t>5.56 ± 0.07</t>
  </si>
  <si>
    <t>1.62 ± 0.02</t>
  </si>
  <si>
    <t>1.71 ± 0.02</t>
  </si>
  <si>
    <t>12.06 ± 0.01</t>
  </si>
  <si>
    <t>12.20 ± 0.10</t>
  </si>
  <si>
    <t>S2 [28]</t>
  </si>
  <si>
    <t>46.49 ± 0.41</t>
  </si>
  <si>
    <t>5.50 ± 0.06</t>
  </si>
  <si>
    <t>1.66 ± 0.01</t>
  </si>
  <si>
    <t>12.22 ± 0.03</t>
  </si>
  <si>
    <t>S3 [28]</t>
  </si>
  <si>
    <t>47.27 ± 0.67</t>
  </si>
  <si>
    <t>47.13 ± 0.02</t>
  </si>
  <si>
    <t>5.53 ± 0.02</t>
  </si>
  <si>
    <t>5.50 ± 0.03</t>
  </si>
  <si>
    <t>1.67 ± 0.02</t>
  </si>
  <si>
    <t>1.70 ± 0.02</t>
  </si>
  <si>
    <t>12.09 ± 0.25</t>
  </si>
  <si>
    <t>S4 [28]</t>
  </si>
  <si>
    <t>37.21 ± 0.49</t>
  </si>
  <si>
    <t>4.77 ± 0.02</t>
  </si>
  <si>
    <t>3.50 ± 0.07</t>
  </si>
  <si>
    <t>13.45 ± 0.08</t>
  </si>
  <si>
    <t>S5 [28]</t>
  </si>
  <si>
    <t>52.71 ± 1.39</t>
  </si>
  <si>
    <t>6.08 ± 0.10</t>
  </si>
  <si>
    <t>4.22 ± 0.06</t>
  </si>
  <si>
    <t>7.02 ± 0.01</t>
  </si>
  <si>
    <t xml:space="preserve">13.27 ± 0.62 </t>
  </si>
  <si>
    <t>20.26 ± 0.35</t>
  </si>
  <si>
    <t>S6 [28]</t>
  </si>
  <si>
    <t>S1 [35]</t>
  </si>
  <si>
    <t>46.11 ± 0.39</t>
  </si>
  <si>
    <t>45.51 ± 0.05</t>
  </si>
  <si>
    <t>4.97 ± 0.04</t>
  </si>
  <si>
    <t>4.93 ± 0.01</t>
  </si>
  <si>
    <t>1.60 ± 0.02</t>
  </si>
  <si>
    <t>10.81 ± 0.02</t>
  </si>
  <si>
    <t>10.94 ± 0.01</t>
  </si>
  <si>
    <t>S2 [35]</t>
  </si>
  <si>
    <t>5.03 ± 0.03</t>
  </si>
  <si>
    <t>1.60 ± 0.01</t>
  </si>
  <si>
    <t>10.99 ± 0.05</t>
  </si>
  <si>
    <t>S3 [35]</t>
  </si>
  <si>
    <t>47.20 ± 0.11</t>
  </si>
  <si>
    <t>47.25 ± 0.24</t>
  </si>
  <si>
    <t>5.19 ± 0.16</t>
  </si>
  <si>
    <t>5.17 ± 0.18</t>
  </si>
  <si>
    <t>1.61 ± 0.04</t>
  </si>
  <si>
    <t>1.67 ± 0.04</t>
  </si>
  <si>
    <t>11.44 ± 0.31</t>
  </si>
  <si>
    <t>11.43 ± 0.09</t>
  </si>
  <si>
    <t>S4 [35]</t>
  </si>
  <si>
    <t>39.68 ± 0.41</t>
  </si>
  <si>
    <t>4.42 ± 0.12</t>
  </si>
  <si>
    <t>4.53 ± 0.01</t>
  </si>
  <si>
    <t>13.17 ± 0.44</t>
  </si>
  <si>
    <t>Al (mg/L)</t>
  </si>
  <si>
    <t>Si (mg/L)</t>
  </si>
  <si>
    <t>Cl (mg/L)</t>
  </si>
  <si>
    <t>&lt; 0.001</t>
  </si>
  <si>
    <t>0.026 ± 0.001</t>
  </si>
  <si>
    <t>7.48 ± 0.02</t>
  </si>
  <si>
    <t>7.10 ± 0.11</t>
  </si>
  <si>
    <t>19.57 ± 0.14</t>
  </si>
  <si>
    <t>18.14 ± 0.26</t>
  </si>
  <si>
    <t>0.012 ± 0.000</t>
  </si>
  <si>
    <t>7.32 ± 0.00</t>
  </si>
  <si>
    <t>18.98 ± 0.06</t>
  </si>
  <si>
    <t>0.010 ± 0.001</t>
  </si>
  <si>
    <t>7.87 ± 0.03</t>
  </si>
  <si>
    <t>7.75 ± 0.03</t>
  </si>
  <si>
    <t>18.15 ± 0.10</t>
  </si>
  <si>
    <t>18.95 ± 0.13</t>
  </si>
  <si>
    <t>0.020 ± 0.001</t>
  </si>
  <si>
    <t>6.02 ± 0.60</t>
  </si>
  <si>
    <t>15.15 ± 0.02</t>
  </si>
  <si>
    <t>0.050 ± 0.000</t>
  </si>
  <si>
    <t>6.93 ± 0.08</t>
  </si>
  <si>
    <t>17.17 ± 0.26</t>
  </si>
  <si>
    <t>16.29 ± 0.16</t>
  </si>
  <si>
    <t>0.272 ± 0.006</t>
  </si>
  <si>
    <t>3.64 ± 0.12</t>
  </si>
  <si>
    <t>14.01 ± 0.16</t>
  </si>
  <si>
    <t>0.004 ± 0.001</t>
  </si>
  <si>
    <t>7.31 ± 0.06</t>
  </si>
  <si>
    <t>7.25 ± 0.04</t>
  </si>
  <si>
    <t>19.61 ± 0.19</t>
  </si>
  <si>
    <t xml:space="preserve">19.44 ± 0.07 </t>
  </si>
  <si>
    <t>0.003 ± 0.000</t>
  </si>
  <si>
    <t>7.16 ± 0.06</t>
  </si>
  <si>
    <t>19.08 ± 0.01</t>
  </si>
  <si>
    <t>0.002 ± 0.001</t>
  </si>
  <si>
    <t>7.71 ± 0.01</t>
  </si>
  <si>
    <t>7.91 ± 0.01</t>
  </si>
  <si>
    <t>18.86 ± 0.03</t>
  </si>
  <si>
    <t>18.15 ± 0.01</t>
  </si>
  <si>
    <t>0.025 ± 0.000</t>
  </si>
  <si>
    <t>7.51 ± 0.05</t>
  </si>
  <si>
    <t>16.89 ± 0.04</t>
  </si>
  <si>
    <t>0.018 ± 0.001</t>
  </si>
  <si>
    <t>7.15 ± 0.02</t>
  </si>
  <si>
    <t>7.24 ± 0.03</t>
  </si>
  <si>
    <t xml:space="preserve">18.63 ± 0.20 </t>
  </si>
  <si>
    <t>18.67 ± 0.00</t>
  </si>
  <si>
    <t>0.466 ± 0.007</t>
  </si>
  <si>
    <t>4.84 ± 0.20</t>
  </si>
  <si>
    <t>0.022 ± 0.001</t>
  </si>
  <si>
    <t>7.38 ± 0.12</t>
  </si>
  <si>
    <t>7.48 ± 0.17</t>
  </si>
  <si>
    <t>19.83 ± 0.35</t>
  </si>
  <si>
    <t>19.47 ± 0.19</t>
  </si>
  <si>
    <t>6.86 ± 0.18</t>
  </si>
  <si>
    <t>14.41 ± 0.22</t>
  </si>
  <si>
    <t>7.34 ± 0.01</t>
  </si>
  <si>
    <t>7.34 ± 0.02</t>
  </si>
  <si>
    <t>20.68 ± 0.18</t>
  </si>
  <si>
    <t>20.66 ± 0.01</t>
  </si>
  <si>
    <t>20.68 ± 0.04</t>
  </si>
  <si>
    <t>7.85 ± 0.03</t>
  </si>
  <si>
    <t>7.90 ± 0.22</t>
  </si>
  <si>
    <t>17.68 ± 0.21</t>
  </si>
  <si>
    <t>18.16 ± 0.52</t>
  </si>
  <si>
    <t>0.045 ± 0.000</t>
  </si>
  <si>
    <t>7.42 ± 0.01</t>
  </si>
  <si>
    <t>16.48 ± 0.16</t>
  </si>
  <si>
    <t>0.033 ± 0.005</t>
  </si>
  <si>
    <t>7.48 ± 0.01</t>
  </si>
  <si>
    <t>7.43 ± 0.02</t>
  </si>
  <si>
    <t>21.49 ± 0.06</t>
  </si>
  <si>
    <t>21.18 ± 0.01</t>
  </si>
  <si>
    <t>0.534 ± 0.013</t>
  </si>
  <si>
    <t>11.21 ± 0.09</t>
  </si>
  <si>
    <t>15.58 ± 0.08</t>
  </si>
  <si>
    <t>0.030 ± 0.002</t>
  </si>
  <si>
    <t>7.94 ± 0.01</t>
  </si>
  <si>
    <t>7.94 ± 0.04</t>
  </si>
  <si>
    <t>20.34 ± 0.18</t>
  </si>
  <si>
    <t>20.12 ± 0.10</t>
  </si>
  <si>
    <t>7.41 ± 0.01</t>
  </si>
  <si>
    <t>7.54 ± 0.27</t>
  </si>
  <si>
    <t>24.75 ± 0.06</t>
  </si>
  <si>
    <t>23.93 ± 0.55</t>
  </si>
  <si>
    <t>7.47 ± 0.11</t>
  </si>
  <si>
    <t>25.03 ± 0.32</t>
  </si>
  <si>
    <t>7.86 ± 0.08</t>
  </si>
  <si>
    <t>7.93 ± 0.01</t>
  </si>
  <si>
    <t>17.93 ± 0.21</t>
  </si>
  <si>
    <t>18.17 ± 0.20</t>
  </si>
  <si>
    <t>0.040 ± 0.002</t>
  </si>
  <si>
    <t>7.84 ± 0.09</t>
  </si>
  <si>
    <t>17.70 ± 0.35</t>
  </si>
  <si>
    <t>0.019 ± 0.012</t>
  </si>
  <si>
    <t>7.98 ± 0.14</t>
  </si>
  <si>
    <t>7.78 ± 0.31</t>
  </si>
  <si>
    <t>21.71 ± 0.41</t>
  </si>
  <si>
    <t>17.57 ± 0.14</t>
  </si>
  <si>
    <t>0.632 ± 0.007</t>
  </si>
  <si>
    <t>11.43 ± 0.05</t>
  </si>
  <si>
    <t>7.56 ± 0.09</t>
  </si>
  <si>
    <t>7.37 ± 0.29</t>
  </si>
  <si>
    <t>23.70 ± 0.09</t>
  </si>
  <si>
    <t>22.54 ± 0.45</t>
  </si>
  <si>
    <t>7.63 ± 0.46</t>
  </si>
  <si>
    <t>23.89 ± 0.01</t>
  </si>
  <si>
    <t>7.64 ± 0.05</t>
  </si>
  <si>
    <t>7.73 ± 0.01</t>
  </si>
  <si>
    <t>17.67 ± 0.28</t>
  </si>
  <si>
    <t>17.59 ± 0.30</t>
  </si>
  <si>
    <t>0.095 ± 0.002</t>
  </si>
  <si>
    <t>7.58 ± 0.03</t>
  </si>
  <si>
    <t>16.65 ± 0.28</t>
  </si>
  <si>
    <t>0.023 ± 0.001</t>
  </si>
  <si>
    <t>7.95 ± 0.22</t>
  </si>
  <si>
    <t>7.92 ± 0.01</t>
  </si>
  <si>
    <t>17.51 ± 0.21</t>
  </si>
  <si>
    <t>17.51 ± 0.03</t>
  </si>
  <si>
    <t>0.571 ± 0.004</t>
  </si>
  <si>
    <t>7.54 ± 0.01</t>
  </si>
  <si>
    <t>7.61 ± 0.26</t>
  </si>
  <si>
    <t>21.06 ± 0.10</t>
  </si>
  <si>
    <t>20.58 ± 0.75</t>
  </si>
  <si>
    <t>7.56 ± 0.15</t>
  </si>
  <si>
    <t>20.98 ± 0.23</t>
  </si>
  <si>
    <t>7.67 ± 0.01</t>
  </si>
  <si>
    <t>7.72 ± 0.01</t>
  </si>
  <si>
    <t>20.61 ± 0.27</t>
  </si>
  <si>
    <t>20.81 ± 0.02</t>
  </si>
  <si>
    <t>0.060 ± 0.001</t>
  </si>
  <si>
    <t>20.39 ± 0.14</t>
  </si>
  <si>
    <t>0.053 ± 0.001</t>
  </si>
  <si>
    <t>7.74 ± 0.03</t>
  </si>
  <si>
    <t>19.93 ± 0.22</t>
  </si>
  <si>
    <t>18.52 ± 0.15</t>
  </si>
  <si>
    <t>0.401 ± 0.016</t>
  </si>
  <si>
    <t>42.42 ± 1.16</t>
  </si>
  <si>
    <t>14.13 ± 0.61</t>
  </si>
  <si>
    <t>7.44 ± 0.11</t>
  </si>
  <si>
    <t>7.37 ± 0.02</t>
  </si>
  <si>
    <t>19.71 ± 0.11</t>
  </si>
  <si>
    <t>19.55 ± 0.18</t>
  </si>
  <si>
    <t>7.49 ± 0.01</t>
  </si>
  <si>
    <t>19.73 ± 0.01</t>
  </si>
  <si>
    <t>7.78 ± 0.10</t>
  </si>
  <si>
    <t>7.73 ± 0.08</t>
  </si>
  <si>
    <t>18.27 ± 0.19</t>
  </si>
  <si>
    <t>18.27 ± 0.01</t>
  </si>
  <si>
    <t>0.049 ± 0.001</t>
  </si>
  <si>
    <t>7.39 ± 0.02</t>
  </si>
  <si>
    <t>17.23.0.16</t>
  </si>
  <si>
    <t>7.14 ± 0.05</t>
  </si>
  <si>
    <t>7.21 ± 0.03</t>
  </si>
  <si>
    <t>24.70 ± 1.41</t>
  </si>
  <si>
    <t>23.65 ± 0.73</t>
  </si>
  <si>
    <t>7.66 ± 0.01</t>
  </si>
  <si>
    <t>19.37 ± 0.06</t>
  </si>
  <si>
    <t>19.27 ± 0.08</t>
  </si>
  <si>
    <t>7.74 ± 0.08</t>
  </si>
  <si>
    <t>19.18 ± 0.22</t>
  </si>
  <si>
    <t>7.42 ± 0.05</t>
  </si>
  <si>
    <t>7.52 ± 0.01</t>
  </si>
  <si>
    <t>16.92 ± 0.12</t>
  </si>
  <si>
    <t>17.48 ± 0.23</t>
  </si>
  <si>
    <t>0.041 ± 0.001</t>
  </si>
  <si>
    <t>7.58 ± 0.04</t>
  </si>
  <si>
    <t>16.55 ± 0.28</t>
  </si>
  <si>
    <t>pH</t>
  </si>
  <si>
    <t>HCO3 eq. (mg/L)</t>
  </si>
  <si>
    <t>7.81 ± 0.22</t>
  </si>
  <si>
    <t>9.20 ± 0.04</t>
  </si>
  <si>
    <t>7.85 ± 0.06</t>
  </si>
  <si>
    <t>8.16 ± 0.08</t>
  </si>
  <si>
    <t>8.56 ± 0.37</t>
  </si>
  <si>
    <t>8.02 ± 0.04</t>
  </si>
  <si>
    <t>7.94 ± 0.06</t>
  </si>
  <si>
    <t>8.53 ± 0.01</t>
  </si>
  <si>
    <t>7.61 ± 0.04</t>
  </si>
  <si>
    <t>7.90 ± 0.12</t>
  </si>
  <si>
    <t>11.55 ± 0.22</t>
  </si>
  <si>
    <t>8.24 ± 0.11</t>
  </si>
  <si>
    <t>7.69 ± 0.01</t>
  </si>
  <si>
    <t xml:space="preserve">10.38 ± 0.17 </t>
  </si>
  <si>
    <t xml:space="preserve">7.66 ± 0.02 </t>
  </si>
  <si>
    <t>8.42 ± 0.01</t>
  </si>
  <si>
    <t>12.85 ± 0.25</t>
  </si>
  <si>
    <t>7.74 ± 0.05</t>
  </si>
  <si>
    <t>8.08 ± 0.03</t>
  </si>
  <si>
    <t>7.86 ± 0.10</t>
  </si>
  <si>
    <t>8.12 ± 0.05</t>
  </si>
  <si>
    <t xml:space="preserve">7.99 ± 0.06 </t>
  </si>
  <si>
    <t>8.02 ± 0.02</t>
  </si>
  <si>
    <t>7.77 ± 0.06</t>
  </si>
  <si>
    <t>8.02 ± 0.06</t>
  </si>
  <si>
    <t>8.25 ± 0.05</t>
  </si>
  <si>
    <t>8.39 ± 0.02</t>
  </si>
  <si>
    <t>8.93 ± 0.08</t>
  </si>
  <si>
    <t>8.72 ± 0.18</t>
  </si>
  <si>
    <t>7.54 ± 0.05</t>
  </si>
  <si>
    <t>8.50 ± 0.11</t>
  </si>
  <si>
    <t>7.43 ± 0.10</t>
  </si>
  <si>
    <t>13.14 ± 0.13</t>
  </si>
  <si>
    <t>7.70 ± 0.06</t>
  </si>
  <si>
    <t>8.36 ± 0.14</t>
  </si>
  <si>
    <t>7.99 ± 0.08</t>
  </si>
  <si>
    <t>8.18 ± 0.02</t>
  </si>
  <si>
    <t>12.96 ± 0.25</t>
  </si>
  <si>
    <t>8.13 ± 0.03</t>
  </si>
  <si>
    <t>7.72 ± 0.10</t>
  </si>
  <si>
    <t>7.97 ± 0.03</t>
  </si>
  <si>
    <t>7.84 ± 0.11</t>
  </si>
  <si>
    <t>8.05 ± 0.01</t>
  </si>
  <si>
    <t>8.31 ± 0.01</t>
  </si>
  <si>
    <t>7.80 ± 0.05</t>
  </si>
  <si>
    <t>8.56 ± 0.34</t>
  </si>
  <si>
    <t>7.72 ± 0.04</t>
  </si>
  <si>
    <t>8.49 ± 0.05</t>
  </si>
  <si>
    <t>7.64 ± 0.08</t>
  </si>
  <si>
    <t>8.12 ± 0.01</t>
  </si>
  <si>
    <t>7.74 ± 0.10</t>
  </si>
  <si>
    <t>7.98 ± 0.09</t>
  </si>
  <si>
    <t>8.01 ± 0.08</t>
  </si>
  <si>
    <t>8.44 ± 0.16</t>
  </si>
  <si>
    <t>7.77 ± 0.04</t>
  </si>
  <si>
    <t>8.39 ± 0.08</t>
  </si>
  <si>
    <t>7.93 ± 0.13</t>
  </si>
  <si>
    <t>8.07 ± 0.04</t>
  </si>
  <si>
    <t>8.07 ± 0.01</t>
  </si>
  <si>
    <t>7.77 ± 0.01</t>
  </si>
  <si>
    <t>7.85 ± 0.11</t>
  </si>
  <si>
    <t>8.20 ± 0.05</t>
  </si>
  <si>
    <t>7.83 ± 0.09</t>
  </si>
  <si>
    <t>11.92 ± 0.49</t>
  </si>
  <si>
    <t>Day</t>
  </si>
  <si>
    <t>S1</t>
  </si>
  <si>
    <t>S2</t>
  </si>
  <si>
    <t>S4</t>
  </si>
  <si>
    <t>S5</t>
  </si>
  <si>
    <t>S6</t>
  </si>
  <si>
    <t>S3</t>
  </si>
  <si>
    <t>r calcite</t>
  </si>
  <si>
    <t>r talc</t>
  </si>
  <si>
    <t>r chrysotile</t>
  </si>
  <si>
    <t>r brucite</t>
  </si>
  <si>
    <t>r portlandite</t>
  </si>
  <si>
    <t>R</t>
  </si>
  <si>
    <t>[initial flow rate]</t>
  </si>
  <si>
    <t>[0]</t>
  </si>
  <si>
    <t>0 + 2h</t>
  </si>
  <si>
    <t>[7.82]</t>
  </si>
  <si>
    <t>[12.27]</t>
  </si>
  <si>
    <t>[12.26]</t>
  </si>
  <si>
    <t>[2.11]</t>
  </si>
  <si>
    <t>[4.53]</t>
  </si>
  <si>
    <t>[0.41]</t>
  </si>
  <si>
    <t>&lt;0.01</t>
  </si>
  <si>
    <r>
      <t>(10</t>
    </r>
    <r>
      <rPr>
        <i/>
        <vertAlign val="superscript"/>
        <sz val="10"/>
        <color theme="1"/>
        <rFont val="Times New Roman"/>
        <family val="1"/>
      </rPr>
      <t>-2</t>
    </r>
    <r>
      <rPr>
        <i/>
        <sz val="10"/>
        <color theme="1"/>
        <rFont val="Times New Roman"/>
        <family val="1"/>
      </rPr>
      <t xml:space="preserve"> mol∙L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∙h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</si>
  <si>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(10</t>
    </r>
    <r>
      <rPr>
        <i/>
        <vertAlign val="superscript"/>
        <sz val="10"/>
        <color theme="1"/>
        <rFont val="Times New Roman"/>
        <family val="1"/>
      </rPr>
      <t>-4</t>
    </r>
    <r>
      <rPr>
        <i/>
        <sz val="10"/>
        <color theme="1"/>
        <rFont val="Times New Roman"/>
        <family val="1"/>
      </rPr>
      <t xml:space="preserve"> mol∙L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∙h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</si>
  <si>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(-10</t>
    </r>
    <r>
      <rPr>
        <i/>
        <vertAlign val="superscript"/>
        <sz val="10"/>
        <color theme="1"/>
        <rFont val="Times New Roman"/>
        <family val="1"/>
      </rPr>
      <t>-2</t>
    </r>
    <r>
      <rPr>
        <i/>
        <sz val="10"/>
        <color theme="1"/>
        <rFont val="Times New Roman"/>
        <family val="1"/>
      </rPr>
      <t xml:space="preserve"> mol∙L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∙h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</si>
  <si>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S</t>
    </r>
    <r>
      <rPr>
        <i/>
        <vertAlign val="subscript"/>
        <sz val="10"/>
        <color theme="1"/>
        <rFont val="Times New Roman"/>
        <family val="1"/>
      </rPr>
      <t>A</t>
    </r>
    <r>
      <rPr>
        <i/>
        <sz val="10"/>
        <color theme="1"/>
        <rFont val="Times New Roman"/>
        <family val="1"/>
      </rPr>
      <t xml:space="preserve"> calcite (m² 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</si>
  <si>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S</t>
    </r>
    <r>
      <rPr>
        <i/>
        <vertAlign val="subscript"/>
        <sz val="10"/>
        <color theme="1"/>
        <rFont val="Times New Roman"/>
        <family val="1"/>
      </rPr>
      <t>A</t>
    </r>
    <r>
      <rPr>
        <i/>
        <sz val="10"/>
        <color theme="1"/>
        <rFont val="Times New Roman"/>
        <family val="1"/>
      </rPr>
      <t xml:space="preserve"> M-S-H (m² 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</si>
  <si>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C</t>
    </r>
    <r>
      <rPr>
        <vertAlign val="subscript"/>
        <sz val="10"/>
        <color theme="1"/>
        <rFont val="Times New Roman"/>
        <family val="1"/>
      </rPr>
      <t>0</t>
    </r>
  </si>
  <si>
    <r>
      <t>C</t>
    </r>
    <r>
      <rPr>
        <vertAlign val="subscript"/>
        <sz val="10"/>
        <color theme="1"/>
        <rFont val="Times New Roman"/>
        <family val="1"/>
      </rPr>
      <t>1</t>
    </r>
  </si>
  <si>
    <r>
      <t>C</t>
    </r>
    <r>
      <rPr>
        <vertAlign val="subscript"/>
        <sz val="10"/>
        <color theme="1"/>
        <rFont val="Times New Roman"/>
        <family val="1"/>
      </rPr>
      <t xml:space="preserve">1 </t>
    </r>
    <r>
      <rPr>
        <sz val="10"/>
        <color theme="1"/>
        <rFont val="Times New Roman"/>
        <family val="1"/>
      </rPr>
      <t>model</t>
    </r>
  </si>
  <si>
    <t>Global reaction rates obtained from the refinement of the reactive transport models.</t>
  </si>
  <si>
    <t xml:space="preserve">Precise flow rate during sampling </t>
  </si>
  <si>
    <t>Time step Δt used for the modelling</t>
  </si>
  <si>
    <r>
      <t>Flow rate Q during sampling (L 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</si>
  <si>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t>r NaOH</t>
  </si>
  <si>
    <t>r KOH</t>
  </si>
  <si>
    <t>r C-S-H</t>
  </si>
  <si>
    <t>r ettringite</t>
  </si>
  <si>
    <t>r Afm</t>
  </si>
  <si>
    <r>
      <t>(-10</t>
    </r>
    <r>
      <rPr>
        <i/>
        <vertAlign val="superscript"/>
        <sz val="10"/>
        <color theme="1"/>
        <rFont val="Times New Roman"/>
        <family val="1"/>
      </rPr>
      <t>-3</t>
    </r>
    <r>
      <rPr>
        <i/>
        <sz val="10"/>
        <color theme="1"/>
        <rFont val="Times New Roman"/>
        <family val="1"/>
      </rPr>
      <t xml:space="preserve"> mol∙L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∙h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</si>
  <si>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(-10</t>
    </r>
    <r>
      <rPr>
        <i/>
        <vertAlign val="superscript"/>
        <sz val="10"/>
        <color theme="1"/>
        <rFont val="Times New Roman"/>
        <family val="1"/>
      </rPr>
      <t>-4</t>
    </r>
    <r>
      <rPr>
        <i/>
        <sz val="10"/>
        <color theme="1"/>
        <rFont val="Times New Roman"/>
        <family val="1"/>
      </rPr>
      <t xml:space="preserve"> mol∙L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∙h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</si>
  <si>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(-10</t>
    </r>
    <r>
      <rPr>
        <i/>
        <vertAlign val="superscript"/>
        <sz val="10"/>
        <color theme="1"/>
        <rFont val="Times New Roman"/>
        <family val="1"/>
      </rPr>
      <t>-5</t>
    </r>
    <r>
      <rPr>
        <i/>
        <sz val="10"/>
        <color theme="1"/>
        <rFont val="Times New Roman"/>
        <family val="1"/>
      </rPr>
      <t xml:space="preserve"> mol∙L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∙h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</si>
  <si>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(-10</t>
    </r>
    <r>
      <rPr>
        <i/>
        <vertAlign val="superscript"/>
        <sz val="10"/>
        <color theme="1"/>
        <rFont val="Times New Roman"/>
        <family val="1"/>
      </rPr>
      <t xml:space="preserve">-5 </t>
    </r>
    <r>
      <rPr>
        <i/>
        <sz val="10"/>
        <color theme="1"/>
        <rFont val="Times New Roman"/>
        <family val="1"/>
      </rPr>
      <t>mol∙L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∙h</t>
    </r>
    <r>
      <rPr>
        <i/>
        <vertAlign val="superscript"/>
        <sz val="10"/>
        <color theme="1"/>
        <rFont val="Times New Roman"/>
        <family val="1"/>
      </rPr>
      <t>-1</t>
    </r>
    <r>
      <rPr>
        <i/>
        <sz val="10"/>
        <color theme="1"/>
        <rFont val="Times New Roman"/>
        <family val="1"/>
      </rPr>
      <t>)</t>
    </r>
  </si>
  <si>
    <r>
      <t>Time step for shifting the cell 1 step further (min);</t>
    </r>
    <r>
      <rPr>
        <b/>
        <i/>
        <sz val="10"/>
        <color theme="1"/>
        <rFont val="Times New Roman"/>
        <family val="1"/>
      </rPr>
      <t xml:space="preserve"> time_step input in PHREEQC</t>
    </r>
  </si>
  <si>
    <t>(mol/cell)</t>
  </si>
  <si>
    <t>molar transfer ettringite</t>
  </si>
  <si>
    <t>molar transfer C-S-H</t>
  </si>
  <si>
    <t>molar transfer KOH</t>
  </si>
  <si>
    <t>molar transfer NaOH</t>
  </si>
  <si>
    <t>molar transfer portlandite</t>
  </si>
  <si>
    <t>molar transfer Afm</t>
  </si>
  <si>
    <t>mol fraction of portlandite/cell</t>
  </si>
  <si>
    <t xml:space="preserve"> NaOH</t>
  </si>
  <si>
    <t xml:space="preserve"> KOH</t>
  </si>
  <si>
    <t>C-S-H</t>
  </si>
  <si>
    <t xml:space="preserve"> ettringite</t>
  </si>
  <si>
    <t>Afm</t>
  </si>
  <si>
    <t>Tab. 3</t>
  </si>
  <si>
    <t>Tab. 2</t>
  </si>
  <si>
    <t>Tab. 1</t>
  </si>
  <si>
    <t>Calibrated input variables for the REACTION formulations (see sample  PHREEQC input sheet)</t>
  </si>
  <si>
    <t>Dissolution rates of the considdered cement hydrates.  The dissolution rate can be calulated from the calibrated values in Tab. 2 and the respective time_step (min) (sheet #3)</t>
  </si>
  <si>
    <t>[0] initial flow rate</t>
  </si>
  <si>
    <r>
      <t>Molar transfer added to each modeled cell with the REACTION keyword.</t>
    </r>
    <r>
      <rPr>
        <b/>
        <i/>
        <sz val="12"/>
        <color theme="1"/>
        <rFont val="Times New Roman"/>
        <family val="1"/>
      </rPr>
      <t xml:space="preserve"> Note: In the PHREEQC input sheets, the molar transfer of all cement hydrates and the release of pore solution are set in relation to the molar transfer of portlandite (Tab. 3).</t>
    </r>
  </si>
  <si>
    <r>
      <t>Calibrated reactive surface area S</t>
    </r>
    <r>
      <rPr>
        <b/>
        <i/>
        <vertAlign val="subscript"/>
        <sz val="12"/>
        <color theme="1"/>
        <rFont val="Times New Roman"/>
        <family val="1"/>
      </rPr>
      <t>A</t>
    </r>
    <r>
      <rPr>
        <b/>
        <i/>
        <sz val="12"/>
        <color theme="1"/>
        <rFont val="Times New Roman"/>
        <family val="1"/>
      </rPr>
      <t xml:space="preserve"> of calcite and M-S-H; Input variable for the reactive transport models</t>
    </r>
  </si>
  <si>
    <r>
      <t>Detailed chemical data of the water composition measured at C</t>
    </r>
    <r>
      <rPr>
        <b/>
        <i/>
        <vertAlign val="subscript"/>
        <sz val="12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and C</t>
    </r>
    <r>
      <rPr>
        <b/>
        <i/>
        <vertAlign val="subscript"/>
        <sz val="12"/>
        <color theme="1"/>
        <rFont val="Times New Roman"/>
        <family val="1"/>
      </rPr>
      <t>1</t>
    </r>
    <r>
      <rPr>
        <b/>
        <i/>
        <sz val="12"/>
        <color theme="1"/>
        <rFont val="Times New Roman"/>
        <family val="1"/>
      </rPr>
      <t>, and C</t>
    </r>
    <r>
      <rPr>
        <b/>
        <i/>
        <vertAlign val="subscript"/>
        <sz val="12"/>
        <color theme="1"/>
        <rFont val="Times New Roman"/>
        <family val="1"/>
      </rPr>
      <t>1</t>
    </r>
    <r>
      <rPr>
        <b/>
        <i/>
        <sz val="12"/>
        <color theme="1"/>
        <rFont val="Times New Roman"/>
        <family val="1"/>
      </rPr>
      <t xml:space="preserve"> of the modelling after the refinement process; C0,t composition is input variable for the modelling in PHREEQC</t>
    </r>
  </si>
  <si>
    <t>Temperature (°C)</t>
  </si>
  <si>
    <t>Model</t>
  </si>
  <si>
    <r>
      <t>Detailed measured pH value and alkalinity for all tested samples at C</t>
    </r>
    <r>
      <rPr>
        <b/>
        <i/>
        <vertAlign val="subscript"/>
        <sz val="12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and C</t>
    </r>
    <r>
      <rPr>
        <b/>
        <i/>
        <vertAlign val="subscript"/>
        <sz val="12"/>
        <color theme="1"/>
        <rFont val="Times New Roman"/>
        <family val="1"/>
      </rPr>
      <t>1</t>
    </r>
    <r>
      <rPr>
        <b/>
        <i/>
        <sz val="12"/>
        <color theme="1"/>
        <rFont val="Times New Roman"/>
        <family val="1"/>
      </rPr>
      <t>, and pH and alkalinity of the modelling after the refinement process, as well as temperature of the solution during sampling</t>
    </r>
  </si>
  <si>
    <t>7.80 ± 0.01</t>
  </si>
  <si>
    <t>45.96 ± 0.60</t>
  </si>
  <si>
    <t>6.24 ± 0.06</t>
  </si>
  <si>
    <t>50.60 ± 0.19</t>
  </si>
  <si>
    <t>6.07 ± 0.01</t>
  </si>
  <si>
    <t>3.37 ± 0.11</t>
  </si>
  <si>
    <t>8.25 ± 0.11</t>
  </si>
  <si>
    <t>7.91 ± 0.35</t>
  </si>
  <si>
    <t>19.83 ± 0.43</t>
  </si>
  <si>
    <t>0.022 ± 0.002</t>
  </si>
  <si>
    <t>352.76 ± 2.22</t>
  </si>
  <si>
    <t>6.61 ± 0.08</t>
  </si>
  <si>
    <t>342.17 ± 2.73</t>
  </si>
  <si>
    <t>322.83 ± 1.97</t>
  </si>
  <si>
    <t>0.492 ± 0.002</t>
  </si>
  <si>
    <t>271.91 ± 1.64</t>
  </si>
  <si>
    <t>12.62 ± 0.12</t>
  </si>
  <si>
    <t>0.12 ± 0.00</t>
  </si>
  <si>
    <t>191.17 ± 0.00</t>
  </si>
  <si>
    <t>33.3 ± 2.06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</si>
</sst>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15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vertAlign val="sub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1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2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8" xfId="0" applyFont="1" applyBorder="1" applyAlignment="1">
      <alignment vertical="center" wrapText="1"/>
    </xf>
    <xf numFmtId="0" fontId="4" fillId="0" borderId="16" xfId="0" applyFont="1" applyBorder="1" applyAlignment="1">
      <alignment horizontal="left" vertical="center" wrapText="1"/>
    </xf>
    <xf numFmtId="0" fontId="2" fillId="0" borderId="18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21" xfId="0" applyFont="1" applyBorder="1" applyAlignment="1">
      <alignment vertical="center" wrapText="1"/>
    </xf>
    <xf numFmtId="0" fontId="1" fillId="0" borderId="14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4" fillId="0" borderId="19" xfId="0" applyFont="1" applyBorder="1" applyAlignment="1">
      <alignment horizontal="left" vertical="center" wrapText="1"/>
    </xf>
    <xf numFmtId="2" fontId="4" fillId="0" borderId="16" xfId="0" applyNumberFormat="1" applyFont="1" applyBorder="1" applyAlignment="1">
      <alignment horizontal="left" vertical="center" wrapText="1"/>
    </xf>
    <xf numFmtId="0" fontId="1" fillId="0" borderId="19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164" fontId="4" fillId="0" borderId="14" xfId="0" applyNumberFormat="1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 wrapText="1"/>
    </xf>
    <xf numFmtId="165" fontId="4" fillId="0" borderId="14" xfId="0" applyNumberFormat="1" applyFont="1" applyBorder="1" applyAlignment="1">
      <alignment horizontal="left" vertical="center" wrapText="1"/>
    </xf>
    <xf numFmtId="165" fontId="1" fillId="0" borderId="14" xfId="0" applyNumberFormat="1" applyFont="1" applyBorder="1"/>
    <xf numFmtId="165" fontId="1" fillId="0" borderId="0" xfId="0" applyNumberFormat="1" applyFont="1"/>
    <xf numFmtId="165" fontId="4" fillId="0" borderId="16" xfId="0" applyNumberFormat="1" applyFont="1" applyBorder="1" applyAlignment="1">
      <alignment horizontal="left" vertical="center" wrapText="1"/>
    </xf>
    <xf numFmtId="165" fontId="4" fillId="0" borderId="19" xfId="0" applyNumberFormat="1" applyFont="1" applyBorder="1" applyAlignment="1">
      <alignment horizontal="left" vertical="center" wrapText="1"/>
    </xf>
    <xf numFmtId="1" fontId="4" fillId="0" borderId="14" xfId="0" applyNumberFormat="1" applyFont="1" applyBorder="1" applyAlignment="1">
      <alignment horizontal="left" vertical="center"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/>
    <xf numFmtId="0" fontId="1" fillId="2" borderId="7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left" vertical="center" wrapText="1"/>
    </xf>
    <xf numFmtId="166" fontId="1" fillId="2" borderId="0" xfId="0" applyNumberFormat="1" applyFont="1" applyFill="1"/>
    <xf numFmtId="166" fontId="1" fillId="0" borderId="11" xfId="0" applyNumberFormat="1" applyFont="1" applyBorder="1"/>
    <xf numFmtId="166" fontId="1" fillId="0" borderId="0" xfId="0" applyNumberFormat="1" applyFont="1"/>
    <xf numFmtId="166" fontId="0" fillId="0" borderId="0" xfId="0" applyNumberFormat="1"/>
    <xf numFmtId="166" fontId="0" fillId="0" borderId="14" xfId="0" applyNumberFormat="1" applyBorder="1"/>
    <xf numFmtId="166" fontId="4" fillId="0" borderId="11" xfId="0" applyNumberFormat="1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left" vertical="center" wrapText="1"/>
    </xf>
    <xf numFmtId="166" fontId="4" fillId="0" borderId="14" xfId="0" applyNumberFormat="1" applyFont="1" applyBorder="1" applyAlignment="1">
      <alignment horizontal="left" vertical="center" wrapText="1"/>
    </xf>
    <xf numFmtId="166" fontId="1" fillId="0" borderId="17" xfId="0" applyNumberFormat="1" applyFont="1" applyBorder="1"/>
    <xf numFmtId="166" fontId="1" fillId="0" borderId="16" xfId="0" applyNumberFormat="1" applyFont="1" applyBorder="1"/>
    <xf numFmtId="166" fontId="4" fillId="0" borderId="16" xfId="0" applyNumberFormat="1" applyFont="1" applyBorder="1" applyAlignment="1">
      <alignment horizontal="left" vertical="center" wrapText="1"/>
    </xf>
    <xf numFmtId="166" fontId="4" fillId="0" borderId="19" xfId="0" applyNumberFormat="1" applyFont="1" applyBorder="1" applyAlignment="1">
      <alignment horizontal="left" vertical="center" wrapText="1"/>
    </xf>
    <xf numFmtId="166" fontId="4" fillId="0" borderId="20" xfId="0" applyNumberFormat="1" applyFont="1" applyBorder="1" applyAlignment="1">
      <alignment horizontal="left" vertical="center" wrapText="1"/>
    </xf>
    <xf numFmtId="166" fontId="1" fillId="0" borderId="14" xfId="0" applyNumberFormat="1" applyFont="1" applyBorder="1"/>
    <xf numFmtId="166" fontId="4" fillId="0" borderId="22" xfId="0" applyNumberFormat="1" applyFont="1" applyBorder="1" applyAlignment="1">
      <alignment horizontal="left" vertical="center" wrapText="1"/>
    </xf>
    <xf numFmtId="166" fontId="4" fillId="2" borderId="0" xfId="0" applyNumberFormat="1" applyFont="1" applyFill="1" applyAlignment="1">
      <alignment horizontal="left" vertical="center" wrapText="1"/>
    </xf>
    <xf numFmtId="166" fontId="4" fillId="0" borderId="7" xfId="0" applyNumberFormat="1" applyFont="1" applyBorder="1" applyAlignment="1">
      <alignment horizontal="left" vertical="center" wrapText="1"/>
    </xf>
    <xf numFmtId="166" fontId="1" fillId="0" borderId="0" xfId="0" applyNumberFormat="1" applyFont="1" applyAlignment="1">
      <alignment horizontal="left" vertical="center" wrapText="1"/>
    </xf>
    <xf numFmtId="166" fontId="1" fillId="2" borderId="0" xfId="0" applyNumberFormat="1" applyFont="1" applyFill="1" applyAlignment="1">
      <alignment horizontal="left" vertical="center" wrapText="1"/>
    </xf>
    <xf numFmtId="166" fontId="1" fillId="0" borderId="11" xfId="0" applyNumberFormat="1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left" vertical="center" wrapText="1"/>
    </xf>
    <xf numFmtId="166" fontId="4" fillId="0" borderId="10" xfId="0" applyNumberFormat="1" applyFont="1" applyBorder="1" applyAlignment="1">
      <alignment horizontal="left" vertical="center" wrapText="1"/>
    </xf>
    <xf numFmtId="166" fontId="1" fillId="0" borderId="10" xfId="0" applyNumberFormat="1" applyFont="1" applyBorder="1" applyAlignment="1">
      <alignment horizontal="left" vertical="center" wrapText="1"/>
    </xf>
    <xf numFmtId="166" fontId="1" fillId="0" borderId="6" xfId="0" applyNumberFormat="1" applyFont="1" applyBorder="1" applyAlignment="1">
      <alignment horizontal="left" vertical="center" wrapText="1"/>
    </xf>
    <xf numFmtId="166" fontId="4" fillId="0" borderId="12" xfId="0" applyNumberFormat="1" applyFont="1" applyBorder="1" applyAlignment="1">
      <alignment horizontal="left" vertical="center" wrapText="1"/>
    </xf>
    <xf numFmtId="166" fontId="1" fillId="0" borderId="1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left" vertical="center" wrapText="1"/>
    </xf>
    <xf numFmtId="2" fontId="1" fillId="0" borderId="6" xfId="0" applyNumberFormat="1" applyFont="1" applyBorder="1" applyAlignment="1">
      <alignment horizontal="justify" vertical="center" wrapText="1"/>
    </xf>
    <xf numFmtId="0" fontId="1" fillId="0" borderId="26" xfId="0" applyFont="1" applyBorder="1" applyAlignment="1">
      <alignment horizontal="justify" vertical="center" wrapText="1"/>
    </xf>
    <xf numFmtId="2" fontId="1" fillId="0" borderId="0" xfId="0" applyNumberFormat="1" applyFont="1" applyAlignment="1">
      <alignment horizontal="left" vertical="center" wrapText="1"/>
    </xf>
    <xf numFmtId="2" fontId="4" fillId="0" borderId="10" xfId="0" applyNumberFormat="1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justify" vertical="center" wrapText="1"/>
    </xf>
    <xf numFmtId="0" fontId="1" fillId="0" borderId="27" xfId="0" applyFont="1" applyBorder="1" applyAlignment="1">
      <alignment horizontal="justify" vertical="center" wrapText="1"/>
    </xf>
    <xf numFmtId="164" fontId="1" fillId="0" borderId="6" xfId="0" applyNumberFormat="1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262911</xdr:colOff>
      <xdr:row>18</xdr:row>
      <xdr:rowOff>233020</xdr:rowOff>
    </xdr:from>
    <xdr:ext cx="2351285" cy="487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F0CBA5-0CAE-B079-815C-3373E6E4C8FA}"/>
                </a:ext>
              </a:extLst>
            </xdr:cNvPr>
            <xdr:cNvSpPr txBox="1"/>
          </xdr:nvSpPr>
          <xdr:spPr>
            <a:xfrm>
              <a:off x="4979428" y="3891934"/>
              <a:ext cx="2351285" cy="487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𝑡𝑖𝑚𝑒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𝑠𝑡𝑒𝑝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∗60</m:t>
                            </m:r>
                          </m:den>
                        </m:f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𝑁𝑜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𝑐𝑒𝑙𝑙𝑠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(=20)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F0CBA5-0CAE-B079-815C-3373E6E4C8FA}"/>
                </a:ext>
              </a:extLst>
            </xdr:cNvPr>
            <xdr:cNvSpPr txBox="1"/>
          </xdr:nvSpPr>
          <xdr:spPr>
            <a:xfrm>
              <a:off x="4979428" y="3891934"/>
              <a:ext cx="2351285" cy="487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𝑡𝑖𝑚𝑒_𝑠𝑡𝑒𝑝(𝑚𝑖𝑛)=(1𝐿/(𝑄_𝑡∗60))/(𝑁𝑜. 𝑜𝑓 𝑐𝑒𝑙𝑙𝑠 (=20))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566409</xdr:colOff>
      <xdr:row>0</xdr:row>
      <xdr:rowOff>95830</xdr:rowOff>
    </xdr:from>
    <xdr:ext cx="3582353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0FE184-CD14-175E-D990-58E5D036BFB9}"/>
                </a:ext>
              </a:extLst>
            </xdr:cNvPr>
            <xdr:cNvSpPr txBox="1"/>
          </xdr:nvSpPr>
          <xdr:spPr>
            <a:xfrm>
              <a:off x="11514556" y="95830"/>
              <a:ext cx="3582353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𝑚𝑜𝑙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sSup>
                      <m:s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de-DE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𝑐𝑒𝑙𝑙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nor/>
                          </m:rPr>
                          <a:rPr lang="de-DE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No</m:t>
                        </m:r>
                        <m:r>
                          <m:rPr>
                            <m:nor/>
                          </m:rPr>
                          <a:rPr lang="de-DE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de-DE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de-DE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de-DE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cells</m:t>
                        </m:r>
                        <m:r>
                          <m:rPr>
                            <m:nor/>
                          </m:rPr>
                          <a:rPr lang="de-DE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(20)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𝑠𝑡𝑒𝑝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)/60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0FE184-CD14-175E-D990-58E5D036BFB9}"/>
                </a:ext>
              </a:extLst>
            </xdr:cNvPr>
            <xdr:cNvSpPr txBox="1"/>
          </xdr:nvSpPr>
          <xdr:spPr>
            <a:xfrm>
              <a:off x="11514556" y="95830"/>
              <a:ext cx="3582353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𝑟𝑎𝑡𝑒(𝑚𝑜𝑙 𝐿^(−1) ℎ^(−1))=(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𝑚𝑜𝑙/𝑐𝑒𝑙𝑙∗"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No. of cells(20)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)/(</a:t>
              </a:r>
              <a:r>
                <a:rPr lang="de-DE" sz="1100" b="0" i="0">
                  <a:latin typeface="Cambria Math" panose="02040503050406030204" pitchFamily="18" charset="0"/>
                </a:rPr>
                <a:t>𝑡𝑖𝑚𝑒_𝑠𝑡𝑒𝑝(𝑚𝑖𝑛)/60)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CD03-28EA-497D-A581-563C7478AC9E}">
  <dimension ref="A1:V53"/>
  <sheetViews>
    <sheetView zoomScale="115" zoomScaleNormal="115" workbookViewId="0">
      <pane ySplit="4" topLeftCell="A5" activePane="bottomLeft" state="frozen"/>
      <selection pane="bottomLeft" activeCell="R37" sqref="Q36:R37"/>
    </sheetView>
  </sheetViews>
  <sheetFormatPr defaultRowHeight="14.4" x14ac:dyDescent="0.55000000000000004"/>
  <cols>
    <col min="2" max="2" width="11" customWidth="1"/>
    <col min="3" max="3" width="10.41796875" customWidth="1"/>
    <col min="6" max="6" width="11.734375" customWidth="1"/>
    <col min="9" max="9" width="11.47265625" customWidth="1"/>
    <col min="11" max="11" width="10.41796875" customWidth="1"/>
    <col min="12" max="12" width="11.68359375" customWidth="1"/>
    <col min="15" max="15" width="10.734375" customWidth="1"/>
    <col min="17" max="17" width="10.83984375" customWidth="1"/>
    <col min="18" max="18" width="10.05078125" customWidth="1"/>
    <col min="20" max="20" width="11.20703125" customWidth="1"/>
    <col min="21" max="21" width="10.3125" customWidth="1"/>
  </cols>
  <sheetData>
    <row r="1" spans="1:22" s="58" customFormat="1" ht="18" x14ac:dyDescent="0.75">
      <c r="A1" s="58" t="s">
        <v>622</v>
      </c>
      <c r="B1" s="56" t="s">
        <v>628</v>
      </c>
    </row>
    <row r="2" spans="1:22" ht="14.7" thickBot="1" x14ac:dyDescent="0.6"/>
    <row r="3" spans="1:22" ht="14.7" thickBot="1" x14ac:dyDescent="0.6">
      <c r="A3" s="99" t="s">
        <v>0</v>
      </c>
      <c r="B3" s="106" t="s">
        <v>1</v>
      </c>
      <c r="C3" s="107"/>
      <c r="D3" s="108"/>
      <c r="E3" s="106" t="s">
        <v>2</v>
      </c>
      <c r="F3" s="107"/>
      <c r="G3" s="108"/>
      <c r="H3" s="106" t="s">
        <v>3</v>
      </c>
      <c r="I3" s="107"/>
      <c r="J3" s="108"/>
      <c r="K3" s="106" t="s">
        <v>4</v>
      </c>
      <c r="L3" s="107"/>
      <c r="M3" s="108"/>
      <c r="N3" s="103" t="s">
        <v>327</v>
      </c>
      <c r="O3" s="104"/>
      <c r="P3" s="105"/>
      <c r="Q3" s="103" t="s">
        <v>328</v>
      </c>
      <c r="R3" s="104"/>
      <c r="S3" s="105"/>
      <c r="T3" s="103" t="s">
        <v>329</v>
      </c>
      <c r="U3" s="104"/>
      <c r="V3" s="105"/>
    </row>
    <row r="4" spans="1:22" ht="14.7" thickBot="1" x14ac:dyDescent="0.6">
      <c r="A4" s="100"/>
      <c r="B4" s="15" t="s">
        <v>590</v>
      </c>
      <c r="C4" s="15" t="s">
        <v>591</v>
      </c>
      <c r="D4" s="15" t="s">
        <v>592</v>
      </c>
      <c r="E4" s="15" t="s">
        <v>590</v>
      </c>
      <c r="F4" s="15" t="s">
        <v>591</v>
      </c>
      <c r="G4" s="15" t="s">
        <v>592</v>
      </c>
      <c r="H4" s="15" t="s">
        <v>590</v>
      </c>
      <c r="I4" s="15" t="s">
        <v>591</v>
      </c>
      <c r="J4" s="15" t="s">
        <v>592</v>
      </c>
      <c r="K4" s="15" t="s">
        <v>590</v>
      </c>
      <c r="L4" s="15" t="s">
        <v>591</v>
      </c>
      <c r="M4" s="15" t="s">
        <v>592</v>
      </c>
      <c r="N4" s="14" t="s">
        <v>590</v>
      </c>
      <c r="O4" s="15" t="s">
        <v>591</v>
      </c>
      <c r="P4" s="15" t="s">
        <v>592</v>
      </c>
      <c r="Q4" s="15" t="s">
        <v>590</v>
      </c>
      <c r="R4" s="15" t="s">
        <v>591</v>
      </c>
      <c r="S4" s="15" t="s">
        <v>592</v>
      </c>
      <c r="T4" s="15" t="s">
        <v>590</v>
      </c>
      <c r="U4" s="15" t="s">
        <v>591</v>
      </c>
      <c r="V4" s="15" t="s">
        <v>592</v>
      </c>
    </row>
    <row r="5" spans="1:22" ht="14.7" thickBot="1" x14ac:dyDescent="0.6">
      <c r="A5" s="14" t="s">
        <v>5</v>
      </c>
      <c r="B5" s="99" t="s">
        <v>6</v>
      </c>
      <c r="C5" s="15" t="s">
        <v>7</v>
      </c>
      <c r="D5" s="15">
        <v>40.96</v>
      </c>
      <c r="E5" s="99" t="s">
        <v>8</v>
      </c>
      <c r="F5" s="15" t="s">
        <v>9</v>
      </c>
      <c r="G5" s="15">
        <v>4.96</v>
      </c>
      <c r="H5" s="99" t="s">
        <v>10</v>
      </c>
      <c r="I5" s="15" t="s">
        <v>11</v>
      </c>
      <c r="J5" s="15">
        <v>3.04</v>
      </c>
      <c r="K5" s="99" t="s">
        <v>12</v>
      </c>
      <c r="L5" s="15" t="s">
        <v>13</v>
      </c>
      <c r="M5" s="15">
        <v>12.66</v>
      </c>
      <c r="N5" s="99" t="s">
        <v>330</v>
      </c>
      <c r="O5" s="15" t="s">
        <v>331</v>
      </c>
      <c r="P5" s="15">
        <v>2.5999999999999999E-2</v>
      </c>
      <c r="Q5" s="109" t="s">
        <v>332</v>
      </c>
      <c r="R5" s="15" t="s">
        <v>333</v>
      </c>
      <c r="S5" s="91">
        <v>7.1</v>
      </c>
      <c r="T5" s="109" t="s">
        <v>334</v>
      </c>
      <c r="U5" s="15" t="s">
        <v>335</v>
      </c>
      <c r="V5" s="16">
        <v>19.57</v>
      </c>
    </row>
    <row r="6" spans="1:22" ht="14.7" thickBot="1" x14ac:dyDescent="0.6">
      <c r="A6" s="14" t="s">
        <v>14</v>
      </c>
      <c r="B6" s="100"/>
      <c r="C6" s="15" t="s">
        <v>15</v>
      </c>
      <c r="D6" s="15">
        <v>45.4</v>
      </c>
      <c r="E6" s="100"/>
      <c r="F6" s="15" t="s">
        <v>16</v>
      </c>
      <c r="G6" s="91">
        <v>5.0999999999999996</v>
      </c>
      <c r="H6" s="100"/>
      <c r="I6" s="15" t="s">
        <v>17</v>
      </c>
      <c r="J6" s="15">
        <v>2.63</v>
      </c>
      <c r="K6" s="100"/>
      <c r="L6" s="15" t="s">
        <v>18</v>
      </c>
      <c r="M6" s="15">
        <v>12.24</v>
      </c>
      <c r="N6" s="100"/>
      <c r="O6" s="15" t="s">
        <v>336</v>
      </c>
      <c r="P6" s="15">
        <v>1.2E-2</v>
      </c>
      <c r="Q6" s="110"/>
      <c r="R6" s="15" t="s">
        <v>337</v>
      </c>
      <c r="S6" s="91">
        <v>7.3</v>
      </c>
      <c r="T6" s="110"/>
      <c r="U6" s="15" t="s">
        <v>338</v>
      </c>
      <c r="V6" s="15"/>
    </row>
    <row r="7" spans="1:22" ht="14.7" thickBot="1" x14ac:dyDescent="0.6">
      <c r="A7" s="14" t="s">
        <v>19</v>
      </c>
      <c r="B7" s="101" t="s">
        <v>20</v>
      </c>
      <c r="C7" s="15" t="s">
        <v>21</v>
      </c>
      <c r="D7" s="15">
        <v>45.28</v>
      </c>
      <c r="E7" s="101" t="s">
        <v>22</v>
      </c>
      <c r="F7" s="15" t="s">
        <v>23</v>
      </c>
      <c r="G7" s="91">
        <v>5.4</v>
      </c>
      <c r="H7" s="101" t="s">
        <v>24</v>
      </c>
      <c r="I7" s="15" t="s">
        <v>25</v>
      </c>
      <c r="J7" s="15">
        <v>2.19</v>
      </c>
      <c r="K7" s="101" t="s">
        <v>26</v>
      </c>
      <c r="L7" s="15" t="s">
        <v>27</v>
      </c>
      <c r="M7" s="15">
        <v>12.43</v>
      </c>
      <c r="N7" s="101" t="s">
        <v>330</v>
      </c>
      <c r="O7" s="15" t="s">
        <v>339</v>
      </c>
      <c r="P7" s="15">
        <v>0.01</v>
      </c>
      <c r="Q7" s="111" t="s">
        <v>340</v>
      </c>
      <c r="R7" s="15" t="s">
        <v>341</v>
      </c>
      <c r="S7" s="15">
        <v>7.75</v>
      </c>
      <c r="T7" s="111" t="s">
        <v>342</v>
      </c>
      <c r="U7" s="15" t="s">
        <v>343</v>
      </c>
      <c r="V7" s="16">
        <v>18.149999999999999</v>
      </c>
    </row>
    <row r="8" spans="1:22" ht="14.7" thickBot="1" x14ac:dyDescent="0.6">
      <c r="A8" s="14" t="s">
        <v>28</v>
      </c>
      <c r="B8" s="102"/>
      <c r="C8" s="15" t="s">
        <v>29</v>
      </c>
      <c r="D8" s="15">
        <v>57.09</v>
      </c>
      <c r="E8" s="102"/>
      <c r="F8" s="15" t="s">
        <v>30</v>
      </c>
      <c r="G8" s="15">
        <v>2.2599999999999998</v>
      </c>
      <c r="H8" s="102"/>
      <c r="I8" s="15" t="s">
        <v>31</v>
      </c>
      <c r="J8" s="15">
        <v>7.44</v>
      </c>
      <c r="K8" s="102"/>
      <c r="L8" s="15" t="s">
        <v>32</v>
      </c>
      <c r="M8" s="15">
        <v>16.14</v>
      </c>
      <c r="N8" s="102"/>
      <c r="O8" s="15" t="s">
        <v>344</v>
      </c>
      <c r="P8" s="15">
        <v>0.02</v>
      </c>
      <c r="Q8" s="112"/>
      <c r="R8" s="15" t="s">
        <v>345</v>
      </c>
      <c r="S8" s="15">
        <v>6.02</v>
      </c>
      <c r="T8" s="112"/>
      <c r="U8" s="15" t="s">
        <v>346</v>
      </c>
      <c r="V8" s="15"/>
    </row>
    <row r="9" spans="1:22" ht="14.7" thickBot="1" x14ac:dyDescent="0.6">
      <c r="A9" s="14" t="s">
        <v>33</v>
      </c>
      <c r="B9" s="99" t="s">
        <v>34</v>
      </c>
      <c r="C9" s="15" t="s">
        <v>35</v>
      </c>
      <c r="D9" s="15">
        <v>31.69</v>
      </c>
      <c r="E9" s="99" t="s">
        <v>36</v>
      </c>
      <c r="F9" s="15" t="s">
        <v>37</v>
      </c>
      <c r="G9" s="15">
        <v>4.41</v>
      </c>
      <c r="H9" s="99" t="s">
        <v>38</v>
      </c>
      <c r="I9" s="15" t="s">
        <v>39</v>
      </c>
      <c r="J9" s="15">
        <v>5.18</v>
      </c>
      <c r="K9" s="99" t="s">
        <v>40</v>
      </c>
      <c r="L9" s="15" t="s">
        <v>41</v>
      </c>
      <c r="M9" s="15">
        <v>13.91</v>
      </c>
      <c r="N9" s="99" t="s">
        <v>330</v>
      </c>
      <c r="O9" s="15" t="s">
        <v>347</v>
      </c>
      <c r="P9" s="15">
        <v>4.8000000000000001E-2</v>
      </c>
      <c r="Q9" s="109" t="s">
        <v>348</v>
      </c>
      <c r="R9" s="15" t="s">
        <v>643</v>
      </c>
      <c r="S9" s="15">
        <v>6.67</v>
      </c>
      <c r="T9" s="109" t="s">
        <v>349</v>
      </c>
      <c r="U9" s="15" t="s">
        <v>350</v>
      </c>
      <c r="V9" s="16">
        <v>17.170000000000002</v>
      </c>
    </row>
    <row r="10" spans="1:22" ht="25.5" thickBot="1" x14ac:dyDescent="0.6">
      <c r="A10" s="14" t="s">
        <v>42</v>
      </c>
      <c r="B10" s="100"/>
      <c r="C10" s="15" t="s">
        <v>642</v>
      </c>
      <c r="D10" s="15">
        <v>352.29</v>
      </c>
      <c r="E10" s="100"/>
      <c r="F10" s="15" t="s">
        <v>43</v>
      </c>
      <c r="G10" s="15">
        <v>0.05</v>
      </c>
      <c r="H10" s="100"/>
      <c r="I10" s="15" t="s">
        <v>44</v>
      </c>
      <c r="J10" s="15">
        <v>56.36</v>
      </c>
      <c r="K10" s="100"/>
      <c r="L10" s="15" t="s">
        <v>45</v>
      </c>
      <c r="M10" s="15">
        <v>56.23</v>
      </c>
      <c r="N10" s="100"/>
      <c r="O10" s="15" t="s">
        <v>351</v>
      </c>
      <c r="P10" s="15">
        <v>0.31</v>
      </c>
      <c r="Q10" s="110"/>
      <c r="R10" s="15" t="s">
        <v>352</v>
      </c>
      <c r="S10" s="15">
        <v>3.7</v>
      </c>
      <c r="T10" s="110"/>
      <c r="U10" s="15" t="s">
        <v>353</v>
      </c>
      <c r="V10" s="15"/>
    </row>
    <row r="11" spans="1:22" ht="14.7" thickBot="1" x14ac:dyDescent="0.6">
      <c r="A11" s="14" t="s">
        <v>46</v>
      </c>
      <c r="B11" s="99" t="s">
        <v>47</v>
      </c>
      <c r="C11" s="15" t="s">
        <v>48</v>
      </c>
      <c r="D11" s="15">
        <v>40.89</v>
      </c>
      <c r="E11" s="99" t="s">
        <v>49</v>
      </c>
      <c r="F11" s="15" t="s">
        <v>50</v>
      </c>
      <c r="G11" s="15">
        <v>5.4</v>
      </c>
      <c r="H11" s="99" t="s">
        <v>51</v>
      </c>
      <c r="I11" s="15" t="s">
        <v>52</v>
      </c>
      <c r="J11" s="15">
        <v>2.0299999999999998</v>
      </c>
      <c r="K11" s="99" t="s">
        <v>53</v>
      </c>
      <c r="L11" s="15" t="s">
        <v>54</v>
      </c>
      <c r="M11" s="15">
        <v>12.45</v>
      </c>
      <c r="N11" s="99" t="s">
        <v>330</v>
      </c>
      <c r="O11" s="15" t="s">
        <v>354</v>
      </c>
      <c r="P11" s="15">
        <v>4.0000000000000001E-3</v>
      </c>
      <c r="Q11" s="109" t="s">
        <v>355</v>
      </c>
      <c r="R11" s="15" t="s">
        <v>356</v>
      </c>
      <c r="S11" s="15">
        <v>7.31</v>
      </c>
      <c r="T11" s="109" t="s">
        <v>357</v>
      </c>
      <c r="U11" s="15" t="s">
        <v>358</v>
      </c>
      <c r="V11" s="16">
        <v>19.61</v>
      </c>
    </row>
    <row r="12" spans="1:22" ht="14.7" thickBot="1" x14ac:dyDescent="0.6">
      <c r="A12" s="14" t="s">
        <v>55</v>
      </c>
      <c r="B12" s="100"/>
      <c r="C12" s="15" t="s">
        <v>56</v>
      </c>
      <c r="D12" s="15">
        <v>45.11</v>
      </c>
      <c r="E12" s="100"/>
      <c r="F12" s="15" t="s">
        <v>57</v>
      </c>
      <c r="G12" s="15">
        <v>5.4</v>
      </c>
      <c r="H12" s="100"/>
      <c r="I12" s="15" t="s">
        <v>58</v>
      </c>
      <c r="J12" s="15">
        <v>1.82</v>
      </c>
      <c r="K12" s="100"/>
      <c r="L12" s="15" t="s">
        <v>59</v>
      </c>
      <c r="M12" s="15">
        <v>12.36</v>
      </c>
      <c r="N12" s="100"/>
      <c r="O12" s="15" t="s">
        <v>359</v>
      </c>
      <c r="P12" s="15">
        <v>3.0000000000000001E-3</v>
      </c>
      <c r="Q12" s="110"/>
      <c r="R12" s="15" t="s">
        <v>360</v>
      </c>
      <c r="S12" s="15">
        <v>7.31</v>
      </c>
      <c r="T12" s="110"/>
      <c r="U12" s="15" t="s">
        <v>361</v>
      </c>
      <c r="V12" s="15"/>
    </row>
    <row r="13" spans="1:22" ht="14.7" thickBot="1" x14ac:dyDescent="0.6">
      <c r="A13" s="14" t="s">
        <v>60</v>
      </c>
      <c r="B13" s="99" t="s">
        <v>61</v>
      </c>
      <c r="C13" s="15" t="s">
        <v>62</v>
      </c>
      <c r="D13" s="15">
        <v>46.36</v>
      </c>
      <c r="E13" s="99" t="s">
        <v>63</v>
      </c>
      <c r="F13" s="15" t="s">
        <v>64</v>
      </c>
      <c r="G13" s="15">
        <v>5.78</v>
      </c>
      <c r="H13" s="99" t="s">
        <v>65</v>
      </c>
      <c r="I13" s="15" t="s">
        <v>66</v>
      </c>
      <c r="J13" s="15">
        <v>1.9</v>
      </c>
      <c r="K13" s="99" t="s">
        <v>67</v>
      </c>
      <c r="L13" s="15" t="s">
        <v>68</v>
      </c>
      <c r="M13" s="15">
        <v>12.21</v>
      </c>
      <c r="N13" s="99" t="s">
        <v>330</v>
      </c>
      <c r="O13" s="15" t="s">
        <v>362</v>
      </c>
      <c r="P13" s="15">
        <v>2E-3</v>
      </c>
      <c r="Q13" s="109" t="s">
        <v>363</v>
      </c>
      <c r="R13" s="15" t="s">
        <v>364</v>
      </c>
      <c r="S13" s="15">
        <v>7.91</v>
      </c>
      <c r="T13" s="109" t="s">
        <v>365</v>
      </c>
      <c r="U13" s="15" t="s">
        <v>366</v>
      </c>
      <c r="V13" s="16">
        <v>18.86</v>
      </c>
    </row>
    <row r="14" spans="1:22" ht="14.7" thickBot="1" x14ac:dyDescent="0.6">
      <c r="A14" s="14" t="s">
        <v>69</v>
      </c>
      <c r="B14" s="100"/>
      <c r="C14" s="15" t="s">
        <v>70</v>
      </c>
      <c r="D14" s="15">
        <v>28.61</v>
      </c>
      <c r="E14" s="100"/>
      <c r="F14" s="15" t="s">
        <v>71</v>
      </c>
      <c r="G14" s="15">
        <v>4.8899999999999997</v>
      </c>
      <c r="H14" s="100"/>
      <c r="I14" s="15" t="s">
        <v>72</v>
      </c>
      <c r="J14" s="15">
        <v>4.95</v>
      </c>
      <c r="K14" s="100"/>
      <c r="L14" s="15" t="s">
        <v>73</v>
      </c>
      <c r="M14" s="15">
        <v>14.42</v>
      </c>
      <c r="N14" s="100"/>
      <c r="O14" s="15" t="s">
        <v>367</v>
      </c>
      <c r="P14" s="15">
        <v>2.5000000000000001E-2</v>
      </c>
      <c r="Q14" s="110"/>
      <c r="R14" s="15" t="s">
        <v>368</v>
      </c>
      <c r="S14" s="15">
        <v>7.51</v>
      </c>
      <c r="T14" s="110"/>
      <c r="U14" s="15" t="s">
        <v>369</v>
      </c>
      <c r="V14" s="15"/>
    </row>
    <row r="15" spans="1:22" ht="14.7" thickBot="1" x14ac:dyDescent="0.6">
      <c r="A15" s="14" t="s">
        <v>74</v>
      </c>
      <c r="B15" s="99" t="s">
        <v>75</v>
      </c>
      <c r="C15" s="15" t="s">
        <v>76</v>
      </c>
      <c r="D15" s="15">
        <v>47.42</v>
      </c>
      <c r="E15" s="99" t="s">
        <v>77</v>
      </c>
      <c r="F15" s="15" t="s">
        <v>78</v>
      </c>
      <c r="G15" s="15">
        <v>5.49</v>
      </c>
      <c r="H15" s="99" t="s">
        <v>79</v>
      </c>
      <c r="I15" s="15" t="s">
        <v>80</v>
      </c>
      <c r="J15" s="15">
        <v>2.97</v>
      </c>
      <c r="K15" s="99" t="s">
        <v>81</v>
      </c>
      <c r="L15" s="15" t="s">
        <v>82</v>
      </c>
      <c r="M15" s="15">
        <v>13.3</v>
      </c>
      <c r="N15" s="99" t="s">
        <v>330</v>
      </c>
      <c r="O15" s="15" t="s">
        <v>370</v>
      </c>
      <c r="P15" s="15">
        <v>1.7000000000000001E-2</v>
      </c>
      <c r="Q15" s="109" t="s">
        <v>371</v>
      </c>
      <c r="R15" s="15" t="s">
        <v>372</v>
      </c>
      <c r="S15" s="15">
        <v>7.24</v>
      </c>
      <c r="T15" s="109" t="s">
        <v>373</v>
      </c>
      <c r="U15" s="15" t="s">
        <v>374</v>
      </c>
      <c r="V15" s="16">
        <v>18.63</v>
      </c>
    </row>
    <row r="16" spans="1:22" ht="25.5" thickBot="1" x14ac:dyDescent="0.6">
      <c r="A16" s="14" t="s">
        <v>83</v>
      </c>
      <c r="B16" s="100"/>
      <c r="C16" s="15" t="s">
        <v>644</v>
      </c>
      <c r="D16" s="15">
        <v>343.42</v>
      </c>
      <c r="E16" s="100"/>
      <c r="F16" s="15" t="s">
        <v>84</v>
      </c>
      <c r="G16" s="15">
        <v>0.05</v>
      </c>
      <c r="H16" s="100"/>
      <c r="I16" s="15" t="s">
        <v>85</v>
      </c>
      <c r="J16" s="15">
        <v>70.209999999999994</v>
      </c>
      <c r="K16" s="100"/>
      <c r="L16" s="15" t="s">
        <v>86</v>
      </c>
      <c r="M16" s="15">
        <v>66.55</v>
      </c>
      <c r="N16" s="100"/>
      <c r="O16" s="15" t="s">
        <v>375</v>
      </c>
      <c r="P16" s="15">
        <v>0.46600000000000003</v>
      </c>
      <c r="Q16" s="110"/>
      <c r="R16" s="15" t="s">
        <v>376</v>
      </c>
      <c r="S16" s="15">
        <v>4.83</v>
      </c>
      <c r="T16" s="110"/>
      <c r="U16" s="15" t="s">
        <v>157</v>
      </c>
      <c r="V16" s="15"/>
    </row>
    <row r="17" spans="1:22" ht="14.7" thickBot="1" x14ac:dyDescent="0.6">
      <c r="A17" s="14" t="s">
        <v>87</v>
      </c>
      <c r="B17" s="99" t="s">
        <v>88</v>
      </c>
      <c r="C17" s="15" t="s">
        <v>89</v>
      </c>
      <c r="D17" s="15">
        <v>48.64</v>
      </c>
      <c r="E17" s="99" t="s">
        <v>90</v>
      </c>
      <c r="F17" s="15" t="s">
        <v>91</v>
      </c>
      <c r="G17" s="15">
        <v>5.7</v>
      </c>
      <c r="H17" s="99" t="s">
        <v>92</v>
      </c>
      <c r="I17" s="15" t="s">
        <v>93</v>
      </c>
      <c r="J17" s="15">
        <v>3.06</v>
      </c>
      <c r="K17" s="99" t="s">
        <v>94</v>
      </c>
      <c r="L17" s="15" t="s">
        <v>95</v>
      </c>
      <c r="M17" s="15">
        <v>13.39</v>
      </c>
      <c r="N17" s="99" t="s">
        <v>330</v>
      </c>
      <c r="O17" s="15" t="s">
        <v>377</v>
      </c>
      <c r="P17" s="15">
        <v>1.9E-2</v>
      </c>
      <c r="Q17" s="109" t="s">
        <v>378</v>
      </c>
      <c r="R17" s="15" t="s">
        <v>379</v>
      </c>
      <c r="S17" s="15">
        <v>7.48</v>
      </c>
      <c r="T17" s="109" t="s">
        <v>380</v>
      </c>
      <c r="U17" s="15" t="s">
        <v>381</v>
      </c>
      <c r="V17" s="16">
        <v>19.829999999999998</v>
      </c>
    </row>
    <row r="18" spans="1:22" ht="25.5" thickBot="1" x14ac:dyDescent="0.6">
      <c r="A18" s="14" t="s">
        <v>96</v>
      </c>
      <c r="B18" s="100"/>
      <c r="C18" s="15" t="s">
        <v>645</v>
      </c>
      <c r="D18" s="15">
        <v>322.83999999999997</v>
      </c>
      <c r="E18" s="100"/>
      <c r="F18" s="15" t="s">
        <v>97</v>
      </c>
      <c r="G18" s="15">
        <v>0.01</v>
      </c>
      <c r="H18" s="100"/>
      <c r="I18" s="15" t="s">
        <v>98</v>
      </c>
      <c r="J18" s="15">
        <v>81.33</v>
      </c>
      <c r="K18" s="100"/>
      <c r="L18" s="15" t="s">
        <v>99</v>
      </c>
      <c r="M18" s="15">
        <v>76.66</v>
      </c>
      <c r="N18" s="100"/>
      <c r="O18" s="15" t="s">
        <v>646</v>
      </c>
      <c r="P18" s="15">
        <v>0.49399999999999999</v>
      </c>
      <c r="Q18" s="110"/>
      <c r="R18" s="15" t="s">
        <v>382</v>
      </c>
      <c r="S18" s="15">
        <v>6.86</v>
      </c>
      <c r="T18" s="110"/>
      <c r="U18" s="15" t="s">
        <v>383</v>
      </c>
      <c r="V18" s="15"/>
    </row>
    <row r="19" spans="1:22" ht="14.7" thickBot="1" x14ac:dyDescent="0.6">
      <c r="A19" s="14" t="s">
        <v>100</v>
      </c>
      <c r="B19" s="99" t="s">
        <v>101</v>
      </c>
      <c r="C19" s="15" t="s">
        <v>102</v>
      </c>
      <c r="D19" s="15">
        <v>46.49</v>
      </c>
      <c r="E19" s="99" t="s">
        <v>103</v>
      </c>
      <c r="F19" s="15" t="s">
        <v>104</v>
      </c>
      <c r="G19" s="15">
        <v>5.25</v>
      </c>
      <c r="H19" s="99" t="s">
        <v>105</v>
      </c>
      <c r="I19" s="15" t="s">
        <v>106</v>
      </c>
      <c r="J19" s="15">
        <v>1.99</v>
      </c>
      <c r="K19" s="99" t="s">
        <v>107</v>
      </c>
      <c r="L19" s="15" t="s">
        <v>108</v>
      </c>
      <c r="M19" s="15">
        <v>12.4</v>
      </c>
      <c r="N19" s="99" t="s">
        <v>330</v>
      </c>
      <c r="O19" s="15" t="s">
        <v>330</v>
      </c>
      <c r="P19" s="15">
        <v>1E-3</v>
      </c>
      <c r="Q19" s="109" t="s">
        <v>384</v>
      </c>
      <c r="R19" s="15" t="s">
        <v>385</v>
      </c>
      <c r="S19" s="15">
        <v>7.34</v>
      </c>
      <c r="T19" s="109" t="s">
        <v>386</v>
      </c>
      <c r="U19" s="15" t="s">
        <v>387</v>
      </c>
      <c r="V19" s="16">
        <v>20.68</v>
      </c>
    </row>
    <row r="20" spans="1:22" ht="14.7" thickBot="1" x14ac:dyDescent="0.6">
      <c r="A20" s="14" t="s">
        <v>109</v>
      </c>
      <c r="B20" s="100"/>
      <c r="C20" s="15" t="s">
        <v>110</v>
      </c>
      <c r="D20" s="15">
        <v>48.53</v>
      </c>
      <c r="E20" s="100"/>
      <c r="F20" s="15" t="s">
        <v>111</v>
      </c>
      <c r="G20" s="15">
        <v>5.25</v>
      </c>
      <c r="H20" s="100"/>
      <c r="I20" s="15" t="s">
        <v>112</v>
      </c>
      <c r="J20" s="15">
        <v>1.77</v>
      </c>
      <c r="K20" s="100"/>
      <c r="L20" s="15" t="s">
        <v>113</v>
      </c>
      <c r="M20" s="15">
        <v>12.05</v>
      </c>
      <c r="N20" s="100"/>
      <c r="O20" s="15" t="s">
        <v>330</v>
      </c>
      <c r="P20" s="15">
        <v>1E-3</v>
      </c>
      <c r="Q20" s="110"/>
      <c r="R20" s="15" t="s">
        <v>384</v>
      </c>
      <c r="S20" s="15">
        <v>7.34</v>
      </c>
      <c r="T20" s="110"/>
      <c r="U20" s="15" t="s">
        <v>388</v>
      </c>
      <c r="V20" s="15"/>
    </row>
    <row r="21" spans="1:22" ht="14.7" thickBot="1" x14ac:dyDescent="0.6">
      <c r="A21" s="14" t="s">
        <v>114</v>
      </c>
      <c r="B21" s="99" t="s">
        <v>115</v>
      </c>
      <c r="C21" s="15" t="s">
        <v>116</v>
      </c>
      <c r="D21" s="15">
        <v>49.79</v>
      </c>
      <c r="E21" s="99" t="s">
        <v>117</v>
      </c>
      <c r="F21" s="15" t="s">
        <v>49</v>
      </c>
      <c r="G21" s="15">
        <v>5.46</v>
      </c>
      <c r="H21" s="99" t="s">
        <v>118</v>
      </c>
      <c r="I21" s="15" t="s">
        <v>119</v>
      </c>
      <c r="J21" s="15">
        <v>1.78</v>
      </c>
      <c r="K21" s="99" t="s">
        <v>120</v>
      </c>
      <c r="L21" s="15" t="s">
        <v>121</v>
      </c>
      <c r="M21" s="15">
        <v>11.69</v>
      </c>
      <c r="N21" s="99" t="s">
        <v>330</v>
      </c>
      <c r="O21" s="15" t="s">
        <v>330</v>
      </c>
      <c r="P21" s="15">
        <v>1E-3</v>
      </c>
      <c r="Q21" s="109" t="s">
        <v>389</v>
      </c>
      <c r="R21" s="15" t="s">
        <v>390</v>
      </c>
      <c r="S21" s="15">
        <v>7.9</v>
      </c>
      <c r="T21" s="109" t="s">
        <v>391</v>
      </c>
      <c r="U21" s="15" t="s">
        <v>392</v>
      </c>
      <c r="V21" s="16">
        <v>17.68</v>
      </c>
    </row>
    <row r="22" spans="1:22" ht="14.7" thickBot="1" x14ac:dyDescent="0.6">
      <c r="A22" s="14" t="s">
        <v>122</v>
      </c>
      <c r="B22" s="100"/>
      <c r="C22" s="15" t="s">
        <v>123</v>
      </c>
      <c r="D22" s="15">
        <v>21.47</v>
      </c>
      <c r="E22" s="100"/>
      <c r="F22" s="15" t="s">
        <v>124</v>
      </c>
      <c r="G22" s="15">
        <v>4.17</v>
      </c>
      <c r="H22" s="100"/>
      <c r="I22" s="15" t="s">
        <v>125</v>
      </c>
      <c r="J22" s="15">
        <v>6.63</v>
      </c>
      <c r="K22" s="100"/>
      <c r="L22" s="15" t="s">
        <v>126</v>
      </c>
      <c r="M22" s="15">
        <v>15.03</v>
      </c>
      <c r="N22" s="100"/>
      <c r="O22" s="15" t="s">
        <v>393</v>
      </c>
      <c r="P22" s="15">
        <v>4.4999999999999998E-2</v>
      </c>
      <c r="Q22" s="110"/>
      <c r="R22" s="15" t="s">
        <v>394</v>
      </c>
      <c r="S22" s="15">
        <v>7.42</v>
      </c>
      <c r="T22" s="110"/>
      <c r="U22" s="15" t="s">
        <v>395</v>
      </c>
      <c r="V22" s="15"/>
    </row>
    <row r="23" spans="1:22" ht="14.7" thickBot="1" x14ac:dyDescent="0.6">
      <c r="A23" s="14" t="s">
        <v>127</v>
      </c>
      <c r="B23" s="99" t="s">
        <v>128</v>
      </c>
      <c r="C23" s="15" t="s">
        <v>129</v>
      </c>
      <c r="D23" s="15">
        <v>46.08</v>
      </c>
      <c r="E23" s="99" t="s">
        <v>130</v>
      </c>
      <c r="F23" s="15" t="s">
        <v>131</v>
      </c>
      <c r="G23" s="15">
        <v>5.61</v>
      </c>
      <c r="H23" s="99" t="s">
        <v>132</v>
      </c>
      <c r="I23" s="15" t="s">
        <v>133</v>
      </c>
      <c r="J23" s="15">
        <v>3.32</v>
      </c>
      <c r="K23" s="99" t="s">
        <v>134</v>
      </c>
      <c r="L23" s="15" t="s">
        <v>135</v>
      </c>
      <c r="M23" s="15">
        <v>14.48</v>
      </c>
      <c r="N23" s="99" t="s">
        <v>330</v>
      </c>
      <c r="O23" s="15" t="s">
        <v>396</v>
      </c>
      <c r="P23" s="15">
        <v>3.3000000000000002E-2</v>
      </c>
      <c r="Q23" s="109" t="s">
        <v>397</v>
      </c>
      <c r="R23" s="15" t="s">
        <v>398</v>
      </c>
      <c r="S23" s="15">
        <v>7.43</v>
      </c>
      <c r="T23" s="109" t="s">
        <v>399</v>
      </c>
      <c r="U23" s="15" t="s">
        <v>400</v>
      </c>
      <c r="V23" s="16">
        <v>21.49</v>
      </c>
    </row>
    <row r="24" spans="1:22" ht="25.5" thickBot="1" x14ac:dyDescent="0.6">
      <c r="A24" s="14" t="s">
        <v>136</v>
      </c>
      <c r="B24" s="100"/>
      <c r="C24" s="15" t="s">
        <v>647</v>
      </c>
      <c r="D24" s="15">
        <v>272.49</v>
      </c>
      <c r="E24" s="100"/>
      <c r="F24" s="15" t="s">
        <v>137</v>
      </c>
      <c r="G24" s="91">
        <v>0</v>
      </c>
      <c r="H24" s="100"/>
      <c r="I24" s="15" t="s">
        <v>138</v>
      </c>
      <c r="J24" s="15">
        <v>122.73</v>
      </c>
      <c r="K24" s="100"/>
      <c r="L24" s="15" t="s">
        <v>139</v>
      </c>
      <c r="M24" s="15">
        <v>109.77</v>
      </c>
      <c r="N24" s="100"/>
      <c r="O24" s="15" t="s">
        <v>401</v>
      </c>
      <c r="P24" s="15">
        <v>0.53400000000000003</v>
      </c>
      <c r="Q24" s="110"/>
      <c r="R24" s="15" t="s">
        <v>402</v>
      </c>
      <c r="S24" s="15">
        <v>11.23</v>
      </c>
      <c r="T24" s="110"/>
      <c r="U24" s="15" t="s">
        <v>403</v>
      </c>
      <c r="V24" s="15"/>
    </row>
    <row r="25" spans="1:22" ht="14.7" thickBot="1" x14ac:dyDescent="0.6">
      <c r="A25" s="14" t="s">
        <v>140</v>
      </c>
      <c r="B25" s="88" t="s">
        <v>141</v>
      </c>
      <c r="C25" s="15" t="s">
        <v>142</v>
      </c>
      <c r="D25" s="15">
        <v>49.65</v>
      </c>
      <c r="E25" s="88" t="s">
        <v>143</v>
      </c>
      <c r="F25" s="15" t="s">
        <v>144</v>
      </c>
      <c r="G25" s="15">
        <v>6.05</v>
      </c>
      <c r="H25" s="88" t="s">
        <v>145</v>
      </c>
      <c r="I25" s="15" t="s">
        <v>146</v>
      </c>
      <c r="J25" s="15">
        <v>3.51</v>
      </c>
      <c r="K25" s="88" t="s">
        <v>147</v>
      </c>
      <c r="L25" s="15" t="s">
        <v>148</v>
      </c>
      <c r="M25" s="15">
        <v>14.4</v>
      </c>
      <c r="N25" s="88" t="s">
        <v>330</v>
      </c>
      <c r="O25" s="15" t="s">
        <v>404</v>
      </c>
      <c r="P25" s="15">
        <v>2.9000000000000001E-2</v>
      </c>
      <c r="Q25" s="89" t="s">
        <v>405</v>
      </c>
      <c r="R25" s="15" t="s">
        <v>406</v>
      </c>
      <c r="S25" s="15">
        <v>7.93</v>
      </c>
      <c r="T25" s="89" t="s">
        <v>407</v>
      </c>
      <c r="U25" s="15" t="s">
        <v>408</v>
      </c>
      <c r="V25" s="16">
        <v>20.34</v>
      </c>
    </row>
    <row r="26" spans="1:22" ht="14.7" thickBot="1" x14ac:dyDescent="0.6">
      <c r="A26" s="14" t="s">
        <v>149</v>
      </c>
      <c r="B26" s="99" t="s">
        <v>150</v>
      </c>
      <c r="C26" s="15" t="s">
        <v>151</v>
      </c>
      <c r="D26" s="15">
        <v>59.19</v>
      </c>
      <c r="E26" s="99" t="s">
        <v>152</v>
      </c>
      <c r="F26" s="15" t="s">
        <v>153</v>
      </c>
      <c r="G26" s="15">
        <v>7.08</v>
      </c>
      <c r="H26" s="99" t="s">
        <v>154</v>
      </c>
      <c r="I26" s="15" t="s">
        <v>155</v>
      </c>
      <c r="J26" s="15">
        <v>2.16</v>
      </c>
      <c r="K26" s="99" t="s">
        <v>156</v>
      </c>
      <c r="L26" s="15" t="s">
        <v>157</v>
      </c>
      <c r="M26" s="15">
        <v>14.58</v>
      </c>
      <c r="N26" s="99" t="s">
        <v>330</v>
      </c>
      <c r="O26" s="15" t="s">
        <v>330</v>
      </c>
      <c r="P26" s="15">
        <v>1E-3</v>
      </c>
      <c r="Q26" s="109" t="s">
        <v>409</v>
      </c>
      <c r="R26" s="15" t="s">
        <v>410</v>
      </c>
      <c r="S26" s="15">
        <v>7.54</v>
      </c>
      <c r="T26" s="109" t="s">
        <v>411</v>
      </c>
      <c r="U26" s="15" t="s">
        <v>412</v>
      </c>
      <c r="V26" s="16">
        <v>24.75</v>
      </c>
    </row>
    <row r="27" spans="1:22" ht="14.7" thickBot="1" x14ac:dyDescent="0.6">
      <c r="A27" s="14" t="s">
        <v>158</v>
      </c>
      <c r="B27" s="100"/>
      <c r="C27" s="15" t="s">
        <v>159</v>
      </c>
      <c r="D27" s="15">
        <v>61.87</v>
      </c>
      <c r="E27" s="100"/>
      <c r="F27" s="15" t="s">
        <v>160</v>
      </c>
      <c r="G27" s="15">
        <v>7.08</v>
      </c>
      <c r="H27" s="100"/>
      <c r="I27" s="15" t="s">
        <v>161</v>
      </c>
      <c r="J27" s="15">
        <v>1.95</v>
      </c>
      <c r="K27" s="100"/>
      <c r="L27" s="15" t="s">
        <v>162</v>
      </c>
      <c r="M27" s="15">
        <v>13.92</v>
      </c>
      <c r="N27" s="100"/>
      <c r="O27" s="15" t="s">
        <v>330</v>
      </c>
      <c r="P27" s="15">
        <v>1E-3</v>
      </c>
      <c r="Q27" s="110"/>
      <c r="R27" s="15" t="s">
        <v>413</v>
      </c>
      <c r="S27" s="15">
        <v>7.47</v>
      </c>
      <c r="T27" s="110"/>
      <c r="U27" s="15" t="s">
        <v>414</v>
      </c>
      <c r="V27" s="15"/>
    </row>
    <row r="28" spans="1:22" ht="14.7" thickBot="1" x14ac:dyDescent="0.6">
      <c r="A28" s="14" t="s">
        <v>163</v>
      </c>
      <c r="B28" s="99" t="s">
        <v>164</v>
      </c>
      <c r="C28" s="15" t="s">
        <v>165</v>
      </c>
      <c r="D28" s="15">
        <v>49.15</v>
      </c>
      <c r="E28" s="99" t="s">
        <v>166</v>
      </c>
      <c r="F28" s="15" t="s">
        <v>167</v>
      </c>
      <c r="G28" s="15">
        <v>5.34</v>
      </c>
      <c r="H28" s="99" t="s">
        <v>168</v>
      </c>
      <c r="I28" s="15" t="s">
        <v>169</v>
      </c>
      <c r="J28" s="15">
        <v>1.81</v>
      </c>
      <c r="K28" s="99" t="s">
        <v>170</v>
      </c>
      <c r="L28" s="15" t="s">
        <v>171</v>
      </c>
      <c r="M28" s="15">
        <v>11.47</v>
      </c>
      <c r="N28" s="99" t="s">
        <v>330</v>
      </c>
      <c r="O28" s="15" t="s">
        <v>330</v>
      </c>
      <c r="P28" s="15">
        <v>1E-3</v>
      </c>
      <c r="Q28" s="109" t="s">
        <v>415</v>
      </c>
      <c r="R28" s="15" t="s">
        <v>416</v>
      </c>
      <c r="S28" s="15">
        <v>7.93</v>
      </c>
      <c r="T28" s="109" t="s">
        <v>417</v>
      </c>
      <c r="U28" s="15" t="s">
        <v>418</v>
      </c>
      <c r="V28" s="16">
        <v>17.93</v>
      </c>
    </row>
    <row r="29" spans="1:22" ht="14.7" thickBot="1" x14ac:dyDescent="0.6">
      <c r="A29" s="14" t="s">
        <v>172</v>
      </c>
      <c r="B29" s="100"/>
      <c r="C29" s="15" t="s">
        <v>173</v>
      </c>
      <c r="D29" s="15">
        <v>36.659999999999997</v>
      </c>
      <c r="E29" s="100"/>
      <c r="F29" s="15" t="s">
        <v>174</v>
      </c>
      <c r="G29" s="15">
        <v>4.93</v>
      </c>
      <c r="H29" s="100"/>
      <c r="I29" s="15" t="s">
        <v>175</v>
      </c>
      <c r="J29" s="15">
        <v>4.8899999999999997</v>
      </c>
      <c r="K29" s="100"/>
      <c r="L29" s="15" t="s">
        <v>176</v>
      </c>
      <c r="M29" s="15">
        <v>14.08</v>
      </c>
      <c r="N29" s="100"/>
      <c r="O29" s="15" t="s">
        <v>419</v>
      </c>
      <c r="P29" s="15">
        <v>0.04</v>
      </c>
      <c r="Q29" s="110"/>
      <c r="R29" s="15" t="s">
        <v>420</v>
      </c>
      <c r="S29" s="15">
        <v>7.84</v>
      </c>
      <c r="T29" s="110"/>
      <c r="U29" s="15" t="s">
        <v>421</v>
      </c>
      <c r="V29" s="15"/>
    </row>
    <row r="30" spans="1:22" ht="14.7" thickBot="1" x14ac:dyDescent="0.6">
      <c r="A30" s="14" t="s">
        <v>177</v>
      </c>
      <c r="B30" s="99" t="s">
        <v>178</v>
      </c>
      <c r="C30" s="15" t="s">
        <v>635</v>
      </c>
      <c r="D30" s="15">
        <v>50.58</v>
      </c>
      <c r="E30" s="99" t="s">
        <v>634</v>
      </c>
      <c r="F30" s="15" t="s">
        <v>636</v>
      </c>
      <c r="G30" s="15">
        <v>6.07</v>
      </c>
      <c r="H30" s="99" t="s">
        <v>179</v>
      </c>
      <c r="I30" s="15" t="s">
        <v>637</v>
      </c>
      <c r="J30" s="15">
        <v>3.37</v>
      </c>
      <c r="K30" s="99" t="s">
        <v>180</v>
      </c>
      <c r="L30" s="15" t="s">
        <v>181</v>
      </c>
      <c r="M30" s="15">
        <v>14.67</v>
      </c>
      <c r="N30" s="99" t="s">
        <v>330</v>
      </c>
      <c r="O30" s="15" t="s">
        <v>422</v>
      </c>
      <c r="P30" s="15">
        <v>1.9E-2</v>
      </c>
      <c r="Q30" s="109" t="s">
        <v>423</v>
      </c>
      <c r="R30" s="15" t="s">
        <v>424</v>
      </c>
      <c r="S30" s="15">
        <v>7.78</v>
      </c>
      <c r="T30" s="109" t="s">
        <v>425</v>
      </c>
      <c r="U30" s="15" t="s">
        <v>426</v>
      </c>
      <c r="V30" s="16">
        <v>21.71</v>
      </c>
    </row>
    <row r="31" spans="1:22" ht="25.5" thickBot="1" x14ac:dyDescent="0.6">
      <c r="A31" s="14" t="s">
        <v>182</v>
      </c>
      <c r="B31" s="100"/>
      <c r="C31" s="15" t="s">
        <v>183</v>
      </c>
      <c r="D31" s="15">
        <v>224.97</v>
      </c>
      <c r="E31" s="100"/>
      <c r="F31" s="15" t="s">
        <v>97</v>
      </c>
      <c r="G31" s="15">
        <v>0.01</v>
      </c>
      <c r="H31" s="100"/>
      <c r="I31" s="15" t="s">
        <v>184</v>
      </c>
      <c r="J31" s="15">
        <v>106.96</v>
      </c>
      <c r="K31" s="100"/>
      <c r="L31" s="15" t="s">
        <v>185</v>
      </c>
      <c r="M31" s="15">
        <v>98.14</v>
      </c>
      <c r="N31" s="100"/>
      <c r="O31" s="15" t="s">
        <v>427</v>
      </c>
      <c r="P31" s="98">
        <v>0.63</v>
      </c>
      <c r="Q31" s="110"/>
      <c r="R31" s="15" t="s">
        <v>648</v>
      </c>
      <c r="S31" s="15">
        <v>12.62</v>
      </c>
      <c r="T31" s="110"/>
      <c r="U31" s="15" t="s">
        <v>428</v>
      </c>
      <c r="V31" s="15"/>
    </row>
    <row r="32" spans="1:22" ht="14.7" thickBot="1" x14ac:dyDescent="0.6">
      <c r="A32" s="14" t="s">
        <v>186</v>
      </c>
      <c r="B32" s="99" t="s">
        <v>187</v>
      </c>
      <c r="C32" s="15" t="s">
        <v>188</v>
      </c>
      <c r="D32" s="15">
        <v>58</v>
      </c>
      <c r="E32" s="99" t="s">
        <v>189</v>
      </c>
      <c r="F32" s="15" t="s">
        <v>190</v>
      </c>
      <c r="G32" s="15">
        <v>6.44</v>
      </c>
      <c r="H32" s="99" t="s">
        <v>191</v>
      </c>
      <c r="I32" s="15" t="s">
        <v>192</v>
      </c>
      <c r="J32" s="15">
        <v>2.09</v>
      </c>
      <c r="K32" s="99" t="s">
        <v>193</v>
      </c>
      <c r="L32" s="15" t="s">
        <v>194</v>
      </c>
      <c r="M32" s="15">
        <v>12.94</v>
      </c>
      <c r="N32" s="99" t="s">
        <v>330</v>
      </c>
      <c r="O32" s="15" t="s">
        <v>330</v>
      </c>
      <c r="P32" s="15">
        <v>1E-3</v>
      </c>
      <c r="Q32" s="109" t="s">
        <v>429</v>
      </c>
      <c r="R32" s="15" t="s">
        <v>430</v>
      </c>
      <c r="S32" s="15">
        <v>7.56</v>
      </c>
      <c r="T32" s="109" t="s">
        <v>431</v>
      </c>
      <c r="U32" s="15" t="s">
        <v>432</v>
      </c>
      <c r="V32" s="16">
        <v>23.7</v>
      </c>
    </row>
    <row r="33" spans="1:22" ht="14.7" thickBot="1" x14ac:dyDescent="0.6">
      <c r="A33" s="14" t="s">
        <v>195</v>
      </c>
      <c r="B33" s="100"/>
      <c r="C33" s="15" t="s">
        <v>196</v>
      </c>
      <c r="D33" s="15">
        <v>58.23</v>
      </c>
      <c r="E33" s="100"/>
      <c r="F33" s="15" t="s">
        <v>197</v>
      </c>
      <c r="G33" s="15">
        <v>6.44</v>
      </c>
      <c r="H33" s="100"/>
      <c r="I33" s="4" t="s">
        <v>161</v>
      </c>
      <c r="J33" s="15">
        <v>1.95</v>
      </c>
      <c r="K33" s="100"/>
      <c r="L33" s="15" t="s">
        <v>198</v>
      </c>
      <c r="M33" s="91">
        <v>13</v>
      </c>
      <c r="N33" s="100"/>
      <c r="O33" s="15" t="s">
        <v>330</v>
      </c>
      <c r="P33" s="15">
        <v>1E-3</v>
      </c>
      <c r="Q33" s="110"/>
      <c r="R33" s="15" t="s">
        <v>433</v>
      </c>
      <c r="S33" s="15">
        <v>7.63</v>
      </c>
      <c r="T33" s="110"/>
      <c r="U33" s="15" t="s">
        <v>434</v>
      </c>
      <c r="V33" s="15"/>
    </row>
    <row r="34" spans="1:22" ht="14.7" thickBot="1" x14ac:dyDescent="0.6">
      <c r="A34" s="14" t="s">
        <v>199</v>
      </c>
      <c r="B34" s="99" t="s">
        <v>200</v>
      </c>
      <c r="C34" s="15" t="s">
        <v>201</v>
      </c>
      <c r="D34" s="15">
        <v>46.75</v>
      </c>
      <c r="E34" s="99" t="s">
        <v>202</v>
      </c>
      <c r="F34" s="15" t="s">
        <v>203</v>
      </c>
      <c r="G34" s="15">
        <v>5.35</v>
      </c>
      <c r="H34" s="99" t="s">
        <v>168</v>
      </c>
      <c r="I34" s="15" t="s">
        <v>204</v>
      </c>
      <c r="J34" s="15">
        <v>1.69</v>
      </c>
      <c r="K34" s="99" t="s">
        <v>205</v>
      </c>
      <c r="L34" s="15" t="s">
        <v>206</v>
      </c>
      <c r="M34" s="15">
        <v>11.53</v>
      </c>
      <c r="N34" s="99" t="s">
        <v>330</v>
      </c>
      <c r="O34" s="15" t="s">
        <v>330</v>
      </c>
      <c r="P34" s="15">
        <v>1E-3</v>
      </c>
      <c r="Q34" s="109" t="s">
        <v>435</v>
      </c>
      <c r="R34" s="15" t="s">
        <v>436</v>
      </c>
      <c r="S34" s="15">
        <v>7.73</v>
      </c>
      <c r="T34" s="109" t="s">
        <v>437</v>
      </c>
      <c r="U34" s="15" t="s">
        <v>438</v>
      </c>
      <c r="V34" s="16">
        <v>17.670000000000002</v>
      </c>
    </row>
    <row r="35" spans="1:22" ht="14.7" thickBot="1" x14ac:dyDescent="0.6">
      <c r="A35" s="14" t="s">
        <v>207</v>
      </c>
      <c r="B35" s="100"/>
      <c r="C35" s="15" t="s">
        <v>208</v>
      </c>
      <c r="D35" s="15">
        <v>27.53</v>
      </c>
      <c r="E35" s="100"/>
      <c r="F35" s="15" t="s">
        <v>209</v>
      </c>
      <c r="G35" s="15">
        <v>4.49</v>
      </c>
      <c r="H35" s="100"/>
      <c r="I35" s="15" t="s">
        <v>210</v>
      </c>
      <c r="J35" s="15">
        <v>7.79</v>
      </c>
      <c r="K35" s="100"/>
      <c r="L35" s="15" t="s">
        <v>211</v>
      </c>
      <c r="M35" s="91">
        <v>16.100000000000001</v>
      </c>
      <c r="N35" s="100"/>
      <c r="O35" s="15" t="s">
        <v>439</v>
      </c>
      <c r="P35" s="15">
        <v>9.5000000000000001E-2</v>
      </c>
      <c r="Q35" s="110"/>
      <c r="R35" s="15" t="s">
        <v>440</v>
      </c>
      <c r="S35" s="15">
        <v>7.58</v>
      </c>
      <c r="T35" s="110"/>
      <c r="U35" s="15" t="s">
        <v>441</v>
      </c>
      <c r="V35" s="15"/>
    </row>
    <row r="36" spans="1:22" ht="14.7" thickBot="1" x14ac:dyDescent="0.6">
      <c r="A36" s="14" t="s">
        <v>212</v>
      </c>
      <c r="B36" s="99" t="s">
        <v>213</v>
      </c>
      <c r="C36" s="15" t="s">
        <v>214</v>
      </c>
      <c r="D36" s="15">
        <v>47.08</v>
      </c>
      <c r="E36" s="99" t="s">
        <v>215</v>
      </c>
      <c r="F36" s="15" t="s">
        <v>216</v>
      </c>
      <c r="G36" s="15">
        <v>5.19</v>
      </c>
      <c r="H36" s="99" t="s">
        <v>217</v>
      </c>
      <c r="I36" s="15" t="s">
        <v>218</v>
      </c>
      <c r="J36" s="15">
        <v>2.96</v>
      </c>
      <c r="K36" s="99" t="s">
        <v>219</v>
      </c>
      <c r="L36" s="15" t="s">
        <v>220</v>
      </c>
      <c r="M36" s="15">
        <v>12.06</v>
      </c>
      <c r="N36" s="99" t="s">
        <v>330</v>
      </c>
      <c r="O36" s="15" t="s">
        <v>442</v>
      </c>
      <c r="P36" s="15">
        <v>2.1999999999999999E-2</v>
      </c>
      <c r="Q36" s="109" t="s">
        <v>443</v>
      </c>
      <c r="R36" s="15" t="s">
        <v>444</v>
      </c>
      <c r="S36" s="15">
        <v>7.92</v>
      </c>
      <c r="T36" s="109" t="s">
        <v>445</v>
      </c>
      <c r="U36" s="15" t="s">
        <v>446</v>
      </c>
      <c r="V36" s="16">
        <v>17.510000000000002</v>
      </c>
    </row>
    <row r="37" spans="1:22" ht="14.7" thickBot="1" x14ac:dyDescent="0.6">
      <c r="A37" s="14" t="s">
        <v>221</v>
      </c>
      <c r="B37" s="100"/>
      <c r="C37" s="15" t="s">
        <v>222</v>
      </c>
      <c r="D37" s="91">
        <v>26.8</v>
      </c>
      <c r="E37" s="100"/>
      <c r="F37" s="15" t="s">
        <v>649</v>
      </c>
      <c r="G37" s="15">
        <v>0.12</v>
      </c>
      <c r="H37" s="100"/>
      <c r="I37" s="15" t="s">
        <v>650</v>
      </c>
      <c r="J37" s="15">
        <v>191.18</v>
      </c>
      <c r="K37" s="100"/>
      <c r="L37" s="15" t="s">
        <v>224</v>
      </c>
      <c r="M37" s="15">
        <v>166.41</v>
      </c>
      <c r="N37" s="100"/>
      <c r="O37" s="15" t="s">
        <v>447</v>
      </c>
      <c r="P37" s="15">
        <v>0.57099999999999995</v>
      </c>
      <c r="Q37" s="110"/>
      <c r="R37" s="15" t="s">
        <v>651</v>
      </c>
      <c r="S37" s="15">
        <v>33.36</v>
      </c>
      <c r="T37" s="110"/>
      <c r="U37" s="15" t="s">
        <v>428</v>
      </c>
      <c r="V37" s="15"/>
    </row>
    <row r="38" spans="1:22" ht="14.7" thickBot="1" x14ac:dyDescent="0.6">
      <c r="A38" s="18" t="s">
        <v>225</v>
      </c>
      <c r="B38" s="99" t="s">
        <v>226</v>
      </c>
      <c r="C38" s="17" t="s">
        <v>227</v>
      </c>
      <c r="D38" s="17">
        <v>48.04</v>
      </c>
      <c r="E38" s="99" t="s">
        <v>228</v>
      </c>
      <c r="F38" s="17" t="s">
        <v>229</v>
      </c>
      <c r="G38" s="17">
        <v>5.28</v>
      </c>
      <c r="H38" s="99" t="s">
        <v>230</v>
      </c>
      <c r="I38" s="17" t="s">
        <v>231</v>
      </c>
      <c r="J38" s="17">
        <v>1.82</v>
      </c>
      <c r="K38" s="99" t="s">
        <v>232</v>
      </c>
      <c r="L38" s="17" t="s">
        <v>233</v>
      </c>
      <c r="M38" s="17">
        <v>12.58</v>
      </c>
      <c r="N38" s="99" t="s">
        <v>330</v>
      </c>
      <c r="O38" s="17" t="s">
        <v>330</v>
      </c>
      <c r="P38" s="15">
        <v>1E-3</v>
      </c>
      <c r="Q38" s="109" t="s">
        <v>448</v>
      </c>
      <c r="R38" s="17" t="s">
        <v>449</v>
      </c>
      <c r="S38" s="17">
        <v>7.61</v>
      </c>
      <c r="T38" s="109" t="s">
        <v>450</v>
      </c>
      <c r="U38" s="17" t="s">
        <v>451</v>
      </c>
      <c r="V38" s="19">
        <v>21.06</v>
      </c>
    </row>
    <row r="39" spans="1:22" ht="14.7" thickBot="1" x14ac:dyDescent="0.6">
      <c r="A39" s="14" t="s">
        <v>234</v>
      </c>
      <c r="B39" s="100"/>
      <c r="C39" s="15" t="s">
        <v>235</v>
      </c>
      <c r="D39" s="15">
        <v>48.85</v>
      </c>
      <c r="E39" s="100"/>
      <c r="F39" s="15" t="s">
        <v>236</v>
      </c>
      <c r="G39" s="15">
        <v>5.28</v>
      </c>
      <c r="H39" s="100"/>
      <c r="I39" s="15" t="s">
        <v>237</v>
      </c>
      <c r="J39" s="15">
        <v>1.71</v>
      </c>
      <c r="K39" s="100"/>
      <c r="L39" s="15" t="s">
        <v>238</v>
      </c>
      <c r="M39" s="15">
        <v>12.56</v>
      </c>
      <c r="N39" s="100"/>
      <c r="O39" s="15" t="s">
        <v>330</v>
      </c>
      <c r="P39" s="15">
        <v>1E-3</v>
      </c>
      <c r="Q39" s="110"/>
      <c r="R39" s="15" t="s">
        <v>452</v>
      </c>
      <c r="S39" s="15">
        <v>7.56</v>
      </c>
      <c r="T39" s="110"/>
      <c r="U39" s="15" t="s">
        <v>453</v>
      </c>
      <c r="V39" s="15"/>
    </row>
    <row r="40" spans="1:22" ht="14.7" thickBot="1" x14ac:dyDescent="0.6">
      <c r="A40" s="14" t="s">
        <v>239</v>
      </c>
      <c r="B40" s="99" t="s">
        <v>240</v>
      </c>
      <c r="C40" s="15" t="s">
        <v>241</v>
      </c>
      <c r="D40" s="15">
        <v>49.43</v>
      </c>
      <c r="E40" s="99" t="s">
        <v>242</v>
      </c>
      <c r="F40" s="15" t="s">
        <v>243</v>
      </c>
      <c r="G40" s="15">
        <v>6.56</v>
      </c>
      <c r="H40" s="99" t="s">
        <v>112</v>
      </c>
      <c r="I40" s="15" t="s">
        <v>244</v>
      </c>
      <c r="J40" s="15">
        <v>1.81</v>
      </c>
      <c r="K40" s="99" t="s">
        <v>245</v>
      </c>
      <c r="L40" s="15" t="s">
        <v>246</v>
      </c>
      <c r="M40" s="15">
        <v>13.98</v>
      </c>
      <c r="N40" s="99" t="s">
        <v>330</v>
      </c>
      <c r="O40" s="15" t="s">
        <v>330</v>
      </c>
      <c r="P40" s="15">
        <v>1E-3</v>
      </c>
      <c r="Q40" s="109" t="s">
        <v>454</v>
      </c>
      <c r="R40" s="15" t="s">
        <v>455</v>
      </c>
      <c r="S40" s="15">
        <v>7.72</v>
      </c>
      <c r="T40" s="109" t="s">
        <v>456</v>
      </c>
      <c r="U40" s="15" t="s">
        <v>457</v>
      </c>
      <c r="V40" s="16">
        <v>20.61</v>
      </c>
    </row>
    <row r="41" spans="1:22" ht="14.7" thickBot="1" x14ac:dyDescent="0.6">
      <c r="A41" s="14" t="s">
        <v>247</v>
      </c>
      <c r="B41" s="100"/>
      <c r="C41" s="15" t="s">
        <v>248</v>
      </c>
      <c r="D41" s="15">
        <v>38.4</v>
      </c>
      <c r="E41" s="100"/>
      <c r="F41" s="15" t="s">
        <v>249</v>
      </c>
      <c r="G41" s="15">
        <v>5.96</v>
      </c>
      <c r="H41" s="100"/>
      <c r="I41" s="15" t="s">
        <v>250</v>
      </c>
      <c r="J41" s="91">
        <v>4.5</v>
      </c>
      <c r="K41" s="100"/>
      <c r="L41" s="15" t="s">
        <v>251</v>
      </c>
      <c r="M41" s="15">
        <v>16.05</v>
      </c>
      <c r="N41" s="100"/>
      <c r="O41" s="15" t="s">
        <v>458</v>
      </c>
      <c r="P41" s="15">
        <v>6.0999999999999999E-2</v>
      </c>
      <c r="Q41" s="110"/>
      <c r="R41" s="15" t="s">
        <v>632</v>
      </c>
      <c r="S41" s="15">
        <v>7.81</v>
      </c>
      <c r="T41" s="110"/>
      <c r="U41" s="15" t="s">
        <v>459</v>
      </c>
      <c r="V41" s="15"/>
    </row>
    <row r="42" spans="1:22" ht="14.7" thickBot="1" x14ac:dyDescent="0.6">
      <c r="A42" s="14" t="s">
        <v>252</v>
      </c>
      <c r="B42" s="99" t="s">
        <v>253</v>
      </c>
      <c r="C42" s="15" t="s">
        <v>254</v>
      </c>
      <c r="D42" s="15">
        <v>31.88</v>
      </c>
      <c r="E42" s="99" t="s">
        <v>255</v>
      </c>
      <c r="F42" s="15" t="s">
        <v>256</v>
      </c>
      <c r="G42" s="15">
        <v>4.93</v>
      </c>
      <c r="H42" s="99" t="s">
        <v>257</v>
      </c>
      <c r="I42" s="15" t="s">
        <v>258</v>
      </c>
      <c r="J42" s="15">
        <v>7.18</v>
      </c>
      <c r="K42" s="99" t="s">
        <v>259</v>
      </c>
      <c r="L42" s="15" t="s">
        <v>260</v>
      </c>
      <c r="M42" s="15">
        <v>16.79</v>
      </c>
      <c r="N42" s="99" t="s">
        <v>330</v>
      </c>
      <c r="O42" s="15" t="s">
        <v>460</v>
      </c>
      <c r="P42" s="15">
        <v>5.2999999999999999E-2</v>
      </c>
      <c r="Q42" s="109" t="s">
        <v>461</v>
      </c>
      <c r="R42" s="15" t="s">
        <v>639</v>
      </c>
      <c r="S42" s="15">
        <v>7.93</v>
      </c>
      <c r="T42" s="109" t="s">
        <v>462</v>
      </c>
      <c r="U42" s="15" t="s">
        <v>463</v>
      </c>
      <c r="V42" s="16">
        <v>19.93</v>
      </c>
    </row>
    <row r="43" spans="1:22" ht="14.7" thickBot="1" x14ac:dyDescent="0.6">
      <c r="A43" s="14" t="s">
        <v>261</v>
      </c>
      <c r="B43" s="100"/>
      <c r="C43" s="15" t="s">
        <v>262</v>
      </c>
      <c r="D43" s="15" t="s">
        <v>263</v>
      </c>
      <c r="E43" s="100"/>
      <c r="F43" s="15" t="s">
        <v>223</v>
      </c>
      <c r="G43" s="15" t="s">
        <v>263</v>
      </c>
      <c r="H43" s="100"/>
      <c r="I43" s="15" t="s">
        <v>264</v>
      </c>
      <c r="J43" s="15" t="s">
        <v>263</v>
      </c>
      <c r="K43" s="100"/>
      <c r="L43" s="15" t="s">
        <v>265</v>
      </c>
      <c r="M43" s="15" t="s">
        <v>263</v>
      </c>
      <c r="N43" s="100"/>
      <c r="O43" s="15" t="s">
        <v>464</v>
      </c>
      <c r="P43" s="15" t="s">
        <v>263</v>
      </c>
      <c r="Q43" s="110"/>
      <c r="R43" s="15" t="s">
        <v>465</v>
      </c>
      <c r="S43" s="15" t="s">
        <v>263</v>
      </c>
      <c r="T43" s="110"/>
      <c r="U43" s="15" t="s">
        <v>466</v>
      </c>
      <c r="V43" s="15"/>
    </row>
    <row r="44" spans="1:22" ht="14.7" thickBot="1" x14ac:dyDescent="0.6">
      <c r="A44" s="14" t="s">
        <v>266</v>
      </c>
      <c r="B44" s="99" t="s">
        <v>267</v>
      </c>
      <c r="C44" s="15" t="s">
        <v>268</v>
      </c>
      <c r="D44" s="15">
        <v>46.01</v>
      </c>
      <c r="E44" s="99" t="s">
        <v>269</v>
      </c>
      <c r="F44" s="15" t="s">
        <v>270</v>
      </c>
      <c r="G44" s="15">
        <v>5.48</v>
      </c>
      <c r="H44" s="99" t="s">
        <v>271</v>
      </c>
      <c r="I44" s="15" t="s">
        <v>272</v>
      </c>
      <c r="J44" s="15">
        <v>1.71</v>
      </c>
      <c r="K44" s="99" t="s">
        <v>273</v>
      </c>
      <c r="L44" s="15" t="s">
        <v>274</v>
      </c>
      <c r="M44" s="15">
        <v>12.2</v>
      </c>
      <c r="N44" s="99" t="s">
        <v>330</v>
      </c>
      <c r="O44" s="15" t="s">
        <v>330</v>
      </c>
      <c r="P44" s="15">
        <v>1E-3</v>
      </c>
      <c r="Q44" s="109" t="s">
        <v>467</v>
      </c>
      <c r="R44" s="15" t="s">
        <v>468</v>
      </c>
      <c r="S44" s="15">
        <v>7.55</v>
      </c>
      <c r="T44" s="109" t="s">
        <v>469</v>
      </c>
      <c r="U44" s="15" t="s">
        <v>470</v>
      </c>
      <c r="V44" s="16">
        <v>19.71</v>
      </c>
    </row>
    <row r="45" spans="1:22" ht="14.7" thickBot="1" x14ac:dyDescent="0.6">
      <c r="A45" s="14" t="s">
        <v>275</v>
      </c>
      <c r="B45" s="100"/>
      <c r="C45" s="15" t="s">
        <v>276</v>
      </c>
      <c r="D45" s="15">
        <v>46.52</v>
      </c>
      <c r="E45" s="100"/>
      <c r="F45" s="15" t="s">
        <v>277</v>
      </c>
      <c r="G45" s="15">
        <v>5.48</v>
      </c>
      <c r="H45" s="100"/>
      <c r="I45" s="15" t="s">
        <v>278</v>
      </c>
      <c r="J45" s="15">
        <v>1.66</v>
      </c>
      <c r="K45" s="100"/>
      <c r="L45" s="15" t="s">
        <v>279</v>
      </c>
      <c r="M45" s="15">
        <v>12.22</v>
      </c>
      <c r="N45" s="100"/>
      <c r="O45" s="15" t="s">
        <v>330</v>
      </c>
      <c r="P45" s="15">
        <v>1E-3</v>
      </c>
      <c r="Q45" s="110"/>
      <c r="R45" s="15" t="s">
        <v>471</v>
      </c>
      <c r="S45" s="15">
        <v>7.44</v>
      </c>
      <c r="T45" s="110"/>
      <c r="U45" s="15" t="s">
        <v>472</v>
      </c>
      <c r="V45" s="15"/>
    </row>
    <row r="46" spans="1:22" ht="14.7" thickBot="1" x14ac:dyDescent="0.6">
      <c r="A46" s="14" t="s">
        <v>280</v>
      </c>
      <c r="B46" s="99" t="s">
        <v>281</v>
      </c>
      <c r="C46" s="15" t="s">
        <v>282</v>
      </c>
      <c r="D46" s="15">
        <v>47.13</v>
      </c>
      <c r="E46" s="99" t="s">
        <v>283</v>
      </c>
      <c r="F46" s="15" t="s">
        <v>284</v>
      </c>
      <c r="G46" s="15">
        <v>5.5</v>
      </c>
      <c r="H46" s="99" t="s">
        <v>285</v>
      </c>
      <c r="I46" s="15" t="s">
        <v>286</v>
      </c>
      <c r="J46" s="15">
        <v>1.7</v>
      </c>
      <c r="K46" s="99" t="s">
        <v>287</v>
      </c>
      <c r="L46" s="15" t="s">
        <v>67</v>
      </c>
      <c r="M46" s="15">
        <v>12.14</v>
      </c>
      <c r="N46" s="99" t="s">
        <v>330</v>
      </c>
      <c r="O46" s="15" t="s">
        <v>330</v>
      </c>
      <c r="P46" s="15">
        <v>1E-3</v>
      </c>
      <c r="Q46" s="109" t="s">
        <v>473</v>
      </c>
      <c r="R46" s="15" t="s">
        <v>474</v>
      </c>
      <c r="S46" s="15">
        <v>7.73</v>
      </c>
      <c r="T46" s="109" t="s">
        <v>475</v>
      </c>
      <c r="U46" s="15" t="s">
        <v>476</v>
      </c>
      <c r="V46" s="16">
        <v>18.27</v>
      </c>
    </row>
    <row r="47" spans="1:22" ht="14.7" thickBot="1" x14ac:dyDescent="0.6">
      <c r="A47" s="14" t="s">
        <v>288</v>
      </c>
      <c r="B47" s="100"/>
      <c r="C47" s="15" t="s">
        <v>289</v>
      </c>
      <c r="D47" s="15">
        <v>37.24</v>
      </c>
      <c r="E47" s="100"/>
      <c r="F47" s="15" t="s">
        <v>290</v>
      </c>
      <c r="G47" s="15">
        <v>4.75</v>
      </c>
      <c r="H47" s="100"/>
      <c r="I47" s="15" t="s">
        <v>291</v>
      </c>
      <c r="J47" s="15">
        <v>3.49</v>
      </c>
      <c r="K47" s="100"/>
      <c r="L47" s="15" t="s">
        <v>292</v>
      </c>
      <c r="M47" s="15">
        <v>13.45</v>
      </c>
      <c r="N47" s="100"/>
      <c r="O47" s="15" t="s">
        <v>477</v>
      </c>
      <c r="P47" s="15">
        <v>4.9000000000000002E-2</v>
      </c>
      <c r="Q47" s="110"/>
      <c r="R47" s="15" t="s">
        <v>478</v>
      </c>
      <c r="S47" s="15">
        <v>7.44</v>
      </c>
      <c r="T47" s="110"/>
      <c r="U47" s="15" t="s">
        <v>479</v>
      </c>
      <c r="V47" s="15"/>
    </row>
    <row r="48" spans="1:22" ht="14.7" thickBot="1" x14ac:dyDescent="0.6">
      <c r="A48" s="14" t="s">
        <v>293</v>
      </c>
      <c r="B48" s="99" t="s">
        <v>294</v>
      </c>
      <c r="C48" s="15" t="s">
        <v>640</v>
      </c>
      <c r="D48" s="15">
        <v>19.829999999999998</v>
      </c>
      <c r="E48" s="99" t="s">
        <v>295</v>
      </c>
      <c r="F48" s="15" t="s">
        <v>296</v>
      </c>
      <c r="G48" s="15">
        <v>4.22</v>
      </c>
      <c r="H48" s="99" t="s">
        <v>191</v>
      </c>
      <c r="I48" s="15" t="s">
        <v>297</v>
      </c>
      <c r="J48" s="15">
        <v>7.02</v>
      </c>
      <c r="K48" s="99" t="s">
        <v>298</v>
      </c>
      <c r="L48" s="15" t="s">
        <v>299</v>
      </c>
      <c r="M48" s="15">
        <v>20.260000000000002</v>
      </c>
      <c r="N48" s="99" t="s">
        <v>330</v>
      </c>
      <c r="O48" s="15" t="s">
        <v>641</v>
      </c>
      <c r="P48" s="15">
        <v>2.2100000000000002E-2</v>
      </c>
      <c r="Q48" s="109" t="s">
        <v>480</v>
      </c>
      <c r="R48" s="15" t="s">
        <v>481</v>
      </c>
      <c r="S48" s="15">
        <v>7.21</v>
      </c>
      <c r="T48" s="109" t="s">
        <v>482</v>
      </c>
      <c r="U48" s="15" t="s">
        <v>483</v>
      </c>
      <c r="V48" s="16">
        <v>24.7</v>
      </c>
    </row>
    <row r="49" spans="1:22" ht="14.7" thickBot="1" x14ac:dyDescent="0.6">
      <c r="A49" s="14" t="s">
        <v>300</v>
      </c>
      <c r="B49" s="100"/>
      <c r="C49" s="15" t="s">
        <v>263</v>
      </c>
      <c r="D49" s="15" t="s">
        <v>263</v>
      </c>
      <c r="E49" s="100"/>
      <c r="F49" s="15" t="s">
        <v>263</v>
      </c>
      <c r="G49" s="15" t="s">
        <v>263</v>
      </c>
      <c r="H49" s="100"/>
      <c r="I49" s="15" t="s">
        <v>263</v>
      </c>
      <c r="J49" s="15" t="s">
        <v>263</v>
      </c>
      <c r="K49" s="100"/>
      <c r="L49" s="15" t="s">
        <v>263</v>
      </c>
      <c r="M49" s="15" t="s">
        <v>263</v>
      </c>
      <c r="N49" s="100"/>
      <c r="O49" s="15" t="s">
        <v>263</v>
      </c>
      <c r="P49" s="15"/>
      <c r="Q49" s="110"/>
      <c r="R49" s="15" t="s">
        <v>263</v>
      </c>
      <c r="S49" s="15"/>
      <c r="T49" s="110"/>
      <c r="U49" s="15" t="s">
        <v>263</v>
      </c>
      <c r="V49" s="15"/>
    </row>
    <row r="50" spans="1:22" ht="14.7" thickBot="1" x14ac:dyDescent="0.6">
      <c r="A50" s="14" t="s">
        <v>301</v>
      </c>
      <c r="B50" s="99" t="s">
        <v>302</v>
      </c>
      <c r="C50" s="15" t="s">
        <v>303</v>
      </c>
      <c r="D50" s="15">
        <v>45.51</v>
      </c>
      <c r="E50" s="99" t="s">
        <v>304</v>
      </c>
      <c r="F50" s="15" t="s">
        <v>305</v>
      </c>
      <c r="G50" s="15">
        <v>4.93</v>
      </c>
      <c r="H50" s="99" t="s">
        <v>306</v>
      </c>
      <c r="I50" s="15" t="s">
        <v>286</v>
      </c>
      <c r="J50" s="15">
        <v>1.7</v>
      </c>
      <c r="K50" s="99" t="s">
        <v>307</v>
      </c>
      <c r="L50" s="15" t="s">
        <v>308</v>
      </c>
      <c r="M50" s="15">
        <v>10.94</v>
      </c>
      <c r="N50" s="99" t="s">
        <v>330</v>
      </c>
      <c r="O50" s="15" t="s">
        <v>330</v>
      </c>
      <c r="P50" s="15">
        <v>1E-3</v>
      </c>
      <c r="Q50" s="109" t="s">
        <v>484</v>
      </c>
      <c r="R50" s="15" t="s">
        <v>448</v>
      </c>
      <c r="S50" s="15">
        <v>7.6</v>
      </c>
      <c r="T50" s="109" t="s">
        <v>485</v>
      </c>
      <c r="U50" s="15" t="s">
        <v>486</v>
      </c>
      <c r="V50" s="16">
        <v>19.37</v>
      </c>
    </row>
    <row r="51" spans="1:22" ht="14.7" thickBot="1" x14ac:dyDescent="0.6">
      <c r="A51" s="14" t="s">
        <v>309</v>
      </c>
      <c r="B51" s="100"/>
      <c r="C51" s="15" t="s">
        <v>633</v>
      </c>
      <c r="D51" s="15">
        <v>45.96</v>
      </c>
      <c r="E51" s="100"/>
      <c r="F51" s="15" t="s">
        <v>310</v>
      </c>
      <c r="G51" s="15">
        <v>4.97</v>
      </c>
      <c r="H51" s="100"/>
      <c r="I51" s="15" t="s">
        <v>311</v>
      </c>
      <c r="J51" s="15">
        <v>1.6</v>
      </c>
      <c r="K51" s="100"/>
      <c r="L51" s="15" t="s">
        <v>312</v>
      </c>
      <c r="M51" s="15">
        <v>10.99</v>
      </c>
      <c r="N51" s="100"/>
      <c r="O51" s="15" t="s">
        <v>330</v>
      </c>
      <c r="P51" s="15">
        <v>1E-3</v>
      </c>
      <c r="Q51" s="110"/>
      <c r="R51" s="15" t="s">
        <v>487</v>
      </c>
      <c r="S51" s="15">
        <v>7.74</v>
      </c>
      <c r="T51" s="110"/>
      <c r="U51" s="15" t="s">
        <v>488</v>
      </c>
      <c r="V51" s="15"/>
    </row>
    <row r="52" spans="1:22" ht="14.7" thickBot="1" x14ac:dyDescent="0.6">
      <c r="A52" s="14" t="s">
        <v>313</v>
      </c>
      <c r="B52" s="99" t="s">
        <v>314</v>
      </c>
      <c r="C52" s="15" t="s">
        <v>315</v>
      </c>
      <c r="D52" s="15">
        <v>47.26</v>
      </c>
      <c r="E52" s="99" t="s">
        <v>316</v>
      </c>
      <c r="F52" s="15" t="s">
        <v>317</v>
      </c>
      <c r="G52" s="15">
        <v>5.17</v>
      </c>
      <c r="H52" s="99" t="s">
        <v>318</v>
      </c>
      <c r="I52" s="15" t="s">
        <v>319</v>
      </c>
      <c r="J52" s="15">
        <v>1.67</v>
      </c>
      <c r="K52" s="99" t="s">
        <v>320</v>
      </c>
      <c r="L52" s="15" t="s">
        <v>321</v>
      </c>
      <c r="M52" s="15">
        <v>11.44</v>
      </c>
      <c r="N52" s="99" t="s">
        <v>330</v>
      </c>
      <c r="O52" s="15" t="s">
        <v>330</v>
      </c>
      <c r="P52" s="15">
        <v>1E-3</v>
      </c>
      <c r="Q52" s="109" t="s">
        <v>489</v>
      </c>
      <c r="R52" s="15" t="s">
        <v>490</v>
      </c>
      <c r="S52" s="15">
        <v>7.48</v>
      </c>
      <c r="T52" s="109" t="s">
        <v>491</v>
      </c>
      <c r="U52" s="15" t="s">
        <v>492</v>
      </c>
      <c r="V52" s="16">
        <v>16.920000000000002</v>
      </c>
    </row>
    <row r="53" spans="1:22" ht="14.7" thickBot="1" x14ac:dyDescent="0.6">
      <c r="A53" s="14" t="s">
        <v>322</v>
      </c>
      <c r="B53" s="100"/>
      <c r="C53" s="15" t="s">
        <v>323</v>
      </c>
      <c r="D53" s="15">
        <v>39.72</v>
      </c>
      <c r="E53" s="100"/>
      <c r="F53" s="15" t="s">
        <v>324</v>
      </c>
      <c r="G53" s="15">
        <v>4.42</v>
      </c>
      <c r="H53" s="100"/>
      <c r="I53" s="15" t="s">
        <v>325</v>
      </c>
      <c r="J53" s="15">
        <v>4.5199999999999996</v>
      </c>
      <c r="K53" s="100"/>
      <c r="L53" s="15" t="s">
        <v>326</v>
      </c>
      <c r="M53" s="15">
        <v>13.17</v>
      </c>
      <c r="N53" s="100"/>
      <c r="O53" s="15" t="s">
        <v>493</v>
      </c>
      <c r="P53" s="15">
        <v>4.1000000000000002E-2</v>
      </c>
      <c r="Q53" s="110"/>
      <c r="R53" s="15" t="s">
        <v>494</v>
      </c>
      <c r="S53" s="15">
        <v>7.64</v>
      </c>
      <c r="T53" s="110"/>
      <c r="U53" s="15" t="s">
        <v>495</v>
      </c>
      <c r="V53" s="15"/>
    </row>
  </sheetData>
  <mergeCells count="176">
    <mergeCell ref="T50:T51"/>
    <mergeCell ref="T52:T53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T36:T37"/>
    <mergeCell ref="T38:T39"/>
    <mergeCell ref="T40:T41"/>
    <mergeCell ref="T42:T43"/>
    <mergeCell ref="T44:T45"/>
    <mergeCell ref="T46:T47"/>
    <mergeCell ref="Q19:Q20"/>
    <mergeCell ref="Q23:Q24"/>
    <mergeCell ref="Q21:Q22"/>
    <mergeCell ref="Q26:Q27"/>
    <mergeCell ref="Q28:Q29"/>
    <mergeCell ref="Q30:Q31"/>
    <mergeCell ref="Q32:Q33"/>
    <mergeCell ref="Q34:Q35"/>
    <mergeCell ref="T48:T49"/>
    <mergeCell ref="T30:T31"/>
    <mergeCell ref="T32:T33"/>
    <mergeCell ref="T34:T35"/>
    <mergeCell ref="T19:T20"/>
    <mergeCell ref="T21:T22"/>
    <mergeCell ref="T23:T24"/>
    <mergeCell ref="T26:T27"/>
    <mergeCell ref="T28:T29"/>
    <mergeCell ref="T11:T12"/>
    <mergeCell ref="T9:T10"/>
    <mergeCell ref="T7:T8"/>
    <mergeCell ref="Q7:Q8"/>
    <mergeCell ref="Q9:Q10"/>
    <mergeCell ref="Q11:Q12"/>
    <mergeCell ref="Q13:Q14"/>
    <mergeCell ref="Q15:Q16"/>
    <mergeCell ref="Q17:Q18"/>
    <mergeCell ref="T13:T14"/>
    <mergeCell ref="T15:T16"/>
    <mergeCell ref="T17:T18"/>
    <mergeCell ref="Q3:S3"/>
    <mergeCell ref="T3:V3"/>
    <mergeCell ref="A3:A4"/>
    <mergeCell ref="B3:D3"/>
    <mergeCell ref="E3:G3"/>
    <mergeCell ref="H3:J3"/>
    <mergeCell ref="K3:M3"/>
    <mergeCell ref="B5:B6"/>
    <mergeCell ref="E5:E6"/>
    <mergeCell ref="H5:H6"/>
    <mergeCell ref="K5:K6"/>
    <mergeCell ref="N5:N6"/>
    <mergeCell ref="Q5:Q6"/>
    <mergeCell ref="T5:T6"/>
    <mergeCell ref="B7:B8"/>
    <mergeCell ref="E7:E8"/>
    <mergeCell ref="H7:H8"/>
    <mergeCell ref="K7:K8"/>
    <mergeCell ref="B9:B10"/>
    <mergeCell ref="E9:E10"/>
    <mergeCell ref="H9:H10"/>
    <mergeCell ref="K9:K10"/>
    <mergeCell ref="N3:P3"/>
    <mergeCell ref="B15:B16"/>
    <mergeCell ref="E15:E16"/>
    <mergeCell ref="H15:H16"/>
    <mergeCell ref="K15:K16"/>
    <mergeCell ref="B17:B18"/>
    <mergeCell ref="E17:E18"/>
    <mergeCell ref="H17:H18"/>
    <mergeCell ref="K17:K18"/>
    <mergeCell ref="B11:B12"/>
    <mergeCell ref="E11:E12"/>
    <mergeCell ref="H11:H12"/>
    <mergeCell ref="K11:K12"/>
    <mergeCell ref="B13:B14"/>
    <mergeCell ref="E13:E14"/>
    <mergeCell ref="H13:H14"/>
    <mergeCell ref="K13:K14"/>
    <mergeCell ref="B23:B24"/>
    <mergeCell ref="E23:E24"/>
    <mergeCell ref="H23:H24"/>
    <mergeCell ref="K23:K24"/>
    <mergeCell ref="B19:B20"/>
    <mergeCell ref="E19:E20"/>
    <mergeCell ref="H19:H20"/>
    <mergeCell ref="K19:K20"/>
    <mergeCell ref="B21:B22"/>
    <mergeCell ref="E21:E22"/>
    <mergeCell ref="H21:H22"/>
    <mergeCell ref="K21:K22"/>
    <mergeCell ref="K32:K33"/>
    <mergeCell ref="B26:B27"/>
    <mergeCell ref="E26:E27"/>
    <mergeCell ref="H26:H27"/>
    <mergeCell ref="K26:K27"/>
    <mergeCell ref="B28:B29"/>
    <mergeCell ref="E28:E29"/>
    <mergeCell ref="H28:H29"/>
    <mergeCell ref="K28:K29"/>
    <mergeCell ref="H48:H49"/>
    <mergeCell ref="K48:K49"/>
    <mergeCell ref="B42:B43"/>
    <mergeCell ref="E42:E43"/>
    <mergeCell ref="H42:H43"/>
    <mergeCell ref="K42:K43"/>
    <mergeCell ref="B44:B45"/>
    <mergeCell ref="E44:E45"/>
    <mergeCell ref="N17:N18"/>
    <mergeCell ref="B34:B35"/>
    <mergeCell ref="E34:E35"/>
    <mergeCell ref="H34:H35"/>
    <mergeCell ref="K34:K35"/>
    <mergeCell ref="B36:B37"/>
    <mergeCell ref="E36:E37"/>
    <mergeCell ref="H36:H37"/>
    <mergeCell ref="K36:K37"/>
    <mergeCell ref="B30:B31"/>
    <mergeCell ref="E30:E31"/>
    <mergeCell ref="H30:H31"/>
    <mergeCell ref="K30:K31"/>
    <mergeCell ref="B32:B33"/>
    <mergeCell ref="E32:E33"/>
    <mergeCell ref="H32:H33"/>
    <mergeCell ref="N52:N53"/>
    <mergeCell ref="N40:N41"/>
    <mergeCell ref="N42:N43"/>
    <mergeCell ref="N44:N45"/>
    <mergeCell ref="N46:N47"/>
    <mergeCell ref="N7:N8"/>
    <mergeCell ref="N9:N10"/>
    <mergeCell ref="N11:N12"/>
    <mergeCell ref="N13:N14"/>
    <mergeCell ref="N15:N16"/>
    <mergeCell ref="B52:B53"/>
    <mergeCell ref="E52:E53"/>
    <mergeCell ref="H52:H53"/>
    <mergeCell ref="K52:K53"/>
    <mergeCell ref="H44:H45"/>
    <mergeCell ref="K44:K45"/>
    <mergeCell ref="B38:B39"/>
    <mergeCell ref="E38:E39"/>
    <mergeCell ref="H38:H39"/>
    <mergeCell ref="K38:K39"/>
    <mergeCell ref="B40:B41"/>
    <mergeCell ref="E40:E41"/>
    <mergeCell ref="H40:H41"/>
    <mergeCell ref="K40:K41"/>
    <mergeCell ref="B50:B51"/>
    <mergeCell ref="E50:E51"/>
    <mergeCell ref="H50:H51"/>
    <mergeCell ref="K50:K51"/>
    <mergeCell ref="B46:B47"/>
    <mergeCell ref="E46:E47"/>
    <mergeCell ref="H46:H47"/>
    <mergeCell ref="K46:K47"/>
    <mergeCell ref="B48:B49"/>
    <mergeCell ref="E48:E49"/>
    <mergeCell ref="N48:N49"/>
    <mergeCell ref="N50:N51"/>
    <mergeCell ref="N28:N29"/>
    <mergeCell ref="N30:N31"/>
    <mergeCell ref="N32:N33"/>
    <mergeCell ref="N34:N35"/>
    <mergeCell ref="N36:N37"/>
    <mergeCell ref="N38:N39"/>
    <mergeCell ref="N19:N20"/>
    <mergeCell ref="N21:N22"/>
    <mergeCell ref="N23:N24"/>
    <mergeCell ref="N26:N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6EA9-2314-4C7C-AA37-D7B3883C9176}">
  <dimension ref="A1:N56"/>
  <sheetViews>
    <sheetView tabSelected="1" zoomScale="115" zoomScaleNormal="115" workbookViewId="0">
      <selection activeCell="M6" sqref="M6:M7"/>
    </sheetView>
  </sheetViews>
  <sheetFormatPr defaultRowHeight="14.4" x14ac:dyDescent="0.55000000000000004"/>
  <cols>
    <col min="2" max="3" width="11.578125" customWidth="1"/>
    <col min="4" max="4" width="9.3125" customWidth="1"/>
    <col min="5" max="5" width="13.26171875" customWidth="1"/>
    <col min="6" max="6" width="8.9453125" customWidth="1"/>
  </cols>
  <sheetData>
    <row r="1" spans="1:14" ht="18" x14ac:dyDescent="0.75">
      <c r="A1" s="55" t="s">
        <v>622</v>
      </c>
      <c r="B1" s="56" t="s">
        <v>631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ht="14.7" thickBot="1" x14ac:dyDescent="0.6"/>
    <row r="3" spans="1:14" ht="25.2" customHeight="1" x14ac:dyDescent="0.55000000000000004">
      <c r="A3" s="99" t="s">
        <v>0</v>
      </c>
      <c r="B3" s="113" t="s">
        <v>496</v>
      </c>
      <c r="C3" s="114"/>
      <c r="D3" s="115"/>
      <c r="E3" s="113" t="s">
        <v>497</v>
      </c>
      <c r="F3" s="114"/>
      <c r="G3" s="115"/>
      <c r="H3" s="113" t="s">
        <v>629</v>
      </c>
      <c r="I3" s="114"/>
      <c r="J3" s="115"/>
    </row>
    <row r="4" spans="1:14" ht="14.7" thickBot="1" x14ac:dyDescent="0.6">
      <c r="A4" s="100"/>
      <c r="B4" s="116"/>
      <c r="C4" s="117"/>
      <c r="D4" s="118"/>
      <c r="E4" s="116"/>
      <c r="F4" s="117"/>
      <c r="G4" s="118"/>
      <c r="H4" s="116"/>
      <c r="I4" s="117"/>
      <c r="J4" s="118"/>
    </row>
    <row r="5" spans="1:14" ht="14.7" thickBot="1" x14ac:dyDescent="0.6">
      <c r="A5" s="14"/>
      <c r="B5" s="15" t="s">
        <v>590</v>
      </c>
      <c r="C5" s="15" t="s">
        <v>591</v>
      </c>
      <c r="D5" s="15" t="s">
        <v>592</v>
      </c>
      <c r="E5" s="15" t="s">
        <v>590</v>
      </c>
      <c r="F5" s="15" t="s">
        <v>591</v>
      </c>
      <c r="G5" s="15" t="s">
        <v>592</v>
      </c>
      <c r="H5" s="15" t="s">
        <v>590</v>
      </c>
      <c r="I5" s="15" t="s">
        <v>591</v>
      </c>
      <c r="J5" s="15" t="s">
        <v>630</v>
      </c>
    </row>
    <row r="6" spans="1:14" ht="14.7" thickBot="1" x14ac:dyDescent="0.6">
      <c r="A6" s="14" t="s">
        <v>5</v>
      </c>
      <c r="B6" s="16" t="s">
        <v>498</v>
      </c>
      <c r="C6" s="15" t="s">
        <v>499</v>
      </c>
      <c r="D6" s="15">
        <v>9.2200000000000006</v>
      </c>
      <c r="E6" s="16">
        <v>156.85</v>
      </c>
      <c r="F6" s="15">
        <v>110.44</v>
      </c>
      <c r="G6" s="15">
        <v>123.03</v>
      </c>
      <c r="H6" s="16">
        <v>18.5</v>
      </c>
      <c r="I6" s="16">
        <v>18.5</v>
      </c>
      <c r="J6" s="16">
        <v>18.5</v>
      </c>
    </row>
    <row r="7" spans="1:14" ht="14.7" thickBot="1" x14ac:dyDescent="0.6">
      <c r="A7" s="14" t="s">
        <v>14</v>
      </c>
      <c r="B7" s="15"/>
      <c r="C7" s="15" t="s">
        <v>502</v>
      </c>
      <c r="D7" s="15">
        <v>8.56</v>
      </c>
      <c r="E7" s="15"/>
      <c r="F7" s="15">
        <v>145.25</v>
      </c>
      <c r="G7" s="15">
        <v>145.56</v>
      </c>
      <c r="H7" s="15"/>
      <c r="I7" s="15"/>
      <c r="J7" s="15"/>
    </row>
    <row r="8" spans="1:14" ht="14.7" thickBot="1" x14ac:dyDescent="0.6">
      <c r="A8" s="14" t="s">
        <v>19</v>
      </c>
      <c r="B8" s="59" t="s">
        <v>504</v>
      </c>
      <c r="C8" s="15" t="s">
        <v>505</v>
      </c>
      <c r="D8" s="15">
        <v>8.5299999999999994</v>
      </c>
      <c r="E8" s="59">
        <v>170.9</v>
      </c>
      <c r="F8" s="15">
        <v>153.78</v>
      </c>
      <c r="G8" s="15">
        <v>163.74</v>
      </c>
      <c r="H8" s="59">
        <v>21.63</v>
      </c>
      <c r="I8" s="16">
        <v>21.63</v>
      </c>
      <c r="J8" s="16">
        <v>21.63</v>
      </c>
    </row>
    <row r="9" spans="1:14" ht="13.2" customHeight="1" thickBot="1" x14ac:dyDescent="0.6">
      <c r="A9" s="14" t="s">
        <v>28</v>
      </c>
      <c r="B9" s="15"/>
      <c r="C9" s="15" t="s">
        <v>508</v>
      </c>
      <c r="D9" s="15">
        <v>11.55</v>
      </c>
      <c r="E9" s="15"/>
      <c r="F9" s="15">
        <v>3.05</v>
      </c>
      <c r="G9" s="15">
        <v>20.59</v>
      </c>
      <c r="H9" s="15"/>
      <c r="I9" s="15"/>
      <c r="J9" s="15"/>
    </row>
    <row r="10" spans="1:14" ht="14.1" customHeight="1" thickBot="1" x14ac:dyDescent="0.6">
      <c r="A10" s="14" t="s">
        <v>33</v>
      </c>
      <c r="B10" s="16" t="s">
        <v>510</v>
      </c>
      <c r="C10" s="15" t="s">
        <v>511</v>
      </c>
      <c r="D10" s="15">
        <v>10.38</v>
      </c>
      <c r="E10" s="16">
        <v>167.15</v>
      </c>
      <c r="F10" s="15">
        <v>10.72</v>
      </c>
      <c r="G10" s="15">
        <v>62.94</v>
      </c>
      <c r="H10" s="16">
        <v>20.64</v>
      </c>
      <c r="I10" s="16">
        <v>20.64</v>
      </c>
      <c r="J10" s="16">
        <v>20.64</v>
      </c>
    </row>
    <row r="11" spans="1:14" ht="16.5" customHeight="1" thickBot="1" x14ac:dyDescent="0.6">
      <c r="A11" s="14" t="s">
        <v>42</v>
      </c>
      <c r="B11" s="15"/>
      <c r="C11" s="15" t="s">
        <v>514</v>
      </c>
      <c r="D11" s="15">
        <v>12.36</v>
      </c>
      <c r="E11" s="15"/>
      <c r="F11" s="15">
        <v>27.45</v>
      </c>
      <c r="G11" s="15">
        <v>31.37</v>
      </c>
      <c r="H11" s="15"/>
      <c r="I11" s="15"/>
      <c r="J11" s="15"/>
    </row>
    <row r="12" spans="1:14" ht="14.7" thickBot="1" x14ac:dyDescent="0.6">
      <c r="A12" s="14" t="s">
        <v>46</v>
      </c>
      <c r="B12" s="16" t="s">
        <v>515</v>
      </c>
      <c r="C12" s="15" t="s">
        <v>516</v>
      </c>
      <c r="D12" s="15">
        <v>8.08</v>
      </c>
      <c r="E12" s="16">
        <v>158.05000000000001</v>
      </c>
      <c r="F12" s="15">
        <v>153.43</v>
      </c>
      <c r="G12" s="91">
        <v>135.30000000000001</v>
      </c>
      <c r="H12" s="16">
        <v>20.079999999999998</v>
      </c>
      <c r="I12" s="16">
        <v>20.079999999999998</v>
      </c>
      <c r="J12" s="16">
        <v>20.079999999999998</v>
      </c>
    </row>
    <row r="13" spans="1:14" ht="14.7" thickBot="1" x14ac:dyDescent="0.6">
      <c r="A13" s="14" t="s">
        <v>55</v>
      </c>
      <c r="B13" s="15"/>
      <c r="C13" s="15" t="s">
        <v>519</v>
      </c>
      <c r="D13" s="15">
        <v>7.99</v>
      </c>
      <c r="E13" s="15"/>
      <c r="F13" s="15">
        <v>151.86000000000001</v>
      </c>
      <c r="G13" s="91">
        <v>153.4</v>
      </c>
      <c r="H13" s="15"/>
      <c r="I13" s="15"/>
      <c r="J13" s="15"/>
    </row>
    <row r="14" spans="1:14" ht="14.7" thickBot="1" x14ac:dyDescent="0.6">
      <c r="A14" s="14" t="s">
        <v>60</v>
      </c>
      <c r="B14" s="16" t="s">
        <v>521</v>
      </c>
      <c r="C14" s="15" t="s">
        <v>522</v>
      </c>
      <c r="D14" s="15">
        <v>8.02</v>
      </c>
      <c r="E14" s="16">
        <v>169.55</v>
      </c>
      <c r="F14" s="15">
        <v>169.7</v>
      </c>
      <c r="G14" s="15">
        <v>166.66</v>
      </c>
      <c r="H14" s="16">
        <v>21.95</v>
      </c>
      <c r="I14" s="16">
        <v>21.95</v>
      </c>
      <c r="J14" s="16">
        <v>21.95</v>
      </c>
    </row>
    <row r="15" spans="1:14" ht="14.7" thickBot="1" x14ac:dyDescent="0.6">
      <c r="A15" s="14" t="s">
        <v>69</v>
      </c>
      <c r="B15" s="15"/>
      <c r="C15" s="15" t="s">
        <v>525</v>
      </c>
      <c r="D15" s="15">
        <v>8.93</v>
      </c>
      <c r="E15" s="15"/>
      <c r="F15" s="15">
        <v>85.42</v>
      </c>
      <c r="G15" s="15">
        <v>109.73</v>
      </c>
      <c r="H15" s="15"/>
      <c r="I15" s="15"/>
      <c r="J15" s="15"/>
    </row>
    <row r="16" spans="1:14" ht="14.7" thickBot="1" x14ac:dyDescent="0.6">
      <c r="A16" s="14" t="s">
        <v>74</v>
      </c>
      <c r="B16" s="16" t="s">
        <v>527</v>
      </c>
      <c r="C16" s="15" t="s">
        <v>528</v>
      </c>
      <c r="D16" s="91">
        <v>8.5</v>
      </c>
      <c r="E16" s="16">
        <v>176.31</v>
      </c>
      <c r="F16" s="15">
        <v>153.19999999999999</v>
      </c>
      <c r="G16" s="15">
        <v>162.13</v>
      </c>
      <c r="H16" s="16">
        <v>23.01</v>
      </c>
      <c r="I16" s="16">
        <v>23.01</v>
      </c>
      <c r="J16" s="16">
        <v>23.01</v>
      </c>
    </row>
    <row r="17" spans="1:10" ht="13.2" customHeight="1" thickBot="1" x14ac:dyDescent="0.6">
      <c r="A17" s="14" t="s">
        <v>83</v>
      </c>
      <c r="B17" s="15"/>
      <c r="C17" s="15" t="s">
        <v>530</v>
      </c>
      <c r="D17" s="15">
        <v>12.28</v>
      </c>
      <c r="E17" s="15"/>
      <c r="F17" s="15">
        <v>26.23</v>
      </c>
      <c r="G17" s="15">
        <v>39.44</v>
      </c>
      <c r="H17" s="15"/>
      <c r="I17" s="15"/>
      <c r="J17" s="15"/>
    </row>
    <row r="18" spans="1:10" ht="14.7" thickBot="1" x14ac:dyDescent="0.6">
      <c r="A18" s="14" t="s">
        <v>87</v>
      </c>
      <c r="B18" s="16" t="s">
        <v>531</v>
      </c>
      <c r="C18" s="15" t="s">
        <v>532</v>
      </c>
      <c r="D18" s="15">
        <v>8.36</v>
      </c>
      <c r="E18" s="16">
        <v>167.2</v>
      </c>
      <c r="F18" s="15">
        <v>157.4</v>
      </c>
      <c r="G18" s="15">
        <v>158.38</v>
      </c>
      <c r="H18" s="16">
        <v>23.46</v>
      </c>
      <c r="I18" s="16">
        <v>23.46</v>
      </c>
      <c r="J18" s="16">
        <v>23.46</v>
      </c>
    </row>
    <row r="19" spans="1:10" ht="14.4" customHeight="1" thickBot="1" x14ac:dyDescent="0.6">
      <c r="A19" s="14" t="s">
        <v>96</v>
      </c>
      <c r="B19" s="15"/>
      <c r="C19" s="15" t="s">
        <v>535</v>
      </c>
      <c r="D19" s="15">
        <v>12.25</v>
      </c>
      <c r="E19" s="15"/>
      <c r="F19" s="15">
        <v>26.84</v>
      </c>
      <c r="G19" s="15">
        <v>52.49</v>
      </c>
      <c r="H19" s="15"/>
      <c r="I19" s="15"/>
      <c r="J19" s="15"/>
    </row>
    <row r="20" spans="1:10" ht="14.7" thickBot="1" x14ac:dyDescent="0.6">
      <c r="A20" s="14" t="s">
        <v>100</v>
      </c>
      <c r="B20" s="16" t="s">
        <v>537</v>
      </c>
      <c r="C20" s="15" t="s">
        <v>538</v>
      </c>
      <c r="D20" s="15">
        <v>7.97</v>
      </c>
      <c r="E20" s="16">
        <v>155.65</v>
      </c>
      <c r="F20" s="15">
        <v>152.5</v>
      </c>
      <c r="G20" s="15">
        <v>144.91</v>
      </c>
      <c r="H20" s="16">
        <v>20.170000000000002</v>
      </c>
      <c r="I20" s="16">
        <v>20.170000000000002</v>
      </c>
      <c r="J20" s="16">
        <v>20.170000000000002</v>
      </c>
    </row>
    <row r="21" spans="1:10" ht="14.7" thickBot="1" x14ac:dyDescent="0.6">
      <c r="A21" s="14" t="s">
        <v>109</v>
      </c>
      <c r="B21" s="15"/>
      <c r="C21" s="15" t="s">
        <v>444</v>
      </c>
      <c r="D21" s="15">
        <v>7.92</v>
      </c>
      <c r="E21" s="15"/>
      <c r="F21" s="15">
        <v>153.69999999999999</v>
      </c>
      <c r="G21" s="15">
        <v>153.66999999999999</v>
      </c>
      <c r="H21" s="15"/>
      <c r="I21" s="15"/>
      <c r="J21" s="15"/>
    </row>
    <row r="22" spans="1:10" ht="14.7" thickBot="1" x14ac:dyDescent="0.6">
      <c r="A22" s="14" t="s">
        <v>114</v>
      </c>
      <c r="B22" s="16" t="s">
        <v>542</v>
      </c>
      <c r="C22" s="15" t="s">
        <v>540</v>
      </c>
      <c r="D22" s="15">
        <v>8.0500000000000007</v>
      </c>
      <c r="E22" s="16">
        <v>173.25</v>
      </c>
      <c r="F22" s="15">
        <v>168.48</v>
      </c>
      <c r="G22" s="15">
        <v>170.62</v>
      </c>
      <c r="H22" s="16">
        <v>21.67</v>
      </c>
      <c r="I22" s="16">
        <v>21.67</v>
      </c>
      <c r="J22" s="16">
        <v>21.67</v>
      </c>
    </row>
    <row r="23" spans="1:10" ht="14.7" thickBot="1" x14ac:dyDescent="0.6">
      <c r="A23" s="14" t="s">
        <v>122</v>
      </c>
      <c r="B23" s="15"/>
      <c r="C23" s="15" t="s">
        <v>543</v>
      </c>
      <c r="D23" s="15">
        <v>8.5500000000000007</v>
      </c>
      <c r="E23" s="15"/>
      <c r="F23" s="15">
        <v>76.92</v>
      </c>
      <c r="G23" s="15">
        <v>86.71</v>
      </c>
      <c r="H23" s="15"/>
      <c r="I23" s="15"/>
      <c r="J23" s="15"/>
    </row>
    <row r="24" spans="1:10" ht="14.7" thickBot="1" x14ac:dyDescent="0.6">
      <c r="A24" s="14" t="s">
        <v>127</v>
      </c>
      <c r="B24" s="16" t="s">
        <v>544</v>
      </c>
      <c r="C24" s="15" t="s">
        <v>545</v>
      </c>
      <c r="D24" s="15">
        <v>8.49</v>
      </c>
      <c r="E24" s="16">
        <v>164.7</v>
      </c>
      <c r="F24" s="15">
        <v>156.26</v>
      </c>
      <c r="G24" s="15">
        <v>155.06</v>
      </c>
      <c r="H24" s="16">
        <v>23.17</v>
      </c>
      <c r="I24" s="16">
        <v>23.17</v>
      </c>
      <c r="J24" s="16">
        <v>23.17</v>
      </c>
    </row>
    <row r="25" spans="1:10" ht="14.7" thickBot="1" x14ac:dyDescent="0.6">
      <c r="A25" s="14" t="s">
        <v>136</v>
      </c>
      <c r="B25" s="15"/>
      <c r="C25" s="15">
        <v>12.71</v>
      </c>
      <c r="D25" s="15">
        <v>12.26</v>
      </c>
      <c r="E25" s="15"/>
      <c r="F25" s="15">
        <v>25.93</v>
      </c>
      <c r="G25" s="15">
        <v>57.64</v>
      </c>
      <c r="H25" s="15"/>
      <c r="I25" s="15"/>
      <c r="J25" s="15"/>
    </row>
    <row r="26" spans="1:10" ht="14.7" thickBot="1" x14ac:dyDescent="0.6">
      <c r="A26" s="14" t="s">
        <v>140</v>
      </c>
      <c r="B26" s="16" t="s">
        <v>546</v>
      </c>
      <c r="C26" s="15" t="s">
        <v>547</v>
      </c>
      <c r="D26" s="15">
        <v>8.1199999999999992</v>
      </c>
      <c r="E26" s="16">
        <v>175.1</v>
      </c>
      <c r="F26" s="15">
        <v>164.65</v>
      </c>
      <c r="G26" s="15">
        <v>171.62</v>
      </c>
      <c r="H26" s="16">
        <v>21.83</v>
      </c>
      <c r="I26" s="16">
        <v>21.83</v>
      </c>
      <c r="J26" s="16">
        <v>21.83</v>
      </c>
    </row>
    <row r="27" spans="1:10" ht="14.7" thickBot="1" x14ac:dyDescent="0.6">
      <c r="A27" s="14" t="s">
        <v>149</v>
      </c>
      <c r="B27" s="16" t="s">
        <v>548</v>
      </c>
      <c r="C27" s="15" t="s">
        <v>549</v>
      </c>
      <c r="D27" s="15">
        <v>7.98</v>
      </c>
      <c r="E27" s="16">
        <v>186.7</v>
      </c>
      <c r="F27" s="15">
        <v>179.8</v>
      </c>
      <c r="G27" s="15">
        <v>178.74</v>
      </c>
      <c r="H27" s="16">
        <v>20.85</v>
      </c>
      <c r="I27" s="16">
        <v>20.85</v>
      </c>
      <c r="J27" s="16">
        <v>20.85</v>
      </c>
    </row>
    <row r="28" spans="1:10" ht="14.7" thickBot="1" x14ac:dyDescent="0.6">
      <c r="A28" s="14" t="s">
        <v>158</v>
      </c>
      <c r="B28" s="15"/>
      <c r="C28" s="15" t="s">
        <v>444</v>
      </c>
      <c r="D28" s="15">
        <v>7.92</v>
      </c>
      <c r="E28" s="15"/>
      <c r="F28" s="15">
        <v>185.45</v>
      </c>
      <c r="G28" s="15">
        <v>185.7</v>
      </c>
      <c r="H28" s="15"/>
      <c r="I28" s="15"/>
      <c r="J28" s="15"/>
    </row>
    <row r="29" spans="1:10" ht="14.7" thickBot="1" x14ac:dyDescent="0.6">
      <c r="A29" s="14" t="s">
        <v>163</v>
      </c>
      <c r="B29" s="16" t="s">
        <v>550</v>
      </c>
      <c r="C29" s="15" t="s">
        <v>516</v>
      </c>
      <c r="D29" s="15">
        <v>8.08</v>
      </c>
      <c r="E29" s="16">
        <v>175.15</v>
      </c>
      <c r="F29" s="15">
        <v>172.05</v>
      </c>
      <c r="G29" s="15">
        <v>173.67</v>
      </c>
      <c r="H29" s="16">
        <v>23.13</v>
      </c>
      <c r="I29" s="16">
        <v>23.13</v>
      </c>
      <c r="J29" s="16">
        <v>23.13</v>
      </c>
    </row>
    <row r="30" spans="1:10" ht="14.7" thickBot="1" x14ac:dyDescent="0.6">
      <c r="A30" s="14" t="s">
        <v>172</v>
      </c>
      <c r="B30" s="15"/>
      <c r="C30" s="15" t="s">
        <v>551</v>
      </c>
      <c r="D30" s="15">
        <v>8.44</v>
      </c>
      <c r="E30" s="15"/>
      <c r="F30" s="15">
        <v>124.44</v>
      </c>
      <c r="G30" s="15">
        <v>140.32</v>
      </c>
      <c r="H30" s="15"/>
      <c r="I30" s="15"/>
      <c r="J30" s="15"/>
    </row>
    <row r="31" spans="1:10" ht="14.7" thickBot="1" x14ac:dyDescent="0.6">
      <c r="A31" s="14" t="s">
        <v>177</v>
      </c>
      <c r="B31" s="16" t="s">
        <v>552</v>
      </c>
      <c r="C31" s="15" t="s">
        <v>553</v>
      </c>
      <c r="D31" s="15">
        <v>8.39</v>
      </c>
      <c r="E31" s="16">
        <v>168.36</v>
      </c>
      <c r="F31" s="15">
        <v>158.6</v>
      </c>
      <c r="G31" s="15">
        <v>162.93</v>
      </c>
      <c r="H31" s="16">
        <v>25.35</v>
      </c>
      <c r="I31" s="16">
        <v>25.35</v>
      </c>
      <c r="J31" s="16">
        <v>25.35</v>
      </c>
    </row>
    <row r="32" spans="1:10" ht="14.7" thickBot="1" x14ac:dyDescent="0.6">
      <c r="A32" s="14" t="s">
        <v>182</v>
      </c>
      <c r="B32" s="15"/>
      <c r="C32" s="15">
        <v>12.12</v>
      </c>
      <c r="D32" s="15">
        <v>12.11</v>
      </c>
      <c r="E32" s="15"/>
      <c r="F32" s="15">
        <v>16.68</v>
      </c>
      <c r="G32" s="15">
        <v>51.67</v>
      </c>
      <c r="H32" s="15"/>
      <c r="I32" s="15"/>
      <c r="J32" s="15"/>
    </row>
    <row r="33" spans="1:10" ht="14.7" thickBot="1" x14ac:dyDescent="0.6">
      <c r="A33" s="14" t="s">
        <v>186</v>
      </c>
      <c r="B33" s="16" t="s">
        <v>554</v>
      </c>
      <c r="C33" s="15" t="s">
        <v>555</v>
      </c>
      <c r="D33" s="15">
        <v>8.07</v>
      </c>
      <c r="E33" s="16">
        <v>178.75</v>
      </c>
      <c r="F33" s="15">
        <v>177.55</v>
      </c>
      <c r="G33" s="15">
        <v>175.92</v>
      </c>
      <c r="H33" s="16">
        <v>23.3</v>
      </c>
      <c r="I33" s="16">
        <v>23.3</v>
      </c>
      <c r="J33" s="16">
        <v>23.3</v>
      </c>
    </row>
    <row r="34" spans="1:10" ht="14.7" thickBot="1" x14ac:dyDescent="0.6">
      <c r="A34" s="14" t="s">
        <v>195</v>
      </c>
      <c r="B34" s="15"/>
      <c r="C34" s="15" t="s">
        <v>556</v>
      </c>
      <c r="D34" s="15">
        <v>8.07</v>
      </c>
      <c r="E34" s="15"/>
      <c r="F34" s="15">
        <v>176.3</v>
      </c>
      <c r="G34" s="15">
        <v>176.54</v>
      </c>
      <c r="H34" s="15"/>
      <c r="I34" s="15"/>
      <c r="J34" s="15"/>
    </row>
    <row r="35" spans="1:10" ht="14.7" thickBot="1" x14ac:dyDescent="0.6">
      <c r="A35" s="14" t="s">
        <v>199</v>
      </c>
      <c r="B35" s="16" t="s">
        <v>557</v>
      </c>
      <c r="C35" s="15" t="s">
        <v>558</v>
      </c>
      <c r="D35" s="15">
        <v>7.85</v>
      </c>
      <c r="E35" s="16">
        <v>169.55</v>
      </c>
      <c r="F35" s="15">
        <v>167.1</v>
      </c>
      <c r="G35" s="15">
        <v>168.45</v>
      </c>
      <c r="H35" s="16">
        <v>28.3</v>
      </c>
      <c r="I35" s="16">
        <v>28.3</v>
      </c>
      <c r="J35" s="16">
        <v>28.3</v>
      </c>
    </row>
    <row r="36" spans="1:10" ht="14.7" thickBot="1" x14ac:dyDescent="0.6">
      <c r="A36" s="14" t="s">
        <v>207</v>
      </c>
      <c r="B36" s="15"/>
      <c r="C36" s="15" t="s">
        <v>559</v>
      </c>
      <c r="D36" s="91">
        <v>8.1999999999999993</v>
      </c>
      <c r="E36" s="15"/>
      <c r="F36" s="15">
        <v>111.1</v>
      </c>
      <c r="G36" s="15">
        <v>120.65</v>
      </c>
      <c r="H36" s="15"/>
      <c r="I36" s="15"/>
      <c r="J36" s="15"/>
    </row>
    <row r="37" spans="1:10" ht="14.7" thickBot="1" x14ac:dyDescent="0.6">
      <c r="A37" s="14" t="s">
        <v>212</v>
      </c>
      <c r="B37" s="16" t="s">
        <v>560</v>
      </c>
      <c r="C37" s="15" t="s">
        <v>638</v>
      </c>
      <c r="D37" s="91">
        <v>8.1999999999999993</v>
      </c>
      <c r="E37" s="16">
        <v>169.55</v>
      </c>
      <c r="F37" s="15">
        <v>139.13999999999999</v>
      </c>
      <c r="G37" s="15">
        <v>139.69</v>
      </c>
      <c r="H37" s="16">
        <v>24.85</v>
      </c>
      <c r="I37" s="16">
        <v>24.85</v>
      </c>
      <c r="J37" s="16">
        <v>24.85</v>
      </c>
    </row>
    <row r="38" spans="1:10" ht="12.6" customHeight="1" thickBot="1" x14ac:dyDescent="0.6">
      <c r="A38" s="14" t="s">
        <v>221</v>
      </c>
      <c r="B38" s="15"/>
      <c r="C38" s="15" t="s">
        <v>561</v>
      </c>
      <c r="D38" s="15">
        <v>11.94</v>
      </c>
      <c r="E38" s="15"/>
      <c r="F38" s="15">
        <v>5.95</v>
      </c>
      <c r="G38" s="15">
        <v>72.88</v>
      </c>
      <c r="H38" s="15"/>
      <c r="I38" s="15"/>
      <c r="J38" s="15"/>
    </row>
    <row r="39" spans="1:10" ht="14.7" thickBot="1" x14ac:dyDescent="0.6">
      <c r="A39" s="15" t="s">
        <v>225</v>
      </c>
      <c r="B39" s="16" t="s">
        <v>500</v>
      </c>
      <c r="C39" s="15" t="s">
        <v>501</v>
      </c>
      <c r="D39" s="15">
        <v>8.17</v>
      </c>
      <c r="E39" s="16">
        <v>162.30000000000001</v>
      </c>
      <c r="F39" s="15">
        <v>162.30000000000001</v>
      </c>
      <c r="G39" s="15">
        <v>158.71</v>
      </c>
      <c r="H39" s="16">
        <v>20.9</v>
      </c>
      <c r="I39" s="16">
        <v>20.9</v>
      </c>
      <c r="J39" s="16">
        <v>20.9</v>
      </c>
    </row>
    <row r="40" spans="1:10" ht="14.7" thickBot="1" x14ac:dyDescent="0.6">
      <c r="A40" s="15" t="s">
        <v>234</v>
      </c>
      <c r="B40" s="15"/>
      <c r="C40" s="15" t="s">
        <v>503</v>
      </c>
      <c r="D40" s="15">
        <v>8.02</v>
      </c>
      <c r="E40" s="15"/>
      <c r="F40" s="15">
        <v>161.75</v>
      </c>
      <c r="G40" s="15">
        <v>162.11000000000001</v>
      </c>
      <c r="H40" s="15"/>
      <c r="I40" s="15"/>
      <c r="J40" s="15"/>
    </row>
    <row r="41" spans="1:10" ht="14.7" thickBot="1" x14ac:dyDescent="0.6">
      <c r="A41" s="15" t="s">
        <v>239</v>
      </c>
      <c r="B41" s="16" t="s">
        <v>506</v>
      </c>
      <c r="C41" s="15" t="s">
        <v>507</v>
      </c>
      <c r="D41" s="91">
        <v>7.9</v>
      </c>
      <c r="E41" s="16">
        <v>191.65</v>
      </c>
      <c r="F41" s="15">
        <v>189.2</v>
      </c>
      <c r="G41" s="15">
        <v>189.54</v>
      </c>
      <c r="H41" s="16">
        <v>24.68</v>
      </c>
      <c r="I41" s="16">
        <v>24.68</v>
      </c>
      <c r="J41" s="16">
        <v>24.68</v>
      </c>
    </row>
    <row r="42" spans="1:10" ht="14.7" thickBot="1" x14ac:dyDescent="0.6">
      <c r="A42" s="15" t="s">
        <v>247</v>
      </c>
      <c r="B42" s="92"/>
      <c r="C42" s="15" t="s">
        <v>509</v>
      </c>
      <c r="D42" s="15">
        <v>8.18</v>
      </c>
      <c r="E42" s="15"/>
      <c r="F42" s="15">
        <v>162.30000000000001</v>
      </c>
      <c r="G42" s="15">
        <v>159.54</v>
      </c>
      <c r="H42" s="15"/>
      <c r="I42" s="15"/>
      <c r="J42" s="15"/>
    </row>
    <row r="43" spans="1:10" ht="14.7" thickBot="1" x14ac:dyDescent="0.6">
      <c r="A43" s="15" t="s">
        <v>252</v>
      </c>
      <c r="B43" s="16" t="s">
        <v>512</v>
      </c>
      <c r="C43" s="15" t="s">
        <v>513</v>
      </c>
      <c r="D43" s="15">
        <v>8.42</v>
      </c>
      <c r="E43" s="16">
        <v>174.55</v>
      </c>
      <c r="F43" s="15">
        <v>123.24</v>
      </c>
      <c r="G43" s="15">
        <v>121.55</v>
      </c>
      <c r="H43" s="16">
        <v>24.48</v>
      </c>
      <c r="I43" s="16">
        <v>24.48</v>
      </c>
      <c r="J43" s="16">
        <v>24.48</v>
      </c>
    </row>
    <row r="44" spans="1:10" ht="14.7" thickBot="1" x14ac:dyDescent="0.6">
      <c r="A44" s="15" t="s">
        <v>261</v>
      </c>
      <c r="B44" s="15"/>
      <c r="C44" s="15">
        <v>10.74</v>
      </c>
      <c r="D44" s="15" t="s">
        <v>263</v>
      </c>
      <c r="E44" s="15"/>
      <c r="F44" s="15">
        <v>5.59</v>
      </c>
      <c r="G44" s="15" t="s">
        <v>263</v>
      </c>
      <c r="H44" s="15"/>
      <c r="I44" s="15"/>
      <c r="J44" s="15"/>
    </row>
    <row r="45" spans="1:10" ht="14.7" thickBot="1" x14ac:dyDescent="0.6">
      <c r="A45" s="15" t="s">
        <v>266</v>
      </c>
      <c r="B45" s="16" t="s">
        <v>517</v>
      </c>
      <c r="C45" s="15" t="s">
        <v>518</v>
      </c>
      <c r="D45" s="15">
        <v>8.08</v>
      </c>
      <c r="E45" s="16">
        <v>162.94999999999999</v>
      </c>
      <c r="F45" s="15">
        <v>162.85</v>
      </c>
      <c r="G45" s="15">
        <v>160.44</v>
      </c>
      <c r="H45" s="16">
        <v>22.02</v>
      </c>
      <c r="I45" s="16">
        <v>22.02</v>
      </c>
      <c r="J45" s="16">
        <v>22.02</v>
      </c>
    </row>
    <row r="46" spans="1:10" ht="14.7" thickBot="1" x14ac:dyDescent="0.6">
      <c r="A46" s="15" t="s">
        <v>275</v>
      </c>
      <c r="B46" s="15"/>
      <c r="C46" s="15" t="s">
        <v>520</v>
      </c>
      <c r="D46" s="15">
        <v>8.02</v>
      </c>
      <c r="E46" s="15"/>
      <c r="F46" s="15">
        <v>162.85</v>
      </c>
      <c r="G46" s="15">
        <v>162.55000000000001</v>
      </c>
      <c r="H46" s="15"/>
      <c r="I46" s="15"/>
      <c r="J46" s="15"/>
    </row>
    <row r="47" spans="1:10" ht="14.7" thickBot="1" x14ac:dyDescent="0.6">
      <c r="A47" s="15" t="s">
        <v>280</v>
      </c>
      <c r="B47" s="16" t="s">
        <v>523</v>
      </c>
      <c r="C47" s="15" t="s">
        <v>524</v>
      </c>
      <c r="D47" s="15">
        <v>8.39</v>
      </c>
      <c r="E47" s="16">
        <v>156.80000000000001</v>
      </c>
      <c r="F47" s="15">
        <v>158.43</v>
      </c>
      <c r="G47" s="15">
        <v>155.22</v>
      </c>
      <c r="H47" s="16">
        <v>27.6</v>
      </c>
      <c r="I47" s="16">
        <v>27.6</v>
      </c>
      <c r="J47" s="16">
        <v>27.6</v>
      </c>
    </row>
    <row r="48" spans="1:10" ht="14.7" thickBot="1" x14ac:dyDescent="0.6">
      <c r="A48" s="15" t="s">
        <v>288</v>
      </c>
      <c r="B48" s="15"/>
      <c r="C48" s="15" t="s">
        <v>526</v>
      </c>
      <c r="D48" s="15">
        <v>8.7200000000000006</v>
      </c>
      <c r="E48" s="15"/>
      <c r="F48" s="15">
        <v>128.19</v>
      </c>
      <c r="G48" s="15">
        <v>123.84</v>
      </c>
      <c r="H48" s="15"/>
      <c r="I48" s="15"/>
      <c r="J48" s="15"/>
    </row>
    <row r="49" spans="1:10" ht="14.7" thickBot="1" x14ac:dyDescent="0.6">
      <c r="A49" s="15" t="s">
        <v>293</v>
      </c>
      <c r="B49" s="16" t="s">
        <v>529</v>
      </c>
      <c r="C49" s="15" t="s">
        <v>263</v>
      </c>
      <c r="D49" s="15">
        <v>8.32</v>
      </c>
      <c r="E49" s="16">
        <v>172.1</v>
      </c>
      <c r="F49" s="15">
        <v>75.989999999999995</v>
      </c>
      <c r="G49" s="15">
        <v>75.52</v>
      </c>
      <c r="H49" s="16">
        <v>24.82</v>
      </c>
      <c r="I49" s="16">
        <v>24.82</v>
      </c>
      <c r="J49" s="16">
        <v>24.82</v>
      </c>
    </row>
    <row r="50" spans="1:10" ht="14.7" thickBot="1" x14ac:dyDescent="0.6">
      <c r="A50" s="15" t="s">
        <v>300</v>
      </c>
      <c r="B50" s="15"/>
      <c r="C50" s="15" t="s">
        <v>263</v>
      </c>
      <c r="D50" s="15" t="s">
        <v>263</v>
      </c>
      <c r="E50" s="15"/>
      <c r="F50" s="15" t="s">
        <v>263</v>
      </c>
      <c r="G50" s="15" t="s">
        <v>263</v>
      </c>
      <c r="H50" s="15"/>
      <c r="I50" s="15"/>
      <c r="J50" s="15"/>
    </row>
    <row r="51" spans="1:10" ht="14.7" thickBot="1" x14ac:dyDescent="0.6">
      <c r="A51" s="15" t="s">
        <v>301</v>
      </c>
      <c r="B51" s="16" t="s">
        <v>533</v>
      </c>
      <c r="C51" s="15" t="s">
        <v>534</v>
      </c>
      <c r="D51" s="15">
        <v>8.19</v>
      </c>
      <c r="E51" s="16">
        <v>161.1</v>
      </c>
      <c r="F51" s="15">
        <v>159.15</v>
      </c>
      <c r="G51" s="15">
        <v>158.08000000000001</v>
      </c>
      <c r="H51" s="16">
        <v>24.15</v>
      </c>
      <c r="I51" s="16">
        <v>24.15</v>
      </c>
      <c r="J51" s="16">
        <v>24.15</v>
      </c>
    </row>
    <row r="52" spans="1:10" ht="14.7" thickBot="1" x14ac:dyDescent="0.6">
      <c r="A52" s="15" t="s">
        <v>309</v>
      </c>
      <c r="B52" s="15"/>
      <c r="C52" s="15" t="s">
        <v>536</v>
      </c>
      <c r="D52" s="15">
        <v>8.1300000000000008</v>
      </c>
      <c r="E52" s="15"/>
      <c r="F52" s="15">
        <v>159.85</v>
      </c>
      <c r="G52" s="15">
        <v>160.33000000000001</v>
      </c>
      <c r="H52" s="15"/>
      <c r="I52" s="15"/>
      <c r="J52" s="15"/>
    </row>
    <row r="53" spans="1:10" ht="14.7" thickBot="1" x14ac:dyDescent="0.6">
      <c r="A53" s="15" t="s">
        <v>313</v>
      </c>
      <c r="B53" s="16" t="s">
        <v>539</v>
      </c>
      <c r="C53" s="15" t="s">
        <v>540</v>
      </c>
      <c r="D53" s="15">
        <v>8.06</v>
      </c>
      <c r="E53" s="16">
        <v>172.1</v>
      </c>
      <c r="F53" s="15">
        <v>167.25</v>
      </c>
      <c r="G53" s="15">
        <v>170.29</v>
      </c>
      <c r="H53" s="16">
        <v>27.62</v>
      </c>
      <c r="I53" s="16">
        <v>27.62</v>
      </c>
      <c r="J53" s="16">
        <v>27.62</v>
      </c>
    </row>
    <row r="54" spans="1:10" x14ac:dyDescent="0.55000000000000004">
      <c r="A54" s="16" t="s">
        <v>322</v>
      </c>
      <c r="B54" s="16"/>
      <c r="C54" s="16" t="s">
        <v>541</v>
      </c>
      <c r="D54" s="16">
        <v>8.25</v>
      </c>
      <c r="E54" s="16"/>
      <c r="F54" s="16">
        <v>150.13</v>
      </c>
      <c r="G54" s="16">
        <v>150.51</v>
      </c>
      <c r="H54" s="16"/>
      <c r="I54" s="16"/>
      <c r="J54" s="16"/>
    </row>
    <row r="55" spans="1:10" x14ac:dyDescent="0.55000000000000004">
      <c r="A55" s="97"/>
      <c r="B55" s="97"/>
      <c r="C55" s="97"/>
      <c r="D55" s="97"/>
      <c r="E55" s="97"/>
      <c r="F55" s="97"/>
      <c r="G55" s="97"/>
      <c r="H55" s="97"/>
      <c r="I55" s="97"/>
      <c r="J55" s="97"/>
    </row>
    <row r="56" spans="1:10" x14ac:dyDescent="0.55000000000000004">
      <c r="A56" s="96"/>
      <c r="B56" s="96"/>
      <c r="C56" s="96"/>
      <c r="D56" s="96"/>
      <c r="E56" s="96"/>
      <c r="F56" s="96"/>
      <c r="G56" s="96"/>
      <c r="H56" s="96"/>
      <c r="I56" s="96"/>
      <c r="J56" s="96"/>
    </row>
  </sheetData>
  <mergeCells count="4">
    <mergeCell ref="A3:A4"/>
    <mergeCell ref="B3:D4"/>
    <mergeCell ref="E3:G4"/>
    <mergeCell ref="H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0CAA-6682-46BD-8A7C-1BFAD05388F3}">
  <dimension ref="A1:M33"/>
  <sheetViews>
    <sheetView topLeftCell="A8" zoomScale="115" zoomScaleNormal="115" workbookViewId="0">
      <selection activeCell="G12" sqref="G12"/>
    </sheetView>
  </sheetViews>
  <sheetFormatPr defaultRowHeight="14.4" x14ac:dyDescent="0.55000000000000004"/>
  <cols>
    <col min="2" max="2" width="12.3125" bestFit="1" customWidth="1"/>
  </cols>
  <sheetData>
    <row r="1" spans="1:13" ht="15.3" x14ac:dyDescent="0.55000000000000004">
      <c r="A1" s="55" t="s">
        <v>622</v>
      </c>
      <c r="B1" s="57" t="s">
        <v>594</v>
      </c>
      <c r="C1" s="55"/>
      <c r="D1" s="55"/>
      <c r="H1" s="26"/>
    </row>
    <row r="3" spans="1:13" ht="25.8" customHeight="1" x14ac:dyDescent="0.55000000000000004">
      <c r="A3" s="120"/>
      <c r="B3" s="121" t="s">
        <v>596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1:13" ht="14.7" thickBot="1" x14ac:dyDescent="0.6">
      <c r="A4" s="120"/>
      <c r="B4" s="122" t="s">
        <v>575</v>
      </c>
      <c r="C4" s="123"/>
      <c r="D4" s="123"/>
      <c r="E4" s="123"/>
      <c r="F4" s="123"/>
      <c r="G4" s="123"/>
      <c r="H4" s="119"/>
      <c r="I4" s="119"/>
      <c r="J4" s="119"/>
      <c r="K4" s="119"/>
      <c r="L4" s="119"/>
      <c r="M4" s="119"/>
    </row>
    <row r="5" spans="1:13" ht="14.7" thickBot="1" x14ac:dyDescent="0.6">
      <c r="A5" s="2" t="s">
        <v>562</v>
      </c>
      <c r="B5" s="1" t="s">
        <v>563</v>
      </c>
      <c r="C5" s="1" t="s">
        <v>564</v>
      </c>
      <c r="D5" s="1" t="s">
        <v>568</v>
      </c>
      <c r="E5" s="1" t="s">
        <v>565</v>
      </c>
      <c r="F5" s="1" t="s">
        <v>566</v>
      </c>
      <c r="G5" s="1" t="s">
        <v>567</v>
      </c>
      <c r="H5" s="40"/>
      <c r="I5" s="40"/>
      <c r="J5" s="40"/>
      <c r="K5" s="40"/>
      <c r="L5" s="40"/>
      <c r="M5" s="40"/>
    </row>
    <row r="6" spans="1:13" ht="25.2" x14ac:dyDescent="0.55000000000000004">
      <c r="A6" s="3" t="s">
        <v>625</v>
      </c>
      <c r="B6" s="6" t="s">
        <v>578</v>
      </c>
      <c r="C6" s="6" t="s">
        <v>579</v>
      </c>
      <c r="D6" s="6" t="s">
        <v>580</v>
      </c>
      <c r="E6" s="6" t="s">
        <v>581</v>
      </c>
      <c r="F6" s="6" t="s">
        <v>582</v>
      </c>
      <c r="G6" s="6" t="s">
        <v>583</v>
      </c>
      <c r="H6" s="6"/>
      <c r="I6" s="6"/>
      <c r="J6" s="6"/>
      <c r="K6" s="6"/>
      <c r="L6" s="6"/>
      <c r="M6" s="6"/>
    </row>
    <row r="7" spans="1:13" x14ac:dyDescent="0.55000000000000004">
      <c r="A7" s="3" t="s">
        <v>577</v>
      </c>
      <c r="B7" s="6">
        <v>6.34</v>
      </c>
      <c r="C7" s="6">
        <v>10.56</v>
      </c>
      <c r="D7" s="6">
        <v>9.81</v>
      </c>
      <c r="E7" s="6">
        <v>0.93</v>
      </c>
      <c r="F7" s="6">
        <v>3.07</v>
      </c>
      <c r="G7" s="6">
        <v>0.21</v>
      </c>
      <c r="H7" s="6"/>
      <c r="I7" s="6"/>
      <c r="J7" s="6"/>
      <c r="K7" s="6"/>
      <c r="L7" s="6"/>
      <c r="M7" s="6"/>
    </row>
    <row r="8" spans="1:13" x14ac:dyDescent="0.55000000000000004">
      <c r="A8" s="3">
        <v>1</v>
      </c>
      <c r="B8" s="6">
        <v>4.2699999999999996</v>
      </c>
      <c r="C8" s="6">
        <v>9.1300000000000008</v>
      </c>
      <c r="D8" s="6">
        <v>9.5500000000000007</v>
      </c>
      <c r="E8" s="6">
        <v>0.47</v>
      </c>
      <c r="F8" s="6">
        <v>1.89</v>
      </c>
      <c r="G8" s="6">
        <v>0.04</v>
      </c>
      <c r="H8" s="6"/>
      <c r="I8" s="6"/>
      <c r="J8" s="6"/>
      <c r="K8" s="6"/>
      <c r="L8" s="6"/>
      <c r="M8" s="6"/>
    </row>
    <row r="9" spans="1:13" x14ac:dyDescent="0.55000000000000004">
      <c r="A9" s="3">
        <v>2</v>
      </c>
      <c r="B9" s="8" t="s">
        <v>263</v>
      </c>
      <c r="C9" s="8" t="s">
        <v>263</v>
      </c>
      <c r="D9" s="8" t="s">
        <v>263</v>
      </c>
      <c r="E9" s="8" t="s">
        <v>263</v>
      </c>
      <c r="F9" s="6">
        <v>1.37</v>
      </c>
      <c r="G9" s="6">
        <v>0.02</v>
      </c>
      <c r="H9" s="8"/>
      <c r="I9" s="8"/>
      <c r="J9" s="8"/>
      <c r="K9" s="8"/>
      <c r="L9" s="6"/>
      <c r="M9" s="6"/>
    </row>
    <row r="10" spans="1:13" x14ac:dyDescent="0.55000000000000004">
      <c r="A10" s="3">
        <v>3</v>
      </c>
      <c r="B10" s="6">
        <v>2.79</v>
      </c>
      <c r="C10" s="6">
        <v>8.11</v>
      </c>
      <c r="D10" s="6">
        <v>8.25</v>
      </c>
      <c r="E10" s="6">
        <v>0.15</v>
      </c>
      <c r="F10" s="6">
        <v>1</v>
      </c>
      <c r="G10" s="6">
        <v>0.01</v>
      </c>
      <c r="H10" s="6"/>
      <c r="I10" s="6"/>
      <c r="J10" s="6"/>
      <c r="K10" s="6"/>
      <c r="L10" s="6"/>
      <c r="M10" s="6"/>
    </row>
    <row r="11" spans="1:13" x14ac:dyDescent="0.55000000000000004">
      <c r="A11" s="3">
        <v>4</v>
      </c>
      <c r="B11" s="8" t="s">
        <v>263</v>
      </c>
      <c r="C11" s="8" t="s">
        <v>263</v>
      </c>
      <c r="D11" s="8" t="s">
        <v>263</v>
      </c>
      <c r="E11" s="8" t="s">
        <v>263</v>
      </c>
      <c r="F11" s="6">
        <v>0.96</v>
      </c>
      <c r="G11" s="6" t="s">
        <v>263</v>
      </c>
      <c r="H11" s="8"/>
      <c r="I11" s="8"/>
      <c r="J11" s="8"/>
      <c r="K11" s="8"/>
      <c r="L11" s="6"/>
      <c r="M11" s="6"/>
    </row>
    <row r="12" spans="1:13" x14ac:dyDescent="0.55000000000000004">
      <c r="A12" s="3">
        <v>7</v>
      </c>
      <c r="B12" s="6">
        <v>1.19</v>
      </c>
      <c r="C12" s="6">
        <v>7.35</v>
      </c>
      <c r="D12" s="6">
        <v>5.52</v>
      </c>
      <c r="E12" s="6">
        <v>0.14000000000000001</v>
      </c>
      <c r="F12" s="6">
        <v>0.75</v>
      </c>
      <c r="G12" s="6">
        <v>0.01</v>
      </c>
      <c r="H12" s="6"/>
      <c r="I12" s="6"/>
      <c r="J12" s="6"/>
      <c r="K12" s="6"/>
      <c r="L12" s="6"/>
      <c r="M12" s="6"/>
    </row>
    <row r="13" spans="1:13" x14ac:dyDescent="0.55000000000000004">
      <c r="A13" s="3">
        <v>14</v>
      </c>
      <c r="B13" s="6">
        <v>2.15</v>
      </c>
      <c r="C13" s="6">
        <v>6.64</v>
      </c>
      <c r="D13" s="6">
        <v>7.81</v>
      </c>
      <c r="E13" s="6">
        <v>0.04</v>
      </c>
      <c r="F13" s="6">
        <v>0.23</v>
      </c>
      <c r="G13" s="6">
        <v>0.01</v>
      </c>
      <c r="H13" s="6"/>
      <c r="I13" s="6"/>
      <c r="J13" s="6"/>
      <c r="K13" s="6"/>
      <c r="L13" s="6"/>
      <c r="M13" s="6"/>
    </row>
    <row r="14" spans="1:13" x14ac:dyDescent="0.55000000000000004">
      <c r="A14" s="3">
        <v>21</v>
      </c>
      <c r="B14" s="6">
        <v>1</v>
      </c>
      <c r="C14" s="6">
        <v>7.02</v>
      </c>
      <c r="D14" s="6">
        <v>4.16</v>
      </c>
      <c r="E14" s="6">
        <v>0.08</v>
      </c>
      <c r="F14" s="6">
        <v>7.0000000000000007E-2</v>
      </c>
      <c r="G14" s="6" t="s">
        <v>584</v>
      </c>
      <c r="H14" s="6"/>
      <c r="I14" s="6"/>
      <c r="J14" s="6"/>
      <c r="K14" s="6"/>
      <c r="L14" s="6"/>
      <c r="M14" s="6"/>
    </row>
    <row r="15" spans="1:13" x14ac:dyDescent="0.55000000000000004">
      <c r="A15" s="3">
        <v>28</v>
      </c>
      <c r="B15" s="6">
        <v>1.66</v>
      </c>
      <c r="C15" s="6">
        <v>7.84</v>
      </c>
      <c r="D15" s="6">
        <v>5.23</v>
      </c>
      <c r="E15" s="6">
        <v>0.112</v>
      </c>
      <c r="F15" s="6">
        <v>0.03</v>
      </c>
      <c r="G15" s="8" t="s">
        <v>263</v>
      </c>
      <c r="H15" s="6"/>
      <c r="I15" s="6"/>
      <c r="J15" s="6"/>
      <c r="K15" s="6"/>
      <c r="L15" s="6"/>
      <c r="M15" s="8"/>
    </row>
    <row r="16" spans="1:13" x14ac:dyDescent="0.55000000000000004">
      <c r="A16" s="29">
        <v>35</v>
      </c>
      <c r="B16" s="30">
        <v>1.68</v>
      </c>
      <c r="C16" s="30">
        <v>7.68</v>
      </c>
      <c r="D16" s="30">
        <v>3.24</v>
      </c>
      <c r="E16" s="30">
        <v>0.05</v>
      </c>
      <c r="F16" s="95" t="s">
        <v>263</v>
      </c>
      <c r="G16" s="95" t="s">
        <v>263</v>
      </c>
      <c r="H16" s="6"/>
      <c r="I16" s="6"/>
      <c r="J16" s="6"/>
      <c r="K16" s="6"/>
      <c r="L16" s="8"/>
      <c r="M16" s="8"/>
    </row>
    <row r="18" spans="1:7" ht="18.899999999999999" customHeight="1" x14ac:dyDescent="0.55000000000000004">
      <c r="A18" s="55" t="s">
        <v>621</v>
      </c>
      <c r="B18" s="56" t="s">
        <v>595</v>
      </c>
      <c r="C18" s="55"/>
      <c r="D18" s="55"/>
    </row>
    <row r="20" spans="1:7" ht="24.3" customHeight="1" x14ac:dyDescent="0.55000000000000004">
      <c r="A20" s="120"/>
      <c r="B20" s="121" t="s">
        <v>606</v>
      </c>
      <c r="C20" s="119"/>
      <c r="D20" s="119"/>
      <c r="E20" s="119"/>
      <c r="F20" s="119"/>
      <c r="G20" s="119"/>
    </row>
    <row r="21" spans="1:7" ht="14.7" customHeight="1" thickBot="1" x14ac:dyDescent="0.6">
      <c r="A21" s="120"/>
      <c r="B21" s="122"/>
      <c r="C21" s="123"/>
      <c r="D21" s="123"/>
      <c r="E21" s="123"/>
      <c r="F21" s="123"/>
      <c r="G21" s="123"/>
    </row>
    <row r="22" spans="1:7" ht="14.7" thickBot="1" x14ac:dyDescent="0.6">
      <c r="A22" s="2" t="s">
        <v>562</v>
      </c>
      <c r="B22" s="1" t="s">
        <v>563</v>
      </c>
      <c r="C22" s="1" t="s">
        <v>564</v>
      </c>
      <c r="D22" s="1" t="s">
        <v>568</v>
      </c>
      <c r="E22" s="1" t="s">
        <v>565</v>
      </c>
      <c r="F22" s="1" t="s">
        <v>566</v>
      </c>
      <c r="G22" s="1" t="s">
        <v>567</v>
      </c>
    </row>
    <row r="23" spans="1:7" x14ac:dyDescent="0.55000000000000004">
      <c r="A23" s="3" t="s">
        <v>576</v>
      </c>
      <c r="B23" s="6"/>
      <c r="C23" s="6"/>
      <c r="D23" s="6"/>
      <c r="E23" s="6"/>
      <c r="F23" s="6"/>
      <c r="G23" s="6"/>
    </row>
    <row r="24" spans="1:7" x14ac:dyDescent="0.55000000000000004">
      <c r="A24" s="3" t="s">
        <v>577</v>
      </c>
      <c r="B24" s="6">
        <v>0.47</v>
      </c>
      <c r="C24" s="6">
        <v>0.28000000000000003</v>
      </c>
      <c r="D24" s="6">
        <v>0.31</v>
      </c>
      <c r="E24" s="60">
        <v>3.23</v>
      </c>
      <c r="F24" s="6">
        <v>0.98</v>
      </c>
      <c r="G24" s="6">
        <v>14.29</v>
      </c>
    </row>
    <row r="25" spans="1:7" x14ac:dyDescent="0.55000000000000004">
      <c r="A25" s="3">
        <v>1</v>
      </c>
      <c r="B25" s="6">
        <v>0.7</v>
      </c>
      <c r="C25" s="6">
        <v>0.33</v>
      </c>
      <c r="D25" s="6">
        <v>0.31</v>
      </c>
      <c r="E25" s="6">
        <v>6.38</v>
      </c>
      <c r="F25" s="6">
        <v>1.59</v>
      </c>
      <c r="G25" s="6">
        <v>76.92</v>
      </c>
    </row>
    <row r="26" spans="1:7" x14ac:dyDescent="0.55000000000000004">
      <c r="A26" s="3">
        <v>2</v>
      </c>
      <c r="B26" s="8" t="s">
        <v>263</v>
      </c>
      <c r="C26" s="8" t="s">
        <v>263</v>
      </c>
      <c r="D26" s="8" t="s">
        <v>263</v>
      </c>
      <c r="E26" s="8" t="s">
        <v>263</v>
      </c>
      <c r="F26" s="6">
        <v>2.19</v>
      </c>
      <c r="G26" s="6">
        <v>176.47</v>
      </c>
    </row>
    <row r="27" spans="1:7" x14ac:dyDescent="0.55000000000000004">
      <c r="A27" s="3">
        <v>3</v>
      </c>
      <c r="B27" s="6">
        <v>1.08</v>
      </c>
      <c r="C27" s="6">
        <v>0.37</v>
      </c>
      <c r="D27" s="6">
        <v>0.36</v>
      </c>
      <c r="E27" s="6">
        <v>20</v>
      </c>
      <c r="F27" s="6">
        <v>3</v>
      </c>
      <c r="G27" s="6">
        <v>375</v>
      </c>
    </row>
    <row r="28" spans="1:7" x14ac:dyDescent="0.55000000000000004">
      <c r="A28" s="3">
        <v>4</v>
      </c>
      <c r="B28" s="8" t="s">
        <v>263</v>
      </c>
      <c r="C28" s="8" t="s">
        <v>263</v>
      </c>
      <c r="D28" s="8" t="s">
        <v>263</v>
      </c>
      <c r="E28" s="8" t="s">
        <v>263</v>
      </c>
      <c r="F28" s="6">
        <v>3.13</v>
      </c>
      <c r="G28" s="6" t="s">
        <v>263</v>
      </c>
    </row>
    <row r="29" spans="1:7" x14ac:dyDescent="0.55000000000000004">
      <c r="A29" s="3">
        <v>7</v>
      </c>
      <c r="B29" s="6">
        <v>2.52</v>
      </c>
      <c r="C29" s="6">
        <v>0.41</v>
      </c>
      <c r="D29" s="6">
        <v>0.54</v>
      </c>
      <c r="E29" s="6">
        <v>21.43</v>
      </c>
      <c r="F29" s="6">
        <v>4</v>
      </c>
      <c r="G29" s="6">
        <v>300</v>
      </c>
    </row>
    <row r="30" spans="1:7" x14ac:dyDescent="0.55000000000000004">
      <c r="A30" s="3">
        <v>14</v>
      </c>
      <c r="B30" s="6">
        <v>1.4</v>
      </c>
      <c r="C30" s="6">
        <v>0.45</v>
      </c>
      <c r="D30" s="6">
        <v>0.38</v>
      </c>
      <c r="E30" s="6">
        <v>75</v>
      </c>
      <c r="F30" s="6">
        <v>13.04</v>
      </c>
      <c r="G30" s="6">
        <v>428.57</v>
      </c>
    </row>
    <row r="31" spans="1:7" x14ac:dyDescent="0.55000000000000004">
      <c r="A31" s="3">
        <v>21</v>
      </c>
      <c r="B31" s="6">
        <v>3</v>
      </c>
      <c r="C31" s="6">
        <v>0.43</v>
      </c>
      <c r="D31" s="6">
        <v>0.72</v>
      </c>
      <c r="E31" s="6">
        <v>37.5</v>
      </c>
      <c r="F31" s="6">
        <v>46.15</v>
      </c>
      <c r="G31" s="6" t="s">
        <v>263</v>
      </c>
    </row>
    <row r="32" spans="1:7" x14ac:dyDescent="0.55000000000000004">
      <c r="A32" s="3">
        <v>28</v>
      </c>
      <c r="B32" s="6">
        <v>1.81</v>
      </c>
      <c r="C32" s="6">
        <v>0.38</v>
      </c>
      <c r="D32" s="6">
        <v>0.56999999999999995</v>
      </c>
      <c r="E32" s="6">
        <v>26.79</v>
      </c>
      <c r="F32" s="6">
        <v>101.01</v>
      </c>
      <c r="G32" s="8" t="s">
        <v>263</v>
      </c>
    </row>
    <row r="33" spans="1:7" x14ac:dyDescent="0.55000000000000004">
      <c r="A33" s="29">
        <v>35</v>
      </c>
      <c r="B33" s="30">
        <v>1.79</v>
      </c>
      <c r="C33" s="30">
        <v>0.39</v>
      </c>
      <c r="D33" s="30">
        <v>0.93</v>
      </c>
      <c r="E33" s="30">
        <v>60</v>
      </c>
      <c r="F33" s="95" t="s">
        <v>263</v>
      </c>
      <c r="G33" s="95" t="s">
        <v>263</v>
      </c>
    </row>
  </sheetData>
  <mergeCells count="8">
    <mergeCell ref="H3:M3"/>
    <mergeCell ref="H4:M4"/>
    <mergeCell ref="A20:A21"/>
    <mergeCell ref="B20:G20"/>
    <mergeCell ref="B21:G21"/>
    <mergeCell ref="A3:A4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5C29-B693-4AD6-AA3C-465CFC4879A4}">
  <dimension ref="A1:X22"/>
  <sheetViews>
    <sheetView zoomScaleNormal="100" workbookViewId="0">
      <selection activeCell="L21" sqref="L21:L22"/>
    </sheetView>
  </sheetViews>
  <sheetFormatPr defaultRowHeight="14.4" x14ac:dyDescent="0.55000000000000004"/>
  <cols>
    <col min="17" max="17" width="6.734375" customWidth="1"/>
    <col min="18" max="18" width="15.578125" customWidth="1"/>
  </cols>
  <sheetData>
    <row r="1" spans="1:24" ht="15.3" x14ac:dyDescent="0.55000000000000004">
      <c r="A1" s="55" t="s">
        <v>622</v>
      </c>
      <c r="B1" s="57" t="s">
        <v>593</v>
      </c>
      <c r="C1" s="25"/>
      <c r="D1" s="25"/>
      <c r="E1" s="25"/>
      <c r="F1" s="25"/>
      <c r="G1" s="25"/>
    </row>
    <row r="3" spans="1:24" x14ac:dyDescent="0.55000000000000004">
      <c r="A3" s="120"/>
      <c r="B3" s="125" t="s">
        <v>569</v>
      </c>
      <c r="C3" s="124"/>
      <c r="D3" s="124"/>
      <c r="E3" s="124"/>
      <c r="F3" s="124"/>
      <c r="G3" s="126"/>
      <c r="H3" s="125" t="s">
        <v>570</v>
      </c>
      <c r="I3" s="124"/>
      <c r="J3" s="124"/>
      <c r="K3" s="124"/>
      <c r="L3" s="124"/>
      <c r="M3" s="126"/>
      <c r="N3" s="125" t="s">
        <v>571</v>
      </c>
      <c r="O3" s="124"/>
      <c r="P3" s="124"/>
      <c r="Q3" s="126"/>
      <c r="R3" s="40" t="s">
        <v>572</v>
      </c>
      <c r="S3" s="124"/>
      <c r="T3" s="124"/>
      <c r="U3" s="124"/>
      <c r="V3" s="124"/>
      <c r="W3" s="124"/>
      <c r="X3" s="124"/>
    </row>
    <row r="4" spans="1:24" ht="14.7" thickBot="1" x14ac:dyDescent="0.6">
      <c r="A4" s="120"/>
      <c r="B4" s="127" t="s">
        <v>585</v>
      </c>
      <c r="C4" s="128"/>
      <c r="D4" s="128"/>
      <c r="E4" s="128"/>
      <c r="F4" s="128"/>
      <c r="G4" s="129"/>
      <c r="H4" s="127" t="s">
        <v>586</v>
      </c>
      <c r="I4" s="128"/>
      <c r="J4" s="128"/>
      <c r="K4" s="128"/>
      <c r="L4" s="128"/>
      <c r="M4" s="129"/>
      <c r="N4" s="127" t="s">
        <v>586</v>
      </c>
      <c r="O4" s="128"/>
      <c r="P4" s="128"/>
      <c r="Q4" s="129"/>
      <c r="R4" s="1" t="s">
        <v>586</v>
      </c>
      <c r="S4" s="124"/>
      <c r="T4" s="124"/>
      <c r="U4" s="124"/>
      <c r="V4" s="124"/>
      <c r="W4" s="124"/>
      <c r="X4" s="124"/>
    </row>
    <row r="5" spans="1:24" ht="14.7" thickBot="1" x14ac:dyDescent="0.6">
      <c r="A5" s="2" t="s">
        <v>562</v>
      </c>
      <c r="B5" s="1" t="s">
        <v>563</v>
      </c>
      <c r="C5" s="1" t="s">
        <v>564</v>
      </c>
      <c r="D5" s="1" t="s">
        <v>568</v>
      </c>
      <c r="E5" s="1" t="s">
        <v>565</v>
      </c>
      <c r="F5" s="1" t="s">
        <v>566</v>
      </c>
      <c r="G5" s="2" t="s">
        <v>567</v>
      </c>
      <c r="H5" s="1" t="s">
        <v>563</v>
      </c>
      <c r="I5" s="1" t="s">
        <v>564</v>
      </c>
      <c r="J5" s="1" t="s">
        <v>568</v>
      </c>
      <c r="K5" s="1" t="s">
        <v>565</v>
      </c>
      <c r="L5" s="1" t="s">
        <v>566</v>
      </c>
      <c r="M5" s="2" t="s">
        <v>567</v>
      </c>
      <c r="N5" s="1" t="s">
        <v>564</v>
      </c>
      <c r="O5" s="1" t="s">
        <v>565</v>
      </c>
      <c r="P5" s="1" t="s">
        <v>566</v>
      </c>
      <c r="Q5" s="2" t="s">
        <v>567</v>
      </c>
      <c r="R5" s="1" t="s">
        <v>567</v>
      </c>
      <c r="S5" s="40"/>
      <c r="T5" s="40"/>
      <c r="U5" s="40"/>
      <c r="V5" s="40"/>
      <c r="W5" s="40"/>
      <c r="X5" s="40"/>
    </row>
    <row r="6" spans="1:24" x14ac:dyDescent="0.55000000000000004">
      <c r="A6" s="3">
        <v>0</v>
      </c>
      <c r="B6" s="6">
        <v>5.82</v>
      </c>
      <c r="C6" s="6">
        <v>3.7</v>
      </c>
      <c r="D6" s="8">
        <v>1.95</v>
      </c>
      <c r="E6" s="8">
        <v>4.5599999999999996</v>
      </c>
      <c r="F6" s="8">
        <v>8.31</v>
      </c>
      <c r="G6" s="9">
        <v>1.08</v>
      </c>
      <c r="H6" s="6">
        <v>6.26</v>
      </c>
      <c r="I6" s="6">
        <v>5.62</v>
      </c>
      <c r="J6" s="8">
        <v>2.0299999999999998</v>
      </c>
      <c r="K6" s="8">
        <v>0.52</v>
      </c>
      <c r="L6" s="8">
        <v>6.7</v>
      </c>
      <c r="M6" s="9">
        <v>0.95</v>
      </c>
      <c r="N6" s="90">
        <v>0</v>
      </c>
      <c r="O6" s="6">
        <v>5.74</v>
      </c>
      <c r="P6" s="6">
        <v>0.47</v>
      </c>
      <c r="Q6" s="7">
        <v>0.53</v>
      </c>
      <c r="R6" s="6">
        <v>1.08</v>
      </c>
      <c r="S6" s="6"/>
      <c r="T6" s="6"/>
      <c r="U6" s="6"/>
      <c r="V6" s="6"/>
      <c r="W6" s="6"/>
      <c r="X6" s="6"/>
    </row>
    <row r="7" spans="1:24" x14ac:dyDescent="0.55000000000000004">
      <c r="A7" s="3">
        <v>1</v>
      </c>
      <c r="B7" s="6">
        <v>2.72</v>
      </c>
      <c r="C7" s="6">
        <v>1.56</v>
      </c>
      <c r="D7" s="8">
        <v>1.03</v>
      </c>
      <c r="E7" s="8">
        <v>0.93</v>
      </c>
      <c r="F7" s="8">
        <v>0.87</v>
      </c>
      <c r="G7" s="9">
        <v>0.24</v>
      </c>
      <c r="H7" s="90">
        <v>0</v>
      </c>
      <c r="I7" s="90">
        <v>0</v>
      </c>
      <c r="J7" s="93">
        <v>0</v>
      </c>
      <c r="K7" s="8">
        <v>1.1399999999999999</v>
      </c>
      <c r="L7" s="8">
        <v>1.2</v>
      </c>
      <c r="M7" s="9">
        <v>0.09</v>
      </c>
      <c r="N7" s="90">
        <v>0</v>
      </c>
      <c r="O7" s="6">
        <v>0.01</v>
      </c>
      <c r="P7" s="90">
        <v>0</v>
      </c>
      <c r="Q7" s="7">
        <v>0.49</v>
      </c>
      <c r="R7" s="6">
        <v>0.01</v>
      </c>
      <c r="S7" s="6"/>
      <c r="T7" s="6"/>
      <c r="U7" s="6"/>
      <c r="V7" s="6"/>
      <c r="W7" s="6"/>
      <c r="X7" s="6"/>
    </row>
    <row r="8" spans="1:24" x14ac:dyDescent="0.55000000000000004">
      <c r="A8" s="3">
        <v>2</v>
      </c>
      <c r="B8" s="8" t="s">
        <v>263</v>
      </c>
      <c r="C8" s="8" t="s">
        <v>263</v>
      </c>
      <c r="D8" s="8" t="s">
        <v>263</v>
      </c>
      <c r="E8" s="8" t="s">
        <v>263</v>
      </c>
      <c r="F8" s="8">
        <v>0.39</v>
      </c>
      <c r="G8" s="9">
        <v>0.1</v>
      </c>
      <c r="H8" s="8" t="s">
        <v>263</v>
      </c>
      <c r="I8" s="6" t="s">
        <v>263</v>
      </c>
      <c r="J8" s="8" t="s">
        <v>263</v>
      </c>
      <c r="K8" s="8" t="s">
        <v>263</v>
      </c>
      <c r="L8" s="8">
        <v>0.52</v>
      </c>
      <c r="M8" s="9">
        <v>0.06</v>
      </c>
      <c r="N8" s="6" t="s">
        <v>263</v>
      </c>
      <c r="O8" s="6" t="s">
        <v>263</v>
      </c>
      <c r="P8" s="90">
        <v>0</v>
      </c>
      <c r="Q8" s="7">
        <v>0.22</v>
      </c>
      <c r="R8" s="6"/>
      <c r="S8" s="6"/>
      <c r="T8" s="6"/>
      <c r="U8" s="6"/>
      <c r="V8" s="6"/>
      <c r="W8" s="6"/>
      <c r="X8" s="6"/>
    </row>
    <row r="9" spans="1:24" x14ac:dyDescent="0.55000000000000004">
      <c r="A9" s="3">
        <v>3</v>
      </c>
      <c r="B9" s="6">
        <v>0.76</v>
      </c>
      <c r="C9" s="6">
        <v>0.64</v>
      </c>
      <c r="D9" s="8">
        <v>0.79</v>
      </c>
      <c r="E9" s="8">
        <v>0.46</v>
      </c>
      <c r="F9" s="8">
        <v>0.28999999999999998</v>
      </c>
      <c r="G9" s="9">
        <v>0.05</v>
      </c>
      <c r="H9" s="90">
        <v>0</v>
      </c>
      <c r="I9" s="90">
        <v>0</v>
      </c>
      <c r="J9" s="93">
        <v>0</v>
      </c>
      <c r="K9" s="8">
        <v>0.54</v>
      </c>
      <c r="L9" s="8">
        <v>0.56999999999999995</v>
      </c>
      <c r="M9" s="9">
        <v>0.02</v>
      </c>
      <c r="N9" s="90">
        <v>0</v>
      </c>
      <c r="O9" s="90">
        <v>0</v>
      </c>
      <c r="P9" s="90">
        <v>0</v>
      </c>
      <c r="Q9" s="7">
        <v>0.11</v>
      </c>
      <c r="R9" s="90">
        <v>0</v>
      </c>
      <c r="S9" s="6"/>
      <c r="T9" s="6"/>
      <c r="U9" s="6"/>
      <c r="V9" s="6"/>
      <c r="W9" s="6"/>
      <c r="X9" s="6"/>
    </row>
    <row r="10" spans="1:24" x14ac:dyDescent="0.55000000000000004">
      <c r="A10" s="3">
        <v>4</v>
      </c>
      <c r="B10" s="8" t="s">
        <v>263</v>
      </c>
      <c r="C10" s="8" t="s">
        <v>263</v>
      </c>
      <c r="D10" s="8" t="s">
        <v>263</v>
      </c>
      <c r="E10" s="8" t="s">
        <v>263</v>
      </c>
      <c r="F10" s="8">
        <v>0.13</v>
      </c>
      <c r="G10" s="9" t="s">
        <v>263</v>
      </c>
      <c r="H10" s="8" t="s">
        <v>263</v>
      </c>
      <c r="I10" s="8" t="s">
        <v>263</v>
      </c>
      <c r="J10" s="8" t="s">
        <v>263</v>
      </c>
      <c r="K10" s="8" t="s">
        <v>263</v>
      </c>
      <c r="L10" s="8">
        <v>0.47</v>
      </c>
      <c r="M10" s="9" t="s">
        <v>263</v>
      </c>
      <c r="N10" s="6" t="s">
        <v>263</v>
      </c>
      <c r="O10" s="6" t="s">
        <v>263</v>
      </c>
      <c r="P10" s="90">
        <v>0</v>
      </c>
      <c r="Q10" s="7" t="s">
        <v>263</v>
      </c>
      <c r="R10" s="6"/>
      <c r="S10" s="6"/>
      <c r="T10" s="6"/>
      <c r="U10" s="6"/>
      <c r="V10" s="6"/>
      <c r="W10" s="6"/>
      <c r="X10" s="6"/>
    </row>
    <row r="11" spans="1:24" x14ac:dyDescent="0.55000000000000004">
      <c r="A11" s="3">
        <v>7</v>
      </c>
      <c r="B11" s="6">
        <v>0.34</v>
      </c>
      <c r="C11" s="6">
        <v>0.32</v>
      </c>
      <c r="D11" s="8">
        <v>0.27</v>
      </c>
      <c r="E11" s="8">
        <v>0.17</v>
      </c>
      <c r="F11" s="8">
        <v>0.12</v>
      </c>
      <c r="G11" s="9">
        <v>0.06</v>
      </c>
      <c r="H11" s="90">
        <v>0</v>
      </c>
      <c r="I11" s="90">
        <v>0</v>
      </c>
      <c r="J11" s="93">
        <v>0</v>
      </c>
      <c r="K11" s="8">
        <v>0.16</v>
      </c>
      <c r="L11" s="8">
        <v>0.34</v>
      </c>
      <c r="M11" s="9">
        <v>0.05</v>
      </c>
      <c r="N11" s="90">
        <v>0</v>
      </c>
      <c r="O11" s="90">
        <v>0</v>
      </c>
      <c r="P11" s="90">
        <v>0</v>
      </c>
      <c r="Q11" s="7">
        <v>0.12</v>
      </c>
      <c r="R11" s="90">
        <v>0</v>
      </c>
      <c r="S11" s="6"/>
      <c r="T11" s="6"/>
      <c r="U11" s="6"/>
      <c r="V11" s="6"/>
      <c r="W11" s="6"/>
      <c r="X11" s="6"/>
    </row>
    <row r="12" spans="1:24" x14ac:dyDescent="0.55000000000000004">
      <c r="A12" s="3">
        <v>14</v>
      </c>
      <c r="B12" s="6">
        <v>0.21</v>
      </c>
      <c r="C12" s="6">
        <v>0.5</v>
      </c>
      <c r="D12" s="8">
        <v>0.33</v>
      </c>
      <c r="E12" s="8">
        <v>7.0000000000000007E-2</v>
      </c>
      <c r="F12" s="8">
        <v>7.0000000000000007E-2</v>
      </c>
      <c r="G12" s="9">
        <v>0.93</v>
      </c>
      <c r="H12" s="90">
        <v>0</v>
      </c>
      <c r="I12" s="90">
        <v>0</v>
      </c>
      <c r="J12" s="93">
        <v>0</v>
      </c>
      <c r="K12" s="8">
        <v>0.09</v>
      </c>
      <c r="L12" s="8">
        <v>0.16</v>
      </c>
      <c r="M12" s="9">
        <v>0.08</v>
      </c>
      <c r="N12" s="90">
        <v>0</v>
      </c>
      <c r="O12" s="90">
        <v>0</v>
      </c>
      <c r="P12" s="90">
        <v>0</v>
      </c>
      <c r="Q12" s="7">
        <v>0.02</v>
      </c>
      <c r="R12" s="90">
        <v>0</v>
      </c>
      <c r="S12" s="6"/>
      <c r="T12" s="6"/>
      <c r="U12" s="6"/>
      <c r="V12" s="6"/>
      <c r="W12" s="6"/>
      <c r="X12" s="6"/>
    </row>
    <row r="13" spans="1:24" x14ac:dyDescent="0.55000000000000004">
      <c r="A13" s="3">
        <v>21</v>
      </c>
      <c r="B13" s="6">
        <v>0.12</v>
      </c>
      <c r="C13" s="6">
        <v>7.0000000000000007E-2</v>
      </c>
      <c r="D13" s="8">
        <v>0.39</v>
      </c>
      <c r="E13" s="8">
        <v>0.09</v>
      </c>
      <c r="F13" s="8">
        <v>0.12</v>
      </c>
      <c r="G13" s="9" t="s">
        <v>263</v>
      </c>
      <c r="H13" s="6">
        <v>0.04</v>
      </c>
      <c r="I13" s="90">
        <v>0</v>
      </c>
      <c r="J13" s="93">
        <v>0</v>
      </c>
      <c r="K13" s="93">
        <v>0.1</v>
      </c>
      <c r="L13" s="8">
        <v>0.2</v>
      </c>
      <c r="M13" s="9"/>
      <c r="N13" s="90">
        <v>0</v>
      </c>
      <c r="O13" s="90">
        <v>0</v>
      </c>
      <c r="P13" s="90">
        <v>0</v>
      </c>
      <c r="Q13" s="7" t="s">
        <v>263</v>
      </c>
      <c r="R13" s="6" t="s">
        <v>263</v>
      </c>
      <c r="S13" s="6"/>
      <c r="T13" s="6"/>
      <c r="U13" s="6"/>
      <c r="V13" s="6"/>
      <c r="W13" s="6"/>
      <c r="X13" s="6"/>
    </row>
    <row r="14" spans="1:24" x14ac:dyDescent="0.55000000000000004">
      <c r="A14" s="3">
        <v>28</v>
      </c>
      <c r="B14" s="6">
        <v>0.14000000000000001</v>
      </c>
      <c r="C14" s="6">
        <v>0.13</v>
      </c>
      <c r="D14" s="8">
        <v>0.2</v>
      </c>
      <c r="E14" s="8">
        <v>0.13</v>
      </c>
      <c r="F14" s="8">
        <v>0.1</v>
      </c>
      <c r="G14" s="9" t="s">
        <v>263</v>
      </c>
      <c r="H14" s="90">
        <v>0</v>
      </c>
      <c r="I14" s="6">
        <v>-0.55000000000000004</v>
      </c>
      <c r="J14" s="8">
        <v>0.44</v>
      </c>
      <c r="K14" s="8">
        <v>0.21</v>
      </c>
      <c r="L14" s="8">
        <v>0.15</v>
      </c>
      <c r="M14" s="9"/>
      <c r="N14" s="6">
        <v>-0.44</v>
      </c>
      <c r="O14" s="90">
        <v>0</v>
      </c>
      <c r="P14" s="90">
        <v>0</v>
      </c>
      <c r="Q14" s="7" t="s">
        <v>263</v>
      </c>
      <c r="R14" s="6" t="s">
        <v>263</v>
      </c>
      <c r="S14" s="6"/>
      <c r="T14" s="6"/>
      <c r="U14" s="6"/>
      <c r="V14" s="6"/>
      <c r="W14" s="6"/>
      <c r="X14" s="6"/>
    </row>
    <row r="15" spans="1:24" ht="14.7" thickBot="1" x14ac:dyDescent="0.6">
      <c r="A15" s="4">
        <v>35</v>
      </c>
      <c r="B15" s="10">
        <v>0.17</v>
      </c>
      <c r="C15" s="10">
        <v>0.18</v>
      </c>
      <c r="D15" s="11">
        <v>0.2</v>
      </c>
      <c r="E15" s="11">
        <v>0.04</v>
      </c>
      <c r="F15" s="11" t="s">
        <v>263</v>
      </c>
      <c r="G15" s="12" t="s">
        <v>263</v>
      </c>
      <c r="H15" s="94">
        <v>0</v>
      </c>
      <c r="I15" s="10">
        <v>0.17</v>
      </c>
      <c r="J15" s="11">
        <v>0.17</v>
      </c>
      <c r="K15" s="11">
        <v>0.1</v>
      </c>
      <c r="L15" s="11" t="s">
        <v>263</v>
      </c>
      <c r="M15" s="12"/>
      <c r="N15" s="10">
        <v>-1.53</v>
      </c>
      <c r="O15" s="94">
        <v>0</v>
      </c>
      <c r="P15" s="10" t="s">
        <v>263</v>
      </c>
      <c r="Q15" s="13" t="s">
        <v>263</v>
      </c>
      <c r="R15" s="10" t="s">
        <v>263</v>
      </c>
      <c r="S15" s="6"/>
      <c r="T15" s="6"/>
      <c r="U15" s="6"/>
      <c r="V15" s="6"/>
      <c r="W15" s="6"/>
      <c r="X15" s="6"/>
    </row>
    <row r="22" spans="18:18" x14ac:dyDescent="0.55000000000000004">
      <c r="R22" t="s">
        <v>574</v>
      </c>
    </row>
  </sheetData>
  <mergeCells count="9">
    <mergeCell ref="S3:X3"/>
    <mergeCell ref="S4:X4"/>
    <mergeCell ref="A3:A4"/>
    <mergeCell ref="B3:G3"/>
    <mergeCell ref="B4:G4"/>
    <mergeCell ref="H3:M3"/>
    <mergeCell ref="H4:M4"/>
    <mergeCell ref="N3:Q3"/>
    <mergeCell ref="N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DFC4-CD62-4599-96EA-9FC8074BF8D4}">
  <dimension ref="A2:AK48"/>
  <sheetViews>
    <sheetView topLeftCell="A29" zoomScale="115" zoomScaleNormal="115" workbookViewId="0">
      <pane xSplit="1" topLeftCell="T1" activePane="topRight" state="frozen"/>
      <selection pane="topRight" activeCell="Y42" sqref="Y42"/>
    </sheetView>
  </sheetViews>
  <sheetFormatPr defaultRowHeight="12.6" x14ac:dyDescent="0.45"/>
  <cols>
    <col min="1" max="12" width="8.83984375" style="28"/>
    <col min="13" max="13" width="10.05078125" style="28" bestFit="1" customWidth="1"/>
    <col min="14" max="18" width="8.83984375" style="28"/>
    <col min="19" max="19" width="10.05078125" style="28" bestFit="1" customWidth="1"/>
    <col min="20" max="24" width="8.83984375" style="28"/>
    <col min="25" max="25" width="9.15625" style="28" bestFit="1" customWidth="1"/>
    <col min="26" max="16384" width="8.83984375" style="28"/>
  </cols>
  <sheetData>
    <row r="2" spans="1:37" ht="15.3" x14ac:dyDescent="0.55000000000000004">
      <c r="A2" s="54" t="s">
        <v>622</v>
      </c>
      <c r="B2" s="25" t="s">
        <v>624</v>
      </c>
    </row>
    <row r="4" spans="1:37" x14ac:dyDescent="0.45">
      <c r="A4" s="136"/>
      <c r="B4" s="124" t="s">
        <v>573</v>
      </c>
      <c r="C4" s="124"/>
      <c r="D4" s="124"/>
      <c r="E4" s="124"/>
      <c r="F4" s="124"/>
      <c r="G4" s="134"/>
      <c r="H4" s="124" t="s">
        <v>597</v>
      </c>
      <c r="I4" s="124"/>
      <c r="J4" s="124"/>
      <c r="K4" s="124"/>
      <c r="L4" s="124"/>
      <c r="M4" s="134"/>
      <c r="N4" s="124" t="s">
        <v>598</v>
      </c>
      <c r="O4" s="124"/>
      <c r="P4" s="124"/>
      <c r="Q4" s="124"/>
      <c r="R4" s="124"/>
      <c r="S4" s="134"/>
      <c r="T4" s="124" t="s">
        <v>599</v>
      </c>
      <c r="U4" s="124"/>
      <c r="V4" s="124"/>
      <c r="W4" s="124"/>
      <c r="X4" s="124"/>
      <c r="Y4" s="134"/>
      <c r="Z4" s="124" t="s">
        <v>600</v>
      </c>
      <c r="AA4" s="124"/>
      <c r="AB4" s="124"/>
      <c r="AC4" s="124"/>
      <c r="AD4" s="124"/>
      <c r="AE4" s="134"/>
      <c r="AF4" s="124" t="s">
        <v>601</v>
      </c>
      <c r="AG4" s="124"/>
      <c r="AH4" s="124"/>
      <c r="AI4" s="124"/>
      <c r="AJ4" s="124"/>
      <c r="AK4" s="124"/>
    </row>
    <row r="5" spans="1:37" x14ac:dyDescent="0.45">
      <c r="A5" s="137"/>
      <c r="B5" s="131" t="s">
        <v>587</v>
      </c>
      <c r="C5" s="131"/>
      <c r="D5" s="131"/>
      <c r="E5" s="131"/>
      <c r="F5" s="131"/>
      <c r="G5" s="132"/>
      <c r="H5" s="131" t="s">
        <v>602</v>
      </c>
      <c r="I5" s="131"/>
      <c r="J5" s="131"/>
      <c r="K5" s="131"/>
      <c r="L5" s="131"/>
      <c r="M5" s="132"/>
      <c r="N5" s="131" t="s">
        <v>602</v>
      </c>
      <c r="O5" s="131"/>
      <c r="P5" s="131"/>
      <c r="Q5" s="131"/>
      <c r="R5" s="131"/>
      <c r="S5" s="132"/>
      <c r="T5" s="131" t="s">
        <v>603</v>
      </c>
      <c r="U5" s="131"/>
      <c r="V5" s="131"/>
      <c r="W5" s="131"/>
      <c r="X5" s="131"/>
      <c r="Y5" s="132"/>
      <c r="Z5" s="131" t="s">
        <v>604</v>
      </c>
      <c r="AA5" s="131"/>
      <c r="AB5" s="131"/>
      <c r="AC5" s="131"/>
      <c r="AD5" s="131"/>
      <c r="AE5" s="132"/>
      <c r="AF5" s="131" t="s">
        <v>605</v>
      </c>
      <c r="AG5" s="131"/>
      <c r="AH5" s="131"/>
      <c r="AI5" s="131"/>
      <c r="AJ5" s="131"/>
      <c r="AK5" s="131"/>
    </row>
    <row r="6" spans="1:37" x14ac:dyDescent="0.45">
      <c r="A6" s="34" t="s">
        <v>562</v>
      </c>
      <c r="B6" s="32" t="s">
        <v>563</v>
      </c>
      <c r="C6" s="32" t="s">
        <v>564</v>
      </c>
      <c r="D6" s="32" t="s">
        <v>568</v>
      </c>
      <c r="E6" s="32" t="s">
        <v>565</v>
      </c>
      <c r="F6" s="32" t="s">
        <v>566</v>
      </c>
      <c r="G6" s="34" t="s">
        <v>567</v>
      </c>
      <c r="H6" s="32" t="s">
        <v>563</v>
      </c>
      <c r="I6" s="32" t="s">
        <v>564</v>
      </c>
      <c r="J6" s="32" t="s">
        <v>568</v>
      </c>
      <c r="K6" s="32" t="s">
        <v>565</v>
      </c>
      <c r="L6" s="32" t="s">
        <v>566</v>
      </c>
      <c r="M6" s="34" t="s">
        <v>567</v>
      </c>
      <c r="N6" s="32" t="s">
        <v>563</v>
      </c>
      <c r="O6" s="32" t="s">
        <v>564</v>
      </c>
      <c r="P6" s="32" t="s">
        <v>568</v>
      </c>
      <c r="Q6" s="32" t="s">
        <v>565</v>
      </c>
      <c r="R6" s="32" t="s">
        <v>566</v>
      </c>
      <c r="S6" s="34" t="s">
        <v>567</v>
      </c>
      <c r="T6" s="32" t="s">
        <v>563</v>
      </c>
      <c r="U6" s="32" t="s">
        <v>564</v>
      </c>
      <c r="V6" s="32" t="s">
        <v>568</v>
      </c>
      <c r="W6" s="32" t="s">
        <v>565</v>
      </c>
      <c r="X6" s="32" t="s">
        <v>566</v>
      </c>
      <c r="Y6" s="34" t="s">
        <v>567</v>
      </c>
      <c r="Z6" s="32" t="s">
        <v>563</v>
      </c>
      <c r="AA6" s="32" t="s">
        <v>564</v>
      </c>
      <c r="AB6" s="32" t="s">
        <v>568</v>
      </c>
      <c r="AC6" s="32" t="s">
        <v>565</v>
      </c>
      <c r="AD6" s="32" t="s">
        <v>566</v>
      </c>
      <c r="AE6" s="34" t="s">
        <v>567</v>
      </c>
      <c r="AF6" s="32" t="s">
        <v>563</v>
      </c>
      <c r="AG6" s="32" t="s">
        <v>564</v>
      </c>
      <c r="AH6" s="32" t="s">
        <v>568</v>
      </c>
      <c r="AI6" s="32" t="s">
        <v>565</v>
      </c>
      <c r="AJ6" s="32" t="s">
        <v>566</v>
      </c>
      <c r="AK6" s="32" t="s">
        <v>567</v>
      </c>
    </row>
    <row r="7" spans="1:37" x14ac:dyDescent="0.45">
      <c r="A7" s="21">
        <v>0</v>
      </c>
      <c r="B7" s="6">
        <v>5.05</v>
      </c>
      <c r="C7" s="6">
        <v>3.02</v>
      </c>
      <c r="D7" s="6">
        <v>1.82</v>
      </c>
      <c r="E7" s="6">
        <v>5.48</v>
      </c>
      <c r="F7" s="6">
        <v>7.83</v>
      </c>
      <c r="G7" s="24">
        <v>4.3899999999999997</v>
      </c>
      <c r="H7" s="6">
        <v>5.25</v>
      </c>
      <c r="I7" s="6">
        <v>4.5199999999999996</v>
      </c>
      <c r="J7" s="6">
        <v>6.79</v>
      </c>
      <c r="K7" s="39">
        <v>3.8</v>
      </c>
      <c r="L7" s="28">
        <v>7.39</v>
      </c>
      <c r="M7" s="38">
        <v>8.7200000000000006</v>
      </c>
      <c r="N7" s="27">
        <v>4.55</v>
      </c>
      <c r="O7" s="39">
        <v>5.13</v>
      </c>
      <c r="P7" s="39">
        <v>2.69</v>
      </c>
      <c r="Q7" s="39">
        <v>2.89</v>
      </c>
      <c r="R7" s="39">
        <v>5.66</v>
      </c>
      <c r="S7" s="38">
        <v>6.19</v>
      </c>
      <c r="T7" s="36">
        <v>7.57</v>
      </c>
      <c r="U7" s="39">
        <v>10.6</v>
      </c>
      <c r="V7" s="39" t="s">
        <v>263</v>
      </c>
      <c r="W7" s="39">
        <v>1.37</v>
      </c>
      <c r="X7" s="28">
        <v>22.9</v>
      </c>
      <c r="Y7" s="38" t="s">
        <v>263</v>
      </c>
      <c r="Z7" s="27">
        <v>3.47</v>
      </c>
      <c r="AA7" s="27">
        <v>2.4900000000000002</v>
      </c>
      <c r="AB7" s="27">
        <v>1.4</v>
      </c>
      <c r="AC7" s="27">
        <v>0.33</v>
      </c>
      <c r="AD7" s="27">
        <v>2.73</v>
      </c>
      <c r="AE7" s="35">
        <v>1.19</v>
      </c>
      <c r="AF7" s="27">
        <v>2.84</v>
      </c>
      <c r="AG7" s="27">
        <v>2.04</v>
      </c>
      <c r="AH7" s="27">
        <v>1.1499999999999999</v>
      </c>
      <c r="AI7" s="27">
        <v>0.27</v>
      </c>
      <c r="AJ7" s="27">
        <v>2.23</v>
      </c>
      <c r="AK7" s="27">
        <v>0.97</v>
      </c>
    </row>
    <row r="8" spans="1:37" x14ac:dyDescent="0.45">
      <c r="A8" s="21">
        <v>1</v>
      </c>
      <c r="B8" s="6">
        <v>1.57</v>
      </c>
      <c r="C8" s="6">
        <v>1.1499999999999999</v>
      </c>
      <c r="D8" s="6">
        <v>0.88</v>
      </c>
      <c r="E8" s="6">
        <v>0.48</v>
      </c>
      <c r="F8" s="6">
        <v>0.75</v>
      </c>
      <c r="G8" s="24">
        <v>0.79</v>
      </c>
      <c r="H8" s="6">
        <v>1.41</v>
      </c>
      <c r="I8" s="6">
        <v>2.31</v>
      </c>
      <c r="J8" s="6">
        <v>0.62</v>
      </c>
      <c r="K8" s="39">
        <v>0.99</v>
      </c>
      <c r="L8" s="28">
        <v>1.7</v>
      </c>
      <c r="M8" s="38">
        <v>1.94</v>
      </c>
      <c r="N8" s="27">
        <v>0.78</v>
      </c>
      <c r="O8" s="39">
        <v>0.64</v>
      </c>
      <c r="P8" s="39">
        <v>1.36</v>
      </c>
      <c r="Q8" s="39">
        <v>0.84</v>
      </c>
      <c r="R8" s="39">
        <v>1.1299999999999999</v>
      </c>
      <c r="S8" s="38">
        <v>1.44</v>
      </c>
      <c r="T8" s="36" t="s">
        <v>263</v>
      </c>
      <c r="U8" s="39" t="s">
        <v>263</v>
      </c>
      <c r="V8" s="39">
        <v>12.3</v>
      </c>
      <c r="W8" s="39">
        <v>3.87</v>
      </c>
      <c r="X8" s="28">
        <v>6.1</v>
      </c>
      <c r="Y8" s="38">
        <v>0.76</v>
      </c>
      <c r="Z8" s="27">
        <v>0.26</v>
      </c>
      <c r="AA8" s="27">
        <v>0.32</v>
      </c>
      <c r="AB8" s="27">
        <v>0.48</v>
      </c>
      <c r="AC8" s="27">
        <v>0.24</v>
      </c>
      <c r="AD8" s="27">
        <v>0.41</v>
      </c>
      <c r="AE8" s="35">
        <v>0.39</v>
      </c>
      <c r="AF8" s="27">
        <v>0.21</v>
      </c>
      <c r="AG8" s="27">
        <v>0.26</v>
      </c>
      <c r="AH8" s="27">
        <v>0.4</v>
      </c>
      <c r="AI8" s="27">
        <v>0.19</v>
      </c>
      <c r="AJ8" s="27">
        <v>0.34</v>
      </c>
      <c r="AK8" s="27">
        <v>0.31</v>
      </c>
    </row>
    <row r="9" spans="1:37" x14ac:dyDescent="0.45">
      <c r="A9" s="21">
        <v>2</v>
      </c>
      <c r="B9" s="6" t="s">
        <v>263</v>
      </c>
      <c r="C9" s="6" t="s">
        <v>263</v>
      </c>
      <c r="D9" s="6" t="s">
        <v>263</v>
      </c>
      <c r="E9" s="6" t="s">
        <v>263</v>
      </c>
      <c r="F9" s="6">
        <v>0.3</v>
      </c>
      <c r="G9" s="24">
        <v>0.31</v>
      </c>
      <c r="H9" s="6" t="s">
        <v>263</v>
      </c>
      <c r="I9" s="6" t="s">
        <v>263</v>
      </c>
      <c r="J9" s="6" t="s">
        <v>263</v>
      </c>
      <c r="K9" s="39" t="s">
        <v>263</v>
      </c>
      <c r="L9" s="28">
        <v>1.01</v>
      </c>
      <c r="M9" s="38">
        <v>0.99</v>
      </c>
      <c r="N9" s="27" t="s">
        <v>263</v>
      </c>
      <c r="O9" s="39" t="s">
        <v>263</v>
      </c>
      <c r="P9" s="39" t="s">
        <v>263</v>
      </c>
      <c r="Q9" s="39" t="s">
        <v>263</v>
      </c>
      <c r="R9" s="39">
        <v>0.78</v>
      </c>
      <c r="S9" s="38">
        <v>0.73</v>
      </c>
      <c r="T9" s="27" t="s">
        <v>263</v>
      </c>
      <c r="U9" s="39" t="s">
        <v>263</v>
      </c>
      <c r="V9" s="39" t="s">
        <v>263</v>
      </c>
      <c r="W9" s="39" t="s">
        <v>263</v>
      </c>
      <c r="X9" s="28">
        <v>2.98</v>
      </c>
      <c r="Y9" s="38">
        <v>0.59</v>
      </c>
      <c r="Z9" s="27" t="s">
        <v>263</v>
      </c>
      <c r="AA9" s="27" t="s">
        <v>263</v>
      </c>
      <c r="AB9" s="27" t="s">
        <v>263</v>
      </c>
      <c r="AC9" s="27" t="s">
        <v>263</v>
      </c>
      <c r="AD9" s="27">
        <v>0.33</v>
      </c>
      <c r="AE9" s="35">
        <v>0.15</v>
      </c>
      <c r="AF9" s="27" t="s">
        <v>263</v>
      </c>
      <c r="AG9" s="27" t="s">
        <v>263</v>
      </c>
      <c r="AH9" s="27" t="s">
        <v>263</v>
      </c>
      <c r="AI9" s="27" t="s">
        <v>263</v>
      </c>
      <c r="AJ9" s="27">
        <v>0.27</v>
      </c>
      <c r="AK9" s="27">
        <v>0.15</v>
      </c>
    </row>
    <row r="10" spans="1:37" x14ac:dyDescent="0.45">
      <c r="A10" s="21">
        <v>3</v>
      </c>
      <c r="B10" s="6">
        <v>0.46</v>
      </c>
      <c r="C10" s="6">
        <v>0.64</v>
      </c>
      <c r="D10" s="6">
        <v>0.83</v>
      </c>
      <c r="E10" s="6">
        <v>0.21</v>
      </c>
      <c r="F10" s="6">
        <v>0.25</v>
      </c>
      <c r="G10" s="24">
        <v>0.12</v>
      </c>
      <c r="H10" s="6">
        <v>1.23</v>
      </c>
      <c r="I10" s="6">
        <v>0.95</v>
      </c>
      <c r="J10" s="6">
        <v>0.17</v>
      </c>
      <c r="K10" s="39">
        <v>0.46</v>
      </c>
      <c r="L10" s="28">
        <v>0.75</v>
      </c>
      <c r="M10" s="38">
        <v>0.7</v>
      </c>
      <c r="N10" s="27">
        <v>0.53</v>
      </c>
      <c r="O10" s="39">
        <v>0.56999999999999995</v>
      </c>
      <c r="P10" s="39">
        <v>0.52</v>
      </c>
      <c r="Q10" s="39">
        <v>0.4</v>
      </c>
      <c r="R10" s="39">
        <v>0.66</v>
      </c>
      <c r="S10" s="38">
        <v>0.52</v>
      </c>
      <c r="T10" s="36" t="s">
        <v>263</v>
      </c>
      <c r="U10" s="39" t="s">
        <v>263</v>
      </c>
      <c r="V10" s="39">
        <v>2.81</v>
      </c>
      <c r="W10" s="39">
        <v>1.7</v>
      </c>
      <c r="X10" s="28">
        <v>1.97</v>
      </c>
      <c r="Y10" s="38">
        <v>0.51</v>
      </c>
      <c r="Z10" s="27">
        <v>0.19</v>
      </c>
      <c r="AA10" s="27">
        <v>0.35</v>
      </c>
      <c r="AB10" s="27">
        <v>0.55000000000000004</v>
      </c>
      <c r="AC10" s="27">
        <v>0.14000000000000001</v>
      </c>
      <c r="AD10" s="27">
        <v>0.54</v>
      </c>
      <c r="AE10" s="35">
        <v>0.09</v>
      </c>
      <c r="AF10" s="27">
        <v>0.15</v>
      </c>
      <c r="AG10" s="27">
        <v>0.28999999999999998</v>
      </c>
      <c r="AH10" s="27">
        <v>0.45</v>
      </c>
      <c r="AI10" s="27">
        <v>0.11</v>
      </c>
      <c r="AJ10" s="27">
        <v>0.44</v>
      </c>
      <c r="AK10" s="27">
        <v>7.0000000000000007E-2</v>
      </c>
    </row>
    <row r="11" spans="1:37" x14ac:dyDescent="0.45">
      <c r="A11" s="21">
        <v>4</v>
      </c>
      <c r="B11" s="6" t="s">
        <v>263</v>
      </c>
      <c r="C11" s="6" t="s">
        <v>263</v>
      </c>
      <c r="D11" s="6" t="s">
        <v>263</v>
      </c>
      <c r="E11" s="6"/>
      <c r="F11" s="6">
        <v>0.1</v>
      </c>
      <c r="G11" s="24" t="s">
        <v>263</v>
      </c>
      <c r="H11" s="6" t="s">
        <v>263</v>
      </c>
      <c r="I11" s="6" t="s">
        <v>263</v>
      </c>
      <c r="J11" s="6" t="s">
        <v>263</v>
      </c>
      <c r="K11" s="39" t="s">
        <v>263</v>
      </c>
      <c r="L11" s="28">
        <v>0.87</v>
      </c>
      <c r="M11" s="38" t="s">
        <v>263</v>
      </c>
      <c r="N11" s="27" t="s">
        <v>263</v>
      </c>
      <c r="O11" s="39" t="s">
        <v>263</v>
      </c>
      <c r="P11" s="39" t="s">
        <v>263</v>
      </c>
      <c r="Q11" s="39" t="s">
        <v>263</v>
      </c>
      <c r="R11" s="39">
        <v>0.68</v>
      </c>
      <c r="S11" s="38" t="s">
        <v>263</v>
      </c>
      <c r="T11" s="27" t="s">
        <v>263</v>
      </c>
      <c r="U11" s="39" t="s">
        <v>263</v>
      </c>
      <c r="V11" s="39" t="s">
        <v>263</v>
      </c>
      <c r="W11" s="39" t="s">
        <v>263</v>
      </c>
      <c r="X11" s="28">
        <v>1.87</v>
      </c>
      <c r="Y11" s="38" t="s">
        <v>263</v>
      </c>
      <c r="Z11" s="27" t="s">
        <v>263</v>
      </c>
      <c r="AA11" s="27" t="s">
        <v>263</v>
      </c>
      <c r="AB11" s="27" t="s">
        <v>263</v>
      </c>
      <c r="AC11" s="27" t="s">
        <v>263</v>
      </c>
      <c r="AD11" s="27">
        <v>0.65</v>
      </c>
      <c r="AE11" s="35" t="s">
        <v>263</v>
      </c>
      <c r="AF11" s="27" t="s">
        <v>263</v>
      </c>
      <c r="AG11" s="27" t="s">
        <v>263</v>
      </c>
      <c r="AH11" s="27" t="s">
        <v>263</v>
      </c>
      <c r="AI11" s="27" t="s">
        <v>263</v>
      </c>
      <c r="AJ11" s="27">
        <v>0.52</v>
      </c>
      <c r="AK11" s="27" t="s">
        <v>263</v>
      </c>
    </row>
    <row r="12" spans="1:37" x14ac:dyDescent="0.45">
      <c r="A12" s="21">
        <v>7</v>
      </c>
      <c r="B12" s="6">
        <v>0.19</v>
      </c>
      <c r="C12" s="6">
        <v>0.47</v>
      </c>
      <c r="D12" s="6">
        <v>0.15</v>
      </c>
      <c r="E12" s="6">
        <v>7.0000000000000007E-2</v>
      </c>
      <c r="F12" s="6">
        <v>0.12</v>
      </c>
      <c r="G12" s="24">
        <v>0.13</v>
      </c>
      <c r="H12" s="6">
        <v>0.85</v>
      </c>
      <c r="I12" s="6">
        <v>0.28000000000000003</v>
      </c>
      <c r="J12" s="6">
        <v>0.06</v>
      </c>
      <c r="K12" s="39">
        <v>0.34</v>
      </c>
      <c r="L12" s="28">
        <v>0.6</v>
      </c>
      <c r="M12" s="38">
        <v>0.78</v>
      </c>
      <c r="N12" s="27">
        <v>0.19</v>
      </c>
      <c r="O12" s="39">
        <v>0.09</v>
      </c>
      <c r="P12" s="39">
        <v>0.41</v>
      </c>
      <c r="Q12" s="39">
        <v>0.25</v>
      </c>
      <c r="R12" s="39">
        <v>0.44</v>
      </c>
      <c r="S12" s="38">
        <v>0.56999999999999995</v>
      </c>
      <c r="T12" s="27">
        <v>1.1399999999999999</v>
      </c>
      <c r="U12" s="39">
        <v>1.88</v>
      </c>
      <c r="V12" s="39" t="s">
        <v>263</v>
      </c>
      <c r="W12" s="39">
        <v>0.62</v>
      </c>
      <c r="X12" s="28">
        <v>0.32</v>
      </c>
      <c r="Y12" s="38">
        <v>0.78</v>
      </c>
      <c r="Z12" s="27">
        <v>0.11</v>
      </c>
      <c r="AA12" s="27">
        <v>0.2</v>
      </c>
      <c r="AB12" s="27">
        <v>0.13</v>
      </c>
      <c r="AC12" s="27">
        <v>0.11</v>
      </c>
      <c r="AD12" s="27">
        <v>0.48</v>
      </c>
      <c r="AE12" s="35">
        <v>0.22</v>
      </c>
      <c r="AF12" s="27">
        <v>0.09</v>
      </c>
      <c r="AG12" s="27">
        <v>0.15</v>
      </c>
      <c r="AH12" s="27">
        <v>0.1</v>
      </c>
      <c r="AI12" s="27">
        <v>0.09</v>
      </c>
      <c r="AJ12" s="27">
        <v>0.4</v>
      </c>
      <c r="AK12" s="27">
        <v>0.18</v>
      </c>
    </row>
    <row r="13" spans="1:37" x14ac:dyDescent="0.45">
      <c r="A13" s="21">
        <v>14</v>
      </c>
      <c r="B13" s="6">
        <v>0.14000000000000001</v>
      </c>
      <c r="C13" s="6">
        <v>0.33</v>
      </c>
      <c r="D13" s="6">
        <v>0.27</v>
      </c>
      <c r="E13" s="6">
        <v>0.02</v>
      </c>
      <c r="F13" s="6">
        <v>0.04</v>
      </c>
      <c r="G13" s="24">
        <v>0.01</v>
      </c>
      <c r="H13" s="6">
        <v>0.35</v>
      </c>
      <c r="I13" s="6">
        <v>1.39</v>
      </c>
      <c r="J13" s="6">
        <v>0.08</v>
      </c>
      <c r="K13" s="39">
        <v>0.17</v>
      </c>
      <c r="L13" s="28">
        <v>0.25</v>
      </c>
      <c r="M13" s="38">
        <v>1</v>
      </c>
      <c r="N13" s="27">
        <v>0.41</v>
      </c>
      <c r="O13" s="39">
        <v>0.73</v>
      </c>
      <c r="P13" s="39">
        <v>0.08</v>
      </c>
      <c r="Q13" s="39">
        <v>0.13</v>
      </c>
      <c r="R13" s="39">
        <v>0.16</v>
      </c>
      <c r="S13" s="38">
        <v>0.72</v>
      </c>
      <c r="T13" s="36" t="s">
        <v>263</v>
      </c>
      <c r="U13" s="39">
        <v>3.32</v>
      </c>
      <c r="V13" s="39">
        <v>5.37</v>
      </c>
      <c r="W13" s="39">
        <v>0.36</v>
      </c>
      <c r="X13" s="28">
        <v>0.31</v>
      </c>
      <c r="Y13" s="38">
        <v>1.63</v>
      </c>
      <c r="Z13" s="36" t="s">
        <v>263</v>
      </c>
      <c r="AA13" s="27">
        <v>0.08</v>
      </c>
      <c r="AB13" s="27">
        <v>0.15</v>
      </c>
      <c r="AC13" s="27">
        <v>0.12</v>
      </c>
      <c r="AD13" s="27">
        <v>0.15</v>
      </c>
      <c r="AE13" s="35">
        <v>0.14000000000000001</v>
      </c>
      <c r="AF13" s="27" t="s">
        <v>263</v>
      </c>
      <c r="AG13" s="27">
        <v>0.06</v>
      </c>
      <c r="AH13" s="27">
        <v>0.12</v>
      </c>
      <c r="AI13" s="27">
        <v>0.1</v>
      </c>
      <c r="AJ13" s="27">
        <v>0.13</v>
      </c>
      <c r="AK13" s="27">
        <v>0.12</v>
      </c>
    </row>
    <row r="14" spans="1:37" x14ac:dyDescent="0.45">
      <c r="A14" s="21">
        <v>21</v>
      </c>
      <c r="B14" s="6">
        <v>0.11</v>
      </c>
      <c r="C14" s="6">
        <v>0.26</v>
      </c>
      <c r="D14" s="6">
        <v>0.55000000000000004</v>
      </c>
      <c r="E14" s="6">
        <v>0.04</v>
      </c>
      <c r="F14" s="6">
        <v>0.05</v>
      </c>
      <c r="G14" s="24" t="s">
        <v>263</v>
      </c>
      <c r="H14" s="6">
        <v>0.13</v>
      </c>
      <c r="I14" s="6">
        <v>0.28999999999999998</v>
      </c>
      <c r="J14" s="6">
        <v>0.19</v>
      </c>
      <c r="K14" s="39">
        <v>0.16</v>
      </c>
      <c r="L14" s="28">
        <v>0.24</v>
      </c>
      <c r="M14" s="38" t="s">
        <v>263</v>
      </c>
      <c r="N14" s="27">
        <v>0.14000000000000001</v>
      </c>
      <c r="O14" s="39">
        <v>0.31</v>
      </c>
      <c r="P14" s="39">
        <v>0.09</v>
      </c>
      <c r="Q14" s="39">
        <v>0.12</v>
      </c>
      <c r="R14" s="39">
        <v>0.19</v>
      </c>
      <c r="S14" s="38" t="s">
        <v>263</v>
      </c>
      <c r="T14" s="27">
        <v>0.34</v>
      </c>
      <c r="U14" s="39">
        <v>0.78</v>
      </c>
      <c r="V14" s="39">
        <v>1.43</v>
      </c>
      <c r="W14" s="39">
        <v>0.47</v>
      </c>
      <c r="X14" s="28">
        <v>0.86</v>
      </c>
      <c r="Y14" s="38" t="s">
        <v>263</v>
      </c>
      <c r="Z14" s="27">
        <v>0.11</v>
      </c>
      <c r="AA14" s="27">
        <v>0.26</v>
      </c>
      <c r="AB14" s="27">
        <v>0.15</v>
      </c>
      <c r="AC14" s="27">
        <v>0.16</v>
      </c>
      <c r="AD14" s="27">
        <v>0.11</v>
      </c>
      <c r="AE14" s="35" t="s">
        <v>263</v>
      </c>
      <c r="AF14" s="27">
        <v>0.09</v>
      </c>
      <c r="AG14" s="27">
        <v>0.21</v>
      </c>
      <c r="AH14" s="27">
        <v>0.12</v>
      </c>
      <c r="AI14" s="27">
        <v>0.12</v>
      </c>
      <c r="AJ14" s="27">
        <v>0.1</v>
      </c>
      <c r="AK14" s="27" t="s">
        <v>263</v>
      </c>
    </row>
    <row r="15" spans="1:37" x14ac:dyDescent="0.45">
      <c r="A15" s="21">
        <v>28</v>
      </c>
      <c r="B15" s="6">
        <v>0.14000000000000001</v>
      </c>
      <c r="C15" s="6">
        <v>0.24</v>
      </c>
      <c r="D15" s="6">
        <v>0.26</v>
      </c>
      <c r="E15" s="6">
        <v>0.06</v>
      </c>
      <c r="F15" s="6">
        <v>0.04</v>
      </c>
      <c r="G15" s="24" t="s">
        <v>263</v>
      </c>
      <c r="H15" s="6">
        <v>0.22</v>
      </c>
      <c r="I15" s="6">
        <v>1.1299999999999999</v>
      </c>
      <c r="J15" s="6">
        <v>0.24</v>
      </c>
      <c r="K15" s="39">
        <v>0.14000000000000001</v>
      </c>
      <c r="L15" s="28">
        <v>0.22</v>
      </c>
      <c r="M15" s="38" t="s">
        <v>263</v>
      </c>
      <c r="N15" s="27">
        <v>0.09</v>
      </c>
      <c r="O15" s="39">
        <v>0.18</v>
      </c>
      <c r="P15" s="39">
        <v>0.08</v>
      </c>
      <c r="Q15" s="39">
        <v>0.11</v>
      </c>
      <c r="R15" s="39">
        <v>7.0000000000000007E-2</v>
      </c>
      <c r="S15" s="38" t="s">
        <v>263</v>
      </c>
      <c r="T15" s="36" t="s">
        <v>263</v>
      </c>
      <c r="U15" s="39" t="s">
        <v>263</v>
      </c>
      <c r="V15" s="39" t="s">
        <v>263</v>
      </c>
      <c r="W15" s="39">
        <v>0.56999999999999995</v>
      </c>
      <c r="X15" s="28">
        <v>0.67</v>
      </c>
      <c r="Y15" s="38" t="s">
        <v>263</v>
      </c>
      <c r="Z15" s="27" t="s">
        <v>263</v>
      </c>
      <c r="AA15" s="27">
        <v>0.12</v>
      </c>
      <c r="AB15" s="27">
        <v>0.28000000000000003</v>
      </c>
      <c r="AC15" s="27">
        <v>0.16</v>
      </c>
      <c r="AD15" s="27">
        <v>0.02</v>
      </c>
      <c r="AE15" s="35" t="s">
        <v>263</v>
      </c>
      <c r="AF15" s="27" t="s">
        <v>263</v>
      </c>
      <c r="AG15" s="27">
        <v>0.1</v>
      </c>
      <c r="AH15" s="27">
        <v>0.23</v>
      </c>
      <c r="AI15" s="27">
        <v>0.13</v>
      </c>
      <c r="AJ15" s="27">
        <v>0.02</v>
      </c>
      <c r="AK15" s="27" t="s">
        <v>263</v>
      </c>
    </row>
    <row r="16" spans="1:37" x14ac:dyDescent="0.45">
      <c r="A16" s="43">
        <v>35</v>
      </c>
      <c r="B16" s="30">
        <v>0.14000000000000001</v>
      </c>
      <c r="C16" s="30">
        <v>0.19</v>
      </c>
      <c r="D16" s="30">
        <v>0.24</v>
      </c>
      <c r="E16" s="30">
        <v>0.01</v>
      </c>
      <c r="F16" s="30" t="s">
        <v>263</v>
      </c>
      <c r="G16" s="41" t="s">
        <v>263</v>
      </c>
      <c r="H16" s="30">
        <v>0.23</v>
      </c>
      <c r="I16" s="30">
        <v>1.25</v>
      </c>
      <c r="J16" s="30" t="s">
        <v>263</v>
      </c>
      <c r="K16" s="30">
        <v>0.08</v>
      </c>
      <c r="L16" s="30" t="s">
        <v>263</v>
      </c>
      <c r="M16" s="41" t="s">
        <v>263</v>
      </c>
      <c r="N16" s="42">
        <v>0.1</v>
      </c>
      <c r="O16" s="30">
        <v>0.04</v>
      </c>
      <c r="P16" s="30">
        <v>0.11</v>
      </c>
      <c r="Q16" s="30">
        <v>0.08</v>
      </c>
      <c r="R16" s="30" t="s">
        <v>263</v>
      </c>
      <c r="S16" s="41" t="s">
        <v>263</v>
      </c>
      <c r="T16" s="30" t="s">
        <v>263</v>
      </c>
      <c r="U16" s="30" t="s">
        <v>263</v>
      </c>
      <c r="V16" s="30">
        <v>3.05</v>
      </c>
      <c r="W16" s="30">
        <v>0.46</v>
      </c>
      <c r="X16" s="30" t="s">
        <v>263</v>
      </c>
      <c r="Y16" s="41" t="s">
        <v>263</v>
      </c>
      <c r="Z16" s="30" t="s">
        <v>263</v>
      </c>
      <c r="AA16" s="30">
        <v>0.31</v>
      </c>
      <c r="AB16" s="30" t="s">
        <v>263</v>
      </c>
      <c r="AC16" s="30">
        <v>0.06</v>
      </c>
      <c r="AD16" s="30" t="s">
        <v>263</v>
      </c>
      <c r="AE16" s="41" t="s">
        <v>263</v>
      </c>
      <c r="AF16" s="30" t="s">
        <v>263</v>
      </c>
      <c r="AG16" s="30">
        <v>0.26</v>
      </c>
      <c r="AH16" s="30" t="s">
        <v>263</v>
      </c>
      <c r="AI16" s="30">
        <v>0.05</v>
      </c>
      <c r="AJ16" s="30" t="s">
        <v>263</v>
      </c>
      <c r="AK16" s="30" t="s">
        <v>263</v>
      </c>
    </row>
    <row r="18" spans="1:37" ht="15.3" x14ac:dyDescent="0.55000000000000004">
      <c r="A18" s="54" t="s">
        <v>621</v>
      </c>
      <c r="B18" s="26" t="s">
        <v>626</v>
      </c>
    </row>
    <row r="19" spans="1:37" ht="15.3" x14ac:dyDescent="0.55000000000000004">
      <c r="B19" s="25"/>
    </row>
    <row r="20" spans="1:37" x14ac:dyDescent="0.45">
      <c r="A20" s="120"/>
      <c r="B20" s="125" t="s">
        <v>612</v>
      </c>
      <c r="C20" s="124"/>
      <c r="D20" s="124"/>
      <c r="E20" s="124"/>
      <c r="F20" s="124"/>
      <c r="G20" s="134"/>
      <c r="H20" s="133" t="s">
        <v>611</v>
      </c>
      <c r="I20" s="124"/>
      <c r="J20" s="124"/>
      <c r="K20" s="124"/>
      <c r="L20" s="124"/>
      <c r="M20" s="134"/>
      <c r="N20" s="133" t="s">
        <v>610</v>
      </c>
      <c r="O20" s="124"/>
      <c r="P20" s="124"/>
      <c r="Q20" s="124"/>
      <c r="R20" s="124"/>
      <c r="S20" s="134"/>
      <c r="T20" s="133" t="s">
        <v>609</v>
      </c>
      <c r="U20" s="124"/>
      <c r="V20" s="124"/>
      <c r="W20" s="124"/>
      <c r="X20" s="124"/>
      <c r="Y20" s="134"/>
      <c r="Z20" s="133" t="s">
        <v>608</v>
      </c>
      <c r="AA20" s="124"/>
      <c r="AB20" s="124"/>
      <c r="AC20" s="124"/>
      <c r="AD20" s="124"/>
      <c r="AE20" s="134"/>
      <c r="AF20" s="124" t="s">
        <v>613</v>
      </c>
      <c r="AG20" s="124"/>
      <c r="AH20" s="124"/>
      <c r="AI20" s="124"/>
      <c r="AJ20" s="124"/>
      <c r="AK20" s="124"/>
    </row>
    <row r="21" spans="1:37" ht="14.7" customHeight="1" x14ac:dyDescent="0.45">
      <c r="A21" s="135"/>
      <c r="B21" s="130" t="s">
        <v>607</v>
      </c>
      <c r="C21" s="131"/>
      <c r="D21" s="131"/>
      <c r="E21" s="131"/>
      <c r="F21" s="131"/>
      <c r="G21" s="132"/>
      <c r="H21" s="133" t="s">
        <v>607</v>
      </c>
      <c r="I21" s="131"/>
      <c r="J21" s="131"/>
      <c r="K21" s="131"/>
      <c r="L21" s="131"/>
      <c r="M21" s="132"/>
      <c r="N21" s="133" t="s">
        <v>607</v>
      </c>
      <c r="O21" s="131"/>
      <c r="P21" s="131"/>
      <c r="Q21" s="131"/>
      <c r="R21" s="131"/>
      <c r="S21" s="132"/>
      <c r="T21" s="133" t="s">
        <v>607</v>
      </c>
      <c r="U21" s="131"/>
      <c r="V21" s="131"/>
      <c r="W21" s="131"/>
      <c r="X21" s="131"/>
      <c r="Y21" s="132"/>
      <c r="Z21" s="133" t="s">
        <v>607</v>
      </c>
      <c r="AA21" s="131"/>
      <c r="AB21" s="131"/>
      <c r="AC21" s="131"/>
      <c r="AD21" s="131"/>
      <c r="AE21" s="132"/>
      <c r="AF21" s="131" t="s">
        <v>607</v>
      </c>
      <c r="AG21" s="131"/>
      <c r="AH21" s="131"/>
      <c r="AI21" s="131"/>
      <c r="AJ21" s="131"/>
      <c r="AK21" s="131"/>
    </row>
    <row r="22" spans="1:37" x14ac:dyDescent="0.45">
      <c r="A22" s="31" t="s">
        <v>562</v>
      </c>
      <c r="B22" s="33" t="s">
        <v>563</v>
      </c>
      <c r="C22" s="32" t="s">
        <v>564</v>
      </c>
      <c r="D22" s="32" t="s">
        <v>568</v>
      </c>
      <c r="E22" s="32" t="s">
        <v>565</v>
      </c>
      <c r="F22" s="32" t="s">
        <v>566</v>
      </c>
      <c r="G22" s="34" t="s">
        <v>567</v>
      </c>
      <c r="H22" s="44" t="s">
        <v>563</v>
      </c>
      <c r="I22" s="32" t="s">
        <v>564</v>
      </c>
      <c r="J22" s="32" t="s">
        <v>568</v>
      </c>
      <c r="K22" s="32" t="s">
        <v>565</v>
      </c>
      <c r="L22" s="32" t="s">
        <v>566</v>
      </c>
      <c r="M22" s="34" t="s">
        <v>567</v>
      </c>
      <c r="N22" s="44" t="s">
        <v>563</v>
      </c>
      <c r="O22" s="37" t="s">
        <v>564</v>
      </c>
      <c r="P22" s="32" t="s">
        <v>568</v>
      </c>
      <c r="Q22" s="32" t="s">
        <v>565</v>
      </c>
      <c r="R22" s="32" t="s">
        <v>566</v>
      </c>
      <c r="S22" s="34" t="s">
        <v>567</v>
      </c>
      <c r="T22" s="44" t="s">
        <v>563</v>
      </c>
      <c r="U22" s="32" t="s">
        <v>564</v>
      </c>
      <c r="V22" s="32" t="s">
        <v>568</v>
      </c>
      <c r="W22" s="32" t="s">
        <v>565</v>
      </c>
      <c r="X22" s="32" t="s">
        <v>566</v>
      </c>
      <c r="Y22" s="34" t="s">
        <v>567</v>
      </c>
      <c r="Z22" s="44" t="s">
        <v>563</v>
      </c>
      <c r="AA22" s="32" t="s">
        <v>564</v>
      </c>
      <c r="AB22" s="32" t="s">
        <v>568</v>
      </c>
      <c r="AC22" s="32" t="s">
        <v>565</v>
      </c>
      <c r="AD22" s="32" t="s">
        <v>566</v>
      </c>
      <c r="AE22" s="34" t="s">
        <v>567</v>
      </c>
      <c r="AF22" s="44" t="s">
        <v>563</v>
      </c>
      <c r="AG22" s="32" t="s">
        <v>564</v>
      </c>
      <c r="AH22" s="32" t="s">
        <v>568</v>
      </c>
      <c r="AI22" s="32" t="s">
        <v>565</v>
      </c>
      <c r="AJ22" s="32" t="s">
        <v>566</v>
      </c>
      <c r="AK22" s="32" t="s">
        <v>567</v>
      </c>
    </row>
    <row r="23" spans="1:37" ht="14.4" x14ac:dyDescent="0.55000000000000004">
      <c r="A23" s="3">
        <v>0</v>
      </c>
      <c r="B23" s="63">
        <v>1.9760000000000001E-5</v>
      </c>
      <c r="C23" s="64">
        <v>7.1400000000000002E-6</v>
      </c>
      <c r="D23" s="64">
        <v>4.6399999999999996E-6</v>
      </c>
      <c r="E23" s="64">
        <v>1.473E-4</v>
      </c>
      <c r="F23" s="65">
        <v>6.3800000000000006E-5</v>
      </c>
      <c r="G23" s="66">
        <v>5.2242E-4</v>
      </c>
      <c r="H23" s="74">
        <f>B23*0.104</f>
        <v>2.0550400000000001E-6</v>
      </c>
      <c r="I23" s="68">
        <f>$C23*0.15</f>
        <v>1.071E-6</v>
      </c>
      <c r="J23" s="68">
        <f>$D23*0.373</f>
        <v>1.7307199999999999E-6</v>
      </c>
      <c r="K23" s="68">
        <f>$E23*0.06943</f>
        <v>1.0227039000000001E-5</v>
      </c>
      <c r="L23" s="68">
        <f>$F23*0.0943</f>
        <v>6.0163400000000006E-6</v>
      </c>
      <c r="M23" s="69">
        <f>$G23*0.198775</f>
        <v>1.038440355E-4</v>
      </c>
      <c r="N23" s="74">
        <f>$B23*0.0901</f>
        <v>1.7803760000000001E-6</v>
      </c>
      <c r="O23" s="68">
        <f>$C23*0.17</f>
        <v>1.2138000000000001E-6</v>
      </c>
      <c r="P23" s="68">
        <f>$D23*0.145</f>
        <v>6.7279999999999994E-7</v>
      </c>
      <c r="Q23" s="68">
        <f>$E23*0.05275</f>
        <v>7.7700750000000003E-6</v>
      </c>
      <c r="R23" s="68">
        <f>$F23*0.0723</f>
        <v>4.612740000000001E-6</v>
      </c>
      <c r="S23" s="69">
        <f>$G23*0.141125</f>
        <v>7.3726522500000005E-5</v>
      </c>
      <c r="T23" s="74">
        <f>$B23*0.015</f>
        <v>2.9639999999999998E-7</v>
      </c>
      <c r="U23" s="68">
        <f>$C23*0.035</f>
        <v>2.4990000000000003E-7</v>
      </c>
      <c r="V23" s="68" t="s">
        <v>263</v>
      </c>
      <c r="W23" s="68">
        <f>$E23*0.0025</f>
        <v>3.6825000000000003E-7</v>
      </c>
      <c r="X23" s="68">
        <f>$F23*0.0292</f>
        <v>1.8629600000000002E-6</v>
      </c>
      <c r="Y23" s="69" t="s">
        <v>263</v>
      </c>
      <c r="Z23" s="74">
        <f>$B23*0.0006875</f>
        <v>1.3584999999999999E-8</v>
      </c>
      <c r="AA23" s="68">
        <f>$C23*0.000825</f>
        <v>5.8904999999999999E-9</v>
      </c>
      <c r="AB23" s="68">
        <f>$D23*0.00077</f>
        <v>3.5727999999999995E-9</v>
      </c>
      <c r="AC23" s="68">
        <f>$E23*0.00006</f>
        <v>8.8380000000000011E-9</v>
      </c>
      <c r="AD23" s="68">
        <f>$F23*0.00034788</f>
        <v>2.2194744000000002E-8</v>
      </c>
      <c r="AE23" s="69">
        <f>$G23*0.0002715</f>
        <v>1.4183703E-7</v>
      </c>
      <c r="AF23" s="68">
        <f>$B23*0.0005625</f>
        <v>1.1114999999999999E-8</v>
      </c>
      <c r="AG23" s="68">
        <f>$C23*0.000675</f>
        <v>4.8195000000000006E-9</v>
      </c>
      <c r="AH23" s="68">
        <f>$D23*0.00063</f>
        <v>2.9232E-9</v>
      </c>
      <c r="AI23" s="68">
        <f>$E23*0.00005</f>
        <v>7.3650000000000001E-9</v>
      </c>
      <c r="AJ23" s="68">
        <f>$F23*0.00028462</f>
        <v>1.8158756000000002E-8</v>
      </c>
      <c r="AK23" s="68">
        <f>$G23*0.0002215</f>
        <v>1.1571602999999999E-7</v>
      </c>
    </row>
    <row r="24" spans="1:37" ht="14.4" x14ac:dyDescent="0.55000000000000004">
      <c r="A24" s="3">
        <v>1</v>
      </c>
      <c r="B24" s="63">
        <v>9.1400000000000006E-6</v>
      </c>
      <c r="C24" s="64">
        <v>3.1599999999999998E-6</v>
      </c>
      <c r="D24" s="64">
        <v>2.3E-6</v>
      </c>
      <c r="E24" s="64">
        <v>2.5700000000000001E-5</v>
      </c>
      <c r="F24" s="65">
        <v>9.9599999999999995E-6</v>
      </c>
      <c r="G24" s="66">
        <v>5.0405999999999997E-4</v>
      </c>
      <c r="H24" s="74">
        <f>B24*0.09</f>
        <v>8.2260000000000007E-7</v>
      </c>
      <c r="I24" s="68">
        <f>$C24*0.2</f>
        <v>6.3200000000000005E-7</v>
      </c>
      <c r="J24" s="68">
        <f>$D24*0.07</f>
        <v>1.6100000000000003E-7</v>
      </c>
      <c r="K24" s="68">
        <f>$E24*0.204</f>
        <v>5.2428E-6</v>
      </c>
      <c r="L24" s="68">
        <f>$F24*0.226</f>
        <v>2.2509599999999999E-6</v>
      </c>
      <c r="M24" s="69">
        <f>$G24*0.246985</f>
        <v>1.2449525909999999E-4</v>
      </c>
      <c r="N24" s="74">
        <f>$B24*0.05</f>
        <v>4.5700000000000003E-7</v>
      </c>
      <c r="O24" s="68">
        <f>$C24*0.055</f>
        <v>1.7379999999999998E-7</v>
      </c>
      <c r="P24" s="68">
        <f>$D24*0.155</f>
        <v>3.565E-7</v>
      </c>
      <c r="Q24" s="68">
        <f>$E24*0.174</f>
        <v>4.4718000000000001E-6</v>
      </c>
      <c r="R24" s="68">
        <f>$F24*0.15</f>
        <v>1.4939999999999998E-6</v>
      </c>
      <c r="S24" s="69">
        <f>$G24*0.18308</f>
        <v>9.2283304799999988E-5</v>
      </c>
      <c r="T24" s="74" t="s">
        <v>263</v>
      </c>
      <c r="U24" s="68" t="s">
        <v>263</v>
      </c>
      <c r="V24" s="68">
        <f t="shared" ref="V24" si="0">$D24*0.15</f>
        <v>3.4499999999999998E-7</v>
      </c>
      <c r="W24" s="68">
        <f>$E24*0.08</f>
        <v>2.0560000000000003E-6</v>
      </c>
      <c r="X24" s="68">
        <f>$F24*0.081</f>
        <v>8.0676000000000001E-7</v>
      </c>
      <c r="Y24" s="69">
        <f>$G24*0.0096</f>
        <v>4.8389759999999991E-6</v>
      </c>
      <c r="Z24" s="74">
        <f>$B24*0.000165</f>
        <v>1.5081E-9</v>
      </c>
      <c r="AA24" s="68">
        <f>$C24*0.000275</f>
        <v>8.69E-10</v>
      </c>
      <c r="AB24" s="68">
        <f>$D24*0.00055</f>
        <v>1.2650000000000001E-9</v>
      </c>
      <c r="AC24" s="68">
        <f>$E24*0.0005</f>
        <v>1.2850000000000001E-8</v>
      </c>
      <c r="AD24" s="68">
        <f>$F24*0.00055</f>
        <v>5.4780000000000003E-9</v>
      </c>
      <c r="AE24" s="69">
        <f>$G24*0.000489</f>
        <v>2.4648533999999996E-7</v>
      </c>
      <c r="AF24" s="68">
        <f>$B24*0.000135</f>
        <v>1.2339000000000001E-9</v>
      </c>
      <c r="AG24" s="68">
        <f>$C24*0.000225</f>
        <v>7.1099999999999992E-10</v>
      </c>
      <c r="AH24" s="68">
        <f>$D24*0.00045</f>
        <v>1.035E-9</v>
      </c>
      <c r="AI24" s="68">
        <f>$E24*0.0004</f>
        <v>1.0280000000000002E-8</v>
      </c>
      <c r="AJ24" s="68">
        <f>$F24*0.00045</f>
        <v>4.482E-9</v>
      </c>
      <c r="AK24" s="68">
        <f>$G24*0.000399</f>
        <v>2.0111993999999998E-7</v>
      </c>
    </row>
    <row r="25" spans="1:37" ht="14.4" x14ac:dyDescent="0.55000000000000004">
      <c r="A25" s="3">
        <v>2</v>
      </c>
      <c r="B25" s="67" t="s">
        <v>263</v>
      </c>
      <c r="C25" s="68" t="s">
        <v>263</v>
      </c>
      <c r="D25" s="68" t="s">
        <v>263</v>
      </c>
      <c r="E25" s="68" t="s">
        <v>263</v>
      </c>
      <c r="F25" s="65">
        <v>5.4700000000000001E-6</v>
      </c>
      <c r="G25" s="66">
        <v>4.5398999999999998E-4</v>
      </c>
      <c r="H25" s="74" t="s">
        <v>263</v>
      </c>
      <c r="I25" s="68" t="s">
        <v>263</v>
      </c>
      <c r="J25" s="68" t="s">
        <v>263</v>
      </c>
      <c r="K25" s="68" t="s">
        <v>263</v>
      </c>
      <c r="L25" s="68">
        <f>$F25*0.338</f>
        <v>1.8488600000000002E-6</v>
      </c>
      <c r="M25" s="69">
        <f>$G25*0.32245</f>
        <v>1.4638907549999999E-4</v>
      </c>
      <c r="N25" s="74" t="s">
        <v>263</v>
      </c>
      <c r="O25" s="68" t="s">
        <v>263</v>
      </c>
      <c r="P25" s="68" t="s">
        <v>263</v>
      </c>
      <c r="Q25" s="68" t="s">
        <v>263</v>
      </c>
      <c r="R25" s="68">
        <f>$F25*0.261</f>
        <v>1.4276700000000001E-6</v>
      </c>
      <c r="S25" s="69">
        <f>$G25*0.236</f>
        <v>1.0714163999999999E-4</v>
      </c>
      <c r="T25" s="74" t="s">
        <v>263</v>
      </c>
      <c r="U25" s="68" t="s">
        <v>263</v>
      </c>
      <c r="V25" s="68" t="s">
        <v>263</v>
      </c>
      <c r="W25" s="68" t="s">
        <v>263</v>
      </c>
      <c r="X25" s="68">
        <f>$F25*0.0995</f>
        <v>5.4426500000000001E-7</v>
      </c>
      <c r="Y25" s="69">
        <f>$G25*0.01925</f>
        <v>8.7393075E-6</v>
      </c>
      <c r="Z25" s="74" t="s">
        <v>263</v>
      </c>
      <c r="AA25" s="68" t="s">
        <v>263</v>
      </c>
      <c r="AB25" s="68" t="s">
        <v>263</v>
      </c>
      <c r="AC25" s="68" t="s">
        <v>263</v>
      </c>
      <c r="AD25" s="68">
        <f>$F25*0.0011</f>
        <v>6.0170000000000002E-9</v>
      </c>
      <c r="AE25" s="69">
        <f>$G25*0.000475</f>
        <v>2.1564525E-7</v>
      </c>
      <c r="AF25" s="68" t="s">
        <v>263</v>
      </c>
      <c r="AG25" s="68" t="s">
        <v>263</v>
      </c>
      <c r="AH25" s="68" t="s">
        <v>263</v>
      </c>
      <c r="AI25" s="68" t="s">
        <v>263</v>
      </c>
      <c r="AJ25" s="68">
        <f>$F25*0.0009</f>
        <v>4.9229999999999996E-9</v>
      </c>
      <c r="AK25" s="68">
        <f>$G25*0.000475</f>
        <v>2.1564525E-7</v>
      </c>
    </row>
    <row r="26" spans="1:37" ht="14.4" x14ac:dyDescent="0.55000000000000004">
      <c r="A26" s="3">
        <v>3</v>
      </c>
      <c r="B26" s="63">
        <v>4.1099999999999996E-6</v>
      </c>
      <c r="C26" s="64">
        <v>1.9599999999999999E-6</v>
      </c>
      <c r="D26" s="64">
        <v>2.5000000000000002E-6</v>
      </c>
      <c r="E26" s="64">
        <v>3.4400000000000003E-5</v>
      </c>
      <c r="F26" s="65">
        <v>6.1700000000000002E-6</v>
      </c>
      <c r="G26" s="66">
        <v>3.7683999999999998E-4</v>
      </c>
      <c r="H26" s="74">
        <f>B26*0.27</f>
        <v>1.1096999999999999E-6</v>
      </c>
      <c r="I26" s="68">
        <f>$C26*0.15</f>
        <v>2.9399999999999996E-7</v>
      </c>
      <c r="J26" s="68">
        <f>$D26*0.02</f>
        <v>5.0000000000000004E-8</v>
      </c>
      <c r="K26" s="68">
        <f>$E26*0.2245</f>
        <v>7.7228E-6</v>
      </c>
      <c r="L26" s="68">
        <f>$F26*0.302</f>
        <v>1.8633400000000001E-6</v>
      </c>
      <c r="M26" s="69">
        <f>$G26*0.5818</f>
        <v>2.1924551199999998E-4</v>
      </c>
      <c r="N26" s="74">
        <f>$B26*0.116</f>
        <v>4.7675999999999999E-7</v>
      </c>
      <c r="O26" s="68">
        <f>$C26*0.09</f>
        <v>1.7639999999999999E-7</v>
      </c>
      <c r="P26" s="68">
        <f>$D26*0.63</f>
        <v>1.5750000000000002E-6</v>
      </c>
      <c r="Q26" s="68">
        <f>$E26*0.1957</f>
        <v>6.7320800000000006E-6</v>
      </c>
      <c r="R26" s="68">
        <f>$F26*0.267</f>
        <v>1.6473900000000002E-6</v>
      </c>
      <c r="S26" s="69">
        <f>$G26*0.4325</f>
        <v>1.6298329999999997E-4</v>
      </c>
      <c r="T26" s="74" t="s">
        <v>263</v>
      </c>
      <c r="U26" s="68" t="s">
        <v>263</v>
      </c>
      <c r="V26" s="68">
        <f>$D26*0.034</f>
        <v>8.5000000000000007E-8</v>
      </c>
      <c r="W26" s="68">
        <f>$E26*0.0823</f>
        <v>2.83112E-6</v>
      </c>
      <c r="X26" s="68">
        <f>$F26*0.08</f>
        <v>4.9360000000000003E-7</v>
      </c>
      <c r="Y26" s="69">
        <f>$G26*0.042475</f>
        <v>1.6006278999999999E-5</v>
      </c>
      <c r="Z26" s="74">
        <f>$B26*0.0004125</f>
        <v>1.6953749999999998E-9</v>
      </c>
      <c r="AA26" s="68">
        <f>$C26*0.00055</f>
        <v>1.078E-9</v>
      </c>
      <c r="AB26" s="68">
        <f>$D26*0.00066</f>
        <v>1.6500000000000001E-9</v>
      </c>
      <c r="AC26" s="68">
        <f>$E26*0.00067</f>
        <v>2.3048000000000002E-8</v>
      </c>
      <c r="AD26" s="68">
        <f>$F26*0.0022</f>
        <v>1.3574000000000001E-8</v>
      </c>
      <c r="AE26" s="69">
        <f>$G26*0.00075075</f>
        <v>2.8291262999999999E-7</v>
      </c>
      <c r="AF26" s="68">
        <f>$B26*0.0003375</f>
        <v>1.387125E-9</v>
      </c>
      <c r="AG26" s="68">
        <f>$C26*0.00045</f>
        <v>8.8199999999999995E-10</v>
      </c>
      <c r="AH26" s="68">
        <f>$D26*0.00054</f>
        <v>1.3500000000000001E-9</v>
      </c>
      <c r="AI26" s="68">
        <f>$E26*0.00055</f>
        <v>1.8920000000000003E-8</v>
      </c>
      <c r="AJ26" s="68">
        <f>$F26*0.0018</f>
        <v>1.1106E-8</v>
      </c>
      <c r="AK26" s="68">
        <f>$G26*0.0006145</f>
        <v>2.3156817999999999E-7</v>
      </c>
    </row>
    <row r="27" spans="1:37" ht="14.4" x14ac:dyDescent="0.55000000000000004">
      <c r="A27" s="3">
        <v>4</v>
      </c>
      <c r="B27" s="67" t="s">
        <v>263</v>
      </c>
      <c r="C27" s="68" t="s">
        <v>263</v>
      </c>
      <c r="D27" s="68" t="s">
        <v>263</v>
      </c>
      <c r="E27" s="68"/>
      <c r="F27" s="65">
        <v>2.7099999999999999E-6</v>
      </c>
      <c r="G27" s="69" t="s">
        <v>263</v>
      </c>
      <c r="H27" s="74" t="s">
        <v>263</v>
      </c>
      <c r="I27" s="68" t="s">
        <v>263</v>
      </c>
      <c r="J27" s="68" t="s">
        <v>263</v>
      </c>
      <c r="K27" s="68" t="s">
        <v>263</v>
      </c>
      <c r="L27" s="68">
        <f>$F27*0.835</f>
        <v>2.2628499999999999E-6</v>
      </c>
      <c r="M27" s="69" t="s">
        <v>263</v>
      </c>
      <c r="N27" s="74" t="s">
        <v>263</v>
      </c>
      <c r="O27" s="68" t="s">
        <v>263</v>
      </c>
      <c r="P27" s="68" t="s">
        <v>263</v>
      </c>
      <c r="Q27" s="68" t="s">
        <v>263</v>
      </c>
      <c r="R27" s="68">
        <f>$F27*0.65</f>
        <v>1.7615E-6</v>
      </c>
      <c r="S27" s="69" t="s">
        <v>263</v>
      </c>
      <c r="T27" s="74" t="s">
        <v>263</v>
      </c>
      <c r="U27" s="68" t="s">
        <v>263</v>
      </c>
      <c r="V27" s="68" t="s">
        <v>263</v>
      </c>
      <c r="W27" s="68" t="s">
        <v>263</v>
      </c>
      <c r="X27" s="68">
        <f>$F27*0.18</f>
        <v>4.8780000000000001E-7</v>
      </c>
      <c r="Y27" s="69" t="s">
        <v>263</v>
      </c>
      <c r="Z27" s="74" t="s">
        <v>263</v>
      </c>
      <c r="AA27" s="68" t="s">
        <v>263</v>
      </c>
      <c r="AB27" s="68" t="s">
        <v>263</v>
      </c>
      <c r="AC27" s="68" t="s">
        <v>263</v>
      </c>
      <c r="AD27" s="68">
        <f>$F27*0.0062</f>
        <v>1.6801999999999997E-8</v>
      </c>
      <c r="AE27" s="69" t="s">
        <v>263</v>
      </c>
      <c r="AF27" s="68" t="s">
        <v>263</v>
      </c>
      <c r="AG27" s="68" t="s">
        <v>263</v>
      </c>
      <c r="AH27" s="68" t="s">
        <v>263</v>
      </c>
      <c r="AI27" s="68" t="s">
        <v>263</v>
      </c>
      <c r="AJ27" s="68">
        <f>$F27*0.00504</f>
        <v>1.3658400000000001E-8</v>
      </c>
      <c r="AK27" s="68" t="s">
        <v>263</v>
      </c>
    </row>
    <row r="28" spans="1:37" ht="14.4" x14ac:dyDescent="0.55000000000000004">
      <c r="A28" s="3">
        <v>7</v>
      </c>
      <c r="B28" s="63">
        <v>3.9999999999999998E-6</v>
      </c>
      <c r="C28" s="64">
        <v>1.5999999999999999E-6</v>
      </c>
      <c r="D28" s="64">
        <v>6.8999999999999996E-7</v>
      </c>
      <c r="E28" s="64">
        <v>1.169E-5</v>
      </c>
      <c r="F28" s="65">
        <v>3.8999999999999999E-6</v>
      </c>
      <c r="G28" s="66">
        <v>3.1342000000000002E-4</v>
      </c>
      <c r="H28" s="74">
        <f>$B28*0.447</f>
        <v>1.7879999999999999E-6</v>
      </c>
      <c r="I28" s="68">
        <f>$C28*0.06</f>
        <v>9.5999999999999986E-8</v>
      </c>
      <c r="J28" s="68">
        <f>$D28*0.04</f>
        <v>2.7599999999999999E-8</v>
      </c>
      <c r="K28" s="68">
        <f>$E28*0.517</f>
        <v>6.0437299999999998E-6</v>
      </c>
      <c r="L28" s="68">
        <f>$F28*0.525</f>
        <v>2.0474999999999999E-6</v>
      </c>
      <c r="M28" s="69">
        <f>$G28*0.61855</f>
        <v>1.9386594100000002E-4</v>
      </c>
      <c r="N28" s="74">
        <f>$B28*0.097</f>
        <v>3.8799999999999998E-7</v>
      </c>
      <c r="O28" s="68">
        <f>$C28*0.02</f>
        <v>3.2000000000000002E-8</v>
      </c>
      <c r="P28" s="68">
        <f>$D28*0.27</f>
        <v>1.8629999999999999E-7</v>
      </c>
      <c r="Q28" s="68">
        <f>$E28*0.375</f>
        <v>4.3837500000000002E-6</v>
      </c>
      <c r="R28" s="68">
        <f>$F28*0.378</f>
        <v>1.4742E-6</v>
      </c>
      <c r="S28" s="69">
        <f>$G28*0.45138</f>
        <v>1.4147151960000002E-4</v>
      </c>
      <c r="T28" s="74">
        <f>$B28*0.06</f>
        <v>2.3999999999999998E-7</v>
      </c>
      <c r="U28" s="68">
        <f>$C28*0.04</f>
        <v>6.4000000000000004E-8</v>
      </c>
      <c r="V28" s="68" t="s">
        <v>263</v>
      </c>
      <c r="W28" s="68">
        <f>$E28*0.095</f>
        <v>1.1105500000000001E-6</v>
      </c>
      <c r="X28" s="68">
        <f>$F28*0.027</f>
        <v>1.053E-7</v>
      </c>
      <c r="Y28" s="69">
        <f>$G28*0.06185</f>
        <v>1.9385027000000002E-5</v>
      </c>
      <c r="Z28" s="74">
        <f>$B28*0.00055</f>
        <v>2.1999999999999998E-9</v>
      </c>
      <c r="AA28" s="68">
        <f>$C28*0.00042</f>
        <v>6.7199999999999995E-10</v>
      </c>
      <c r="AB28" s="68">
        <f>$D28*0.000825</f>
        <v>5.6924999999999997E-10</v>
      </c>
      <c r="AC28" s="68">
        <f>$E28*0.0017435</f>
        <v>2.0381515000000001E-8</v>
      </c>
      <c r="AD28" s="68">
        <f>$F28*0.004125</f>
        <v>1.6087500000000001E-8</v>
      </c>
      <c r="AE28" s="69">
        <f>$G28*0.001738</f>
        <v>5.4472396000000004E-7</v>
      </c>
      <c r="AF28" s="68">
        <f>$B28*0.00045</f>
        <v>1.7999999999999998E-9</v>
      </c>
      <c r="AG28" s="68">
        <f>$C28*0.00032</f>
        <v>5.1199999999999999E-10</v>
      </c>
      <c r="AH28" s="68">
        <f>$D28*0.000625</f>
        <v>4.3124999999999998E-10</v>
      </c>
      <c r="AI28" s="68">
        <f>$E28*0.0014265</f>
        <v>1.6675785000000001E-8</v>
      </c>
      <c r="AJ28" s="68">
        <f>$F28*0.003375</f>
        <v>1.31625E-8</v>
      </c>
      <c r="AK28" s="68">
        <f>$G28*0.001422</f>
        <v>4.4568324000000006E-7</v>
      </c>
    </row>
    <row r="29" spans="1:37" ht="14.4" x14ac:dyDescent="0.55000000000000004">
      <c r="A29" s="3">
        <v>14</v>
      </c>
      <c r="B29" s="63">
        <v>1.5799999999999999E-6</v>
      </c>
      <c r="C29" s="64">
        <v>1.2500000000000001E-6</v>
      </c>
      <c r="D29" s="64">
        <v>8.6000000000000002E-7</v>
      </c>
      <c r="E29" s="64">
        <v>1.415E-5</v>
      </c>
      <c r="F29" s="65">
        <v>4.1999999999999996E-6</v>
      </c>
      <c r="G29" s="66">
        <v>2.4999999999999999E-8</v>
      </c>
      <c r="H29" s="74">
        <f>$B29*0.26</f>
        <v>4.108E-7</v>
      </c>
      <c r="I29" s="68">
        <f>$C29*0.42</f>
        <v>5.2500000000000006E-7</v>
      </c>
      <c r="J29" s="68">
        <f>$D29*0.03</f>
        <v>2.5799999999999999E-8</v>
      </c>
      <c r="K29" s="68">
        <f>$E29*0.7495</f>
        <v>1.0605425E-5</v>
      </c>
      <c r="L29" s="68">
        <f>$F29*0.653</f>
        <v>2.7425999999999998E-6</v>
      </c>
      <c r="M29" s="69">
        <f>$G29*14320</f>
        <v>3.5799999999999997E-4</v>
      </c>
      <c r="N29" s="74">
        <f>$B29*0.3</f>
        <v>4.7399999999999993E-7</v>
      </c>
      <c r="O29" s="68">
        <f>$C29*0.22</f>
        <v>2.7500000000000001E-7</v>
      </c>
      <c r="P29" s="68">
        <f>$D29*0.03</f>
        <v>2.5799999999999999E-8</v>
      </c>
      <c r="Q29" s="68">
        <f>$E29*0.586</f>
        <v>8.2918999999999993E-6</v>
      </c>
      <c r="R29" s="68">
        <f>$F29*0.425</f>
        <v>1.7849999999999999E-6</v>
      </c>
      <c r="S29" s="69">
        <f>$G29*10258.5</f>
        <v>2.5646250000000001E-4</v>
      </c>
      <c r="T29" s="74" t="s">
        <v>263</v>
      </c>
      <c r="U29" s="68">
        <f>$C29*0.1</f>
        <v>1.2500000000000002E-7</v>
      </c>
      <c r="V29" s="68">
        <f>$D29*0.2</f>
        <v>1.72E-7</v>
      </c>
      <c r="W29" s="68">
        <f>$E29*0.159</f>
        <v>2.2498500000000002E-6</v>
      </c>
      <c r="X29" s="68">
        <f>$F29*0.08</f>
        <v>3.3599999999999999E-7</v>
      </c>
      <c r="Y29" s="69">
        <f>$G29*2327</f>
        <v>5.8174999999999998E-5</v>
      </c>
      <c r="Z29" s="74" t="s">
        <v>263</v>
      </c>
      <c r="AA29" s="68">
        <f>$C29*0.000231</f>
        <v>2.8875000000000001E-10</v>
      </c>
      <c r="AB29" s="68">
        <f>$D29*0.00055</f>
        <v>4.7300000000000002E-10</v>
      </c>
      <c r="AC29" s="68">
        <f>$E29*0.00517</f>
        <v>7.3155499999999996E-8</v>
      </c>
      <c r="AD29" s="68">
        <f>$F29*0.00396</f>
        <v>1.6632E-8</v>
      </c>
      <c r="AE29" s="69">
        <f>$G29*19.635</f>
        <v>4.9087499999999998E-7</v>
      </c>
      <c r="AF29" s="68" t="s">
        <v>263</v>
      </c>
      <c r="AG29" s="68">
        <f>$C29*0.000189</f>
        <v>2.3625000000000004E-10</v>
      </c>
      <c r="AH29" s="68">
        <f>$D29*0.00045</f>
        <v>3.8700000000000001E-10</v>
      </c>
      <c r="AI29" s="68">
        <f>$E29*0.00423</f>
        <v>5.9854500000000002E-8</v>
      </c>
      <c r="AJ29" s="68">
        <f>$F29*0.00323</f>
        <v>1.3565999999999997E-8</v>
      </c>
      <c r="AK29" s="68">
        <f>$G29*16.065</f>
        <v>4.01625E-7</v>
      </c>
    </row>
    <row r="30" spans="1:37" ht="14.4" x14ac:dyDescent="0.55000000000000004">
      <c r="A30" s="3">
        <v>21</v>
      </c>
      <c r="B30" s="63">
        <v>2.83E-6</v>
      </c>
      <c r="C30" s="64">
        <v>9.2399999999999996E-7</v>
      </c>
      <c r="D30" s="64">
        <v>3.3000000000000002E-6</v>
      </c>
      <c r="E30" s="64">
        <v>1.2999999999999999E-5</v>
      </c>
      <c r="F30" s="65">
        <v>1.7859999999999998E-5</v>
      </c>
      <c r="G30" s="69" t="s">
        <v>263</v>
      </c>
      <c r="H30" s="74">
        <f>$B30*0.11</f>
        <v>3.1129999999999999E-7</v>
      </c>
      <c r="I30" s="68">
        <f>$C30*0.11</f>
        <v>1.0164E-7</v>
      </c>
      <c r="J30" s="68">
        <f>$D30*0.035</f>
        <v>1.1550000000000002E-7</v>
      </c>
      <c r="K30" s="68">
        <f>$E30*0.395</f>
        <v>5.135E-6</v>
      </c>
      <c r="L30" s="68">
        <f>$F30*0.5255</f>
        <v>9.3854299999999987E-6</v>
      </c>
      <c r="M30" s="75"/>
      <c r="N30" s="74">
        <f>$B30*0.12</f>
        <v>3.396E-7</v>
      </c>
      <c r="O30" s="68">
        <f>$C30*0.12</f>
        <v>1.1088E-7</v>
      </c>
      <c r="P30" s="68">
        <f>$D30*0.016</f>
        <v>5.2800000000000003E-8</v>
      </c>
      <c r="Q30" s="68">
        <f>$E30*0.285</f>
        <v>3.7049999999999993E-6</v>
      </c>
      <c r="R30" s="68">
        <f>$F30*0.408</f>
        <v>7.2868799999999991E-6</v>
      </c>
      <c r="S30" s="75"/>
      <c r="T30" s="74">
        <f>$B30*0.03</f>
        <v>8.4899999999999999E-8</v>
      </c>
      <c r="U30" s="68">
        <f>$C30*0.03</f>
        <v>2.7719999999999999E-8</v>
      </c>
      <c r="V30" s="68">
        <f>$D30*0.26</f>
        <v>8.5800000000000009E-7</v>
      </c>
      <c r="W30" s="68">
        <f>$E30*0.113</f>
        <v>1.469E-6</v>
      </c>
      <c r="X30" s="68">
        <f>$F30*0.1861</f>
        <v>3.3237459999999996E-6</v>
      </c>
      <c r="Y30" s="75"/>
      <c r="Z30" s="74">
        <f>$B30*0.00099</f>
        <v>2.8017E-9</v>
      </c>
      <c r="AA30" s="68">
        <f>$C30*0.00099</f>
        <v>9.1475999999999995E-10</v>
      </c>
      <c r="AB30" s="68">
        <f>$D30*0.000275</f>
        <v>9.0750000000000012E-10</v>
      </c>
      <c r="AC30" s="68">
        <f>$E30*0.0038</f>
        <v>4.9399999999999999E-8</v>
      </c>
      <c r="AD30" s="68">
        <f>$F30*0.0024</f>
        <v>4.2863999999999993E-8</v>
      </c>
      <c r="AE30" s="75"/>
      <c r="AF30" s="68">
        <f>$B30*0.00081</f>
        <v>2.2923E-9</v>
      </c>
      <c r="AG30" s="68">
        <f>$C30*0.00081</f>
        <v>7.4843999999999995E-10</v>
      </c>
      <c r="AH30" s="68">
        <f>$D30*0.000225</f>
        <v>7.4249999999999997E-10</v>
      </c>
      <c r="AI30" s="68">
        <f>$E30*0.0028</f>
        <v>3.6399999999999995E-8</v>
      </c>
      <c r="AJ30" s="68">
        <f>$F30*0.00204</f>
        <v>3.6434400000000002E-8</v>
      </c>
      <c r="AK30" s="64"/>
    </row>
    <row r="31" spans="1:37" ht="14.4" x14ac:dyDescent="0.55000000000000004">
      <c r="A31" s="3">
        <v>28</v>
      </c>
      <c r="B31" s="63">
        <v>2.03E-6</v>
      </c>
      <c r="C31" s="64">
        <v>7.7000000000000004E-7</v>
      </c>
      <c r="D31" s="64">
        <v>1.22E-6</v>
      </c>
      <c r="E31" s="64">
        <v>1.3570000000000001E-5</v>
      </c>
      <c r="F31" s="65">
        <v>3.6269999999999997E-5</v>
      </c>
      <c r="G31" s="69" t="s">
        <v>263</v>
      </c>
      <c r="H31" s="74">
        <f>$B31*0.16</f>
        <v>3.248E-7</v>
      </c>
      <c r="I31" s="68">
        <f>$C31*0.47</f>
        <v>3.6189999999999998E-7</v>
      </c>
      <c r="J31" s="68">
        <f>$D31*0.095</f>
        <v>1.159E-7</v>
      </c>
      <c r="K31" s="68">
        <f>$E31*0.2315</f>
        <v>3.1414550000000001E-6</v>
      </c>
      <c r="L31" s="68">
        <f>$F31*0.4675</f>
        <v>1.6956225E-5</v>
      </c>
      <c r="M31" s="75"/>
      <c r="N31" s="74">
        <f>$B31*0.063</f>
        <v>1.2789000000000002E-7</v>
      </c>
      <c r="O31" s="68">
        <f>$C31*0.075</f>
        <v>5.7749999999999998E-8</v>
      </c>
      <c r="P31" s="68">
        <f>$D31*0.03</f>
        <v>3.6599999999999997E-8</v>
      </c>
      <c r="Q31" s="68">
        <f>$E31*0.182</f>
        <v>2.4697400000000001E-6</v>
      </c>
      <c r="R31" s="68">
        <f>$F31*0.1602</f>
        <v>5.8104539999999997E-6</v>
      </c>
      <c r="S31" s="75"/>
      <c r="T31" s="74" t="s">
        <v>263</v>
      </c>
      <c r="U31" s="68" t="s">
        <v>263</v>
      </c>
      <c r="V31" s="68" t="s">
        <v>263</v>
      </c>
      <c r="W31" s="68">
        <f>$E31*0.094</f>
        <v>1.27558E-6</v>
      </c>
      <c r="X31" s="68">
        <f>$F31*0.1438</f>
        <v>5.215626E-6</v>
      </c>
      <c r="Y31" s="75"/>
      <c r="Z31" s="74" t="s">
        <v>263</v>
      </c>
      <c r="AA31" s="68">
        <f>$C31*0.0005</f>
        <v>3.8500000000000001E-10</v>
      </c>
      <c r="AB31" s="68">
        <f>$D31*0.0011</f>
        <v>1.3420000000000001E-9</v>
      </c>
      <c r="AC31" s="68">
        <f>$E31*0.0027</f>
        <v>3.6639000000000001E-8</v>
      </c>
      <c r="AD31" s="68">
        <f>$F31*0.0005225</f>
        <v>1.8951074999999996E-8</v>
      </c>
      <c r="AE31" s="75"/>
      <c r="AF31" s="68" t="s">
        <v>263</v>
      </c>
      <c r="AG31" s="68">
        <f>$C31*0.0004</f>
        <v>3.0800000000000002E-10</v>
      </c>
      <c r="AH31" s="68">
        <f>$D31*0.0009</f>
        <v>1.0979999999999999E-9</v>
      </c>
      <c r="AI31" s="68">
        <f>$E31*0.0022</f>
        <v>2.9854000000000004E-8</v>
      </c>
      <c r="AJ31" s="68">
        <f>$F31*0.0004275</f>
        <v>1.5505424999999999E-8</v>
      </c>
      <c r="AK31" s="64"/>
    </row>
    <row r="32" spans="1:37" x14ac:dyDescent="0.45">
      <c r="A32" s="29">
        <v>35</v>
      </c>
      <c r="B32" s="70">
        <v>2.0200000000000001E-6</v>
      </c>
      <c r="C32" s="71">
        <v>6.1999999999999999E-7</v>
      </c>
      <c r="D32" s="71">
        <v>1.81E-6</v>
      </c>
      <c r="E32" s="71">
        <v>6.9299999999999997E-6</v>
      </c>
      <c r="F32" s="72" t="s">
        <v>263</v>
      </c>
      <c r="G32" s="73" t="s">
        <v>263</v>
      </c>
      <c r="H32" s="76">
        <f>$B32*0.15</f>
        <v>3.03E-7</v>
      </c>
      <c r="I32" s="72">
        <f>$C32*0.66</f>
        <v>4.0920000000000004E-7</v>
      </c>
      <c r="J32" s="72" t="s">
        <v>263</v>
      </c>
      <c r="K32" s="72">
        <f>$E32*0.577</f>
        <v>3.9986099999999991E-6</v>
      </c>
      <c r="L32" s="72" t="s">
        <v>263</v>
      </c>
      <c r="M32" s="73" t="s">
        <v>263</v>
      </c>
      <c r="N32" s="76">
        <f>$B32*0.07</f>
        <v>1.4140000000000004E-7</v>
      </c>
      <c r="O32" s="72">
        <f>$C32*0.02</f>
        <v>1.24E-8</v>
      </c>
      <c r="P32" s="72">
        <f>$D32*0.045</f>
        <v>8.1450000000000005E-8</v>
      </c>
      <c r="Q32" s="72">
        <f>$E32*0.568</f>
        <v>3.9362399999999991E-6</v>
      </c>
      <c r="R32" s="72" t="s">
        <v>263</v>
      </c>
      <c r="S32" s="73" t="s">
        <v>263</v>
      </c>
      <c r="T32" s="76" t="s">
        <v>263</v>
      </c>
      <c r="U32" s="72" t="s">
        <v>263</v>
      </c>
      <c r="V32" s="72">
        <f>$D32*0.13</f>
        <v>2.3530000000000002E-7</v>
      </c>
      <c r="W32" s="72">
        <f>$E32*0.329</f>
        <v>2.2799700000000002E-6</v>
      </c>
      <c r="X32" s="72" t="s">
        <v>263</v>
      </c>
      <c r="Y32" s="73" t="s">
        <v>263</v>
      </c>
      <c r="Z32" s="76" t="s">
        <v>263</v>
      </c>
      <c r="AA32" s="72">
        <f>$C32*0.00165</f>
        <v>1.0230000000000001E-9</v>
      </c>
      <c r="AB32" s="72" t="s">
        <v>263</v>
      </c>
      <c r="AC32" s="72">
        <f>$E32*0.0042</f>
        <v>2.9105999999999996E-8</v>
      </c>
      <c r="AD32" s="72" t="s">
        <v>263</v>
      </c>
      <c r="AE32" s="73" t="s">
        <v>263</v>
      </c>
      <c r="AF32" s="72" t="s">
        <v>263</v>
      </c>
      <c r="AG32" s="72">
        <f>$C32*0.00135</f>
        <v>8.37E-10</v>
      </c>
      <c r="AH32" s="72" t="s">
        <v>263</v>
      </c>
      <c r="AI32" s="72">
        <f>$E32*0.0033</f>
        <v>2.2868999999999998E-8</v>
      </c>
      <c r="AJ32" s="72" t="s">
        <v>263</v>
      </c>
      <c r="AK32" s="72" t="s">
        <v>263</v>
      </c>
    </row>
    <row r="34" spans="1:37" ht="15" x14ac:dyDescent="0.5">
      <c r="A34" s="54" t="s">
        <v>620</v>
      </c>
      <c r="B34" s="54" t="s">
        <v>623</v>
      </c>
    </row>
    <row r="36" spans="1:37" x14ac:dyDescent="0.45">
      <c r="A36" s="120"/>
      <c r="B36" s="125" t="s">
        <v>612</v>
      </c>
      <c r="C36" s="124"/>
      <c r="D36" s="124"/>
      <c r="E36" s="124"/>
      <c r="F36" s="124"/>
      <c r="G36" s="134"/>
      <c r="H36" s="124" t="s">
        <v>615</v>
      </c>
      <c r="I36" s="124"/>
      <c r="J36" s="124"/>
      <c r="K36" s="124"/>
      <c r="L36" s="124"/>
      <c r="M36" s="134"/>
      <c r="N36" s="124" t="s">
        <v>616</v>
      </c>
      <c r="O36" s="124"/>
      <c r="P36" s="124"/>
      <c r="Q36" s="124"/>
      <c r="R36" s="124"/>
      <c r="S36" s="134"/>
      <c r="T36" s="124" t="s">
        <v>617</v>
      </c>
      <c r="U36" s="124"/>
      <c r="V36" s="124"/>
      <c r="W36" s="124"/>
      <c r="X36" s="124"/>
      <c r="Y36" s="134"/>
      <c r="Z36" s="124" t="s">
        <v>618</v>
      </c>
      <c r="AA36" s="124"/>
      <c r="AB36" s="124"/>
      <c r="AC36" s="124"/>
      <c r="AD36" s="124"/>
      <c r="AE36" s="134"/>
      <c r="AF36" s="124" t="s">
        <v>619</v>
      </c>
      <c r="AG36" s="124"/>
      <c r="AH36" s="124"/>
      <c r="AI36" s="124"/>
      <c r="AJ36" s="124"/>
      <c r="AK36" s="124"/>
    </row>
    <row r="37" spans="1:37" x14ac:dyDescent="0.45">
      <c r="A37" s="135"/>
      <c r="B37" s="130" t="s">
        <v>607</v>
      </c>
      <c r="C37" s="131"/>
      <c r="D37" s="131"/>
      <c r="E37" s="131"/>
      <c r="F37" s="131"/>
      <c r="G37" s="132"/>
      <c r="H37" s="124" t="s">
        <v>614</v>
      </c>
      <c r="I37" s="131"/>
      <c r="J37" s="131"/>
      <c r="K37" s="131"/>
      <c r="L37" s="131"/>
      <c r="M37" s="132"/>
      <c r="N37" s="124" t="s">
        <v>614</v>
      </c>
      <c r="O37" s="131"/>
      <c r="P37" s="131"/>
      <c r="Q37" s="131"/>
      <c r="R37" s="131"/>
      <c r="S37" s="132"/>
      <c r="T37" s="124" t="s">
        <v>614</v>
      </c>
      <c r="U37" s="131"/>
      <c r="V37" s="131"/>
      <c r="W37" s="131"/>
      <c r="X37" s="131"/>
      <c r="Y37" s="132"/>
      <c r="Z37" s="124" t="s">
        <v>614</v>
      </c>
      <c r="AA37" s="131"/>
      <c r="AB37" s="131"/>
      <c r="AC37" s="131"/>
      <c r="AD37" s="131"/>
      <c r="AE37" s="132"/>
      <c r="AF37" s="124" t="s">
        <v>614</v>
      </c>
      <c r="AG37" s="131"/>
      <c r="AH37" s="131"/>
      <c r="AI37" s="131"/>
      <c r="AJ37" s="131"/>
      <c r="AK37" s="132"/>
    </row>
    <row r="38" spans="1:37" x14ac:dyDescent="0.45">
      <c r="A38" s="31" t="s">
        <v>562</v>
      </c>
      <c r="B38" s="33" t="s">
        <v>563</v>
      </c>
      <c r="C38" s="32" t="s">
        <v>564</v>
      </c>
      <c r="D38" s="32" t="s">
        <v>568</v>
      </c>
      <c r="E38" s="32" t="s">
        <v>565</v>
      </c>
      <c r="F38" s="32" t="s">
        <v>566</v>
      </c>
      <c r="G38" s="34" t="s">
        <v>567</v>
      </c>
      <c r="H38" s="37" t="s">
        <v>563</v>
      </c>
      <c r="I38" s="32" t="s">
        <v>564</v>
      </c>
      <c r="J38" s="32" t="s">
        <v>568</v>
      </c>
      <c r="K38" s="32" t="s">
        <v>565</v>
      </c>
      <c r="L38" s="32" t="s">
        <v>566</v>
      </c>
      <c r="M38" s="34" t="s">
        <v>567</v>
      </c>
      <c r="N38" s="37" t="s">
        <v>563</v>
      </c>
      <c r="O38" s="37" t="s">
        <v>564</v>
      </c>
      <c r="P38" s="32" t="s">
        <v>568</v>
      </c>
      <c r="Q38" s="32" t="s">
        <v>565</v>
      </c>
      <c r="R38" s="32" t="s">
        <v>566</v>
      </c>
      <c r="S38" s="34" t="s">
        <v>567</v>
      </c>
      <c r="T38" s="37" t="s">
        <v>563</v>
      </c>
      <c r="U38" s="32" t="s">
        <v>564</v>
      </c>
      <c r="V38" s="32" t="s">
        <v>568</v>
      </c>
      <c r="W38" s="32" t="s">
        <v>565</v>
      </c>
      <c r="X38" s="32" t="s">
        <v>566</v>
      </c>
      <c r="Y38" s="34" t="s">
        <v>567</v>
      </c>
      <c r="Z38" s="37" t="s">
        <v>563</v>
      </c>
      <c r="AA38" s="32" t="s">
        <v>564</v>
      </c>
      <c r="AB38" s="32" t="s">
        <v>568</v>
      </c>
      <c r="AC38" s="32" t="s">
        <v>565</v>
      </c>
      <c r="AD38" s="32" t="s">
        <v>566</v>
      </c>
      <c r="AE38" s="34" t="s">
        <v>567</v>
      </c>
      <c r="AF38" s="37" t="s">
        <v>563</v>
      </c>
      <c r="AG38" s="32" t="s">
        <v>564</v>
      </c>
      <c r="AH38" s="32" t="s">
        <v>568</v>
      </c>
      <c r="AI38" s="32" t="s">
        <v>565</v>
      </c>
      <c r="AJ38" s="32" t="s">
        <v>566</v>
      </c>
      <c r="AK38" s="32" t="s">
        <v>567</v>
      </c>
    </row>
    <row r="39" spans="1:37" ht="14.4" x14ac:dyDescent="0.55000000000000004">
      <c r="A39" s="3">
        <v>0</v>
      </c>
      <c r="B39" s="63">
        <v>1.9760000000000001E-5</v>
      </c>
      <c r="C39" s="64">
        <v>7.1400000000000002E-6</v>
      </c>
      <c r="D39" s="64">
        <v>4.6399999999999996E-6</v>
      </c>
      <c r="E39" s="62">
        <v>1.473E-4</v>
      </c>
      <c r="F39" s="65">
        <v>6.3800000000000006E-5</v>
      </c>
      <c r="G39" s="66">
        <v>5.2242E-4</v>
      </c>
      <c r="H39" s="47">
        <v>0.104</v>
      </c>
      <c r="I39" s="47">
        <v>0.15</v>
      </c>
      <c r="J39" s="47">
        <v>0.373</v>
      </c>
      <c r="K39" s="61">
        <v>6.9430000000000006E-2</v>
      </c>
      <c r="L39" s="47">
        <v>9.4299999999999995E-2</v>
      </c>
      <c r="M39" s="48">
        <v>0.19877500000000001</v>
      </c>
      <c r="N39" s="47">
        <v>9.01E-2</v>
      </c>
      <c r="O39" s="47">
        <v>0.17</v>
      </c>
      <c r="P39" s="47">
        <v>0.14499999999999999</v>
      </c>
      <c r="Q39" s="61">
        <v>5.2749999999999998E-2</v>
      </c>
      <c r="R39" s="47">
        <v>7.2300000000000003E-2</v>
      </c>
      <c r="S39" s="48">
        <v>0.141125</v>
      </c>
      <c r="T39" s="47">
        <v>1.4999999999999999E-2</v>
      </c>
      <c r="U39" s="47">
        <v>3.5000000000000003E-2</v>
      </c>
      <c r="V39" s="47" t="s">
        <v>263</v>
      </c>
      <c r="W39" s="61">
        <v>2.5000000000000001E-3</v>
      </c>
      <c r="X39" s="47">
        <v>2.92E-2</v>
      </c>
      <c r="Y39" s="48" t="s">
        <v>263</v>
      </c>
      <c r="Z39" s="47">
        <v>6.8749999999999996E-4</v>
      </c>
      <c r="AA39" s="47">
        <v>8.25E-4</v>
      </c>
      <c r="AB39" s="47">
        <f>0.00077</f>
        <v>7.6999999999999996E-4</v>
      </c>
      <c r="AC39" s="61">
        <v>6.0000000000000002E-5</v>
      </c>
      <c r="AD39" s="47">
        <v>3.4788000000000001E-4</v>
      </c>
      <c r="AE39" s="48">
        <v>2.7149999999999999E-4</v>
      </c>
      <c r="AF39" s="47">
        <v>5.6249999999999996E-4</v>
      </c>
      <c r="AG39" s="47">
        <v>6.7500000000000004E-4</v>
      </c>
      <c r="AH39" s="47">
        <v>6.3000000000000003E-4</v>
      </c>
      <c r="AI39" s="61">
        <v>5.0000000000000002E-5</v>
      </c>
      <c r="AJ39" s="47">
        <v>2.8462000000000002E-4</v>
      </c>
      <c r="AK39" s="47">
        <v>2.2149999999999999E-4</v>
      </c>
    </row>
    <row r="40" spans="1:37" ht="14.4" x14ac:dyDescent="0.55000000000000004">
      <c r="A40" s="3">
        <v>1</v>
      </c>
      <c r="B40" s="63">
        <v>9.1400000000000006E-6</v>
      </c>
      <c r="C40" s="64">
        <v>3.1599999999999998E-6</v>
      </c>
      <c r="D40" s="64">
        <v>2.3E-6</v>
      </c>
      <c r="E40" s="64">
        <v>2.5700000000000001E-5</v>
      </c>
      <c r="F40" s="65">
        <v>9.9599999999999995E-6</v>
      </c>
      <c r="G40" s="66">
        <v>5.0405999999999997E-4</v>
      </c>
      <c r="H40" s="47">
        <v>0.09</v>
      </c>
      <c r="I40" s="47">
        <v>0.2</v>
      </c>
      <c r="J40" s="47">
        <v>7.0000000000000007E-2</v>
      </c>
      <c r="K40" s="47">
        <v>0.20399999999999999</v>
      </c>
      <c r="L40" s="47">
        <v>0.22600000000000001</v>
      </c>
      <c r="M40" s="48">
        <v>0.24698500000000001</v>
      </c>
      <c r="N40" s="47">
        <v>0.05</v>
      </c>
      <c r="O40" s="47">
        <v>5.5E-2</v>
      </c>
      <c r="P40" s="47">
        <v>0.155</v>
      </c>
      <c r="Q40" s="47">
        <v>0.17399999999999999</v>
      </c>
      <c r="R40" s="47">
        <v>0.15</v>
      </c>
      <c r="S40" s="48">
        <v>0.18307999999999999</v>
      </c>
      <c r="T40" s="47" t="s">
        <v>263</v>
      </c>
      <c r="U40" s="47" t="s">
        <v>263</v>
      </c>
      <c r="V40" s="47">
        <v>0.15</v>
      </c>
      <c r="W40" s="47">
        <v>0.08</v>
      </c>
      <c r="X40" s="47">
        <v>8.1000000000000003E-2</v>
      </c>
      <c r="Y40" s="48">
        <v>9.5999999999999992E-3</v>
      </c>
      <c r="Z40" s="47">
        <v>1.65E-4</v>
      </c>
      <c r="AA40" s="47">
        <v>2.7500000000000002E-4</v>
      </c>
      <c r="AB40" s="47">
        <v>5.5000000000000003E-4</v>
      </c>
      <c r="AC40" s="47">
        <v>5.0000000000000001E-4</v>
      </c>
      <c r="AD40" s="47">
        <v>5.5000000000000003E-4</v>
      </c>
      <c r="AE40" s="48">
        <v>4.8899999999999996E-4</v>
      </c>
      <c r="AF40" s="47">
        <v>1.35E-4</v>
      </c>
      <c r="AG40" s="47">
        <v>2.2499999999999999E-4</v>
      </c>
      <c r="AH40" s="47">
        <v>4.4999999999999999E-4</v>
      </c>
      <c r="AI40" s="47">
        <v>4.0000000000000002E-4</v>
      </c>
      <c r="AJ40" s="47">
        <v>4.4999999999999999E-4</v>
      </c>
      <c r="AK40" s="47">
        <v>3.9899999999999999E-4</v>
      </c>
    </row>
    <row r="41" spans="1:37" ht="14.4" x14ac:dyDescent="0.55000000000000004">
      <c r="A41" s="3">
        <v>2</v>
      </c>
      <c r="B41" s="67" t="s">
        <v>263</v>
      </c>
      <c r="C41" s="68" t="s">
        <v>263</v>
      </c>
      <c r="D41" s="68" t="s">
        <v>263</v>
      </c>
      <c r="E41" s="68" t="s">
        <v>263</v>
      </c>
      <c r="F41" s="65">
        <v>5.4700000000000001E-6</v>
      </c>
      <c r="G41" s="66">
        <v>4.5398999999999998E-4</v>
      </c>
      <c r="H41" s="47" t="s">
        <v>263</v>
      </c>
      <c r="I41" s="47" t="s">
        <v>263</v>
      </c>
      <c r="J41" s="47" t="s">
        <v>263</v>
      </c>
      <c r="K41" s="47" t="s">
        <v>263</v>
      </c>
      <c r="L41" s="47">
        <v>0.33800000000000002</v>
      </c>
      <c r="M41" s="48">
        <v>0.32245000000000001</v>
      </c>
      <c r="N41" s="47" t="s">
        <v>263</v>
      </c>
      <c r="O41" s="47" t="s">
        <v>263</v>
      </c>
      <c r="P41" s="47" t="s">
        <v>263</v>
      </c>
      <c r="Q41" s="47" t="s">
        <v>263</v>
      </c>
      <c r="R41" s="47">
        <v>0.26100000000000001</v>
      </c>
      <c r="S41" s="48">
        <v>0.23599999999999999</v>
      </c>
      <c r="T41" s="47" t="s">
        <v>263</v>
      </c>
      <c r="U41" s="47" t="s">
        <v>263</v>
      </c>
      <c r="V41" s="47" t="s">
        <v>263</v>
      </c>
      <c r="W41" s="47" t="s">
        <v>263</v>
      </c>
      <c r="X41" s="47">
        <v>9.9500000000000005E-2</v>
      </c>
      <c r="Y41" s="48">
        <v>1.925E-2</v>
      </c>
      <c r="Z41" s="47" t="s">
        <v>263</v>
      </c>
      <c r="AA41" s="47" t="s">
        <v>263</v>
      </c>
      <c r="AB41" s="47" t="s">
        <v>263</v>
      </c>
      <c r="AC41" s="47" t="s">
        <v>263</v>
      </c>
      <c r="AD41" s="47">
        <v>1.1000000000000001E-3</v>
      </c>
      <c r="AE41" s="48">
        <v>5.8E-4</v>
      </c>
      <c r="AF41" s="47" t="s">
        <v>263</v>
      </c>
      <c r="AG41" s="47" t="s">
        <v>263</v>
      </c>
      <c r="AH41" s="47" t="s">
        <v>263</v>
      </c>
      <c r="AI41" s="47" t="s">
        <v>263</v>
      </c>
      <c r="AJ41" s="47">
        <v>8.9999999999999998E-4</v>
      </c>
      <c r="AK41" s="47">
        <v>4.75E-4</v>
      </c>
    </row>
    <row r="42" spans="1:37" ht="14.4" x14ac:dyDescent="0.55000000000000004">
      <c r="A42" s="3">
        <v>3</v>
      </c>
      <c r="B42" s="63">
        <v>4.1099999999999996E-6</v>
      </c>
      <c r="C42" s="64">
        <v>1.9599999999999999E-6</v>
      </c>
      <c r="D42" s="64">
        <v>2.5000000000000002E-6</v>
      </c>
      <c r="E42" s="64">
        <v>3.4400000000000003E-5</v>
      </c>
      <c r="F42" s="65">
        <v>6.1700000000000002E-6</v>
      </c>
      <c r="G42" s="66">
        <v>3.7683999999999998E-4</v>
      </c>
      <c r="H42" s="47">
        <v>0.27</v>
      </c>
      <c r="I42" s="47">
        <v>0.15</v>
      </c>
      <c r="J42" s="47">
        <v>0.02</v>
      </c>
      <c r="K42" s="47">
        <v>0.22450000000000001</v>
      </c>
      <c r="L42" s="47">
        <v>0.30199999999999999</v>
      </c>
      <c r="M42" s="48">
        <v>0.58179999999999998</v>
      </c>
      <c r="N42" s="47">
        <v>0.11600000000000001</v>
      </c>
      <c r="O42" s="47">
        <v>0.09</v>
      </c>
      <c r="P42" s="47">
        <v>0.63</v>
      </c>
      <c r="Q42" s="47">
        <v>0.19570000000000001</v>
      </c>
      <c r="R42" s="47">
        <v>0.26700000000000002</v>
      </c>
      <c r="S42" s="48">
        <v>0.4325</v>
      </c>
      <c r="T42" s="47" t="s">
        <v>263</v>
      </c>
      <c r="U42" s="47" t="s">
        <v>263</v>
      </c>
      <c r="V42" s="47">
        <v>3.4000000000000002E-2</v>
      </c>
      <c r="W42" s="47">
        <v>8.2299999999999998E-2</v>
      </c>
      <c r="X42" s="47">
        <v>0.08</v>
      </c>
      <c r="Y42" s="48">
        <v>4.4999999999999998E-2</v>
      </c>
      <c r="Z42" s="47">
        <v>4.125E-4</v>
      </c>
      <c r="AA42" s="47">
        <v>5.5000000000000003E-4</v>
      </c>
      <c r="AB42" s="47">
        <v>6.6E-4</v>
      </c>
      <c r="AC42" s="47">
        <v>6.7000000000000002E-4</v>
      </c>
      <c r="AD42" s="47">
        <v>2.2000000000000001E-3</v>
      </c>
      <c r="AE42" s="48">
        <v>7.5075000000000001E-4</v>
      </c>
      <c r="AF42" s="47">
        <v>3.3750000000000002E-4</v>
      </c>
      <c r="AG42" s="47">
        <v>4.4999999999999999E-4</v>
      </c>
      <c r="AH42" s="47">
        <v>5.4000000000000001E-4</v>
      </c>
      <c r="AI42" s="47">
        <v>5.5000000000000003E-4</v>
      </c>
      <c r="AJ42" s="47">
        <v>1.8E-3</v>
      </c>
      <c r="AK42" s="47">
        <v>6.1450000000000003E-4</v>
      </c>
    </row>
    <row r="43" spans="1:37" ht="14.4" x14ac:dyDescent="0.55000000000000004">
      <c r="A43" s="3">
        <v>4</v>
      </c>
      <c r="B43" s="67" t="s">
        <v>263</v>
      </c>
      <c r="C43" s="68" t="s">
        <v>263</v>
      </c>
      <c r="D43" s="68" t="s">
        <v>263</v>
      </c>
      <c r="E43" s="68"/>
      <c r="F43" s="65">
        <v>2.7099999999999999E-6</v>
      </c>
      <c r="G43" s="69" t="s">
        <v>263</v>
      </c>
      <c r="H43" s="47" t="s">
        <v>263</v>
      </c>
      <c r="I43" s="47" t="s">
        <v>263</v>
      </c>
      <c r="J43" s="47" t="s">
        <v>263</v>
      </c>
      <c r="K43" s="47" t="s">
        <v>263</v>
      </c>
      <c r="L43" s="47">
        <v>0.83499999999999996</v>
      </c>
      <c r="M43" s="48" t="s">
        <v>263</v>
      </c>
      <c r="N43" s="47" t="s">
        <v>263</v>
      </c>
      <c r="O43" s="47" t="s">
        <v>263</v>
      </c>
      <c r="P43" s="47" t="s">
        <v>263</v>
      </c>
      <c r="Q43" s="47" t="s">
        <v>263</v>
      </c>
      <c r="R43" s="47">
        <v>0.65</v>
      </c>
      <c r="S43" s="48" t="s">
        <v>263</v>
      </c>
      <c r="T43" s="47" t="s">
        <v>263</v>
      </c>
      <c r="U43" s="47" t="s">
        <v>263</v>
      </c>
      <c r="V43" s="47" t="s">
        <v>263</v>
      </c>
      <c r="W43" s="47" t="s">
        <v>263</v>
      </c>
      <c r="X43" s="47">
        <v>0.18</v>
      </c>
      <c r="Y43" s="48" t="s">
        <v>263</v>
      </c>
      <c r="Z43" s="47" t="s">
        <v>263</v>
      </c>
      <c r="AA43" s="47" t="s">
        <v>263</v>
      </c>
      <c r="AB43" s="47" t="s">
        <v>263</v>
      </c>
      <c r="AC43" s="47" t="s">
        <v>263</v>
      </c>
      <c r="AD43" s="47">
        <v>6.1999999999999998E-3</v>
      </c>
      <c r="AE43" s="48" t="s">
        <v>263</v>
      </c>
      <c r="AF43" s="47" t="s">
        <v>263</v>
      </c>
      <c r="AG43" s="47" t="s">
        <v>263</v>
      </c>
      <c r="AH43" s="47" t="s">
        <v>263</v>
      </c>
      <c r="AI43" s="47" t="s">
        <v>263</v>
      </c>
      <c r="AJ43" s="47">
        <v>5.0400000000000002E-3</v>
      </c>
      <c r="AK43" s="47" t="s">
        <v>263</v>
      </c>
    </row>
    <row r="44" spans="1:37" ht="14.4" x14ac:dyDescent="0.55000000000000004">
      <c r="A44" s="3">
        <v>7</v>
      </c>
      <c r="B44" s="63">
        <v>3.9999999999999998E-6</v>
      </c>
      <c r="C44" s="64">
        <v>1.5999999999999999E-6</v>
      </c>
      <c r="D44" s="64">
        <v>6.8999999999999996E-7</v>
      </c>
      <c r="E44" s="64">
        <v>1.169E-5</v>
      </c>
      <c r="F44" s="65">
        <v>3.8999999999999999E-6</v>
      </c>
      <c r="G44" s="66">
        <v>3.1342000000000002E-4</v>
      </c>
      <c r="H44" s="47">
        <v>0.44700000000000001</v>
      </c>
      <c r="I44" s="47">
        <v>0.1</v>
      </c>
      <c r="J44" s="47">
        <v>0.04</v>
      </c>
      <c r="K44" s="47">
        <v>0.51700000000000002</v>
      </c>
      <c r="L44" s="47">
        <v>0.52500000000000002</v>
      </c>
      <c r="M44" s="48">
        <v>0.61855000000000004</v>
      </c>
      <c r="N44" s="47">
        <v>9.7000000000000003E-2</v>
      </c>
      <c r="O44" s="47">
        <v>0.08</v>
      </c>
      <c r="P44" s="47">
        <v>0.27</v>
      </c>
      <c r="Q44" s="47">
        <v>0.375</v>
      </c>
      <c r="R44" s="47">
        <v>0.378</v>
      </c>
      <c r="S44" s="48">
        <v>0.45138</v>
      </c>
      <c r="T44" s="47">
        <v>0.06</v>
      </c>
      <c r="U44" s="47">
        <v>7.0000000000000007E-2</v>
      </c>
      <c r="V44" s="47" t="s">
        <v>263</v>
      </c>
      <c r="W44" s="47">
        <v>9.5000000000000001E-2</v>
      </c>
      <c r="X44" s="47">
        <v>2.7E-2</v>
      </c>
      <c r="Y44" s="48">
        <v>6.1850000000000002E-2</v>
      </c>
      <c r="Z44" s="47">
        <v>5.5000000000000003E-4</v>
      </c>
      <c r="AA44" s="47">
        <v>8.3000000000000001E-4</v>
      </c>
      <c r="AB44" s="47">
        <v>8.25E-4</v>
      </c>
      <c r="AC44" s="47">
        <v>1.7435E-3</v>
      </c>
      <c r="AD44" s="47">
        <v>4.1250000000000002E-3</v>
      </c>
      <c r="AE44" s="48">
        <v>1.738E-3</v>
      </c>
      <c r="AF44" s="47">
        <v>4.4999999999999999E-4</v>
      </c>
      <c r="AG44" s="47">
        <v>6.8000000000000005E-4</v>
      </c>
      <c r="AH44" s="47">
        <v>6.2500000000000001E-4</v>
      </c>
      <c r="AI44" s="47">
        <v>1.4265E-3</v>
      </c>
      <c r="AJ44" s="47">
        <v>3.375E-3</v>
      </c>
      <c r="AK44" s="47">
        <v>1.4220000000000001E-3</v>
      </c>
    </row>
    <row r="45" spans="1:37" ht="14.4" x14ac:dyDescent="0.55000000000000004">
      <c r="A45" s="3">
        <v>14</v>
      </c>
      <c r="B45" s="63">
        <v>1.5799999999999999E-6</v>
      </c>
      <c r="C45" s="64">
        <v>1.2500000000000001E-6</v>
      </c>
      <c r="D45" s="64">
        <v>8.6000000000000002E-7</v>
      </c>
      <c r="E45" s="64">
        <v>1.415E-5</v>
      </c>
      <c r="F45" s="65">
        <v>4.1999999999999996E-6</v>
      </c>
      <c r="G45" s="66">
        <v>2.4999999999999999E-8</v>
      </c>
      <c r="H45" s="47">
        <v>0.26</v>
      </c>
      <c r="I45" s="47">
        <v>0.42</v>
      </c>
      <c r="J45" s="47">
        <v>0.03</v>
      </c>
      <c r="K45" s="47">
        <v>0.74950000000000006</v>
      </c>
      <c r="L45" s="47">
        <v>0.65300000000000002</v>
      </c>
      <c r="M45" s="53">
        <v>14320</v>
      </c>
      <c r="N45" s="47">
        <v>0.3</v>
      </c>
      <c r="O45" s="47">
        <v>0.22</v>
      </c>
      <c r="P45" s="47">
        <v>0.03</v>
      </c>
      <c r="Q45" s="47">
        <v>0.58599999999999997</v>
      </c>
      <c r="R45" s="47">
        <v>0.42499999999999999</v>
      </c>
      <c r="S45" s="53">
        <v>10258.5</v>
      </c>
      <c r="T45" s="47" t="s">
        <v>263</v>
      </c>
      <c r="U45" s="47">
        <v>0.1</v>
      </c>
      <c r="V45" s="47">
        <v>0.2</v>
      </c>
      <c r="W45" s="47">
        <v>0.159</v>
      </c>
      <c r="X45" s="47">
        <v>0.08</v>
      </c>
      <c r="Y45" s="53">
        <v>2327</v>
      </c>
      <c r="Z45" s="47" t="s">
        <v>263</v>
      </c>
      <c r="AA45" s="47">
        <v>2.31E-4</v>
      </c>
      <c r="AB45" s="47">
        <v>5.5000000000000003E-4</v>
      </c>
      <c r="AC45" s="47">
        <v>5.1700000000000001E-3</v>
      </c>
      <c r="AD45" s="47">
        <v>3.96E-3</v>
      </c>
      <c r="AE45" s="45">
        <v>19.635000000000002</v>
      </c>
      <c r="AF45" s="47" t="s">
        <v>263</v>
      </c>
      <c r="AG45" s="47">
        <v>1.8900000000000001E-4</v>
      </c>
      <c r="AH45" s="47">
        <v>4.4999999999999999E-4</v>
      </c>
      <c r="AI45" s="47">
        <v>4.2300000000000003E-3</v>
      </c>
      <c r="AJ45" s="47">
        <v>3.2299999999999998E-3</v>
      </c>
      <c r="AK45" s="46">
        <v>16.065000000000001</v>
      </c>
    </row>
    <row r="46" spans="1:37" ht="14.4" x14ac:dyDescent="0.55000000000000004">
      <c r="A46" s="3">
        <v>21</v>
      </c>
      <c r="B46" s="63">
        <v>2.83E-6</v>
      </c>
      <c r="C46" s="64">
        <v>9.2399999999999996E-7</v>
      </c>
      <c r="D46" s="64">
        <v>3.3000000000000002E-6</v>
      </c>
      <c r="E46" s="64">
        <v>1.2999999999999999E-5</v>
      </c>
      <c r="F46" s="65">
        <v>1.7859999999999998E-5</v>
      </c>
      <c r="G46" s="69" t="s">
        <v>263</v>
      </c>
      <c r="H46" s="47">
        <v>0.05</v>
      </c>
      <c r="I46" s="47">
        <v>0.11</v>
      </c>
      <c r="J46" s="47">
        <v>3.5000000000000003E-2</v>
      </c>
      <c r="K46" s="47">
        <v>0.39500000000000002</v>
      </c>
      <c r="L46" s="47">
        <v>0.52549999999999997</v>
      </c>
      <c r="M46" s="49"/>
      <c r="N46" s="47">
        <v>0.09</v>
      </c>
      <c r="O46" s="47">
        <v>0.12</v>
      </c>
      <c r="P46" s="47">
        <v>1.6E-2</v>
      </c>
      <c r="Q46" s="47">
        <v>0.28499999999999998</v>
      </c>
      <c r="R46" s="47">
        <v>0.40799999999999997</v>
      </c>
      <c r="S46" s="49"/>
      <c r="T46" s="47">
        <v>0.06</v>
      </c>
      <c r="U46" s="47">
        <v>0.03</v>
      </c>
      <c r="V46" s="47">
        <v>2.5999999999999999E-2</v>
      </c>
      <c r="W46" s="47">
        <v>0.113</v>
      </c>
      <c r="X46" s="47">
        <v>0.18609999999999999</v>
      </c>
      <c r="Y46" s="49"/>
      <c r="Z46" s="47">
        <v>5.5000000000000003E-4</v>
      </c>
      <c r="AA46" s="47">
        <v>9.8999999999999999E-4</v>
      </c>
      <c r="AB46" s="47">
        <v>2.7500000000000002E-4</v>
      </c>
      <c r="AC46" s="47">
        <v>3.8E-3</v>
      </c>
      <c r="AD46" s="47">
        <v>2.3999999999999998E-3</v>
      </c>
      <c r="AE46" s="49"/>
      <c r="AF46" s="47">
        <v>4.4999999999999999E-4</v>
      </c>
      <c r="AG46" s="47">
        <v>8.0999999999999996E-4</v>
      </c>
      <c r="AH46" s="47">
        <v>2.2499999999999999E-4</v>
      </c>
      <c r="AI46" s="47">
        <v>2.8E-3</v>
      </c>
      <c r="AJ46" s="47">
        <v>2.0400000000000001E-3</v>
      </c>
      <c r="AK46" s="50"/>
    </row>
    <row r="47" spans="1:37" ht="14.4" x14ac:dyDescent="0.55000000000000004">
      <c r="A47" s="3">
        <v>28</v>
      </c>
      <c r="B47" s="63">
        <v>2.03E-6</v>
      </c>
      <c r="C47" s="64">
        <v>7.7000000000000004E-7</v>
      </c>
      <c r="D47" s="64">
        <v>1.22E-6</v>
      </c>
      <c r="E47" s="64">
        <v>1.3570000000000001E-5</v>
      </c>
      <c r="F47" s="65">
        <v>3.6269999999999997E-5</v>
      </c>
      <c r="G47" s="69" t="s">
        <v>263</v>
      </c>
      <c r="H47" s="47">
        <v>0.16</v>
      </c>
      <c r="I47" s="47">
        <v>0.47</v>
      </c>
      <c r="J47" s="47">
        <v>9.5000000000000001E-2</v>
      </c>
      <c r="K47" s="47">
        <v>0.23150000000000001</v>
      </c>
      <c r="L47" s="47">
        <v>0.46750000000000003</v>
      </c>
      <c r="M47" s="49"/>
      <c r="N47" s="47">
        <v>6.3E-2</v>
      </c>
      <c r="O47" s="47">
        <v>7.4999999999999997E-2</v>
      </c>
      <c r="P47" s="47">
        <v>0.03</v>
      </c>
      <c r="Q47" s="47">
        <v>0.182</v>
      </c>
      <c r="R47" s="47">
        <v>0.16020000000000001</v>
      </c>
      <c r="S47" s="49"/>
      <c r="T47" s="47" t="s">
        <v>263</v>
      </c>
      <c r="U47" s="47" t="s">
        <v>263</v>
      </c>
      <c r="V47" s="47" t="s">
        <v>263</v>
      </c>
      <c r="W47" s="47">
        <v>9.4E-2</v>
      </c>
      <c r="X47" s="47">
        <v>0.14380000000000001</v>
      </c>
      <c r="Y47" s="49"/>
      <c r="Z47" s="47" t="s">
        <v>263</v>
      </c>
      <c r="AA47" s="47">
        <v>5.0000000000000001E-4</v>
      </c>
      <c r="AB47" s="47">
        <v>1.1000000000000001E-3</v>
      </c>
      <c r="AC47" s="47">
        <v>2.7000000000000001E-3</v>
      </c>
      <c r="AD47" s="47">
        <v>5.2249999999999996E-4</v>
      </c>
      <c r="AE47" s="49"/>
      <c r="AF47" s="47" t="s">
        <v>263</v>
      </c>
      <c r="AG47" s="47">
        <v>4.0000000000000002E-4</v>
      </c>
      <c r="AH47" s="47">
        <v>8.9999999999999998E-4</v>
      </c>
      <c r="AI47" s="47">
        <v>2.2000000000000001E-3</v>
      </c>
      <c r="AJ47" s="47">
        <v>4.2749999999999998E-4</v>
      </c>
      <c r="AK47" s="50"/>
    </row>
    <row r="48" spans="1:37" x14ac:dyDescent="0.45">
      <c r="A48" s="29">
        <v>35</v>
      </c>
      <c r="B48" s="70">
        <v>2.0200000000000001E-6</v>
      </c>
      <c r="C48" s="71">
        <v>6.1999999999999999E-7</v>
      </c>
      <c r="D48" s="71">
        <v>1.81E-6</v>
      </c>
      <c r="E48" s="71">
        <v>6.9299999999999997E-6</v>
      </c>
      <c r="F48" s="72" t="s">
        <v>263</v>
      </c>
      <c r="G48" s="73" t="s">
        <v>263</v>
      </c>
      <c r="H48" s="51">
        <v>0.15</v>
      </c>
      <c r="I48" s="51">
        <v>0.66</v>
      </c>
      <c r="J48" s="51" t="s">
        <v>263</v>
      </c>
      <c r="K48" s="51">
        <v>0.57699999999999996</v>
      </c>
      <c r="L48" s="51" t="s">
        <v>263</v>
      </c>
      <c r="M48" s="52" t="s">
        <v>263</v>
      </c>
      <c r="N48" s="51">
        <v>7.0000000000000007E-2</v>
      </c>
      <c r="O48" s="51">
        <v>0.02</v>
      </c>
      <c r="P48" s="51">
        <v>4.4999999999999998E-2</v>
      </c>
      <c r="Q48" s="51">
        <v>0.56799999999999995</v>
      </c>
      <c r="R48" s="51" t="s">
        <v>263</v>
      </c>
      <c r="S48" s="52" t="s">
        <v>263</v>
      </c>
      <c r="T48" s="51" t="s">
        <v>263</v>
      </c>
      <c r="U48" s="51" t="s">
        <v>263</v>
      </c>
      <c r="V48" s="51">
        <v>0.13</v>
      </c>
      <c r="W48" s="51">
        <v>0.32900000000000001</v>
      </c>
      <c r="X48" s="51" t="s">
        <v>263</v>
      </c>
      <c r="Y48" s="52" t="s">
        <v>263</v>
      </c>
      <c r="Z48" s="51" t="s">
        <v>263</v>
      </c>
      <c r="AA48" s="51">
        <v>1.65E-3</v>
      </c>
      <c r="AB48" s="51" t="s">
        <v>263</v>
      </c>
      <c r="AC48" s="51">
        <v>4.1999999999999997E-3</v>
      </c>
      <c r="AD48" s="51" t="s">
        <v>263</v>
      </c>
      <c r="AE48" s="52" t="s">
        <v>263</v>
      </c>
      <c r="AF48" s="51" t="s">
        <v>263</v>
      </c>
      <c r="AG48" s="51">
        <v>1.3500000000000001E-3</v>
      </c>
      <c r="AH48" s="51" t="s">
        <v>263</v>
      </c>
      <c r="AI48" s="51">
        <v>3.3E-3</v>
      </c>
      <c r="AJ48" s="51" t="s">
        <v>263</v>
      </c>
      <c r="AK48" s="51" t="s">
        <v>263</v>
      </c>
    </row>
  </sheetData>
  <mergeCells count="39">
    <mergeCell ref="H37:M37"/>
    <mergeCell ref="N37:S37"/>
    <mergeCell ref="T37:Y37"/>
    <mergeCell ref="Z37:AE37"/>
    <mergeCell ref="AF37:AK37"/>
    <mergeCell ref="H36:M36"/>
    <mergeCell ref="N36:S36"/>
    <mergeCell ref="T36:Y36"/>
    <mergeCell ref="Z36:AE36"/>
    <mergeCell ref="AF36:AK36"/>
    <mergeCell ref="A4:A5"/>
    <mergeCell ref="B4:G4"/>
    <mergeCell ref="B5:G5"/>
    <mergeCell ref="A36:A37"/>
    <mergeCell ref="B36:G36"/>
    <mergeCell ref="B37:G37"/>
    <mergeCell ref="Z4:AE4"/>
    <mergeCell ref="Z5:AE5"/>
    <mergeCell ref="AF4:AK4"/>
    <mergeCell ref="AF5:AK5"/>
    <mergeCell ref="A20:A21"/>
    <mergeCell ref="B20:G20"/>
    <mergeCell ref="H20:M20"/>
    <mergeCell ref="N20:S20"/>
    <mergeCell ref="T20:Y20"/>
    <mergeCell ref="Z20:AE20"/>
    <mergeCell ref="H4:M4"/>
    <mergeCell ref="N4:S4"/>
    <mergeCell ref="H5:M5"/>
    <mergeCell ref="N5:S5"/>
    <mergeCell ref="T4:Y4"/>
    <mergeCell ref="T5:Y5"/>
    <mergeCell ref="AF20:AK20"/>
    <mergeCell ref="B21:G21"/>
    <mergeCell ref="H21:M21"/>
    <mergeCell ref="N21:S21"/>
    <mergeCell ref="T21:Y21"/>
    <mergeCell ref="Z21:AE21"/>
    <mergeCell ref="AF21:AK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5A4F-0E08-4BAC-B0F2-678071C213DF}">
  <dimension ref="A1:M14"/>
  <sheetViews>
    <sheetView zoomScale="115" zoomScaleNormal="115" workbookViewId="0">
      <selection activeCell="O15" sqref="O15"/>
    </sheetView>
  </sheetViews>
  <sheetFormatPr defaultRowHeight="14.4" x14ac:dyDescent="0.55000000000000004"/>
  <cols>
    <col min="2" max="7" width="8.9453125" bestFit="1" customWidth="1"/>
    <col min="8" max="8" width="9.15625" bestFit="1" customWidth="1"/>
    <col min="9" max="9" width="8.9453125" bestFit="1" customWidth="1"/>
    <col min="10" max="10" width="10.05078125" bestFit="1" customWidth="1"/>
    <col min="11" max="11" width="8.9453125" bestFit="1" customWidth="1"/>
    <col min="12" max="12" width="9.15625" bestFit="1" customWidth="1"/>
    <col min="13" max="13" width="8.9453125" bestFit="1" customWidth="1"/>
  </cols>
  <sheetData>
    <row r="1" spans="1:13" ht="18" x14ac:dyDescent="0.55000000000000004">
      <c r="A1" s="55" t="s">
        <v>622</v>
      </c>
      <c r="B1" s="57" t="s">
        <v>627</v>
      </c>
    </row>
    <row r="3" spans="1:13" ht="15" customHeight="1" thickBot="1" x14ac:dyDescent="0.6">
      <c r="A3" s="23"/>
      <c r="B3" s="128" t="s">
        <v>588</v>
      </c>
      <c r="C3" s="128"/>
      <c r="D3" s="128"/>
      <c r="E3" s="128"/>
      <c r="F3" s="128"/>
      <c r="G3" s="129"/>
      <c r="H3" s="127" t="s">
        <v>589</v>
      </c>
      <c r="I3" s="128"/>
      <c r="J3" s="128"/>
      <c r="K3" s="128"/>
      <c r="L3" s="128"/>
      <c r="M3" s="138"/>
    </row>
    <row r="4" spans="1:13" ht="14.7" thickBot="1" x14ac:dyDescent="0.6">
      <c r="A4" s="20" t="s">
        <v>562</v>
      </c>
      <c r="B4" s="1" t="s">
        <v>563</v>
      </c>
      <c r="C4" s="1" t="s">
        <v>564</v>
      </c>
      <c r="D4" s="1" t="s">
        <v>568</v>
      </c>
      <c r="E4" s="1" t="s">
        <v>565</v>
      </c>
      <c r="F4" s="1" t="s">
        <v>566</v>
      </c>
      <c r="G4" s="2" t="s">
        <v>567</v>
      </c>
      <c r="H4" s="5" t="s">
        <v>563</v>
      </c>
      <c r="I4" s="1" t="s">
        <v>564</v>
      </c>
      <c r="J4" s="1" t="s">
        <v>568</v>
      </c>
      <c r="K4" s="1" t="s">
        <v>565</v>
      </c>
      <c r="L4" s="1" t="s">
        <v>566</v>
      </c>
      <c r="M4" s="20" t="s">
        <v>567</v>
      </c>
    </row>
    <row r="5" spans="1:13" x14ac:dyDescent="0.55000000000000004">
      <c r="A5" s="21">
        <v>0</v>
      </c>
      <c r="B5" s="68">
        <v>0.35799999999999998</v>
      </c>
      <c r="C5" s="68">
        <v>0.78800000000000003</v>
      </c>
      <c r="D5" s="68">
        <v>0.25900000000000001</v>
      </c>
      <c r="E5" s="77">
        <v>6.7500000000000004E-2</v>
      </c>
      <c r="F5" s="68">
        <v>0.15</v>
      </c>
      <c r="G5" s="78">
        <v>0.01</v>
      </c>
      <c r="H5" s="67">
        <v>0.14000000000000001</v>
      </c>
      <c r="I5" s="68">
        <v>330</v>
      </c>
      <c r="J5" s="79">
        <v>57</v>
      </c>
      <c r="K5" s="80">
        <v>1E-8</v>
      </c>
      <c r="L5" s="68">
        <v>5.2000000000000002E-6</v>
      </c>
      <c r="M5" s="69">
        <v>2.8000000000000001E-2</v>
      </c>
    </row>
    <row r="6" spans="1:13" x14ac:dyDescent="0.55000000000000004">
      <c r="A6" s="21">
        <v>1</v>
      </c>
      <c r="B6" s="68">
        <v>1.78</v>
      </c>
      <c r="C6" s="68">
        <v>1.45</v>
      </c>
      <c r="D6" s="68">
        <v>0.48</v>
      </c>
      <c r="E6" s="68">
        <v>7.9000000000000001E-2</v>
      </c>
      <c r="F6" s="68">
        <v>9.9000000000000005E-2</v>
      </c>
      <c r="G6" s="78">
        <v>0.01</v>
      </c>
      <c r="H6" s="67">
        <v>0</v>
      </c>
      <c r="I6" s="68">
        <v>0</v>
      </c>
      <c r="J6" s="79">
        <v>0</v>
      </c>
      <c r="K6" s="68">
        <v>0.09</v>
      </c>
      <c r="L6" s="68">
        <v>27.5</v>
      </c>
      <c r="M6" s="69">
        <v>9.9999999999999995E-8</v>
      </c>
    </row>
    <row r="7" spans="1:13" x14ac:dyDescent="0.55000000000000004">
      <c r="A7" s="21">
        <v>2</v>
      </c>
      <c r="B7" s="79" t="s">
        <v>263</v>
      </c>
      <c r="C7" s="79" t="s">
        <v>263</v>
      </c>
      <c r="D7" s="79" t="s">
        <v>263</v>
      </c>
      <c r="E7" s="79" t="s">
        <v>263</v>
      </c>
      <c r="F7" s="68">
        <v>6.2E-2</v>
      </c>
      <c r="G7" s="78">
        <v>0.01</v>
      </c>
      <c r="H7" s="81" t="s">
        <v>263</v>
      </c>
      <c r="I7" s="68" t="s">
        <v>263</v>
      </c>
      <c r="J7" s="79" t="s">
        <v>263</v>
      </c>
      <c r="K7" s="79" t="s">
        <v>263</v>
      </c>
      <c r="L7" s="68">
        <v>62</v>
      </c>
      <c r="M7" s="69">
        <v>9.9999999999999995E-8</v>
      </c>
    </row>
    <row r="8" spans="1:13" x14ac:dyDescent="0.55000000000000004">
      <c r="A8" s="21">
        <v>3</v>
      </c>
      <c r="B8" s="68">
        <v>0.67700000000000005</v>
      </c>
      <c r="C8" s="68">
        <v>0.78</v>
      </c>
      <c r="D8" s="68">
        <v>0.33</v>
      </c>
      <c r="E8" s="68">
        <v>0.186</v>
      </c>
      <c r="F8" s="68">
        <v>3.7999999999999999E-2</v>
      </c>
      <c r="G8" s="78">
        <v>0.01</v>
      </c>
      <c r="H8" s="67">
        <v>0</v>
      </c>
      <c r="I8" s="68">
        <v>0</v>
      </c>
      <c r="J8" s="79">
        <v>0</v>
      </c>
      <c r="K8" s="68">
        <v>1.1100000000000001</v>
      </c>
      <c r="L8" s="68">
        <v>13.5</v>
      </c>
      <c r="M8" s="69">
        <v>9.9999999999999995E-8</v>
      </c>
    </row>
    <row r="9" spans="1:13" x14ac:dyDescent="0.55000000000000004">
      <c r="A9" s="21">
        <v>4</v>
      </c>
      <c r="B9" s="79" t="s">
        <v>263</v>
      </c>
      <c r="C9" s="79" t="s">
        <v>263</v>
      </c>
      <c r="D9" s="79" t="s">
        <v>263</v>
      </c>
      <c r="E9" s="79" t="s">
        <v>263</v>
      </c>
      <c r="F9" s="68">
        <v>4.5999999999999999E-2</v>
      </c>
      <c r="G9" s="82" t="s">
        <v>263</v>
      </c>
      <c r="H9" s="81" t="s">
        <v>263</v>
      </c>
      <c r="I9" s="79" t="s">
        <v>263</v>
      </c>
      <c r="J9" s="79" t="s">
        <v>263</v>
      </c>
      <c r="K9" s="79" t="s">
        <v>263</v>
      </c>
      <c r="L9" s="68">
        <v>5350</v>
      </c>
      <c r="M9" s="69" t="s">
        <v>263</v>
      </c>
    </row>
    <row r="10" spans="1:13" x14ac:dyDescent="0.55000000000000004">
      <c r="A10" s="21">
        <v>7</v>
      </c>
      <c r="B10" s="68">
        <v>0.124</v>
      </c>
      <c r="C10" s="68">
        <v>0.13900000000000001</v>
      </c>
      <c r="D10" s="68">
        <v>8.2000000000000003E-2</v>
      </c>
      <c r="E10" s="68">
        <v>2.3E-2</v>
      </c>
      <c r="F10" s="68">
        <v>1.2999999999999999E-2</v>
      </c>
      <c r="G10" s="78">
        <v>0.01</v>
      </c>
      <c r="H10" s="67">
        <v>0</v>
      </c>
      <c r="I10" s="68">
        <v>0</v>
      </c>
      <c r="J10" s="79">
        <v>0</v>
      </c>
      <c r="K10" s="68">
        <v>3.07</v>
      </c>
      <c r="L10" s="68">
        <v>14.5</v>
      </c>
      <c r="M10" s="69">
        <v>1E-8</v>
      </c>
    </row>
    <row r="11" spans="1:13" x14ac:dyDescent="0.55000000000000004">
      <c r="A11" s="21">
        <v>14</v>
      </c>
      <c r="B11" s="68">
        <v>4.2999999999999997E-2</v>
      </c>
      <c r="C11" s="68">
        <v>0.10299999999999999</v>
      </c>
      <c r="D11" s="68">
        <v>0.104</v>
      </c>
      <c r="E11" s="68">
        <v>1.4999999999999999E-2</v>
      </c>
      <c r="F11" s="68">
        <v>1.2E-2</v>
      </c>
      <c r="G11" s="78">
        <v>0.01</v>
      </c>
      <c r="H11" s="67">
        <v>0</v>
      </c>
      <c r="I11" s="68">
        <v>0</v>
      </c>
      <c r="J11" s="79">
        <v>0</v>
      </c>
      <c r="K11" s="68">
        <v>4.95</v>
      </c>
      <c r="L11" s="68">
        <v>180</v>
      </c>
      <c r="M11" s="69">
        <v>1E-8</v>
      </c>
    </row>
    <row r="12" spans="1:13" x14ac:dyDescent="0.55000000000000004">
      <c r="A12" s="21">
        <v>21</v>
      </c>
      <c r="B12" s="68">
        <v>4.8000000000000001E-2</v>
      </c>
      <c r="C12" s="68">
        <v>0.04</v>
      </c>
      <c r="D12" s="68">
        <v>0.16500000000000001</v>
      </c>
      <c r="E12" s="68">
        <v>1.55E-2</v>
      </c>
      <c r="F12" s="68">
        <v>1.7000000000000001E-2</v>
      </c>
      <c r="G12" s="82" t="s">
        <v>263</v>
      </c>
      <c r="H12" s="67">
        <v>0</v>
      </c>
      <c r="I12" s="68">
        <v>0</v>
      </c>
      <c r="J12" s="79">
        <v>0</v>
      </c>
      <c r="K12" s="68">
        <v>19</v>
      </c>
      <c r="L12" s="68">
        <v>1.18</v>
      </c>
      <c r="M12" s="69" t="s">
        <v>263</v>
      </c>
    </row>
    <row r="13" spans="1:13" x14ac:dyDescent="0.55000000000000004">
      <c r="A13" s="21">
        <v>28</v>
      </c>
      <c r="B13" s="68">
        <v>6.5000000000000002E-2</v>
      </c>
      <c r="C13" s="68">
        <v>6.8000000000000005E-2</v>
      </c>
      <c r="D13" s="68">
        <v>1.6E-2</v>
      </c>
      <c r="E13" s="68">
        <v>6.4400000000000004E-3</v>
      </c>
      <c r="F13" s="68">
        <v>0.09</v>
      </c>
      <c r="G13" s="82" t="s">
        <v>263</v>
      </c>
      <c r="H13" s="67">
        <v>0</v>
      </c>
      <c r="I13" s="68">
        <v>0</v>
      </c>
      <c r="J13" s="79">
        <v>7.7</v>
      </c>
      <c r="K13" s="68">
        <v>5.2999999999999999E-2</v>
      </c>
      <c r="L13" s="68">
        <v>0.75</v>
      </c>
      <c r="M13" s="69" t="s">
        <v>263</v>
      </c>
    </row>
    <row r="14" spans="1:13" ht="14.7" thickBot="1" x14ac:dyDescent="0.6">
      <c r="A14" s="22">
        <v>35</v>
      </c>
      <c r="B14" s="83">
        <v>3.6999999999999998E-2</v>
      </c>
      <c r="C14" s="83">
        <v>5.6000000000000001E-2</v>
      </c>
      <c r="D14" s="83">
        <v>3.5999999999999997E-2</v>
      </c>
      <c r="E14" s="83">
        <v>4.1000000000000003E-3</v>
      </c>
      <c r="F14" s="84" t="s">
        <v>263</v>
      </c>
      <c r="G14" s="85" t="s">
        <v>263</v>
      </c>
      <c r="H14" s="86">
        <v>360</v>
      </c>
      <c r="I14" s="83">
        <v>0</v>
      </c>
      <c r="J14" s="84">
        <v>70000</v>
      </c>
      <c r="K14" s="84">
        <v>7.5</v>
      </c>
      <c r="L14" s="84" t="s">
        <v>263</v>
      </c>
      <c r="M14" s="87" t="s">
        <v>263</v>
      </c>
    </row>
  </sheetData>
  <mergeCells count="2">
    <mergeCell ref="B3:G3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#1 Water chem. measured and fit</vt:lpstr>
      <vt:lpstr>#2 pH, temp. and carb.</vt:lpstr>
      <vt:lpstr>#3 Flow rate and time_step</vt:lpstr>
      <vt:lpstr>#4 Rates precipitates</vt:lpstr>
      <vt:lpstr>#5 Rates cement hydr.&amp;pore sol.</vt:lpstr>
      <vt:lpstr>#6 Reackive Surface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Lahmann</dc:creator>
  <cp:lastModifiedBy>Daniel Lahmann</cp:lastModifiedBy>
  <dcterms:created xsi:type="dcterms:W3CDTF">2024-07-17T07:59:17Z</dcterms:created>
  <dcterms:modified xsi:type="dcterms:W3CDTF">2024-10-21T11:07:01Z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d2079b-6d85-4185-8122-5cca51dad164_Enabled">
    <vt:lpwstr>true</vt:lpwstr>
  </property>
  <property fmtid="{D5CDD505-2E9C-101B-9397-08002B2CF9AE}" pid="3" name="MSIP_Label_8fd2079b-6d85-4185-8122-5cca51dad164_SetDate">
    <vt:lpwstr>2024-07-17T12:18:47Z</vt:lpwstr>
  </property>
  <property fmtid="{D5CDD505-2E9C-101B-9397-08002B2CF9AE}" pid="4" name="MSIP_Label_8fd2079b-6d85-4185-8122-5cca51dad164_Method">
    <vt:lpwstr>Standard</vt:lpwstr>
  </property>
  <property fmtid="{D5CDD505-2E9C-101B-9397-08002B2CF9AE}" pid="5" name="MSIP_Label_8fd2079b-6d85-4185-8122-5cca51dad164_Name">
    <vt:lpwstr>Öffentlich</vt:lpwstr>
  </property>
  <property fmtid="{D5CDD505-2E9C-101B-9397-08002B2CF9AE}" pid="6" name="MSIP_Label_8fd2079b-6d85-4185-8122-5cca51dad164_SiteId">
    <vt:lpwstr>5832f73f-b0fa-45a0-80d9-7e32bd7fa822</vt:lpwstr>
  </property>
  <property fmtid="{D5CDD505-2E9C-101B-9397-08002B2CF9AE}" pid="7" name="MSIP_Label_8fd2079b-6d85-4185-8122-5cca51dad164_ActionId">
    <vt:lpwstr>3cc8d65e-80f2-434a-b0a9-2407602bd0d8</vt:lpwstr>
  </property>
  <property fmtid="{D5CDD505-2E9C-101B-9397-08002B2CF9AE}" pid="8" name="MSIP_Label_8fd2079b-6d85-4185-8122-5cca51dad164_ContentBits">
    <vt:lpwstr>0</vt:lpwstr>
  </property>
</Properties>
</file>