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model4(1)" sheetId="1" state="visible" r:id="rId1"/>
  </sheets>
  <externalReferences>
    <externalReference xmlns:r="http://schemas.openxmlformats.org/officeDocument/2006/relationships" r:id="rId2"/>
    <externalReference xmlns:r="http://schemas.openxmlformats.org/officeDocument/2006/relationships" r:id="rId3"/>
  </externalReferences>
  <definedNames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 fullCalcOnLoad="1"/>
</workbook>
</file>

<file path=xl/styles.xml><?xml version="1.0" encoding="utf-8"?>
<styleSheet xmlns="http://schemas.openxmlformats.org/spreadsheetml/2006/main">
  <numFmts count="6">
    <numFmt numFmtId="164" formatCode="0.00_ "/>
    <numFmt numFmtId="165" formatCode="0.00_);[Red]\(0.00\)"/>
    <numFmt numFmtId="166" formatCode="yyyy\-mm\-dd"/>
    <numFmt numFmtId="167" formatCode="yyyy-mm-dd"/>
    <numFmt numFmtId="168" formatCode="0.00000"/>
    <numFmt numFmtId="169" formatCode="0.00_);(0.00)"/>
  </numFmts>
  <fonts count="13"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sz val="9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宋体"/>
      <family val="2"/>
      <color theme="1"/>
      <sz val="11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color rgb="00ff0000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7" fillId="0" borderId="0"/>
    <xf numFmtId="0" fontId="7" fillId="0" borderId="0"/>
  </cellStyleXfs>
  <cellXfs count="45">
    <xf numFmtId="0" fontId="0" fillId="0" borderId="0" pivotButton="0" quotePrefix="0" xfId="0"/>
    <xf numFmtId="0" fontId="1" fillId="0" borderId="0" pivotButton="0" quotePrefix="0" xfId="0"/>
    <xf numFmtId="10" fontId="1" fillId="0" borderId="0" pivotButton="0" quotePrefix="0" xfId="0"/>
    <xf numFmtId="164" fontId="1" fillId="0" borderId="0" pivotButton="0" quotePrefix="0" xfId="0"/>
    <xf numFmtId="164" fontId="3" fillId="0" borderId="1" pivotButton="0" quotePrefix="0" xfId="0"/>
    <xf numFmtId="0" fontId="3" fillId="0" borderId="1" pivotButton="0" quotePrefix="0" xfId="0"/>
    <xf numFmtId="0" fontId="3" fillId="0" borderId="0" pivotButton="0" quotePrefix="0" xfId="0"/>
    <xf numFmtId="10" fontId="3" fillId="0" borderId="0" pivotButton="0" quotePrefix="0" xfId="0"/>
    <xf numFmtId="10" fontId="3" fillId="0" borderId="1" pivotButton="0" quotePrefix="0" xfId="0"/>
    <xf numFmtId="165" fontId="3" fillId="0" borderId="1" pivotButton="0" quotePrefix="0" xfId="0"/>
    <xf numFmtId="0" fontId="5" fillId="0" borderId="0" applyAlignment="1" pivotButton="0" quotePrefix="0" xfId="0">
      <alignment horizontal="center"/>
    </xf>
    <xf numFmtId="10" fontId="5" fillId="0" borderId="0" applyAlignment="1" pivotButton="0" quotePrefix="0" xfId="0">
      <alignment horizontal="center"/>
    </xf>
    <xf numFmtId="0" fontId="6" fillId="3" borderId="1" applyAlignment="1" pivotButton="0" quotePrefix="0" xfId="0">
      <alignment horizontal="center" vertical="center"/>
    </xf>
    <xf numFmtId="164" fontId="6" fillId="3" borderId="1" applyAlignment="1" pivotButton="0" quotePrefix="0" xfId="0">
      <alignment horizontal="center" vertical="center" wrapText="1"/>
    </xf>
    <xf numFmtId="166" fontId="8" fillId="4" borderId="1" applyAlignment="1" pivotButton="0" quotePrefix="0" xfId="0">
      <alignment horizontal="center"/>
    </xf>
    <xf numFmtId="0" fontId="9" fillId="0" borderId="1" pivotButton="0" quotePrefix="0" xfId="0"/>
    <xf numFmtId="164" fontId="9" fillId="0" borderId="1" pivotButton="0" quotePrefix="0" xfId="0"/>
    <xf numFmtId="164" fontId="9" fillId="2" borderId="1" pivotButton="0" quotePrefix="0" xfId="0"/>
    <xf numFmtId="164" fontId="10" fillId="0" borderId="1" pivotButton="0" quotePrefix="0" xfId="0"/>
    <xf numFmtId="166" fontId="11" fillId="4" borderId="1" applyAlignment="1" pivotButton="0" quotePrefix="0" xfId="0">
      <alignment horizontal="center"/>
    </xf>
    <xf numFmtId="164" fontId="6" fillId="3" borderId="1" applyAlignment="1" pivotButton="0" quotePrefix="0" xfId="1">
      <alignment horizontal="center" vertical="center"/>
    </xf>
    <xf numFmtId="164" fontId="6" fillId="3" borderId="1" applyAlignment="1" pivotButton="0" quotePrefix="0" xfId="1">
      <alignment horizontal="center" vertical="center" wrapText="1"/>
    </xf>
    <xf numFmtId="0" fontId="6" fillId="3" borderId="1" applyAlignment="1" pivotButton="0" quotePrefix="0" xfId="1">
      <alignment horizontal="center" vertical="center"/>
    </xf>
    <xf numFmtId="0" fontId="6" fillId="3" borderId="1" applyAlignment="1" pivotButton="0" quotePrefix="0" xfId="1">
      <alignment horizontal="center" vertical="center" wrapText="1"/>
    </xf>
    <xf numFmtId="164" fontId="6" fillId="3" borderId="0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1" applyAlignment="1" pivotButton="0" quotePrefix="0" xfId="1">
      <alignment horizontal="center"/>
    </xf>
    <xf numFmtId="0" fontId="4" fillId="0" borderId="1" applyAlignment="1" pivotButton="0" quotePrefix="0" xfId="0">
      <alignment horizontal="center"/>
    </xf>
    <xf numFmtId="164" fontId="1" fillId="0" borderId="0" pivotButton="0" quotePrefix="0" xfId="0"/>
    <xf numFmtId="164" fontId="6" fillId="3" borderId="1" applyAlignment="1" pivotButton="0" quotePrefix="0" xfId="0">
      <alignment horizontal="center" vertical="center" wrapText="1"/>
    </xf>
    <xf numFmtId="164" fontId="6" fillId="3" borderId="1" applyAlignment="1" pivotButton="0" quotePrefix="0" xfId="1">
      <alignment horizontal="center" vertical="center"/>
    </xf>
    <xf numFmtId="164" fontId="6" fillId="3" borderId="1" applyAlignment="1" pivotButton="0" quotePrefix="0" xfId="1">
      <alignment horizontal="center" vertical="center" wrapText="1"/>
    </xf>
    <xf numFmtId="164" fontId="6" fillId="3" borderId="0" applyAlignment="1" pivotButton="0" quotePrefix="0" xfId="0">
      <alignment horizontal="center" vertical="center" wrapText="1"/>
    </xf>
    <xf numFmtId="164" fontId="3" fillId="0" borderId="1" pivotButton="0" quotePrefix="0" xfId="0"/>
    <xf numFmtId="164" fontId="10" fillId="0" borderId="1" pivotButton="0" quotePrefix="0" xfId="0"/>
    <xf numFmtId="166" fontId="8" fillId="4" borderId="1" applyAlignment="1" pivotButton="0" quotePrefix="0" xfId="0">
      <alignment horizontal="center"/>
    </xf>
    <xf numFmtId="164" fontId="9" fillId="0" borderId="1" pivotButton="0" quotePrefix="0" xfId="0"/>
    <xf numFmtId="164" fontId="9" fillId="2" borderId="1" pivotButton="0" quotePrefix="0" xfId="0"/>
    <xf numFmtId="166" fontId="11" fillId="4" borderId="1" applyAlignment="1" pivotButton="0" quotePrefix="0" xfId="0">
      <alignment horizontal="center"/>
    </xf>
    <xf numFmtId="165" fontId="3" fillId="0" borderId="1" pivotButton="0" quotePrefix="0" xfId="0"/>
    <xf numFmtId="167" fontId="12" fillId="0" borderId="0" applyAlignment="1" pivotButton="0" quotePrefix="0" xfId="0">
      <alignment horizontal="center"/>
    </xf>
    <xf numFmtId="168" fontId="12" fillId="0" borderId="0" pivotButton="0" quotePrefix="0" xfId="0"/>
    <xf numFmtId="0" fontId="12" fillId="0" borderId="0" pivotButton="0" quotePrefix="0" xfId="0"/>
    <xf numFmtId="169" fontId="12" fillId="0" borderId="0" pivotButton="0" quotePrefix="0" xfId="0"/>
    <xf numFmtId="164" fontId="12" fillId="0" borderId="0" pivotButton="0" quotePrefix="0" xfId="0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externalLink" Target="/xl/externalLinks/externalLink2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00813604622218"/>
          <y val="0.07440145171866658"/>
          <w val="0.8351143544660911"/>
          <h val="0.5920907202358666"/>
        </manualLayout>
      </layout>
      <lineChart>
        <grouping val="standard"/>
        <varyColors val="0"/>
        <ser>
          <idx val="0"/>
          <order val="0"/>
          <tx>
            <strRef>
              <f>'model4(1)'!$I$1</f>
              <strCache>
                <ptCount val="1"/>
                <pt idx="0">
                  <v>accumulated investment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'model4(1)'!时间</f>
              <numCache>
                <formatCode>yyyy\-mm\-dd</formatCode>
                <ptCount val="19"/>
                <pt idx="0">
                  <v>44316</v>
                </pt>
                <pt idx="1">
                  <v>44347</v>
                </pt>
                <pt idx="2">
                  <v>44377</v>
                </pt>
                <pt idx="3">
                  <v>44407</v>
                </pt>
                <pt idx="4">
                  <v>44439</v>
                </pt>
                <pt idx="5">
                  <v>44469</v>
                </pt>
                <pt idx="6">
                  <v>44498</v>
                </pt>
                <pt idx="7">
                  <v>44530</v>
                </pt>
                <pt idx="8">
                  <v>44561</v>
                </pt>
                <pt idx="9">
                  <v>44589</v>
                </pt>
                <pt idx="10">
                  <v>44620</v>
                </pt>
                <pt idx="11">
                  <v>44651</v>
                </pt>
                <pt idx="12">
                  <v>44680</v>
                </pt>
                <pt idx="13">
                  <v>44712</v>
                </pt>
                <pt idx="14">
                  <v>44742</v>
                </pt>
                <pt idx="15">
                  <v>44771</v>
                </pt>
                <pt idx="16">
                  <v>44804</v>
                </pt>
                <pt idx="17">
                  <v>44834</v>
                </pt>
                <pt idx="18">
                  <v>44865</v>
                </pt>
              </numCache>
            </numRef>
          </cat>
          <val>
            <numRef>
              <f>'model4(1)'!资金</f>
              <numCache>
                <formatCode xml:space="preserve">0.00_ </formatCode>
                <ptCount val="19"/>
                <pt idx="0">
                  <v>0</v>
                </pt>
                <pt idx="1">
                  <v>15057.36999269527</v>
                </pt>
                <pt idx="2">
                  <v>15057.36999269527</v>
                </pt>
                <pt idx="3">
                  <v>19011.31844749668</v>
                </pt>
                <pt idx="4">
                  <v>45400.10646962021</v>
                </pt>
                <pt idx="5">
                  <v>133057.7862679122</v>
                </pt>
                <pt idx="6">
                  <v>167517.1679978078</v>
                </pt>
                <pt idx="7">
                  <v>209123.5851968638</v>
                </pt>
                <pt idx="8">
                  <v>260275.1857646482</v>
                </pt>
                <pt idx="9">
                  <v>429765.6830981916</v>
                </pt>
                <pt idx="10">
                  <v>582573.6242766435</v>
                </pt>
                <pt idx="11">
                  <v>881591.943156605</v>
                </pt>
                <pt idx="12">
                  <v>1311840.7969133</v>
                </pt>
                <pt idx="13">
                  <v>1756548.728752262</v>
                </pt>
                <pt idx="14">
                  <v>1913790.778770074</v>
                </pt>
                <pt idx="15">
                  <v>2126375.463857963</v>
                </pt>
                <pt idx="16">
                  <v>2379024.813114319</v>
                </pt>
                <pt idx="17">
                  <v>2717832.047090339</v>
                </pt>
                <pt idx="18">
                  <v>3109473.954542022</v>
                </pt>
              </numCache>
            </numRef>
          </val>
          <smooth val="0"/>
        </ser>
        <ser>
          <idx val="1"/>
          <order val="1"/>
          <tx>
            <strRef>
              <f>'model4(1)'!$J$1</f>
              <strCache>
                <ptCount val="1"/>
                <pt idx="0">
                  <v>total assets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'model4(1)'!时间</f>
              <numCache>
                <formatCode>yyyy\-mm\-dd</formatCode>
                <ptCount val="19"/>
                <pt idx="0">
                  <v>44316</v>
                </pt>
                <pt idx="1">
                  <v>44347</v>
                </pt>
                <pt idx="2">
                  <v>44377</v>
                </pt>
                <pt idx="3">
                  <v>44407</v>
                </pt>
                <pt idx="4">
                  <v>44439</v>
                </pt>
                <pt idx="5">
                  <v>44469</v>
                </pt>
                <pt idx="6">
                  <v>44498</v>
                </pt>
                <pt idx="7">
                  <v>44530</v>
                </pt>
                <pt idx="8">
                  <v>44561</v>
                </pt>
                <pt idx="9">
                  <v>44589</v>
                </pt>
                <pt idx="10">
                  <v>44620</v>
                </pt>
                <pt idx="11">
                  <v>44651</v>
                </pt>
                <pt idx="12">
                  <v>44680</v>
                </pt>
                <pt idx="13">
                  <v>44712</v>
                </pt>
                <pt idx="14">
                  <v>44742</v>
                </pt>
                <pt idx="15">
                  <v>44771</v>
                </pt>
                <pt idx="16">
                  <v>44804</v>
                </pt>
                <pt idx="17">
                  <v>44834</v>
                </pt>
                <pt idx="18">
                  <v>44865</v>
                </pt>
              </numCache>
            </numRef>
          </cat>
          <val>
            <numRef>
              <f>'model4(1)'!资产</f>
              <numCache>
                <formatCode xml:space="preserve">0.00_ </formatCode>
                <ptCount val="19"/>
                <pt idx="0">
                  <v>0</v>
                </pt>
                <pt idx="1">
                  <v>15057.36999269527</v>
                </pt>
                <pt idx="2">
                  <v>15452.86077954769</v>
                </pt>
                <pt idx="3">
                  <v>19019.5878494305</v>
                </pt>
                <pt idx="4">
                  <v>44610.15723019126</v>
                </pt>
                <pt idx="5">
                  <v>131800.0954652137</v>
                </pt>
                <pt idx="6">
                  <v>170637.5292139809</v>
                </pt>
                <pt idx="7">
                  <v>215275.2181934247</v>
                </pt>
                <pt idx="8">
                  <v>262454.7491055948</v>
                </pt>
                <pt idx="9">
                  <v>404006.3058065916</v>
                </pt>
                <pt idx="10">
                  <v>556025.96375305</v>
                </pt>
                <pt idx="11">
                  <v>794878.5808260118</v>
                </pt>
                <pt idx="12">
                  <v>1150213.834049235</v>
                </pt>
                <pt idx="13">
                  <v>1639230.026018559</v>
                </pt>
                <pt idx="14">
                  <v>2009828.674629037</v>
                </pt>
                <pt idx="15">
                  <v>2106471.949580224</v>
                </pt>
                <pt idx="16">
                  <v>2266535.448177875</v>
                </pt>
                <pt idx="17">
                  <v>2388388.957364744</v>
                </pt>
                <pt idx="18">
                  <v>2745559.975333992</v>
                </pt>
              </numCache>
            </numRef>
          </val>
          <smooth val="0"/>
        </ser>
        <ser>
          <idx val="2"/>
          <order val="2"/>
          <tx>
            <strRef>
              <f>'model4(1)'!$K$1</f>
              <strCache>
                <ptCount val="1"/>
                <pt idx="0">
                  <v>profit amount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'model4(1)'!时间</f>
              <numCache>
                <formatCode>yyyy\-mm\-dd</formatCode>
                <ptCount val="19"/>
                <pt idx="0">
                  <v>44316</v>
                </pt>
                <pt idx="1">
                  <v>44347</v>
                </pt>
                <pt idx="2">
                  <v>44377</v>
                </pt>
                <pt idx="3">
                  <v>44407</v>
                </pt>
                <pt idx="4">
                  <v>44439</v>
                </pt>
                <pt idx="5">
                  <v>44469</v>
                </pt>
                <pt idx="6">
                  <v>44498</v>
                </pt>
                <pt idx="7">
                  <v>44530</v>
                </pt>
                <pt idx="8">
                  <v>44561</v>
                </pt>
                <pt idx="9">
                  <v>44589</v>
                </pt>
                <pt idx="10">
                  <v>44620</v>
                </pt>
                <pt idx="11">
                  <v>44651</v>
                </pt>
                <pt idx="12">
                  <v>44680</v>
                </pt>
                <pt idx="13">
                  <v>44712</v>
                </pt>
                <pt idx="14">
                  <v>44742</v>
                </pt>
                <pt idx="15">
                  <v>44771</v>
                </pt>
                <pt idx="16">
                  <v>44804</v>
                </pt>
                <pt idx="17">
                  <v>44834</v>
                </pt>
                <pt idx="18">
                  <v>44865</v>
                </pt>
              </numCache>
            </numRef>
          </cat>
          <val>
            <numRef>
              <f>'model4(1)'!金额</f>
              <numCache>
                <formatCode xml:space="preserve">0.00_ </formatCode>
                <ptCount val="19"/>
                <pt idx="0">
                  <v>0</v>
                </pt>
                <pt idx="1">
                  <v>0</v>
                </pt>
                <pt idx="2">
                  <v>395.4907868524242</v>
                </pt>
                <pt idx="3">
                  <v>8.269401933819609</v>
                </pt>
                <pt idx="4">
                  <v>-789.9492394289482</v>
                </pt>
                <pt idx="5">
                  <v>-1257.69080269846</v>
                </pt>
                <pt idx="6">
                  <v>3120.361216173071</v>
                </pt>
                <pt idx="7">
                  <v>6151.632996560948</v>
                </pt>
                <pt idx="8">
                  <v>2179.563340946595</v>
                </pt>
                <pt idx="9">
                  <v>-25759.37729160005</v>
                </pt>
                <pt idx="10">
                  <v>-26547.66052359354</v>
                </pt>
                <pt idx="11">
                  <v>-86713.36233059317</v>
                </pt>
                <pt idx="12">
                  <v>-161626.9628640655</v>
                </pt>
                <pt idx="13">
                  <v>-117318.7027337034</v>
                </pt>
                <pt idx="14">
                  <v>96037.89585896209</v>
                </pt>
                <pt idx="15">
                  <v>-19903.51427773898</v>
                </pt>
                <pt idx="16">
                  <v>-112489.364936444</v>
                </pt>
                <pt idx="17">
                  <v>-329443.089725595</v>
                </pt>
                <pt idx="18">
                  <v>-363913.9792080303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6528256"/>
        <axId val="94351744"/>
      </lineChart>
      <dateAx>
        <axId val="76528256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94351744"/>
        <crosses val="autoZero"/>
        <lblOffset val="100"/>
        <baseTimeUnit val="days"/>
      </dateAx>
      <valAx>
        <axId val="9435174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6528256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effectLst/>
              </a:rPr>
              <a:t>szseinnovation100index &amp;                                            sales amount per month</a:t>
            </a:r>
            <a:endParaRPr lang="zh-CN" altLang="zh-CN">
              <effectLst/>
            </a:endParaRP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1"/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'model4(1)'!买卖</f>
              <numCache>
                <formatCode xml:space="preserve">0.00_ </formatCode>
                <ptCount val="19"/>
                <pt idx="0">
                  <v>0</v>
                </pt>
                <pt idx="1">
                  <v>15057.36999269527</v>
                </pt>
                <pt idx="2">
                  <v>-657.8662767539254</v>
                </pt>
                <pt idx="3">
                  <v>3953.948454801412</v>
                </pt>
                <pt idx="4">
                  <v>26388.78802212352</v>
                </pt>
                <pt idx="5">
                  <v>87657.67979829198</v>
                </pt>
                <pt idx="6">
                  <v>34459.38172989565</v>
                </pt>
                <pt idx="7">
                  <v>41606.41719905596</v>
                </pt>
                <pt idx="8">
                  <v>51151.60056778443</v>
                </pt>
                <pt idx="9">
                  <v>169490.4973335434</v>
                </pt>
                <pt idx="10">
                  <v>152807.9411784518</v>
                </pt>
                <pt idx="11">
                  <v>299018.3188799615</v>
                </pt>
                <pt idx="12">
                  <v>430248.8537566953</v>
                </pt>
                <pt idx="13">
                  <v>444707.9318389616</v>
                </pt>
                <pt idx="14">
                  <v>157242.0500178125</v>
                </pt>
                <pt idx="15">
                  <v>212584.6850878888</v>
                </pt>
                <pt idx="16">
                  <v>252649.3492563555</v>
                </pt>
                <pt idx="17">
                  <v>338807.2339760204</v>
                </pt>
                <pt idx="18">
                  <v>391641.9074516833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77567488"/>
        <axId val="77565952"/>
      </barChart>
      <lineChart>
        <grouping val="standard"/>
        <varyColors val="0"/>
        <ser>
          <idx val="2"/>
          <order val="2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'model4(1)'!时间</f>
              <numCache>
                <formatCode>yyyy\-mm\-dd</formatCode>
                <ptCount val="19"/>
                <pt idx="0">
                  <v>44316</v>
                </pt>
                <pt idx="1">
                  <v>44347</v>
                </pt>
                <pt idx="2">
                  <v>44377</v>
                </pt>
                <pt idx="3">
                  <v>44407</v>
                </pt>
                <pt idx="4">
                  <v>44439</v>
                </pt>
                <pt idx="5">
                  <v>44469</v>
                </pt>
                <pt idx="6">
                  <v>44498</v>
                </pt>
                <pt idx="7">
                  <v>44530</v>
                </pt>
                <pt idx="8">
                  <v>44561</v>
                </pt>
                <pt idx="9">
                  <v>44589</v>
                </pt>
                <pt idx="10">
                  <v>44620</v>
                </pt>
                <pt idx="11">
                  <v>44651</v>
                </pt>
                <pt idx="12">
                  <v>44680</v>
                </pt>
                <pt idx="13">
                  <v>44712</v>
                </pt>
                <pt idx="14">
                  <v>44742</v>
                </pt>
                <pt idx="15">
                  <v>44771</v>
                </pt>
                <pt idx="16">
                  <v>44804</v>
                </pt>
                <pt idx="17">
                  <v>44834</v>
                </pt>
                <pt idx="18">
                  <v>44865</v>
                </pt>
              </numCache>
            </numRef>
          </cat>
          <val>
            <numRef>
              <f>'model4(1)'!指数</f>
              <numCache>
                <formatCode>General</formatCode>
                <ptCount val="19"/>
                <pt idx="0">
                  <v>4.786029999999999</v>
                </pt>
                <pt idx="1">
                  <v>4.980659999999999</v>
                </pt>
                <pt idx="2">
                  <v>5.111479999999999</v>
                </pt>
                <pt idx="3">
                  <v>4.9777</v>
                </pt>
                <pt idx="4">
                  <v>4.761310000000001</v>
                </pt>
                <pt idx="5">
                  <v>4.710640000000001</v>
                </pt>
                <pt idx="6">
                  <v>4.8679</v>
                </pt>
                <pt idx="7">
                  <v>4.9547099609375</v>
                </pt>
                <pt idx="8">
                  <v>4.863009765625</v>
                </pt>
                <pt idx="9">
                  <v>4.34402978515625</v>
                </pt>
                <pt idx="10">
                  <v>4.3355400390625</v>
                </pt>
                <pt idx="11">
                  <v>3.86585009765625</v>
                </pt>
                <pt idx="12">
                  <v>3.5012099609375</v>
                </pt>
                <pt idx="13">
                  <v>3.636159912109375</v>
                </pt>
                <pt idx="14">
                  <v>4.1096201171875</v>
                </pt>
                <pt idx="15">
                  <v>3.872469970703125</v>
                </pt>
                <pt idx="16">
                  <v>3.7022099609375</v>
                </pt>
                <pt idx="17">
                  <v>3.34772998046875</v>
                </pt>
                <pt idx="18">
                  <v>3.29939990234375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0336"/>
        <axId val="77551872"/>
      </lineChart>
      <catAx>
        <axId val="77567488"/>
        <scaling>
          <orientation val="minMax"/>
        </scaling>
        <delete val="1"/>
        <axPos val="b"/>
        <majorTickMark val="out"/>
        <minorTickMark val="none"/>
        <tickLblPos val="nextTo"/>
        <crossAx val="77565952"/>
        <crosses val="autoZero"/>
        <auto val="1"/>
        <lblAlgn val="ctr"/>
        <lblOffset val="100"/>
        <noMultiLvlLbl val="0"/>
      </catAx>
      <valAx>
        <axId val="77565952"/>
        <scaling>
          <orientation val="minMax"/>
        </scaling>
        <delete val="0"/>
        <axPos val="r"/>
        <numFmt formatCode="0.00_ 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7567488"/>
        <crosses val="max"/>
        <crossBetween val="between"/>
      </valAx>
      <dateAx>
        <axId val="77550336"/>
        <scaling>
          <orientation val="minMax"/>
        </scaling>
        <delete val="0"/>
        <axPos val="b"/>
        <numFmt formatCode="yyyy\-mm\-dd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7551872"/>
        <crosses val="autoZero"/>
        <lblOffset val="100"/>
        <baseTimeUnit val="days"/>
      </dateAx>
      <valAx>
        <axId val="775518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75503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14</col>
      <colOff>676275</colOff>
      <row>4</row>
      <rowOff>85725</rowOff>
    </from>
    <to>
      <col>21</col>
      <colOff>752475</colOff>
      <row>20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22</col>
      <colOff>57149</colOff>
      <row>4</row>
      <rowOff>104775</rowOff>
    </from>
    <to>
      <col>30</col>
      <colOff>209549</colOff>
      <row>20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valuationquan/szseinnovation100index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szseinnovation100indexmodel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32.57256827494534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32.544414137329682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32.518260838260851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32.492059590406484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32.468162131027007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32.444582177331519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32.421478462822563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32.39780157726539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32.373743283262009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32.349653301573312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32.324335074494662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32.298912434429688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32.274788328280401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32.250211047941931</v>
          </cell>
        </row>
        <row r="382">
          <cell r="B382">
            <v>44862</v>
          </cell>
          <cell r="C382">
            <v>22.13999939</v>
          </cell>
          <cell r="D382">
            <v>32.223605227789449</v>
          </cell>
        </row>
        <row r="383">
          <cell r="B383">
            <v>44865</v>
          </cell>
          <cell r="C383">
            <v>22.239999770000001</v>
          </cell>
          <cell r="D383">
            <v>32.197401538923856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32.171413577984268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32.146422943002584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32.121249965390597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32.098077889532441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32.074999968911889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32.051627877751912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32.027680383814406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32.002724906452414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31.979307665256382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31.95606135253194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31.934362218367319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31.911959258931272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31.889365454289315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31.866936682734149</v>
          </cell>
        </row>
        <row r="398">
          <cell r="B398" t="str">
            <v xml:space="preserve">2022/11/21
</v>
          </cell>
          <cell r="C398">
            <v>23</v>
          </cell>
          <cell r="D398">
            <v>31.844545428484821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31.821385363476043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31.798065302060277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31.774786943483686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31.751249977649977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31.727431401047358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31.704975105920376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W22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8" customWidth="1" style="1" min="2" max="2"/>
    <col width="6.375" customWidth="1" style="1" min="3" max="3"/>
    <col width="6.875" customWidth="1" style="28" min="4" max="4"/>
    <col width="9.375" customWidth="1" style="28" min="5" max="5"/>
    <col width="9.25" customWidth="1" style="28" min="6" max="6"/>
    <col width="10.75" customWidth="1" style="28" min="7" max="7"/>
    <col width="11.5" customWidth="1" style="28" min="8" max="8"/>
    <col width="12.75" customWidth="1" style="28" min="9" max="9"/>
    <col width="12.625" customWidth="1" style="1" min="10" max="10"/>
    <col width="10.75" customWidth="1" style="1" min="11" max="11"/>
    <col width="10.75" customWidth="1" style="28" min="12" max="12"/>
    <col width="9.5" bestFit="1" customWidth="1" style="1" min="13" max="13"/>
    <col width="9" customWidth="1" style="2" min="14" max="14"/>
    <col width="9" customWidth="1" style="1" min="15" max="15"/>
    <col width="9.75" bestFit="1" customWidth="1" style="1" min="16" max="16"/>
    <col width="11.375" customWidth="1" style="1" min="17" max="18"/>
    <col width="11.125" customWidth="1" style="1" min="19" max="20"/>
    <col width="10.375" customWidth="1" style="1" min="21" max="21"/>
    <col width="10.25" customWidth="1" style="1" min="22" max="22"/>
    <col width="10.125" customWidth="1" style="1" min="23" max="23"/>
    <col width="9" customWidth="1" style="1" min="24" max="16384"/>
  </cols>
  <sheetData>
    <row r="1" ht="27" customFormat="1" customHeight="1" s="10">
      <c r="A1" s="12" t="inlineStr">
        <is>
          <t>date</t>
        </is>
      </c>
      <c r="B1" s="12" t="inlineStr">
        <is>
          <t>szse innovation100</t>
        </is>
      </c>
      <c r="C1" s="12" t="inlineStr">
        <is>
          <t>PE</t>
        </is>
      </c>
      <c r="D1" s="29" t="inlineStr">
        <is>
          <t>historical PE mean</t>
        </is>
      </c>
      <c r="E1" s="30" t="inlineStr">
        <is>
          <t>sales amount</t>
        </is>
      </c>
      <c r="F1" s="30" t="inlineStr">
        <is>
          <t>sales shares</t>
        </is>
      </c>
      <c r="G1" s="30" t="inlineStr">
        <is>
          <t>shares held</t>
        </is>
      </c>
      <c r="H1" s="30" t="inlineStr">
        <is>
          <t>market value</t>
        </is>
      </c>
      <c r="I1" s="31" t="inlineStr">
        <is>
          <t>accumulated investment</t>
        </is>
      </c>
      <c r="J1" s="22" t="inlineStr">
        <is>
          <t>total assets</t>
        </is>
      </c>
      <c r="K1" s="23" t="inlineStr">
        <is>
          <t>profit amount</t>
        </is>
      </c>
      <c r="L1" s="32" t="inlineStr">
        <is>
          <t>recovered funds</t>
        </is>
      </c>
      <c r="N1" s="11" t="n"/>
    </row>
    <row r="2" ht="14.1" customHeight="1">
      <c r="A2" s="5" t="n"/>
      <c r="B2" s="5" t="n"/>
      <c r="C2" s="5" t="n"/>
      <c r="D2" s="33" t="n"/>
      <c r="E2" s="33" t="n">
        <v>3950</v>
      </c>
      <c r="F2" s="34" t="inlineStr">
        <is>
          <t>unit:yuan</t>
        </is>
      </c>
      <c r="G2" s="33" t="n"/>
      <c r="H2" s="33">
        <f>MIN(G:G)</f>
        <v/>
      </c>
      <c r="I2" s="33" t="n"/>
      <c r="J2" s="5" t="n"/>
      <c r="K2" s="5" t="n"/>
      <c r="L2" s="33" t="n"/>
      <c r="M2" s="6" t="n"/>
    </row>
    <row r="3" ht="14.1" customHeight="1">
      <c r="A3" s="35" t="n">
        <v>44316</v>
      </c>
      <c r="B3" s="15">
        <f>VLOOKUP(A3,[1]szse_innovation_100!$A:$F,6)</f>
        <v/>
      </c>
      <c r="C3" s="15">
        <f>VLOOKUP(A3,[2]myPEPB!$B:$C,2)</f>
        <v/>
      </c>
      <c r="D3" s="36">
        <f>VLOOKUP(A3,[2]myPEPB!$B:$D,3)</f>
        <v/>
      </c>
      <c r="E3" s="36" t="n">
        <v>0</v>
      </c>
      <c r="F3" s="37">
        <f>E3/B3</f>
        <v/>
      </c>
      <c r="G3" s="37">
        <f>G2+F3</f>
        <v/>
      </c>
      <c r="H3" s="37">
        <f>G3*B3</f>
        <v/>
      </c>
      <c r="I3" s="37">
        <f>IF(E3&gt;0,I2+E3,I2)</f>
        <v/>
      </c>
      <c r="J3" s="37">
        <f>H3+L3</f>
        <v/>
      </c>
      <c r="K3" s="37">
        <f>J3-I3</f>
        <v/>
      </c>
      <c r="L3" s="36">
        <f>IF(E3&lt;0,L2-E3,L2)</f>
        <v/>
      </c>
      <c r="M3" s="6" t="n"/>
      <c r="P3" s="25" t="inlineStr">
        <is>
          <t>date</t>
        </is>
      </c>
      <c r="Q3" s="26" t="inlineStr">
        <is>
          <t>investment per year</t>
        </is>
      </c>
      <c r="R3" s="26" t="inlineStr">
        <is>
          <t>accumulated investment</t>
        </is>
      </c>
      <c r="S3" s="26" t="inlineStr">
        <is>
          <t>total assets</t>
        </is>
      </c>
      <c r="T3" s="26" t="inlineStr">
        <is>
          <t>profit amount</t>
        </is>
      </c>
      <c r="U3" s="27" t="inlineStr">
        <is>
          <t>recovered funds</t>
        </is>
      </c>
      <c r="V3" s="26" t="inlineStr">
        <is>
          <t>absolute RR</t>
        </is>
      </c>
      <c r="W3" s="26" t="inlineStr">
        <is>
          <t>annualized RR</t>
        </is>
      </c>
    </row>
    <row r="4" ht="14.1" customHeight="1">
      <c r="A4" s="35" t="n">
        <v>44347</v>
      </c>
      <c r="B4" s="15">
        <f>VLOOKUP(A4,[1]szse_innovation_100!$A:$F,6)</f>
        <v/>
      </c>
      <c r="C4" s="15">
        <f>VLOOKUP(A4,[2]myPEPB!$B:$C,2)</f>
        <v/>
      </c>
      <c r="D4" s="36">
        <f>VLOOKUP(A4,[2]myPEPB!$B:$D,3)</f>
        <v/>
      </c>
      <c r="E4" s="36">
        <f>IF(C4&lt;D4,$E$2*(D4-C4)^2,-$E$2*(D4-C4)^2)</f>
        <v/>
      </c>
      <c r="F4" s="37">
        <f>E4/B4</f>
        <v/>
      </c>
      <c r="G4" s="37">
        <f>G3+F4</f>
        <v/>
      </c>
      <c r="H4" s="37">
        <f>G4*B4</f>
        <v/>
      </c>
      <c r="I4" s="37">
        <f>IF(E4&gt;0,I3+E4,I3)</f>
        <v/>
      </c>
      <c r="J4" s="37">
        <f>H4+L4</f>
        <v/>
      </c>
      <c r="K4" s="37">
        <f>J4-I4</f>
        <v/>
      </c>
      <c r="L4" s="36">
        <f>IF(E4&lt;0,L3-E4,L3)</f>
        <v/>
      </c>
      <c r="M4" s="6" t="n"/>
      <c r="P4" s="38" t="n">
        <v>44561</v>
      </c>
      <c r="Q4" s="39">
        <f>R4</f>
        <v/>
      </c>
      <c r="R4" s="33">
        <f>VLOOKUP(P4,A:I,9,)</f>
        <v/>
      </c>
      <c r="S4" s="33">
        <f>VLOOKUP(P4,A:J,10,)</f>
        <v/>
      </c>
      <c r="T4" s="33">
        <f>VLOOKUP(P4,A:K,11,)</f>
        <v/>
      </c>
      <c r="U4" s="33">
        <f>VLOOKUP(P4,A:L,12,)</f>
        <v/>
      </c>
      <c r="V4" s="8">
        <f>(S4-R4)/R4</f>
        <v/>
      </c>
      <c r="W4" s="8">
        <f>V4</f>
        <v/>
      </c>
    </row>
    <row r="5" ht="14.1" customHeight="1">
      <c r="A5" s="35" t="n">
        <v>44377</v>
      </c>
      <c r="B5" s="15">
        <f>VLOOKUP(A5,[1]szse_innovation_100!$A:$F,6)</f>
        <v/>
      </c>
      <c r="C5" s="15">
        <f>VLOOKUP(A5,[2]myPEPB!$B:$C,2)</f>
        <v/>
      </c>
      <c r="D5" s="36">
        <f>VLOOKUP(A5,[2]myPEPB!$B:$D,3)</f>
        <v/>
      </c>
      <c r="E5" s="36">
        <f>IF(C5&lt;D5,$E$2*(D5-C5)^2,-$E$2*(D5-C5)^2)</f>
        <v/>
      </c>
      <c r="F5" s="37">
        <f>E5/B5</f>
        <v/>
      </c>
      <c r="G5" s="37">
        <f>G4+F5</f>
        <v/>
      </c>
      <c r="H5" s="37">
        <f>G5*B5</f>
        <v/>
      </c>
      <c r="I5" s="37">
        <f>IF(E5&gt;0,I4+E5,I4)</f>
        <v/>
      </c>
      <c r="J5" s="37">
        <f>H5+L5</f>
        <v/>
      </c>
      <c r="K5" s="37">
        <f>J5-I5</f>
        <v/>
      </c>
      <c r="L5" s="36">
        <f>IF(E5&lt;0,L4-E5,L4)</f>
        <v/>
      </c>
      <c r="M5" s="6" t="n"/>
    </row>
    <row r="6" ht="14.1" customHeight="1">
      <c r="A6" s="35" t="n">
        <v>44407</v>
      </c>
      <c r="B6" s="15">
        <f>VLOOKUP(A6,[1]szse_innovation_100!$A:$F,6)</f>
        <v/>
      </c>
      <c r="C6" s="15">
        <f>VLOOKUP(A6,[2]myPEPB!$B:$C,2)</f>
        <v/>
      </c>
      <c r="D6" s="36">
        <f>VLOOKUP(A6,[2]myPEPB!$B:$D,3)</f>
        <v/>
      </c>
      <c r="E6" s="36">
        <f>IF(C6&lt;D6,$E$2*(D6-C6)^2,-$E$2*(D6-C6)^2)</f>
        <v/>
      </c>
      <c r="F6" s="37">
        <f>E6/B6</f>
        <v/>
      </c>
      <c r="G6" s="37">
        <f>G5+F6</f>
        <v/>
      </c>
      <c r="H6" s="37">
        <f>G6*B6</f>
        <v/>
      </c>
      <c r="I6" s="37">
        <f>IF(E6&gt;0,I5+E6,I5)</f>
        <v/>
      </c>
      <c r="J6" s="37">
        <f>H6+L6</f>
        <v/>
      </c>
      <c r="K6" s="37">
        <f>J6-I6</f>
        <v/>
      </c>
      <c r="L6" s="36">
        <f>IF(E6&lt;0,L5-E6,L5)</f>
        <v/>
      </c>
      <c r="M6" s="6" t="n"/>
    </row>
    <row r="7" ht="14.1" customHeight="1">
      <c r="A7" s="35" t="n">
        <v>44439</v>
      </c>
      <c r="B7" s="15">
        <f>VLOOKUP(A7,[1]szse_innovation_100!$A:$F,6)</f>
        <v/>
      </c>
      <c r="C7" s="15">
        <f>VLOOKUP(A7,[2]myPEPB!$B:$C,2)</f>
        <v/>
      </c>
      <c r="D7" s="36">
        <f>VLOOKUP(A7,[2]myPEPB!$B:$D,3)</f>
        <v/>
      </c>
      <c r="E7" s="36">
        <f>IF(C7&lt;D7,$E$2*(D7-C7)^2,-$E$2*(D7-C7)^2)</f>
        <v/>
      </c>
      <c r="F7" s="37">
        <f>E7/B7</f>
        <v/>
      </c>
      <c r="G7" s="37">
        <f>G6+F7</f>
        <v/>
      </c>
      <c r="H7" s="37">
        <f>G7*B7</f>
        <v/>
      </c>
      <c r="I7" s="37">
        <f>IF(E7&gt;0,I6+E7,I6)</f>
        <v/>
      </c>
      <c r="J7" s="37">
        <f>H7+L7</f>
        <v/>
      </c>
      <c r="K7" s="37">
        <f>J7-I7</f>
        <v/>
      </c>
      <c r="L7" s="36">
        <f>IF(E7&lt;0,L6-E7,L6)</f>
        <v/>
      </c>
      <c r="M7" s="6" t="n"/>
    </row>
    <row r="8" ht="14.1" customHeight="1">
      <c r="A8" s="35" t="n">
        <v>44469</v>
      </c>
      <c r="B8" s="15">
        <f>VLOOKUP(A8,[1]szse_innovation_100!$A:$F,6)</f>
        <v/>
      </c>
      <c r="C8" s="15">
        <f>VLOOKUP(A8,[2]myPEPB!$B:$C,2)</f>
        <v/>
      </c>
      <c r="D8" s="36">
        <f>VLOOKUP(A8,[2]myPEPB!$B:$D,3)</f>
        <v/>
      </c>
      <c r="E8" s="36">
        <f>IF(C8&lt;D8,$E$2*(D8-C8)^2,-$E$2*(D8-C8)^2)</f>
        <v/>
      </c>
      <c r="F8" s="37">
        <f>E8/B8</f>
        <v/>
      </c>
      <c r="G8" s="37">
        <f>G7+F8</f>
        <v/>
      </c>
      <c r="H8" s="37">
        <f>G8*B8</f>
        <v/>
      </c>
      <c r="I8" s="37">
        <f>IF(E8&gt;0,I7+E8,I7)</f>
        <v/>
      </c>
      <c r="J8" s="37">
        <f>H8+L8</f>
        <v/>
      </c>
      <c r="K8" s="37">
        <f>J8-I8</f>
        <v/>
      </c>
      <c r="L8" s="36">
        <f>IF(E8&lt;0,L7-E8,L7)</f>
        <v/>
      </c>
      <c r="M8" s="6" t="n"/>
    </row>
    <row r="9" ht="14.1" customHeight="1">
      <c r="A9" s="35" t="n">
        <v>44498</v>
      </c>
      <c r="B9" s="15">
        <f>VLOOKUP(A9,[1]szse_innovation_100!$A:$F,6)</f>
        <v/>
      </c>
      <c r="C9" s="15">
        <f>VLOOKUP(A9,[2]myPEPB!$B:$C,2)</f>
        <v/>
      </c>
      <c r="D9" s="36">
        <f>VLOOKUP(A9,[2]myPEPB!$B:$D,3)</f>
        <v/>
      </c>
      <c r="E9" s="36">
        <f>IF(C9&lt;D9,$E$2*(D9-C9)^2,-$E$2*(D9-C9)^2)</f>
        <v/>
      </c>
      <c r="F9" s="37">
        <f>E9/B9</f>
        <v/>
      </c>
      <c r="G9" s="37">
        <f>G8+F9</f>
        <v/>
      </c>
      <c r="H9" s="37">
        <f>G9*B9</f>
        <v/>
      </c>
      <c r="I9" s="37">
        <f>IF(E9&gt;0,I8+E9,I8)</f>
        <v/>
      </c>
      <c r="J9" s="37">
        <f>H9+L9</f>
        <v/>
      </c>
      <c r="K9" s="37">
        <f>J9-I9</f>
        <v/>
      </c>
      <c r="L9" s="36">
        <f>IF(E9&lt;0,L8-E9,L8)</f>
        <v/>
      </c>
      <c r="M9" s="6" t="n"/>
    </row>
    <row r="10" ht="14.1" customHeight="1">
      <c r="A10" s="35" t="n">
        <v>44530</v>
      </c>
      <c r="B10" s="15">
        <f>VLOOKUP(A10,[1]szse_innovation_100!$A:$F,6)</f>
        <v/>
      </c>
      <c r="C10" s="15">
        <f>VLOOKUP(A10,[2]myPEPB!$B:$C,2)</f>
        <v/>
      </c>
      <c r="D10" s="36">
        <f>VLOOKUP(A10,[2]myPEPB!$B:$D,3)</f>
        <v/>
      </c>
      <c r="E10" s="36">
        <f>IF(C10&lt;D10,$E$2*(D10-C10)^2,-$E$2*(D10-C10)^2)</f>
        <v/>
      </c>
      <c r="F10" s="37">
        <f>E10/B10</f>
        <v/>
      </c>
      <c r="G10" s="37">
        <f>G9+F10</f>
        <v/>
      </c>
      <c r="H10" s="37">
        <f>G10*B10</f>
        <v/>
      </c>
      <c r="I10" s="37">
        <f>IF(E10&gt;0,I9+E10,I9)</f>
        <v/>
      </c>
      <c r="J10" s="37">
        <f>H10+L10</f>
        <v/>
      </c>
      <c r="K10" s="37">
        <f>J10-I10</f>
        <v/>
      </c>
      <c r="L10" s="36">
        <f>IF(E10&lt;0,L9-E10,L9)</f>
        <v/>
      </c>
      <c r="M10" s="6" t="n"/>
    </row>
    <row r="11" ht="14.1" customHeight="1">
      <c r="A11" s="35" t="n">
        <v>44561</v>
      </c>
      <c r="B11" s="15">
        <f>VLOOKUP(A11,[1]szse_innovation_100!$A:$F,6)</f>
        <v/>
      </c>
      <c r="C11" s="15">
        <f>VLOOKUP(A11,[2]myPEPB!$B:$C,2)</f>
        <v/>
      </c>
      <c r="D11" s="36">
        <f>VLOOKUP(A11,[2]myPEPB!$B:$D,3)</f>
        <v/>
      </c>
      <c r="E11" s="36">
        <f>IF(C11&lt;D11,$E$2*(D11-C11)^2,-$E$2*(D11-C11)^2)</f>
        <v/>
      </c>
      <c r="F11" s="37">
        <f>E11/B11</f>
        <v/>
      </c>
      <c r="G11" s="37">
        <f>G10+F11</f>
        <v/>
      </c>
      <c r="H11" s="37">
        <f>G11*B11</f>
        <v/>
      </c>
      <c r="I11" s="37">
        <f>IF(E11&gt;0,I10+E11,I10)</f>
        <v/>
      </c>
      <c r="J11" s="37">
        <f>H11+L11</f>
        <v/>
      </c>
      <c r="K11" s="37">
        <f>J11-I11</f>
        <v/>
      </c>
      <c r="L11" s="36">
        <f>IF(E11&lt;0,L10-E11,L10)</f>
        <v/>
      </c>
      <c r="M11" s="6" t="n"/>
    </row>
    <row r="12" ht="14.1" customHeight="1">
      <c r="A12" s="35" t="n">
        <v>44589</v>
      </c>
      <c r="B12" s="15">
        <f>VLOOKUP(A12,[1]szse_innovation_100!$A:$F,6)</f>
        <v/>
      </c>
      <c r="C12" s="15">
        <f>VLOOKUP(A12,[2]myPEPB!$B:$C,2)</f>
        <v/>
      </c>
      <c r="D12" s="36">
        <f>VLOOKUP(A12,[2]myPEPB!$B:$D,3)</f>
        <v/>
      </c>
      <c r="E12" s="36">
        <f>IF(C12&lt;D12,$E$2*(D12-C12)^2,-$E$2*(D12-C12)^2)</f>
        <v/>
      </c>
      <c r="F12" s="37">
        <f>E12/B12</f>
        <v/>
      </c>
      <c r="G12" s="37">
        <f>G11+F12</f>
        <v/>
      </c>
      <c r="H12" s="37">
        <f>G12*B12</f>
        <v/>
      </c>
      <c r="I12" s="37">
        <f>IF(E12&gt;0,I11+E12,I11)</f>
        <v/>
      </c>
      <c r="J12" s="37">
        <f>H12+L12</f>
        <v/>
      </c>
      <c r="K12" s="37">
        <f>J12-I12</f>
        <v/>
      </c>
      <c r="L12" s="36">
        <f>IF(E12&lt;0,L11-E12,L11)</f>
        <v/>
      </c>
      <c r="M12" s="6" t="n"/>
    </row>
    <row r="13" ht="14.1" customHeight="1">
      <c r="A13" s="35" t="n">
        <v>44620</v>
      </c>
      <c r="B13" s="15">
        <f>VLOOKUP(A13,[1]szse_innovation_100!$A:$F,6)</f>
        <v/>
      </c>
      <c r="C13" s="15">
        <f>VLOOKUP(A13,[2]myPEPB!$B:$C,2)</f>
        <v/>
      </c>
      <c r="D13" s="36">
        <f>VLOOKUP(A13,[2]myPEPB!$B:$D,3)</f>
        <v/>
      </c>
      <c r="E13" s="36">
        <f>IF(C13&lt;D13,$E$2*(D13-C13)^2,-$E$2*(D13-C13)^2)</f>
        <v/>
      </c>
      <c r="F13" s="37">
        <f>E13/B13</f>
        <v/>
      </c>
      <c r="G13" s="37">
        <f>G12+F13</f>
        <v/>
      </c>
      <c r="H13" s="37">
        <f>G13*B13</f>
        <v/>
      </c>
      <c r="I13" s="37">
        <f>IF(E13&gt;0,I12+E13,I12)</f>
        <v/>
      </c>
      <c r="J13" s="37">
        <f>H13+L13</f>
        <v/>
      </c>
      <c r="K13" s="37">
        <f>J13-I13</f>
        <v/>
      </c>
      <c r="L13" s="36">
        <f>IF(E13&lt;0,L12-E13,L12)</f>
        <v/>
      </c>
      <c r="M13" s="6" t="n"/>
    </row>
    <row r="14" ht="14.1" customHeight="1">
      <c r="A14" s="35" t="n">
        <v>44651</v>
      </c>
      <c r="B14" s="15">
        <f>VLOOKUP(A14,[1]szse_innovation_100!$A:$F,6)</f>
        <v/>
      </c>
      <c r="C14" s="15">
        <f>VLOOKUP(A14,[2]myPEPB!$B:$C,2)</f>
        <v/>
      </c>
      <c r="D14" s="36">
        <f>VLOOKUP(A14,[2]myPEPB!$B:$D,3)</f>
        <v/>
      </c>
      <c r="E14" s="36">
        <f>IF(C14&lt;D14,$E$2*(D14-C14)^2,-$E$2*(D14-C14)^2)</f>
        <v/>
      </c>
      <c r="F14" s="37">
        <f>E14/B14</f>
        <v/>
      </c>
      <c r="G14" s="37">
        <f>G13+F14</f>
        <v/>
      </c>
      <c r="H14" s="37">
        <f>G14*B14</f>
        <v/>
      </c>
      <c r="I14" s="37">
        <f>IF(E14&gt;0,I13+E14,I13)</f>
        <v/>
      </c>
      <c r="J14" s="37">
        <f>H14+L14</f>
        <v/>
      </c>
      <c r="K14" s="37">
        <f>J14-I14</f>
        <v/>
      </c>
      <c r="L14" s="36">
        <f>IF(E14&lt;0,L13-E14,L13)</f>
        <v/>
      </c>
      <c r="M14" s="6" t="n"/>
    </row>
    <row r="15" ht="14.1" customHeight="1">
      <c r="A15" s="35" t="n">
        <v>44680</v>
      </c>
      <c r="B15" s="15">
        <f>VLOOKUP(A15,[1]szse_innovation_100!$A:$F,6)</f>
        <v/>
      </c>
      <c r="C15" s="15">
        <f>VLOOKUP(A15,[2]myPEPB!$B:$C,2)</f>
        <v/>
      </c>
      <c r="D15" s="36">
        <f>VLOOKUP(A15,[2]myPEPB!$B:$D,3)</f>
        <v/>
      </c>
      <c r="E15" s="36">
        <f>IF(C15&lt;D15,$E$2*(D15-C15)^2,-$E$2*(D15-C15)^2)</f>
        <v/>
      </c>
      <c r="F15" s="37">
        <f>E15/B15</f>
        <v/>
      </c>
      <c r="G15" s="37">
        <f>G14+F15</f>
        <v/>
      </c>
      <c r="H15" s="37">
        <f>G15*B15</f>
        <v/>
      </c>
      <c r="I15" s="37">
        <f>IF(E15&gt;0,I14+E15,I14)</f>
        <v/>
      </c>
      <c r="J15" s="37">
        <f>H15+L15</f>
        <v/>
      </c>
      <c r="K15" s="37">
        <f>J15-I15</f>
        <v/>
      </c>
      <c r="L15" s="36">
        <f>IF(E15&lt;0,L14-E15,L14)</f>
        <v/>
      </c>
      <c r="M15" s="6" t="n"/>
    </row>
    <row r="16" ht="14.1" customHeight="1">
      <c r="A16" s="35" t="n">
        <v>44712</v>
      </c>
      <c r="B16" s="15">
        <f>VLOOKUP(A16,[1]szse_innovation_100!$A:$F,6)</f>
        <v/>
      </c>
      <c r="C16" s="15">
        <f>VLOOKUP(A16,[2]myPEPB!$B:$C,2)</f>
        <v/>
      </c>
      <c r="D16" s="36">
        <f>VLOOKUP(A16,[2]myPEPB!$B:$D,3)</f>
        <v/>
      </c>
      <c r="E16" s="36">
        <f>IF(C16&lt;D16,$E$2*(D16-C16)^2,-$E$2*(D16-C16)^2)</f>
        <v/>
      </c>
      <c r="F16" s="37">
        <f>E16/B16</f>
        <v/>
      </c>
      <c r="G16" s="37">
        <f>G15+F16</f>
        <v/>
      </c>
      <c r="H16" s="37">
        <f>G16*B16</f>
        <v/>
      </c>
      <c r="I16" s="37">
        <f>IF(E16&gt;0,I15+E16,I15)</f>
        <v/>
      </c>
      <c r="J16" s="37">
        <f>H16+L16</f>
        <v/>
      </c>
      <c r="K16" s="37">
        <f>J16-I16</f>
        <v/>
      </c>
      <c r="L16" s="36">
        <f>IF(E16&lt;0,L15-E16,L15)</f>
        <v/>
      </c>
      <c r="M16" s="6" t="n"/>
    </row>
    <row r="17" ht="14.1" customHeight="1">
      <c r="A17" s="35" t="n">
        <v>44742</v>
      </c>
      <c r="B17" s="15">
        <f>VLOOKUP(A17,[1]szse_innovation_100!$A:$F,6)</f>
        <v/>
      </c>
      <c r="C17" s="15">
        <f>VLOOKUP(A17,[2]myPEPB!$B:$C,2)</f>
        <v/>
      </c>
      <c r="D17" s="36">
        <f>VLOOKUP(A17,[2]myPEPB!$B:$D,3)</f>
        <v/>
      </c>
      <c r="E17" s="36">
        <f>IF(C17&lt;D17,$E$2*(D17-C17)^2,-$E$2*(D17-C17)^2)</f>
        <v/>
      </c>
      <c r="F17" s="37">
        <f>E17/B17</f>
        <v/>
      </c>
      <c r="G17" s="37">
        <f>G16+F17</f>
        <v/>
      </c>
      <c r="H17" s="37">
        <f>G17*B17</f>
        <v/>
      </c>
      <c r="I17" s="37">
        <f>IF(E17&gt;0,I16+E17,I16)</f>
        <v/>
      </c>
      <c r="J17" s="37">
        <f>H17+L17</f>
        <v/>
      </c>
      <c r="K17" s="37">
        <f>J17-I17</f>
        <v/>
      </c>
      <c r="L17" s="36">
        <f>IF(E17&lt;0,L16-E17,L16)</f>
        <v/>
      </c>
      <c r="M17" s="6" t="n"/>
    </row>
    <row r="18" ht="14.1" customHeight="1">
      <c r="A18" s="35" t="n">
        <v>44771</v>
      </c>
      <c r="B18" s="15">
        <f>VLOOKUP(A18,[1]szse_innovation_100!$A:$F,6)</f>
        <v/>
      </c>
      <c r="C18" s="15">
        <f>VLOOKUP(A18,[2]myPEPB!$B:$C,2)</f>
        <v/>
      </c>
      <c r="D18" s="36">
        <f>VLOOKUP(A18,[2]myPEPB!$B:$D,3)</f>
        <v/>
      </c>
      <c r="E18" s="36">
        <f>IF(C18&lt;D18,$E$2*(D18-C18)^2,-$E$2*(D18-C18)^2)</f>
        <v/>
      </c>
      <c r="F18" s="37">
        <f>E18/B18</f>
        <v/>
      </c>
      <c r="G18" s="37">
        <f>G17+F18</f>
        <v/>
      </c>
      <c r="H18" s="37">
        <f>G18*B18</f>
        <v/>
      </c>
      <c r="I18" s="37">
        <f>IF(E18&gt;0,I17+E18,I17)</f>
        <v/>
      </c>
      <c r="J18" s="37">
        <f>H18+L18</f>
        <v/>
      </c>
      <c r="K18" s="37">
        <f>J18-I18</f>
        <v/>
      </c>
      <c r="L18" s="36">
        <f>IF(E18&lt;0,L17-E18,L17)</f>
        <v/>
      </c>
      <c r="M18" s="6" t="n"/>
    </row>
    <row r="19" ht="14.1" customHeight="1">
      <c r="A19" s="35" t="n">
        <v>44804</v>
      </c>
      <c r="B19" s="15">
        <f>VLOOKUP(A19,[1]szse_innovation_100!$A:$F,6)</f>
        <v/>
      </c>
      <c r="C19" s="15">
        <f>VLOOKUP(A19,[2]myPEPB!$B:$C,2)</f>
        <v/>
      </c>
      <c r="D19" s="36">
        <f>VLOOKUP(A19,[2]myPEPB!$B:$D,3)</f>
        <v/>
      </c>
      <c r="E19" s="36">
        <f>IF(C19&lt;D19,$E$2*(D19-C19)^2,-$E$2*(D19-C19)^2)</f>
        <v/>
      </c>
      <c r="F19" s="37">
        <f>E19/B19</f>
        <v/>
      </c>
      <c r="G19" s="37">
        <f>G18+F19</f>
        <v/>
      </c>
      <c r="H19" s="37">
        <f>G19*B19</f>
        <v/>
      </c>
      <c r="I19" s="37">
        <f>IF(E19&gt;0,I18+E19,I18)</f>
        <v/>
      </c>
      <c r="J19" s="37">
        <f>H19+L19</f>
        <v/>
      </c>
      <c r="K19" s="37">
        <f>J19-I19</f>
        <v/>
      </c>
      <c r="L19" s="36">
        <f>IF(E19&lt;0,L18-E19,L18)</f>
        <v/>
      </c>
      <c r="M19" s="6" t="n"/>
    </row>
    <row r="20" ht="14.1" customHeight="1">
      <c r="A20" s="35" t="n">
        <v>44834</v>
      </c>
      <c r="B20" s="15">
        <f>VLOOKUP(A20,[1]szse_innovation_100!$A:$F,6)</f>
        <v/>
      </c>
      <c r="C20" s="15">
        <f>VLOOKUP(A20,[2]myPEPB!$B:$C,2)</f>
        <v/>
      </c>
      <c r="D20" s="36">
        <f>VLOOKUP(A20,[2]myPEPB!$B:$D,3)</f>
        <v/>
      </c>
      <c r="E20" s="36">
        <f>IF(C20&lt;D20,$E$2*(D20-C20)^2,-$E$2*(D20-C20)^2)</f>
        <v/>
      </c>
      <c r="F20" s="37">
        <f>E20/B20</f>
        <v/>
      </c>
      <c r="G20" s="37">
        <f>G19+F20</f>
        <v/>
      </c>
      <c r="H20" s="37">
        <f>G20*B20</f>
        <v/>
      </c>
      <c r="I20" s="37">
        <f>IF(E20&gt;0,I19+E20,I19)</f>
        <v/>
      </c>
      <c r="J20" s="37">
        <f>H20+L20</f>
        <v/>
      </c>
      <c r="K20" s="37">
        <f>J20-I20</f>
        <v/>
      </c>
      <c r="L20" s="36">
        <f>IF(E20&lt;0,L19-E20,L19)</f>
        <v/>
      </c>
      <c r="M20" s="7" t="n"/>
      <c r="P20" s="28" t="n"/>
    </row>
    <row r="21" ht="12.75" customHeight="1">
      <c r="A21" s="35" t="n">
        <v>44865</v>
      </c>
      <c r="B21" s="15">
        <f>VLOOKUP(A21,[1]szse_innovation_100!$A:$F,6)</f>
        <v/>
      </c>
      <c r="C21" s="15">
        <f>VLOOKUP(A21,[2]myPEPB!$B:$C,2)</f>
        <v/>
      </c>
      <c r="D21" s="36">
        <f>VLOOKUP(A21,[2]myPEPB!$B:$D,3)</f>
        <v/>
      </c>
      <c r="E21" s="36">
        <f>IF(C21&lt;D21,$E$2*(D21-C21)^2,-$E$2*(D21-C21)^2)</f>
        <v/>
      </c>
      <c r="F21" s="37">
        <f>E21/B21</f>
        <v/>
      </c>
      <c r="G21" s="37">
        <f>G20+F21</f>
        <v/>
      </c>
      <c r="H21" s="37">
        <f>G21*B21</f>
        <v/>
      </c>
      <c r="I21" s="37">
        <f>IF(E21&gt;0,I20+E21,I20)</f>
        <v/>
      </c>
      <c r="J21" s="37">
        <f>H21+L21</f>
        <v/>
      </c>
      <c r="K21" s="37">
        <f>J21-I21</f>
        <v/>
      </c>
      <c r="L21" s="36">
        <f>IF(E21&lt;0,L20-E21,L20)</f>
        <v/>
      </c>
    </row>
    <row r="22">
      <c r="A22" s="40" t="inlineStr">
        <is>
          <t>2022-11-30</t>
        </is>
      </c>
      <c r="B22" s="41" t="n">
        <v>3.4802900390625</v>
      </c>
      <c r="C22" s="42" t="n">
        <v>22.70000076</v>
      </c>
      <c r="D22" s="42" t="n">
        <v>31.70497510592038</v>
      </c>
      <c r="E22" s="43" t="n">
        <v>320303.7737342021</v>
      </c>
      <c r="F22" s="43" t="n">
        <v>92033.64378805728</v>
      </c>
      <c r="G22" s="43" t="n">
        <v>923973.4480862203</v>
      </c>
      <c r="H22" s="43" t="n">
        <v>3215695.587732704</v>
      </c>
      <c r="I22" s="43" t="n">
        <v>3429777.728276224</v>
      </c>
      <c r="J22" s="43" t="n">
        <v>3216353.454009458</v>
      </c>
      <c r="K22" s="44" t="n">
        <v>-213424.2742667659</v>
      </c>
      <c r="L22" s="43" t="n">
        <v>657.8662767539254</v>
      </c>
    </row>
  </sheetData>
  <conditionalFormatting sqref="H2">
    <cfRule type="cellIs" priority="2" operator="lessThan" dxfId="0">
      <formula>0</formula>
    </cfRule>
  </conditionalFormatting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2022-12-11T04:06:00Z</dcterms:modified>
  <cp:lastModifiedBy>Administrator</cp:lastModifiedBy>
</cp:coreProperties>
</file>