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comments12.xml" ContentType="application/vnd.openxmlformats-officedocument.spreadsheetml.comments+xml"/>
  <Override PartName="/xl/comments5.xml" ContentType="application/vnd.openxmlformats-officedocument.spreadsheetml.comments+xml"/>
  <Override PartName="/xl/comments13.xml" ContentType="application/vnd.openxmlformats-officedocument.spreadsheetml.comments+xml"/>
  <Override PartName="/xl/drawings/vmlDrawing9.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_rels/drawing4.xml.rels" ContentType="application/vnd.openxmlformats-package.relationships+xml"/>
  <Override PartName="/xl/drawings/drawing3.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drawing4.xml" ContentType="application/vnd.openxmlformats-officedocument.drawing+xml"/>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4.xml" ContentType="application/vnd.openxmlformats-officedocument.spreadsheetml.comments+xml"/>
  <Override PartName="/xl/comments38.xml" ContentType="application/vnd.openxmlformats-officedocument.spreadsheetml.comments+xml"/>
  <Override PartName="/xl/comments37.xml" ContentType="application/vnd.openxmlformats-officedocument.spreadsheetml.comments+xml"/>
  <Override PartName="/xl/comments25.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worksheets/_rels/sheet22.xml.rels" ContentType="application/vnd.openxmlformats-package.relationships+xml"/>
  <Override PartName="/xl/worksheets/_rels/sheet26.xml.rels" ContentType="application/vnd.openxmlformats-package.relationships+xml"/>
  <Override PartName="/xl/worksheets/_rels/sheet38.xml.rels" ContentType="application/vnd.openxmlformats-package.relationships+xml"/>
  <Override PartName="/xl/worksheets/_rels/sheet37.xml.rels" ContentType="application/vnd.openxmlformats-package.relationships+xml"/>
  <Override PartName="/xl/worksheets/_rels/sheet13.xml.rels" ContentType="application/vnd.openxmlformats-package.relationships+xml"/>
  <Override PartName="/xl/worksheets/_rels/sheet25.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24.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5.xml.rels" ContentType="application/vnd.openxmlformats-package.relationships+xml"/>
  <Override PartName="/xl/worksheets/_rels/sheet18.xml.rels" ContentType="application/vnd.openxmlformats-package.relationships+xml"/>
  <Override PartName="/xl/worksheets/_rels/sheet2.xml.rels" ContentType="application/vnd.openxmlformats-package.relationship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1.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30.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comments26.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6.xml" ContentType="application/vnd.openxmlformats-officedocument.spreadsheetml.comments+xml"/>
  <Override PartName="/xl/styles.xml" ContentType="application/vnd.openxmlformats-officedocument.spreadsheetml.styles+xml"/>
  <Override PartName="/xl/comments18.xml" ContentType="application/vnd.openxmlformats-officedocument.spreadsheetml.comments+xml"/>
  <Override PartName="/xl/theme/theme1.xml" ContentType="application/vnd.openxmlformats-officedocument.them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COA" sheetId="1" state="visible" r:id="rId3"/>
    <sheet name="ChartOfAccounts" sheetId="2" state="visible" r:id="rId4"/>
    <sheet name="Trial Balance " sheetId="3" state="visible" r:id="rId5"/>
    <sheet name="Index" sheetId="4" state="visible" r:id="rId6"/>
    <sheet name="DSH" sheetId="5" state="visible" r:id="rId7"/>
    <sheet name="TCP" sheetId="6" state="hidden" r:id="rId8"/>
    <sheet name="RNS" sheetId="7" state="hidden" r:id="rId9"/>
    <sheet name="BRC" sheetId="8" state="hidden" r:id="rId10"/>
    <sheet name="ACR" sheetId="9" state="hidden" r:id="rId11"/>
    <sheet name="OCA" sheetId="10" state="hidden" r:id="rId12"/>
    <sheet name="FIA" sheetId="11" state="hidden" r:id="rId13"/>
    <sheet name="POP" sheetId="12" state="hidden" r:id="rId14"/>
    <sheet name="SOP" sheetId="13" state="hidden" r:id="rId15"/>
    <sheet name="OIN-Instructions" sheetId="14" state="visible" r:id="rId16"/>
    <sheet name="OIN" sheetId="15" state="hidden" r:id="rId17"/>
    <sheet name="IIS" sheetId="16" state="hidden" r:id="rId18"/>
    <sheet name="OAS" sheetId="17" state="hidden" r:id="rId19"/>
    <sheet name="GRC" sheetId="18" state="hidden" r:id="rId20"/>
    <sheet name="GPV" sheetId="19" state="hidden" r:id="rId21"/>
    <sheet name="ACP" sheetId="20" state="hidden" r:id="rId22"/>
    <sheet name="OCL" sheetId="21" state="hidden" r:id="rId23"/>
    <sheet name="CAC" sheetId="22" state="visible" r:id="rId24"/>
    <sheet name="RLP" sheetId="23" state="visible" r:id="rId25"/>
    <sheet name="TLN" sheetId="24" state="hidden" r:id="rId26"/>
    <sheet name="HPL" sheetId="25" state="hidden" r:id="rId27"/>
    <sheet name="ITD" sheetId="26" state="hidden" r:id="rId28"/>
    <sheet name="ICA" sheetId="27" state="hidden" r:id="rId29"/>
    <sheet name="IRE" sheetId="28" state="hidden" r:id="rId30"/>
    <sheet name="SHC" sheetId="29" state="hidden" r:id="rId31"/>
    <sheet name="RES" sheetId="30" state="hidden" r:id="rId32"/>
    <sheet name="SRC" sheetId="31" state="hidden" r:id="rId33"/>
    <sheet name="OIC" sheetId="32" state="hidden" r:id="rId34"/>
    <sheet name="IIC" sheetId="33" state="hidden" r:id="rId35"/>
    <sheet name="WRC" sheetId="34" state="hidden" r:id="rId36"/>
    <sheet name="EXP" sheetId="35" state="hidden" r:id="rId37"/>
    <sheet name="ENT" sheetId="36" state="hidden" r:id="rId38"/>
    <sheet name="HOM" sheetId="37" state="hidden" r:id="rId39"/>
    <sheet name="IOA" sheetId="38" state="visible" r:id="rId40"/>
    <sheet name="ACT" sheetId="39" state="hidden" r:id="rId41"/>
    <sheet name="AWP" sheetId="40" state="hidden" r:id="rId42"/>
  </sheets>
  <externalReferences>
    <externalReference r:id="rId43"/>
  </externalReferences>
  <definedNames>
    <definedName function="false" hidden="true" localSheetId="1" name="_xlnm._FilterDatabase" vbProcedure="false">ChartOfAccounts!$A$1:$K$266</definedName>
    <definedName function="false" hidden="true" localSheetId="4" name="_xlnm._FilterDatabase" vbProcedure="false">DSH!$A$10:$Q$131</definedName>
    <definedName function="false" hidden="true" localSheetId="2" name="_xlnm._FilterDatabase" vbProcedure="false">'Trial Balance '!$A$5:$N$74</definedName>
    <definedName function="false" hidden="false" name="balancedate" vbProcedure="false">#REF!</definedName>
    <definedName function="false" hidden="false" localSheetId="10" name="balancedate" vbProcedure="false">#REF!</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Unknown Author</author>
  </authors>
  <commentList>
    <comment ref="J3" authorId="0">
      <text>
        <r>
          <rPr>
            <sz val="10"/>
            <rFont val="Arial"/>
            <family val="2"/>
          </rPr>
          <t xml:space="preserve">Update this value on the Setup sheet
</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38" authorId="0">
      <text>
        <r>
          <rPr>
            <sz val="10"/>
            <rFont val="Arial"/>
            <family val="2"/>
          </rPr>
          <t xml:space="preserve">Company 28%
Trust 33%
LTC 0%
NB: sole trader and partnership - do not record income tax in statement of financial performance
</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A13" authorId="0">
      <text>
        <r>
          <rPr>
            <sz val="10"/>
            <rFont val="Arial"/>
            <family val="2"/>
          </rPr>
          <t xml:space="preserve">Legal fees up to $10,000 are now deductible as long as they meet the normal deductibility rules.  If total legal fees in a given income year are greater than $10,000, normal tax rules will apply for the full amount.
</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A13" authorId="0">
      <text>
        <r>
          <rPr>
            <sz val="10"/>
            <rFont val="Arial"/>
            <family val="2"/>
          </rPr>
          <t xml:space="preserve">Legal fees up to $10,000 are now deductible as long as they meet the normal deductibility rules.  If total legal fees in a given income year are greater than $10,000, normal tax rules will apply for the full amount.
</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8" authorId="0">
      <text>
        <r>
          <rPr>
            <sz val="10"/>
            <rFont val="Arial"/>
            <family val="2"/>
          </rPr>
          <t xml:space="preserve">Enter date in format dd/mm/yyyy
</t>
        </r>
      </text>
    </comment>
    <comment ref="H108" authorId="0">
      <text>
        <r>
          <rPr>
            <sz val="10"/>
            <rFont val="Arial"/>
            <family val="2"/>
          </rPr>
          <t xml:space="preserve">If variance &gt; 0 then Debit GST control account else Credit GST control account
</t>
        </r>
      </text>
    </comment>
    <comment ref="K27" authorId="0">
      <text>
        <r>
          <rPr>
            <sz val="10"/>
            <rFont val="Arial"/>
            <family val="2"/>
          </rPr>
          <t xml:space="preserve">If variance &gt;= $20 then L2 period variance worksheet will be visible
</t>
        </r>
      </text>
    </comment>
    <comment ref="L35" authorId="0">
      <text>
        <r>
          <rPr>
            <sz val="10"/>
            <rFont val="Arial"/>
            <family val="2"/>
          </rPr>
          <t xml:space="preserve">Enter -ve if return is a payment outstanding, enter +ve if return is a refund still due
</t>
        </r>
      </text>
    </comment>
  </commentList>
</comments>
</file>

<file path=xl/comments22.xml><?xml version="1.0" encoding="utf-8"?>
<comments xmlns="http://schemas.openxmlformats.org/spreadsheetml/2006/main" xmlns:xdr="http://schemas.openxmlformats.org/drawingml/2006/spreadsheetDrawing">
  <authors>
    <author>Unknown Author</author>
  </authors>
  <commentList>
    <comment ref="H7" authorId="0">
      <text>
        <r>
          <rPr>
            <sz val="10"/>
            <rFont val="Arial"/>
            <family val="2"/>
          </rPr>
          <t xml:space="preserve">+ve = overdrawn balance
 -ve = credit balance</t>
        </r>
      </text>
    </comment>
    <comment ref="H32" authorId="0">
      <text>
        <r>
          <rPr>
            <sz val="10"/>
            <rFont val="Arial"/>
            <family val="2"/>
          </rPr>
          <t xml:space="preserve">(0.00) represents a credit balance</t>
        </r>
      </text>
    </comment>
    <comment ref="H41" authorId="0">
      <text>
        <r>
          <rPr>
            <sz val="10"/>
            <rFont val="Arial"/>
            <family val="2"/>
          </rPr>
          <t xml:space="preserve">+ve = overdrawn balance
 -ve = credit balance</t>
        </r>
      </text>
    </comment>
    <comment ref="H66" authorId="0">
      <text>
        <r>
          <rPr>
            <sz val="10"/>
            <rFont val="Arial"/>
            <family val="2"/>
          </rPr>
          <t xml:space="preserve">(0.00) represents a credit balance</t>
        </r>
      </text>
    </comment>
  </commentList>
</comments>
</file>

<file path=xl/comments24.xml><?xml version="1.0" encoding="utf-8"?>
<comments xmlns="http://schemas.openxmlformats.org/spreadsheetml/2006/main" xmlns:xdr="http://schemas.openxmlformats.org/drawingml/2006/spreadsheetDrawing">
  <authors>
    <author>Unknown Author</author>
  </authors>
  <commentList>
    <comment ref="D46" authorId="0">
      <text>
        <r>
          <rPr>
            <sz val="10"/>
            <rFont val="Arial"/>
            <family val="2"/>
          </rPr>
          <t xml:space="preserve">Calculated to date of last interest payment
</t>
        </r>
      </text>
    </comment>
    <comment ref="I7" authorId="0">
      <text>
        <r>
          <rPr>
            <sz val="10"/>
            <rFont val="Arial"/>
            <family val="2"/>
          </rPr>
          <t xml:space="preserve">specify years or months</t>
        </r>
      </text>
    </comment>
  </commentList>
</comments>
</file>

<file path=xl/comments25.xml><?xml version="1.0" encoding="utf-8"?>
<comments xmlns="http://schemas.openxmlformats.org/spreadsheetml/2006/main" xmlns:xdr="http://schemas.openxmlformats.org/drawingml/2006/spreadsheetDrawing">
  <authors>
    <author>Unknown Author</author>
  </authors>
  <commentList>
    <comment ref="I13" authorId="0">
      <text>
        <r>
          <rPr>
            <sz val="10"/>
            <rFont val="Arial"/>
            <family val="2"/>
          </rPr>
          <t xml:space="preserve">Overwrite formula if Sum of digits calculation not applicable
</t>
        </r>
      </text>
    </comment>
  </commentList>
</comments>
</file>

<file path=xl/comments26.xml><?xml version="1.0" encoding="utf-8"?>
<comments xmlns="http://schemas.openxmlformats.org/spreadsheetml/2006/main" xmlns:xdr="http://schemas.openxmlformats.org/drawingml/2006/spreadsheetDrawing">
  <authors>
    <author>Unknown Author</author>
  </authors>
  <commentList>
    <comment ref="J5" authorId="0">
      <text>
        <r>
          <rPr>
            <sz val="10"/>
            <rFont val="Arial"/>
            <family val="2"/>
          </rPr>
          <t xml:space="preserve">Linked to A1 tax calculations sheet or overwrite
</t>
        </r>
      </text>
    </comment>
  </commentList>
</comments>
</file>

<file path=xl/comments37.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This cell contains a formula. Enter a % if the area details are not supplied or available from last year's workpapers.
</t>
        </r>
      </text>
    </comment>
    <comment ref="H6" authorId="0">
      <text>
        <r>
          <rPr>
            <sz val="10"/>
            <rFont val="Arial"/>
            <family val="2"/>
          </rPr>
          <t xml:space="preserve">This cell contains a formula. Enter a % if the area details are not supplied or available from last year's workpapers.
</t>
        </r>
      </text>
    </comment>
  </commentList>
</comments>
</file>

<file path=xl/comments38.xml><?xml version="1.0" encoding="utf-8"?>
<comments xmlns="http://schemas.openxmlformats.org/spreadsheetml/2006/main" xmlns:xdr="http://schemas.openxmlformats.org/drawingml/2006/spreadsheetDrawing">
  <authors>
    <author>Unknown Author</author>
  </authors>
  <commentList>
    <comment ref="G39" authorId="0">
      <text>
        <r>
          <rPr>
            <sz val="10"/>
            <rFont val="Arial"/>
            <family val="2"/>
          </rPr>
          <t xml:space="preserve">if an amount is entered here it is used instead of amount in section above.  
</t>
        </r>
      </text>
    </comment>
    <comment ref="J4" authorId="0">
      <text>
        <r>
          <rPr>
            <sz val="10"/>
            <rFont val="Arial"/>
            <family val="2"/>
          </rPr>
          <t xml:space="preserve">+ve = overdrawn balance
 -ve = credit balance
</t>
        </r>
      </text>
    </comment>
    <comment ref="N11" authorId="0">
      <text>
        <r>
          <rPr>
            <sz val="10"/>
            <rFont val="Arial"/>
            <family val="2"/>
          </rPr>
          <t xml:space="preserve">Enter interest from last quarter of previous year if you charge interest on the first day of the following quarter
</t>
        </r>
      </text>
    </comment>
    <comment ref="O6" authorId="0">
      <text>
        <r>
          <rPr>
            <sz val="10"/>
            <rFont val="Arial"/>
            <family val="2"/>
          </rPr>
          <t xml:space="preserve">Enter Y if applicable</t>
        </r>
      </text>
    </comment>
  </commentList>
</comments>
</file>

<file path=xl/sharedStrings.xml><?xml version="1.0" encoding="utf-8"?>
<sst xmlns="http://schemas.openxmlformats.org/spreadsheetml/2006/main" count="4243" uniqueCount="1334">
  <si>
    <t xml:space="preserve">This Year</t>
  </si>
  <si>
    <t xml:space="preserve">Last Year </t>
  </si>
  <si>
    <t xml:space="preserve">GST</t>
  </si>
  <si>
    <t xml:space="preserve">To be picked from XERO Auto Download</t>
  </si>
  <si>
    <t xml:space="preserve">Steps are below</t>
  </si>
  <si>
    <t xml:space="preserve">Go to Accounting &gt; Advanced &gt; Export accounting data &gt; Select product "CCH Accounts Production" &gt; Update date to Balance Date &gt; Click on download &gt; Copy and paste data here</t>
  </si>
  <si>
    <t xml:space="preserve">*Code</t>
  </si>
  <si>
    <t xml:space="preserve">Report Code</t>
  </si>
  <si>
    <t xml:space="preserve">*Name</t>
  </si>
  <si>
    <t xml:space="preserve">Reporting Name</t>
  </si>
  <si>
    <t xml:space="preserve">*Type</t>
  </si>
  <si>
    <t xml:space="preserve">*Tax Code</t>
  </si>
  <si>
    <t xml:space="preserve">Description</t>
  </si>
  <si>
    <t xml:space="preserve">Dashboard</t>
  </si>
  <si>
    <t xml:space="preserve">Expense Claims</t>
  </si>
  <si>
    <t xml:space="preserve">Enable Payments</t>
  </si>
  <si>
    <t xml:space="preserve">Balance</t>
  </si>
  <si>
    <t xml:space="preserve">REV.TRA</t>
  </si>
  <si>
    <t xml:space="preserve">Sales</t>
  </si>
  <si>
    <t xml:space="preserve">Revenue</t>
  </si>
  <si>
    <t xml:space="preserve">15% GST on Income</t>
  </si>
  <si>
    <t xml:space="preserve">No</t>
  </si>
  <si>
    <t xml:space="preserve">Sales 1</t>
  </si>
  <si>
    <t xml:space="preserve">Sales 2</t>
  </si>
  <si>
    <t xml:space="preserve">Sales 3</t>
  </si>
  <si>
    <t xml:space="preserve">Expenses Recovered</t>
  </si>
  <si>
    <t xml:space="preserve">REV.INV.DIV</t>
  </si>
  <si>
    <t xml:space="preserve">Dividends Received</t>
  </si>
  <si>
    <t xml:space="preserve">Other Income</t>
  </si>
  <si>
    <t xml:space="preserve">No GST</t>
  </si>
  <si>
    <t xml:space="preserve">REV.INV.INT</t>
  </si>
  <si>
    <t xml:space="preserve">Interest Received</t>
  </si>
  <si>
    <t xml:space="preserve">Fees Received</t>
  </si>
  <si>
    <t xml:space="preserve">REV.OTH</t>
  </si>
  <si>
    <t xml:space="preserve">Commission Received</t>
  </si>
  <si>
    <t xml:space="preserve">REV.INV.REN</t>
  </si>
  <si>
    <t xml:space="preserve">Rent Received</t>
  </si>
  <si>
    <t xml:space="preserve">Misc Farm Income</t>
  </si>
  <si>
    <t xml:space="preserve">Mixed Use Adjustment</t>
  </si>
  <si>
    <t xml:space="preserve">REV.OTH.GAI</t>
  </si>
  <si>
    <t xml:space="preserve">Depreciation Recovered</t>
  </si>
  <si>
    <t xml:space="preserve">EXP.EXT</t>
  </si>
  <si>
    <t xml:space="preserve">Subvention Payment Received</t>
  </si>
  <si>
    <t xml:space="preserve">REV</t>
  </si>
  <si>
    <t xml:space="preserve">Taxable Gain on Sale</t>
  </si>
  <si>
    <t xml:space="preserve">Interest Received - PIE</t>
  </si>
  <si>
    <t xml:space="preserve">EXP.COS.OPE</t>
  </si>
  <si>
    <t xml:space="preserve">Opening Inventory</t>
  </si>
  <si>
    <t xml:space="preserve">Direct Costs</t>
  </si>
  <si>
    <t xml:space="preserve">15% GST on Expenses</t>
  </si>
  <si>
    <t xml:space="preserve">Opening Work In Progress</t>
  </si>
  <si>
    <t xml:space="preserve">EXP.COS.PUR</t>
  </si>
  <si>
    <t xml:space="preserve">Purchases</t>
  </si>
  <si>
    <t xml:space="preserve">Stock Adjustment</t>
  </si>
  <si>
    <t xml:space="preserve">Freight Inwards</t>
  </si>
  <si>
    <t xml:space="preserve">EXP.COS.CLO</t>
  </si>
  <si>
    <t xml:space="preserve">Closing Inventory</t>
  </si>
  <si>
    <t xml:space="preserve">Closing Work In Progress</t>
  </si>
  <si>
    <t xml:space="preserve">EXP.CON</t>
  </si>
  <si>
    <t xml:space="preserve">Subcontract</t>
  </si>
  <si>
    <t xml:space="preserve">EXP.WAG</t>
  </si>
  <si>
    <t xml:space="preserve">Wages</t>
  </si>
  <si>
    <t xml:space="preserve">EXP</t>
  </si>
  <si>
    <t xml:space="preserve">Accident Compensation</t>
  </si>
  <si>
    <t xml:space="preserve">Overhead</t>
  </si>
  <si>
    <t xml:space="preserve">EXP.LEG</t>
  </si>
  <si>
    <t xml:space="preserve">Accountancy</t>
  </si>
  <si>
    <t xml:space="preserve">Advertising &amp; Promotion</t>
  </si>
  <si>
    <t xml:space="preserve">Amortisation</t>
  </si>
  <si>
    <t xml:space="preserve">EXP.BAD</t>
  </si>
  <si>
    <t xml:space="preserve">Bad Debt</t>
  </si>
  <si>
    <t xml:space="preserve">Bank Charges</t>
  </si>
  <si>
    <t xml:space="preserve">Body Corporate Fees</t>
  </si>
  <si>
    <t xml:space="preserve">Cleaning &amp; Laundry</t>
  </si>
  <si>
    <t xml:space="preserve">Consulting</t>
  </si>
  <si>
    <t xml:space="preserve">Commission</t>
  </si>
  <si>
    <t xml:space="preserve">Computer Expenses</t>
  </si>
  <si>
    <t xml:space="preserve">Contracting Fee</t>
  </si>
  <si>
    <t xml:space="preserve">Debt Collection Cost</t>
  </si>
  <si>
    <t xml:space="preserve">EXP.DEP</t>
  </si>
  <si>
    <t xml:space="preserve">Depreciation</t>
  </si>
  <si>
    <t xml:space="preserve">Donations</t>
  </si>
  <si>
    <t xml:space="preserve">Electricity &amp; Gas</t>
  </si>
  <si>
    <t xml:space="preserve">EXP.ENT</t>
  </si>
  <si>
    <t xml:space="preserve">Entertainment</t>
  </si>
  <si>
    <t xml:space="preserve">EXP.ENT.NON</t>
  </si>
  <si>
    <t xml:space="preserve">Entertainment N.D.</t>
  </si>
  <si>
    <t xml:space="preserve">Equipment Lease</t>
  </si>
  <si>
    <t xml:space="preserve">Foreign Exchange Variation</t>
  </si>
  <si>
    <t xml:space="preserve">Freight &amp; Cartage</t>
  </si>
  <si>
    <t xml:space="preserve">EXP.FBT</t>
  </si>
  <si>
    <t xml:space="preserve">Fringe Benefit Tax</t>
  </si>
  <si>
    <t xml:space="preserve">EXP.VEH</t>
  </si>
  <si>
    <t xml:space="preserve">Fuel</t>
  </si>
  <si>
    <t xml:space="preserve">General Expenses</t>
  </si>
  <si>
    <t xml:space="preserve">Home Office Expenses</t>
  </si>
  <si>
    <t xml:space="preserve">EXP.INS</t>
  </si>
  <si>
    <t xml:space="preserve">Insurance</t>
  </si>
  <si>
    <t xml:space="preserve">Inspection</t>
  </si>
  <si>
    <t xml:space="preserve">EXP.INT</t>
  </si>
  <si>
    <t xml:space="preserve">Interest - Bank</t>
  </si>
  <si>
    <t xml:space="preserve">Interest - Other</t>
  </si>
  <si>
    <t xml:space="preserve">Interest - UOMI</t>
  </si>
  <si>
    <t xml:space="preserve">Interest Disallowed</t>
  </si>
  <si>
    <t xml:space="preserve">Expense</t>
  </si>
  <si>
    <t xml:space="preserve">EXP.NON</t>
  </si>
  <si>
    <t xml:space="preserve">IRD Penalty</t>
  </si>
  <si>
    <t xml:space="preserve">Lawns &amp; Grounds</t>
  </si>
  <si>
    <t xml:space="preserve">Legal Fees</t>
  </si>
  <si>
    <t xml:space="preserve">EXP.LEG.NON</t>
  </si>
  <si>
    <t xml:space="preserve">Legal Fees N.D.</t>
  </si>
  <si>
    <t xml:space="preserve">Licences &amp; Registrations</t>
  </si>
  <si>
    <t xml:space="preserve">Loan Establishment Fee</t>
  </si>
  <si>
    <t xml:space="preserve">EXP.LOS</t>
  </si>
  <si>
    <t xml:space="preserve">Loss on Asset Sold</t>
  </si>
  <si>
    <t xml:space="preserve">Mixed Use/Private Use Expenses N.D</t>
  </si>
  <si>
    <t xml:space="preserve">Management Fee</t>
  </si>
  <si>
    <t xml:space="preserve">Office Expenses</t>
  </si>
  <si>
    <t xml:space="preserve">Other Non Deductible Expenses</t>
  </si>
  <si>
    <t xml:space="preserve">Postage, Printing &amp; Stationery</t>
  </si>
  <si>
    <t xml:space="preserve">Property Management Fees</t>
  </si>
  <si>
    <t xml:space="preserve">EXP.RAT</t>
  </si>
  <si>
    <t xml:space="preserve">Rates</t>
  </si>
  <si>
    <t xml:space="preserve">EXP.REN</t>
  </si>
  <si>
    <t xml:space="preserve">Rent</t>
  </si>
  <si>
    <t xml:space="preserve">EXP.REP</t>
  </si>
  <si>
    <t xml:space="preserve">Repairs &amp; Maintenance</t>
  </si>
  <si>
    <t xml:space="preserve">Security</t>
  </si>
  <si>
    <t xml:space="preserve">EXP.WAG.SHA</t>
  </si>
  <si>
    <t xml:space="preserve">Shareholder Salaries - PAYE</t>
  </si>
  <si>
    <t xml:space="preserve">Shareholder Salaries - Non PAYE</t>
  </si>
  <si>
    <t xml:space="preserve">Subscriptions</t>
  </si>
  <si>
    <t xml:space="preserve">Subvention Payment Made</t>
  </si>
  <si>
    <t xml:space="preserve">Staff Expense</t>
  </si>
  <si>
    <t xml:space="preserve">Staff Recruitment</t>
  </si>
  <si>
    <t xml:space="preserve">Training and Seminars</t>
  </si>
  <si>
    <t xml:space="preserve">Telephone</t>
  </si>
  <si>
    <t xml:space="preserve">EXP.TRA.INT</t>
  </si>
  <si>
    <t xml:space="preserve">Travel - Overseas</t>
  </si>
  <si>
    <t xml:space="preserve">EXP.TRA</t>
  </si>
  <si>
    <t xml:space="preserve">Travel</t>
  </si>
  <si>
    <t xml:space="preserve">Valuation</t>
  </si>
  <si>
    <t xml:space="preserve">Vehicle Expenses</t>
  </si>
  <si>
    <t xml:space="preserve">EXP.FOR.UGL</t>
  </si>
  <si>
    <t xml:space="preserve">Bank Revaluations</t>
  </si>
  <si>
    <t xml:space="preserve">Bank account revaluations due for foreign exchange rate changes</t>
  </si>
  <si>
    <t xml:space="preserve">Wages &amp; Salaries</t>
  </si>
  <si>
    <t xml:space="preserve">498U</t>
  </si>
  <si>
    <t xml:space="preserve">Unrealised Currency Gains</t>
  </si>
  <si>
    <t xml:space="preserve">Unrealised currency gains on outstanding items</t>
  </si>
  <si>
    <t xml:space="preserve">EXP.TAX</t>
  </si>
  <si>
    <t xml:space="preserve">Taxes Provided</t>
  </si>
  <si>
    <t xml:space="preserve">499R</t>
  </si>
  <si>
    <t xml:space="preserve">EXP.FOR.RGL</t>
  </si>
  <si>
    <t xml:space="preserve">Realised Currency Gains</t>
  </si>
  <si>
    <t xml:space="preserve">Gains or losses made due to currency exchange rate changes</t>
  </si>
  <si>
    <t xml:space="preserve">EQU.SHA</t>
  </si>
  <si>
    <t xml:space="preserve">1000 Ordinary Shares</t>
  </si>
  <si>
    <t xml:space="preserve">Equity</t>
  </si>
  <si>
    <t xml:space="preserve">Less Uncalled Capital</t>
  </si>
  <si>
    <t xml:space="preserve">LIA.NCL.ADV.1</t>
  </si>
  <si>
    <t xml:space="preserve">Shareholder 1 Opening Balance</t>
  </si>
  <si>
    <t xml:space="preserve">Current Liability</t>
  </si>
  <si>
    <t xml:space="preserve">510/02</t>
  </si>
  <si>
    <t xml:space="preserve">LIA.NCL.ADV.2</t>
  </si>
  <si>
    <t xml:space="preserve">Opening Balance - SH 2</t>
  </si>
  <si>
    <t xml:space="preserve">510/03</t>
  </si>
  <si>
    <t xml:space="preserve">LIA.NCL.ADV.3</t>
  </si>
  <si>
    <t xml:space="preserve">Opening Balance - SH 3</t>
  </si>
  <si>
    <t xml:space="preserve">510/04</t>
  </si>
  <si>
    <t xml:space="preserve">LIA.NCL.ADV.4</t>
  </si>
  <si>
    <t xml:space="preserve">Opening Balance - SH 4</t>
  </si>
  <si>
    <t xml:space="preserve">510/05</t>
  </si>
  <si>
    <t xml:space="preserve">LIA.NCL.ADV.5</t>
  </si>
  <si>
    <t xml:space="preserve">Opening Balance - SH 5</t>
  </si>
  <si>
    <t xml:space="preserve">Shareholder 1 Cash Deposits</t>
  </si>
  <si>
    <t xml:space="preserve">511/02</t>
  </si>
  <si>
    <t xml:space="preserve">Capital Introduced - SH 2</t>
  </si>
  <si>
    <t xml:space="preserve">Capital Introduced</t>
  </si>
  <si>
    <t xml:space="preserve">511/03</t>
  </si>
  <si>
    <t xml:space="preserve">Capital Introduced - SH 3</t>
  </si>
  <si>
    <t xml:space="preserve">511/04</t>
  </si>
  <si>
    <t xml:space="preserve">Capital Introduced - SH 4</t>
  </si>
  <si>
    <t xml:space="preserve">511/05</t>
  </si>
  <si>
    <t xml:space="preserve">Capital Introduced - SH 5</t>
  </si>
  <si>
    <t xml:space="preserve">Shareholder 1 Shareholder Salary</t>
  </si>
  <si>
    <t xml:space="preserve">513/02</t>
  </si>
  <si>
    <t xml:space="preserve">Shareholders Salary - SH 2</t>
  </si>
  <si>
    <t xml:space="preserve">513/03</t>
  </si>
  <si>
    <t xml:space="preserve">Shareholder's Salary - SH 3</t>
  </si>
  <si>
    <t xml:space="preserve">513/04</t>
  </si>
  <si>
    <t xml:space="preserve">Shareholder's Salary - SH 4</t>
  </si>
  <si>
    <t xml:space="preserve">513/05</t>
  </si>
  <si>
    <t xml:space="preserve">Shareholder's Salary - SH 5</t>
  </si>
  <si>
    <t xml:space="preserve">LIA.NCL.ADV.DRA.1</t>
  </si>
  <si>
    <t xml:space="preserve">Shareholder 1 Drawings</t>
  </si>
  <si>
    <t xml:space="preserve">514/02</t>
  </si>
  <si>
    <t xml:space="preserve">Interest Received - SH 2</t>
  </si>
  <si>
    <t xml:space="preserve">514/03</t>
  </si>
  <si>
    <t xml:space="preserve">Interest Received - SH 3</t>
  </si>
  <si>
    <t xml:space="preserve">514/04</t>
  </si>
  <si>
    <t xml:space="preserve">Interest Received - SH 4</t>
  </si>
  <si>
    <t xml:space="preserve">514/05</t>
  </si>
  <si>
    <t xml:space="preserve">Interest Received - SH 5</t>
  </si>
  <si>
    <t xml:space="preserve">Shareholder 1 Personal Tax</t>
  </si>
  <si>
    <t xml:space="preserve">516/02</t>
  </si>
  <si>
    <t xml:space="preserve">Dividend Received - SH 2</t>
  </si>
  <si>
    <t xml:space="preserve">516/03</t>
  </si>
  <si>
    <t xml:space="preserve">Dividends Received - SH 3</t>
  </si>
  <si>
    <t xml:space="preserve">516/04</t>
  </si>
  <si>
    <t xml:space="preserve">Dividends Received - SH 4</t>
  </si>
  <si>
    <t xml:space="preserve">516/05</t>
  </si>
  <si>
    <t xml:space="preserve">Dividends Received - SH 5</t>
  </si>
  <si>
    <t xml:space="preserve">521/01</t>
  </si>
  <si>
    <t xml:space="preserve">Drawings - SH 3</t>
  </si>
  <si>
    <t xml:space="preserve">521/02</t>
  </si>
  <si>
    <t xml:space="preserve">LIA.NCL.ADV.DRA.2</t>
  </si>
  <si>
    <t xml:space="preserve">Drawings - SH 2</t>
  </si>
  <si>
    <t xml:space="preserve">Drawings</t>
  </si>
  <si>
    <t xml:space="preserve">521/03</t>
  </si>
  <si>
    <t xml:space="preserve">LIA.NCL.ADV.DRA.3</t>
  </si>
  <si>
    <t xml:space="preserve">521/04</t>
  </si>
  <si>
    <t xml:space="preserve">LIA.NCL.ADV.DRA.4</t>
  </si>
  <si>
    <t xml:space="preserve">Drawings - SH 4</t>
  </si>
  <si>
    <t xml:space="preserve">521/05</t>
  </si>
  <si>
    <t xml:space="preserve">LIA.NCL.ADV.DRA.5</t>
  </si>
  <si>
    <t xml:space="preserve">Drawings - SH 5</t>
  </si>
  <si>
    <t xml:space="preserve">522/01</t>
  </si>
  <si>
    <t xml:space="preserve">Interest on O/D Current A/C - SH 3</t>
  </si>
  <si>
    <t xml:space="preserve">522/02</t>
  </si>
  <si>
    <t xml:space="preserve">Interest on O/D Current A/C - SH 2</t>
  </si>
  <si>
    <t xml:space="preserve">522/03</t>
  </si>
  <si>
    <t xml:space="preserve">522/04</t>
  </si>
  <si>
    <t xml:space="preserve">Interest on O/D Current A/C - SH 4</t>
  </si>
  <si>
    <t xml:space="preserve">522/05</t>
  </si>
  <si>
    <t xml:space="preserve">Interest on O/D Current A/C - SH 5</t>
  </si>
  <si>
    <t xml:space="preserve">525/01</t>
  </si>
  <si>
    <t xml:space="preserve">Taxes Paid/(Refund) - SH 3</t>
  </si>
  <si>
    <t xml:space="preserve">Taxes Paid</t>
  </si>
  <si>
    <t xml:space="preserve">525/02</t>
  </si>
  <si>
    <t xml:space="preserve">Taxes Paid/(Refund) - SH 2</t>
  </si>
  <si>
    <t xml:space="preserve">525/03</t>
  </si>
  <si>
    <t xml:space="preserve">525/04</t>
  </si>
  <si>
    <t xml:space="preserve">Taxes Paid/(Refund) - SH 4</t>
  </si>
  <si>
    <t xml:space="preserve">525/05</t>
  </si>
  <si>
    <t xml:space="preserve">Taxes Paid/(Refund) - SH 5</t>
  </si>
  <si>
    <t xml:space="preserve">526/01</t>
  </si>
  <si>
    <t xml:space="preserve">Life Insurance - SH 3</t>
  </si>
  <si>
    <t xml:space="preserve">526/02</t>
  </si>
  <si>
    <t xml:space="preserve">Life Insurance - SH 2</t>
  </si>
  <si>
    <t xml:space="preserve">526/03</t>
  </si>
  <si>
    <t xml:space="preserve">526/04</t>
  </si>
  <si>
    <t xml:space="preserve">Life Insurance - SH 4</t>
  </si>
  <si>
    <t xml:space="preserve">526/05</t>
  </si>
  <si>
    <t xml:space="preserve">Life Insurance - SH 5</t>
  </si>
  <si>
    <t xml:space="preserve">528/01</t>
  </si>
  <si>
    <t xml:space="preserve">Private Depreciation - SH 3</t>
  </si>
  <si>
    <t xml:space="preserve">528/02</t>
  </si>
  <si>
    <t xml:space="preserve">Private Depreciation - SH 2</t>
  </si>
  <si>
    <t xml:space="preserve">528/03</t>
  </si>
  <si>
    <t xml:space="preserve">528/04</t>
  </si>
  <si>
    <t xml:space="preserve">Private Deprecation - SH 4</t>
  </si>
  <si>
    <t xml:space="preserve">528/05</t>
  </si>
  <si>
    <t xml:space="preserve">Private Depreciation - SH 4</t>
  </si>
  <si>
    <t xml:space="preserve">EQU.RET</t>
  </si>
  <si>
    <t xml:space="preserve">Retained Earning</t>
  </si>
  <si>
    <t xml:space="preserve">EQU.RET.DIV.ORD</t>
  </si>
  <si>
    <t xml:space="preserve">Dividend Declared</t>
  </si>
  <si>
    <t xml:space="preserve">EQU.RES</t>
  </si>
  <si>
    <t xml:space="preserve">Opening Balance - Capital Reserve</t>
  </si>
  <si>
    <t xml:space="preserve">Capital Profit On Asset Sale</t>
  </si>
  <si>
    <t xml:space="preserve">Capital Loss on Asset Sold</t>
  </si>
  <si>
    <t xml:space="preserve">Asset Revaluation Reserve</t>
  </si>
  <si>
    <t xml:space="preserve">EQU.RES.REV</t>
  </si>
  <si>
    <t xml:space="preserve">Asset Revaluation Reserves</t>
  </si>
  <si>
    <t xml:space="preserve">Capital Dividend</t>
  </si>
  <si>
    <t xml:space="preserve">ASS.CUR.BAN</t>
  </si>
  <si>
    <t xml:space="preserve">ANZ 00 Account</t>
  </si>
  <si>
    <t xml:space="preserve">Current Asset</t>
  </si>
  <si>
    <t xml:space="preserve">ANZ 01 Account</t>
  </si>
  <si>
    <t xml:space="preserve">601/01</t>
  </si>
  <si>
    <t xml:space="preserve">Bank A/c 1</t>
  </si>
  <si>
    <t xml:space="preserve">601/02</t>
  </si>
  <si>
    <t xml:space="preserve">Bank A/c 2</t>
  </si>
  <si>
    <t xml:space="preserve">Savings Account</t>
  </si>
  <si>
    <t xml:space="preserve">605/01</t>
  </si>
  <si>
    <t xml:space="preserve">Savings Account 1</t>
  </si>
  <si>
    <t xml:space="preserve">605/02</t>
  </si>
  <si>
    <t xml:space="preserve">Savings Account 2</t>
  </si>
  <si>
    <t xml:space="preserve">Credit Card</t>
  </si>
  <si>
    <t xml:space="preserve">610/01</t>
  </si>
  <si>
    <t xml:space="preserve">Credit Card 1</t>
  </si>
  <si>
    <t xml:space="preserve">610/02</t>
  </si>
  <si>
    <t xml:space="preserve">Credit Card 2</t>
  </si>
  <si>
    <t xml:space="preserve">610A</t>
  </si>
  <si>
    <t xml:space="preserve">ASS.CUR.REC.TRA</t>
  </si>
  <si>
    <t xml:space="preserve">Accounts Receivable</t>
  </si>
  <si>
    <t xml:space="preserve">Outstanding invoices the company has issued out to the client but has not yet received in cash at balance date.</t>
  </si>
  <si>
    <t xml:space="preserve">ASS.CUR</t>
  </si>
  <si>
    <t xml:space="preserve">Medhurst Rd - Trees</t>
  </si>
  <si>
    <t xml:space="preserve">Other Accounts Receivable</t>
  </si>
  <si>
    <t xml:space="preserve">626/01</t>
  </si>
  <si>
    <t xml:space="preserve">Auckland Property Management - Trust A/c</t>
  </si>
  <si>
    <t xml:space="preserve">626/02</t>
  </si>
  <si>
    <t xml:space="preserve">LIA.CUR.PAY</t>
  </si>
  <si>
    <t xml:space="preserve">Harcourts Trust A/c</t>
  </si>
  <si>
    <t xml:space="preserve">626/03</t>
  </si>
  <si>
    <t xml:space="preserve">360 Property Management A/c</t>
  </si>
  <si>
    <t xml:space="preserve">Sundry Debtor</t>
  </si>
  <si>
    <t xml:space="preserve">ASS.CUR.INY</t>
  </si>
  <si>
    <t xml:space="preserve">Work In Progress</t>
  </si>
  <si>
    <t xml:space="preserve">Inventory</t>
  </si>
  <si>
    <t xml:space="preserve">Kamat Family Trust</t>
  </si>
  <si>
    <t xml:space="preserve">Franklin Law Trust Account</t>
  </si>
  <si>
    <t xml:space="preserve">Loan to Related Party (DO NOT USE)</t>
  </si>
  <si>
    <t xml:space="preserve">700/01</t>
  </si>
  <si>
    <t xml:space="preserve">ASS.NCA.FIX.OWN.BUC</t>
  </si>
  <si>
    <t xml:space="preserve">1/63&amp;2/63 Mahia Rd,Manurewa</t>
  </si>
  <si>
    <t xml:space="preserve">Fixed Asset</t>
  </si>
  <si>
    <t xml:space="preserve">700/02</t>
  </si>
  <si>
    <t xml:space="preserve">Lot #9 - Medhurst Road, Bombay</t>
  </si>
  <si>
    <t xml:space="preserve">700/03</t>
  </si>
  <si>
    <t xml:space="preserve">Lot #12 Medhurst Road, Bombay</t>
  </si>
  <si>
    <t xml:space="preserve">700/04</t>
  </si>
  <si>
    <t xml:space="preserve">Lot #15 Pinnacle Hill Road, Bombay</t>
  </si>
  <si>
    <t xml:space="preserve">700/05</t>
  </si>
  <si>
    <t xml:space="preserve">Lot #10 Medhurst Road, Bombay</t>
  </si>
  <si>
    <t xml:space="preserve">700/06</t>
  </si>
  <si>
    <t xml:space="preserve">Medhurst Road - Farm</t>
  </si>
  <si>
    <t xml:space="preserve">700/07</t>
  </si>
  <si>
    <t xml:space="preserve">Lot 1, Medhurst Road, Bombay</t>
  </si>
  <si>
    <t xml:space="preserve">700/08</t>
  </si>
  <si>
    <t xml:space="preserve">122a Medhurst Road, Bombay</t>
  </si>
  <si>
    <t xml:space="preserve">700/09</t>
  </si>
  <si>
    <t xml:space="preserve">122b Medhurst Road, Bombay</t>
  </si>
  <si>
    <t xml:space="preserve">700/10</t>
  </si>
  <si>
    <t xml:space="preserve">122c Medhurst Road, Bombay</t>
  </si>
  <si>
    <t xml:space="preserve">700/11</t>
  </si>
  <si>
    <t xml:space="preserve">122d Medhurst Road, Bombay</t>
  </si>
  <si>
    <t xml:space="preserve">700/12</t>
  </si>
  <si>
    <t xml:space="preserve">Property 12</t>
  </si>
  <si>
    <t xml:space="preserve">701/01</t>
  </si>
  <si>
    <t xml:space="preserve">PROV FOR DEPN - 1/63&amp;2/63 Mahia Rd,Manurewa</t>
  </si>
  <si>
    <t xml:space="preserve">701/02</t>
  </si>
  <si>
    <t xml:space="preserve">PROV FOR DEPN - Lot #9 - Medhurst Road, Bombay</t>
  </si>
  <si>
    <t xml:space="preserve">701/03</t>
  </si>
  <si>
    <t xml:space="preserve">PROV FOR DEPN - Lot #12 Medhurst Road, Bombay</t>
  </si>
  <si>
    <t xml:space="preserve">701/04</t>
  </si>
  <si>
    <t xml:space="preserve">PROV FOR DEPN - Lot #15 Pinnacle Hill Road, Bombay</t>
  </si>
  <si>
    <t xml:space="preserve">701/05</t>
  </si>
  <si>
    <t xml:space="preserve">PROV FOR DEPN - Lot #10 Medhurst Road, Bombay</t>
  </si>
  <si>
    <t xml:space="preserve">701/06</t>
  </si>
  <si>
    <t xml:space="preserve">PROV FOR DEPN - PROPERTY 6</t>
  </si>
  <si>
    <t xml:space="preserve">701/07</t>
  </si>
  <si>
    <t xml:space="preserve">ASS.NCA.FIX.OWN.BUC.ACC</t>
  </si>
  <si>
    <t xml:space="preserve">PROV FOR DEPN - PROPERTY 7</t>
  </si>
  <si>
    <t xml:space="preserve">701/08</t>
  </si>
  <si>
    <t xml:space="preserve">PROV FOR DEPN - PROPERTY 8</t>
  </si>
  <si>
    <t xml:space="preserve">701/09</t>
  </si>
  <si>
    <t xml:space="preserve">PROV FOR DEPN - PROPERTY 9</t>
  </si>
  <si>
    <t xml:space="preserve">701/10</t>
  </si>
  <si>
    <t xml:space="preserve">PROV FOR DEPN - PROPERTY 10</t>
  </si>
  <si>
    <t xml:space="preserve">701/11</t>
  </si>
  <si>
    <t xml:space="preserve">PROV FOR DEPN - PROPERTY 11</t>
  </si>
  <si>
    <t xml:space="preserve">701/12</t>
  </si>
  <si>
    <t xml:space="preserve">PROV FOR DEPN - PROPERTY 12</t>
  </si>
  <si>
    <t xml:space="preserve">Leasehold Improvements</t>
  </si>
  <si>
    <t xml:space="preserve">Accumulated Depr. - Leasehold Improvements</t>
  </si>
  <si>
    <t xml:space="preserve">ASS.NCA.FIX.OWN.PLA</t>
  </si>
  <si>
    <t xml:space="preserve">Plant &amp; Equipment</t>
  </si>
  <si>
    <t xml:space="preserve">Accumulated Depr. - Plant &amp; Equipment</t>
  </si>
  <si>
    <t xml:space="preserve">ASS.NCA.FIX.OWN.VEH</t>
  </si>
  <si>
    <t xml:space="preserve">Motor Vehicles</t>
  </si>
  <si>
    <t xml:space="preserve">Accumulated Depr. - Motor Vehicles</t>
  </si>
  <si>
    <t xml:space="preserve">ASS.NCA.FIX.OWN</t>
  </si>
  <si>
    <t xml:space="preserve">Office Equipment</t>
  </si>
  <si>
    <t xml:space="preserve">Accumulated Depr. - Office Equipment</t>
  </si>
  <si>
    <t xml:space="preserve">ASS.NCA.FIX.OWN.FUR</t>
  </si>
  <si>
    <t xml:space="preserve">Furniture &amp; Fittings</t>
  </si>
  <si>
    <t xml:space="preserve">ASS.NCA.FIX.OWN.FUR.ACC</t>
  </si>
  <si>
    <t xml:space="preserve">Accumulated Depr. - Furniture &amp; Fittings</t>
  </si>
  <si>
    <t xml:space="preserve">ASS.NCA.INV</t>
  </si>
  <si>
    <t xml:space="preserve">Investment in Shares</t>
  </si>
  <si>
    <t xml:space="preserve">Non-Current Asset</t>
  </si>
  <si>
    <t xml:space="preserve">ASS.NCA.INV.TER</t>
  </si>
  <si>
    <t xml:space="preserve">ANZ PIE Fund Investment</t>
  </si>
  <si>
    <t xml:space="preserve">Investment Fund 2</t>
  </si>
  <si>
    <t xml:space="preserve">Investments (DO NOT USE)</t>
  </si>
  <si>
    <t xml:space="preserve">ASS.NCA.INT</t>
  </si>
  <si>
    <t xml:space="preserve">Company Formation</t>
  </si>
  <si>
    <t xml:space="preserve">ASS.CUR.REL</t>
  </si>
  <si>
    <t xml:space="preserve">Bravo Trust</t>
  </si>
  <si>
    <t xml:space="preserve">Goodwill</t>
  </si>
  <si>
    <t xml:space="preserve">LIA.CUR.PAY.TRA</t>
  </si>
  <si>
    <t xml:space="preserve">Other Accounts Payable</t>
  </si>
  <si>
    <t xml:space="preserve">Accounts Payable</t>
  </si>
  <si>
    <t xml:space="preserve">800A</t>
  </si>
  <si>
    <t xml:space="preserve">Outstanding invoices the company has received from suppliers but has not yet paid at balance date</t>
  </si>
  <si>
    <t xml:space="preserve">Sundry Creditor</t>
  </si>
  <si>
    <t xml:space="preserve">801U</t>
  </si>
  <si>
    <t xml:space="preserve">LIA.CUR.PAY.EMP</t>
  </si>
  <si>
    <t xml:space="preserve">Unpaid Expense Claims</t>
  </si>
  <si>
    <t xml:space="preserve">Expense claims typically made by employees/shareholder employees still outstanding.</t>
  </si>
  <si>
    <t xml:space="preserve">Accrued Expenses</t>
  </si>
  <si>
    <t xml:space="preserve">803W</t>
  </si>
  <si>
    <t xml:space="preserve">Wages Payable</t>
  </si>
  <si>
    <t xml:space="preserve">Xero automatically updates this account for payroll entries created using Payroll and will store the payroll amount to be paid to the employee for the pay run. This account enables you to maintain separate accounts for employee Wages Payable amounts and Accounts Payable amounts</t>
  </si>
  <si>
    <t xml:space="preserve">LIA</t>
  </si>
  <si>
    <t xml:space="preserve">Other</t>
  </si>
  <si>
    <t xml:space="preserve">Other Accurals (DO NOT USE)</t>
  </si>
  <si>
    <t xml:space="preserve">LIA.CUR.LOA</t>
  </si>
  <si>
    <t xml:space="preserve">Current Term Liabilities</t>
  </si>
  <si>
    <t xml:space="preserve">LIA.CUR.TAX.GST</t>
  </si>
  <si>
    <t xml:space="preserve">The balance in this account represents GST owing to or from the IRD. At the end of the GST period, it is this account that should be used to code against either the 'refunds from' or 'payments to' the IRD that will appear on the bank statement. Xero has been designed to use only one GST account to track GST on income and expenses, so there is no need to add any new GST accounts to Xero.</t>
  </si>
  <si>
    <t xml:space="preserve">LIA.CUR</t>
  </si>
  <si>
    <t xml:space="preserve">Historical Adjustment8</t>
  </si>
  <si>
    <t xml:space="preserve">Historical</t>
  </si>
  <si>
    <t xml:space="preserve">For accountant adjustments</t>
  </si>
  <si>
    <t xml:space="preserve">845/00</t>
  </si>
  <si>
    <t xml:space="preserve">LIA.CUR.TAX.INC</t>
  </si>
  <si>
    <t xml:space="preserve">Taxation Opening Balance</t>
  </si>
  <si>
    <t xml:space="preserve">845/01</t>
  </si>
  <si>
    <t xml:space="preserve">LIA.CUR.TAX.INC.PAI</t>
  </si>
  <si>
    <t xml:space="preserve">Tax Paid</t>
  </si>
  <si>
    <t xml:space="preserve">845/02</t>
  </si>
  <si>
    <t xml:space="preserve">FDP Paid</t>
  </si>
  <si>
    <t xml:space="preserve">845/03</t>
  </si>
  <si>
    <t xml:space="preserve">LIA.CUR.TAX.INC.TAX.RWT</t>
  </si>
  <si>
    <t xml:space="preserve">RWT Paid</t>
  </si>
  <si>
    <t xml:space="preserve">845/05</t>
  </si>
  <si>
    <t xml:space="preserve">Other Debts</t>
  </si>
  <si>
    <t xml:space="preserve">845/09</t>
  </si>
  <si>
    <t xml:space="preserve">Foreign Tax Credits</t>
  </si>
  <si>
    <t xml:space="preserve">845/10</t>
  </si>
  <si>
    <t xml:space="preserve">LIA.CUR.TAX.INC.REF</t>
  </si>
  <si>
    <t xml:space="preserve">Tax Refund</t>
  </si>
  <si>
    <t xml:space="preserve">845/15</t>
  </si>
  <si>
    <t xml:space="preserve">Other Credits</t>
  </si>
  <si>
    <t xml:space="preserve">845/99</t>
  </si>
  <si>
    <t xml:space="preserve">Tax Provision</t>
  </si>
  <si>
    <t xml:space="preserve">Rounding8</t>
  </si>
  <si>
    <t xml:space="preserve">Rounding</t>
  </si>
  <si>
    <t xml:space="preserve">An adjustment entry to allow for rounding</t>
  </si>
  <si>
    <t xml:space="preserve">Tracking Transfers8</t>
  </si>
  <si>
    <t xml:space="preserve">Tracking</t>
  </si>
  <si>
    <t xml:space="preserve">Transfers between tracking categories</t>
  </si>
  <si>
    <t xml:space="preserve">Historical Adjustment</t>
  </si>
  <si>
    <t xml:space="preserve">Tracking Transfers</t>
  </si>
  <si>
    <t xml:space="preserve">CONTRA</t>
  </si>
  <si>
    <t xml:space="preserve">SUSPENSE</t>
  </si>
  <si>
    <t xml:space="preserve">LIA.NCL.LOA</t>
  </si>
  <si>
    <t xml:space="preserve">Loan</t>
  </si>
  <si>
    <t xml:space="preserve">Non-current Liability</t>
  </si>
  <si>
    <t xml:space="preserve">ANZ Loan 1006</t>
  </si>
  <si>
    <t xml:space="preserve">ANZ Loan 1005</t>
  </si>
  <si>
    <t xml:space="preserve">ANZ Loan 1007</t>
  </si>
  <si>
    <t xml:space="preserve">Loan 4</t>
  </si>
  <si>
    <t xml:space="preserve">Loan 5</t>
  </si>
  <si>
    <t xml:space="preserve">Loan 6</t>
  </si>
  <si>
    <t xml:space="preserve">Loan 7</t>
  </si>
  <si>
    <t xml:space="preserve">Loan 8</t>
  </si>
  <si>
    <t xml:space="preserve">Loan 9</t>
  </si>
  <si>
    <t xml:space="preserve">Loan (DO NOT USE)</t>
  </si>
  <si>
    <t xml:space="preserve">LIA.NCL.FIN</t>
  </si>
  <si>
    <t xml:space="preserve">Hire Purchase</t>
  </si>
  <si>
    <t xml:space="preserve">Hire Purchase 1</t>
  </si>
  <si>
    <t xml:space="preserve">Hire Purchase 2</t>
  </si>
  <si>
    <t xml:space="preserve">Retained Earnings</t>
  </si>
  <si>
    <t xml:space="preserve">Do not Use</t>
  </si>
  <si>
    <t xml:space="preserve">Hire Purchase (DO NOT USE)</t>
  </si>
  <si>
    <t xml:space="preserve">Less Interest Not Yet Due</t>
  </si>
  <si>
    <t xml:space="preserve">Less Current Portion</t>
  </si>
  <si>
    <t xml:space="preserve">999/01</t>
  </si>
  <si>
    <t xml:space="preserve">Rental Profit/(Loss) - Medhurst Road, Bombay</t>
  </si>
  <si>
    <t xml:space="preserve">Old - Lot #9 - Medhurst Road, Bombay</t>
  </si>
  <si>
    <t xml:space="preserve">999/02</t>
  </si>
  <si>
    <t xml:space="preserve">Rental Profit /(Loss) - 1/63&amp;2/63 Mahia Rd,Manurewa</t>
  </si>
  <si>
    <t xml:space="preserve">999/03</t>
  </si>
  <si>
    <t xml:space="preserve">Rental Profit/(Loss) - Pinnacle Hill Bombay Farm</t>
  </si>
  <si>
    <t xml:space="preserve">Old Lot #12 Medhurst Road, Bombay</t>
  </si>
  <si>
    <t xml:space="preserve">999/04</t>
  </si>
  <si>
    <t xml:space="preserve">Rental Profit /(Loss) - Property 4</t>
  </si>
  <si>
    <t xml:space="preserve">999/05</t>
  </si>
  <si>
    <t xml:space="preserve">Rental Profit /(Loss) - Property 5</t>
  </si>
  <si>
    <t xml:space="preserve">999/06</t>
  </si>
  <si>
    <t xml:space="preserve">Rental Profit /(Loss) - Property 6</t>
  </si>
  <si>
    <t xml:space="preserve">Trial Balance</t>
  </si>
  <si>
    <t xml:space="preserve">Sample Client</t>
  </si>
  <si>
    <t xml:space="preserve">As at 31 March 2024</t>
  </si>
  <si>
    <t xml:space="preserve">Account Code</t>
  </si>
  <si>
    <t xml:space="preserve">Account</t>
  </si>
  <si>
    <t xml:space="preserve">Account Type</t>
  </si>
  <si>
    <t xml:space="preserve">Account Class</t>
  </si>
  <si>
    <t xml:space="preserve">Debit - Year to date</t>
  </si>
  <si>
    <t xml:space="preserve">Credit - Year to date</t>
  </si>
  <si>
    <t xml:space="preserve">Non-current Asset</t>
  </si>
  <si>
    <t xml:space="preserve">Total</t>
  </si>
  <si>
    <t xml:space="preserve">Workpaper Index</t>
  </si>
  <si>
    <t xml:space="preserve">Client:     </t>
  </si>
  <si>
    <t xml:space="preserve">Sample Client 1</t>
  </si>
  <si>
    <t xml:space="preserve">Prepared by:</t>
  </si>
  <si>
    <t xml:space="preserve">Mark Johnson</t>
  </si>
  <si>
    <t xml:space="preserve">IRD Number:</t>
  </si>
  <si>
    <t xml:space="preserve">111-222-333</t>
  </si>
  <si>
    <t xml:space="preserve">Balance Date:</t>
  </si>
  <si>
    <t xml:space="preserve">Reviewed by:</t>
  </si>
  <si>
    <t xml:space="preserve">Terry Farmer</t>
  </si>
  <si>
    <t xml:space="preserve">GST Registered:</t>
  </si>
  <si>
    <t xml:space="preserve">Yes</t>
  </si>
  <si>
    <t xml:space="preserve">Entity Type:</t>
  </si>
  <si>
    <t xml:space="preserve">Company</t>
  </si>
  <si>
    <t xml:space="preserve">Date prepared:</t>
  </si>
  <si>
    <t xml:space="preserve">Job Status:</t>
  </si>
  <si>
    <t xml:space="preserve">In Progress</t>
  </si>
  <si>
    <t xml:space="preserve">WP Ref.</t>
  </si>
  <si>
    <t xml:space="preserve">WP Name</t>
  </si>
  <si>
    <t xml:space="preserve"> TCP </t>
  </si>
  <si>
    <t xml:space="preserve">Tax Calculations</t>
  </si>
  <si>
    <t xml:space="preserve"> DSH </t>
  </si>
  <si>
    <t xml:space="preserve">Review Summary</t>
  </si>
  <si>
    <t xml:space="preserve"> RNS </t>
  </si>
  <si>
    <t xml:space="preserve">Review </t>
  </si>
  <si>
    <t xml:space="preserve"> BRC </t>
  </si>
  <si>
    <t xml:space="preserve">Bank Reconciliation</t>
  </si>
  <si>
    <t xml:space="preserve"> ACR </t>
  </si>
  <si>
    <t xml:space="preserve"> OCA </t>
  </si>
  <si>
    <t xml:space="preserve">Other Current Assets</t>
  </si>
  <si>
    <t xml:space="preserve"> FIA </t>
  </si>
  <si>
    <t xml:space="preserve">Fixed Assets</t>
  </si>
  <si>
    <t xml:space="preserve"> POP</t>
  </si>
  <si>
    <t xml:space="preserve">Purchase of Business / Property</t>
  </si>
  <si>
    <t xml:space="preserve">SOP </t>
  </si>
  <si>
    <t xml:space="preserve">Sale of Business / Property</t>
  </si>
  <si>
    <t xml:space="preserve"> OIN </t>
  </si>
  <si>
    <t xml:space="preserve">Investments - fixed interest</t>
  </si>
  <si>
    <t xml:space="preserve"> IIS </t>
  </si>
  <si>
    <t xml:space="preserve">Investments - shares</t>
  </si>
  <si>
    <t xml:space="preserve"> OAS </t>
  </si>
  <si>
    <t xml:space="preserve">Other Assets</t>
  </si>
  <si>
    <t xml:space="preserve"> GRC</t>
  </si>
  <si>
    <t xml:space="preserve">GST Reconciliation</t>
  </si>
  <si>
    <t xml:space="preserve"> GPV</t>
  </si>
  <si>
    <t xml:space="preserve">GST period variances</t>
  </si>
  <si>
    <t xml:space="preserve"> ACP </t>
  </si>
  <si>
    <t xml:space="preserve"> OCL </t>
  </si>
  <si>
    <t xml:space="preserve">Other Current Liabilities</t>
  </si>
  <si>
    <t xml:space="preserve">CAC </t>
  </si>
  <si>
    <t xml:space="preserve">Current Accounts</t>
  </si>
  <si>
    <t xml:space="preserve"> RLP</t>
  </si>
  <si>
    <t xml:space="preserve">Related Parties</t>
  </si>
  <si>
    <t xml:space="preserve"> TLN</t>
  </si>
  <si>
    <t xml:space="preserve">Term Loan</t>
  </si>
  <si>
    <t xml:space="preserve">HPL</t>
  </si>
  <si>
    <t xml:space="preserve">HP Liability</t>
  </si>
  <si>
    <t xml:space="preserve">ITD</t>
  </si>
  <si>
    <t xml:space="preserve">Taxation due</t>
  </si>
  <si>
    <t xml:space="preserve">ICA</t>
  </si>
  <si>
    <t xml:space="preserve">Imputation credit account</t>
  </si>
  <si>
    <t xml:space="preserve">IRE</t>
  </si>
  <si>
    <t xml:space="preserve">Imputation credit account: to retained earnings</t>
  </si>
  <si>
    <t xml:space="preserve">SHC</t>
  </si>
  <si>
    <t xml:space="preserve">Continuity of Shareholding</t>
  </si>
  <si>
    <t xml:space="preserve">RES</t>
  </si>
  <si>
    <t xml:space="preserve">Residential Rent</t>
  </si>
  <si>
    <t xml:space="preserve">SRC</t>
  </si>
  <si>
    <t xml:space="preserve">Sales Reconciliation</t>
  </si>
  <si>
    <t xml:space="preserve">OIC</t>
  </si>
  <si>
    <t xml:space="preserve"> IIC</t>
  </si>
  <si>
    <t xml:space="preserve">Investment Income</t>
  </si>
  <si>
    <t xml:space="preserve">WRC1</t>
  </si>
  <si>
    <t xml:space="preserve">Wages Reconciliation</t>
  </si>
  <si>
    <t xml:space="preserve">WRC2</t>
  </si>
  <si>
    <t xml:space="preserve">Wages Reconciliation Worksheet</t>
  </si>
  <si>
    <t xml:space="preserve">Expenses Analysis</t>
  </si>
  <si>
    <t xml:space="preserve">ENT</t>
  </si>
  <si>
    <t xml:space="preserve">HOM</t>
  </si>
  <si>
    <t xml:space="preserve">Home Office</t>
  </si>
  <si>
    <t xml:space="preserve">IOA</t>
  </si>
  <si>
    <t xml:space="preserve">Interest on overdrawn Current Account</t>
  </si>
  <si>
    <t xml:space="preserve">ACT</t>
  </si>
  <si>
    <t xml:space="preserve">AWP</t>
  </si>
  <si>
    <t xml:space="preserve">Additional Workpaper</t>
  </si>
  <si>
    <t xml:space="preserve">Variance Tolerance</t>
  </si>
  <si>
    <t xml:space="preserve">Current Assets</t>
  </si>
  <si>
    <t xml:space="preserve">General Ledger vs Workpaper Balance</t>
  </si>
  <si>
    <t xml:space="preserve">This Year GL vs Last Year GL</t>
  </si>
  <si>
    <t xml:space="preserve">Code</t>
  </si>
  <si>
    <t xml:space="preserve">Workpaper</t>
  </si>
  <si>
    <t xml:space="preserve">GL Bal</t>
  </si>
  <si>
    <t xml:space="preserve">WP Bal</t>
  </si>
  <si>
    <t xml:space="preserve">Reconciled</t>
  </si>
  <si>
    <t xml:space="preserve">Variance</t>
  </si>
  <si>
    <t xml:space="preserve">Prior GL</t>
  </si>
  <si>
    <t xml:space="preserve">Notes </t>
  </si>
  <si>
    <t xml:space="preserve">Docs</t>
  </si>
  <si>
    <t xml:space="preserve">Status</t>
  </si>
  <si>
    <t xml:space="preserve">BRC</t>
  </si>
  <si>
    <t xml:space="preserve">(</t>
  </si>
  <si>
    <t xml:space="preserve"></t>
  </si>
  <si>
    <t xml:space="preserve">ACR</t>
  </si>
  <si>
    <t xml:space="preserve">OCA</t>
  </si>
  <si>
    <t xml:space="preserve">OAS</t>
  </si>
  <si>
    <t xml:space="preserve">Total Current Assets</t>
  </si>
  <si>
    <t xml:space="preserve">Current Liabilities</t>
  </si>
  <si>
    <t xml:space="preserve">GRC</t>
  </si>
  <si>
    <t xml:space="preserve">ACP</t>
  </si>
  <si>
    <t xml:space="preserve">OCL</t>
  </si>
  <si>
    <t xml:space="preserve">TLN</t>
  </si>
  <si>
    <t xml:space="preserve">Total Current Liabilities</t>
  </si>
  <si>
    <t xml:space="preserve">Non-Current Assets</t>
  </si>
  <si>
    <t xml:space="preserve">OIN</t>
  </si>
  <si>
    <t xml:space="preserve">FIA</t>
  </si>
  <si>
    <t xml:space="preserve">IIS</t>
  </si>
  <si>
    <t xml:space="preserve">Total Non-Current Assets</t>
  </si>
  <si>
    <t xml:space="preserve">Non-Current Liabilities</t>
  </si>
  <si>
    <t xml:space="preserve">Total Non-Current Liabilities</t>
  </si>
  <si>
    <t xml:space="preserve">Profit and Loss</t>
  </si>
  <si>
    <t xml:space="preserve">IIC</t>
  </si>
  <si>
    <t xml:space="preserve">WRC</t>
  </si>
  <si>
    <t xml:space="preserve">Total Profit and Loss</t>
  </si>
  <si>
    <t xml:space="preserve">Current Accounts and Advances</t>
  </si>
  <si>
    <t xml:space="preserve">510-518</t>
  </si>
  <si>
    <t xml:space="preserve">CAC</t>
  </si>
  <si>
    <t xml:space="preserve">RLP</t>
  </si>
  <si>
    <t xml:space="preserve">Total Current Accounts and Advances</t>
  </si>
  <si>
    <t xml:space="preserve">Retained earnings</t>
  </si>
  <si>
    <t xml:space="preserve">Total Retained earnings</t>
  </si>
  <si>
    <t xml:space="preserve">Net profit / (Loss) per accounts</t>
  </si>
  <si>
    <t xml:space="preserve">Supporting</t>
  </si>
  <si>
    <t xml:space="preserve">Add back non-deductible expenses</t>
  </si>
  <si>
    <t xml:space="preserve">Entertainment Non-deductible</t>
  </si>
  <si>
    <t xml:space="preserve">Penalty &amp; Fines</t>
  </si>
  <si>
    <t xml:space="preserve">Interest Limitation</t>
  </si>
  <si>
    <t xml:space="preserve">Total non-deductible expenses</t>
  </si>
  <si>
    <t xml:space="preserve">Deduct non-taxable income</t>
  </si>
  <si>
    <t xml:space="preserve">Holiday pay this year </t>
  </si>
  <si>
    <t xml:space="preserve">Holiday pat last year </t>
  </si>
  <si>
    <t xml:space="preserve">Total non-taxable income</t>
  </si>
  <si>
    <t xml:space="preserve">Taxable Income / (Loss) </t>
  </si>
  <si>
    <t xml:space="preserve">Less proposed shareholder or beneficiary distributions</t>
  </si>
  <si>
    <t xml:space="preserve">Net assessable income</t>
  </si>
  <si>
    <t xml:space="preserve">Losses brought forward</t>
  </si>
  <si>
    <t xml:space="preserve">Taxable income per tax return</t>
  </si>
  <si>
    <t xml:space="preserve">Tax Payable</t>
  </si>
  <si>
    <t xml:space="preserve">Ref.</t>
  </si>
  <si>
    <t xml:space="preserve">Detail</t>
  </si>
  <si>
    <t xml:space="preserve">Action</t>
  </si>
  <si>
    <t xml:space="preserve">Name</t>
  </si>
  <si>
    <t xml:space="preserve">Number</t>
  </si>
  <si>
    <t xml:space="preserve">Bank account</t>
  </si>
  <si>
    <t xml:space="preserve">Closing Balance per Bank Statement :</t>
  </si>
  <si>
    <t xml:space="preserve">Less Unpresented Cheques</t>
  </si>
  <si>
    <t xml:space="preserve">Date</t>
  </si>
  <si>
    <t xml:space="preserve">Cheque No</t>
  </si>
  <si>
    <t xml:space="preserve">Ref</t>
  </si>
  <si>
    <t xml:space="preserve">Amount</t>
  </si>
  <si>
    <t xml:space="preserve">Total Unpresented Cheques</t>
  </si>
  <si>
    <t xml:space="preserve">Plus Outstanding Receipts</t>
  </si>
  <si>
    <t xml:space="preserve">Total Outstanding Receipts</t>
  </si>
  <si>
    <t xml:space="preserve">Balance per workpaper</t>
  </si>
  <si>
    <t xml:space="preserve">Balance per GL</t>
  </si>
  <si>
    <t xml:space="preserve">Bank#2</t>
  </si>
  <si>
    <t xml:space="preserve">Bank#3</t>
  </si>
  <si>
    <t xml:space="preserve">Bank#4</t>
  </si>
  <si>
    <t xml:space="preserve">Bank#5</t>
  </si>
  <si>
    <t xml:space="preserve">Bank#6</t>
  </si>
  <si>
    <t xml:space="preserve">Enter "N" if GST not applicable 
</t>
  </si>
  <si>
    <t xml:space="preserve">Gross</t>
  </si>
  <si>
    <t xml:space="preserve">Net</t>
  </si>
  <si>
    <t xml:space="preserve">Totals</t>
  </si>
  <si>
    <t xml:space="preserve">Stock</t>
  </si>
  <si>
    <t xml:space="preserve">Closing Stock</t>
  </si>
  <si>
    <t xml:space="preserve">Work in progress</t>
  </si>
  <si>
    <t xml:space="preserve">WIP</t>
  </si>
  <si>
    <t xml:space="preserve">Cash on hand</t>
  </si>
  <si>
    <t xml:space="preserve">Prepayments</t>
  </si>
  <si>
    <t xml:space="preserve">Opening book value</t>
  </si>
  <si>
    <t xml:space="preserve">Add:</t>
  </si>
  <si>
    <t xml:space="preserve">Purchases (see schedule below)</t>
  </si>
  <si>
    <t xml:space="preserve">Less: </t>
  </si>
  <si>
    <t xml:space="preserve">Disposals (see schedule below)</t>
  </si>
  <si>
    <t xml:space="preserve">Capital profit</t>
  </si>
  <si>
    <t xml:space="preserve">Depreciation recovered</t>
  </si>
  <si>
    <t xml:space="preserve">Loss on scrapping/sale</t>
  </si>
  <si>
    <t xml:space="preserve">Private portion of depreciation</t>
  </si>
  <si>
    <t xml:space="preserve">Depreciation per profit and loss</t>
  </si>
  <si>
    <t xml:space="preserve">Closing book value as per asset schedule</t>
  </si>
  <si>
    <t xml:space="preserve">Additions</t>
  </si>
  <si>
    <t xml:space="preserve">Acquisition Date</t>
  </si>
  <si>
    <t xml:space="preserve">Depn Rate</t>
  </si>
  <si>
    <t xml:space="preserve">   Net</t>
  </si>
  <si>
    <t xml:space="preserve">Laptop</t>
  </si>
  <si>
    <t xml:space="preserve">Attach copies of purchase invoices where possible</t>
  </si>
  <si>
    <t xml:space="preserve">Disposals</t>
  </si>
  <si>
    <t xml:space="preserve">Disposal Date</t>
  </si>
  <si>
    <t xml:space="preserve"> Net</t>
  </si>
  <si>
    <t xml:space="preserve">Asset</t>
  </si>
  <si>
    <t xml:space="preserve">Attach copies of sales invoices where possible</t>
  </si>
  <si>
    <t xml:space="preserve">Notes:</t>
  </si>
  <si>
    <t xml:space="preserve">Ensure Asset Register is updated for asset additions / disposals.</t>
  </si>
  <si>
    <t xml:space="preserve">Check that the assets schedule reflects all private use adjustments.</t>
  </si>
  <si>
    <t xml:space="preserve">Attach copies of depcn rate schedule pages to verify rates used.</t>
  </si>
  <si>
    <t xml:space="preserve">Highlight asset and rate used for easy review.</t>
  </si>
  <si>
    <t xml:space="preserve">The total of asset additions and disposals should agree to the asset schedule. </t>
  </si>
  <si>
    <t xml:space="preserve">Address</t>
  </si>
  <si>
    <t xml:space="preserve">Analysis of legal statement</t>
  </si>
  <si>
    <t xml:space="preserve">Debit</t>
  </si>
  <si>
    <t xml:space="preserve">Credit</t>
  </si>
  <si>
    <t xml:space="preserve">Purchase price GST inclusive items</t>
  </si>
  <si>
    <t xml:space="preserve">Purchase price GST zero rated or exempt items</t>
  </si>
  <si>
    <t xml:space="preserve">Deposit paid</t>
  </si>
  <si>
    <t xml:space="preserve">Legal fees re finance</t>
  </si>
  <si>
    <t xml:space="preserve">Legal fees re purchase</t>
  </si>
  <si>
    <t xml:space="preserve">Legal fees paid (up to $10,000)</t>
  </si>
  <si>
    <t xml:space="preserve">Disbursements re finance</t>
  </si>
  <si>
    <t xml:space="preserve">Disbursements re purchase</t>
  </si>
  <si>
    <t xml:space="preserve">Loans advanced</t>
  </si>
  <si>
    <t xml:space="preserve">Balance paid to settle</t>
  </si>
  <si>
    <t xml:space="preserve">Percentage of GST to claim</t>
  </si>
  <si>
    <t xml:space="preserve">Purchase costs</t>
  </si>
  <si>
    <t xml:space="preserve">Legal (excluding finance or lease legal costs)</t>
  </si>
  <si>
    <t xml:space="preserve">Registration of Title, Transfers, etc</t>
  </si>
  <si>
    <t xml:space="preserve">Apportioned over the cost of the depreciable assets</t>
  </si>
  <si>
    <t xml:space="preserve">Apportionment using valuation detail</t>
  </si>
  <si>
    <t xml:space="preserve">Details of valuer (e.g valuer, date, etc)</t>
  </si>
  <si>
    <t xml:space="preserve">Land value as per valuation</t>
  </si>
  <si>
    <t xml:space="preserve">Apportioned land value</t>
  </si>
  <si>
    <t xml:space="preserve">Capital value per valuation</t>
  </si>
  <si>
    <t xml:space="preserve">Improvements value</t>
  </si>
  <si>
    <t xml:space="preserve">Amount to be apportioned</t>
  </si>
  <si>
    <t xml:space="preserve">Total value</t>
  </si>
  <si>
    <t xml:space="preserve">Purchase of business/property</t>
  </si>
  <si>
    <t xml:space="preserve">Purchase price excl GST</t>
  </si>
  <si>
    <t xml:space="preserve">Plus purchase costs</t>
  </si>
  <si>
    <t xml:space="preserve">Total cost (for asset schedule)</t>
  </si>
  <si>
    <t xml:space="preserve">Land</t>
  </si>
  <si>
    <t xml:space="preserve">Buildings</t>
  </si>
  <si>
    <t xml:space="preserve">Plant</t>
  </si>
  <si>
    <t xml:space="preserve">Chattels</t>
  </si>
  <si>
    <t xml:space="preserve">Note: where the entity is registered for GST these calculations are excluding GST</t>
  </si>
  <si>
    <t xml:space="preserve">Sale price GST inclusive items</t>
  </si>
  <si>
    <t xml:space="preserve">Sale price GST zero rated or exempt items</t>
  </si>
  <si>
    <t xml:space="preserve">Commission paid</t>
  </si>
  <si>
    <t xml:space="preserve">Legal fees re sale</t>
  </si>
  <si>
    <t xml:space="preserve">Disbursements re sale</t>
  </si>
  <si>
    <t xml:space="preserve">Sale costs</t>
  </si>
  <si>
    <t xml:space="preserve">Legal</t>
  </si>
  <si>
    <t xml:space="preserve">Disbursements</t>
  </si>
  <si>
    <t xml:space="preserve">Apportioned over the cost of the assets for sale</t>
  </si>
  <si>
    <t xml:space="preserve">Details of valuer (e.g. valuer, date, etc)</t>
  </si>
  <si>
    <t xml:space="preserve">Sale of business/property</t>
  </si>
  <si>
    <t xml:space="preserve">Sale price excl GST</t>
  </si>
  <si>
    <t xml:space="preserve">Less sale costs</t>
  </si>
  <si>
    <t xml:space="preserve">Fixed interest investment</t>
  </si>
  <si>
    <t xml:space="preserve">Name of the bank amount invested with, e.g. ANZ, ASB, Westpac, BNZ etc. to be picked from Term Deposit statement.</t>
  </si>
  <si>
    <t xml:space="preserve">Date invested</t>
  </si>
  <si>
    <t xml:space="preserve">Investment start date to be picked from Term Deposit statement</t>
  </si>
  <si>
    <t xml:space="preserve">Hyperlink of document information extracted from</t>
  </si>
  <si>
    <t xml:space="preserve">"TD" - Description to be fixed as is. 
Plus Number of Term Deposit to be picked from Term Deposit statement.</t>
  </si>
  <si>
    <t xml:space="preserve">Principal</t>
  </si>
  <si>
    <t xml:space="preserve">Amount invested to be picked from Term Deposit statement</t>
  </si>
  <si>
    <t xml:space="preserve">Term </t>
  </si>
  <si>
    <t xml:space="preserve">To be picked from Term Deposit statement</t>
  </si>
  <si>
    <t xml:space="preserve">Interest rate</t>
  </si>
  <si>
    <t xml:space="preserve">Opening balance</t>
  </si>
  <si>
    <t xml:space="preserve">To be entered if investment start date is prior to current accounting year. For e.g. if current accounting year is 01-04-2023 to 31-03-2024, for any investment with start date prior to 01-04-2023 amount to be picked from Term Deposit statement.</t>
  </si>
  <si>
    <t xml:space="preserve">less last year net interest accrual</t>
  </si>
  <si>
    <t xml:space="preserve">Through manual intervention.</t>
  </si>
  <si>
    <t xml:space="preserve">Opening Balance - less accrued interest</t>
  </si>
  <si>
    <t xml:space="preserve">Auto calculated</t>
  </si>
  <si>
    <t xml:space="preserve">Less withdrawals</t>
  </si>
  <si>
    <t xml:space="preserve">To be entered if matured within same accounting year.
Interest instructions to be checked first from Term Deposit statement.
If being transferred in bank account -  "Principal" amount to be entered as withdrawals.
If interest being reinvested/added to principal - withdrawal amount to be searched in General Ledger in respective investment account code(to identify account code we can search Term Deposit number as per statement in General Ledger under column "A" &amp; column "D"). 
Once account code is identified, pick investment maturity date from investment document &amp; search this date in "A" column of relevant investment account code in General Ledger &amp; pick the amount from  "Credit" column, once found to be entered here, if not found popup message "To check &amp; update this field" for manual intervention.</t>
  </si>
  <si>
    <t xml:space="preserve">Plus further advances</t>
  </si>
  <si>
    <t xml:space="preserve">To be entered if investment start date is within current accounting year. For e.g. if current accounting year is 01-04-2023 to 31-03-2024, for any investment with start date within 01-04-2023 to 31-03-2024 to be considered. Amount to be picked from Term Deposit statement. 
This can be a fresh investment or old investment matured in current year &amp; reinvested.</t>
  </si>
  <si>
    <t xml:space="preserve">Plus net interest reinvested</t>
  </si>
  <si>
    <r>
      <rPr>
        <sz val="11"/>
        <color rgb="FFFF0000"/>
        <rFont val="Arial"/>
        <family val="2"/>
        <charset val="1"/>
      </rPr>
      <t xml:space="preserve">Amount to will come if below two conditions satisfied:
1. If interest instructions are "Compounded, compounding or Reinvestment or may be other key word that means interest will be added in investment"  as per investment document.
2.Investment matured in same accounting year. 
Matured amount can be received in bank account or can be reinvested, depends upon Term Deposit terms.
</t>
    </r>
    <r>
      <rPr>
        <b val="true"/>
        <sz val="11"/>
        <color rgb="FFFF0000"/>
        <rFont val="Arial"/>
        <family val="2"/>
        <charset val="1"/>
      </rPr>
      <t xml:space="preserve">If matured amount received into bank account : </t>
    </r>
    <r>
      <rPr>
        <sz val="11"/>
        <color rgb="FFFF0000"/>
        <rFont val="Arial"/>
        <family val="2"/>
        <charset val="1"/>
      </rPr>
      <t xml:space="preserve">Value for field to be calculated as amount in field "Less withdrawals" less amount in field "Opening balance or Principal where figure is available".
</t>
    </r>
    <r>
      <rPr>
        <b val="true"/>
        <sz val="11"/>
        <color rgb="FFFF0000"/>
        <rFont val="Arial"/>
        <family val="2"/>
        <charset val="1"/>
      </rPr>
      <t xml:space="preserve">If matured &amp; reinvested :</t>
    </r>
    <r>
      <rPr>
        <sz val="11"/>
        <color rgb="FFFF0000"/>
        <rFont val="Arial"/>
        <family val="2"/>
        <charset val="1"/>
      </rPr>
      <t xml:space="preserve"> Value for this field to be calculated as ( "amount invested on date immediate last date from accounting year balance date" less "Opening balance")</t>
    </r>
  </si>
  <si>
    <t xml:space="preserve">Balance before accrual</t>
  </si>
  <si>
    <t xml:space="preserve">Plus this year's net interest accrual</t>
  </si>
  <si>
    <t xml:space="preserve">Closing balance</t>
  </si>
  <si>
    <t xml:space="preserve">Examples in this WP is for accounting year 01-04-2023 to 31-03-2024</t>
  </si>
  <si>
    <t xml:space="preserve">ANZ</t>
  </si>
  <si>
    <t xml:space="preserve">TD - 82000000068918</t>
  </si>
  <si>
    <t xml:space="preserve">364 Days</t>
  </si>
  <si>
    <t xml:space="preserve">Investment start date is prior to current accounting year 01-04-2023 to 31-03-2024, amount invested picked from Term Deposit statement.</t>
  </si>
  <si>
    <t xml:space="preserve">Matured on 27 Dec 2023 in same accounting year &amp; reinvested, so entered as withdrawals.
Interest directly paid in other bank account as advised on Term Deposit statement, no action required on interest. Principal amount entered as withdrawal.
Amount reinvested to be treated as new Term Deposit from WP point of view &amp; separate WP to be completed as new Term Deposit, refer to the next template below.</t>
  </si>
  <si>
    <t xml:space="preserve">Interest directly paid in other bank account(Account number is 01-0486-0035261-00, refer snapshot below) as advised on Term Deposit statement, no action required on interest.</t>
  </si>
  <si>
    <t xml:space="preserve">1 Year</t>
  </si>
  <si>
    <t xml:space="preserve">Investment start date is within accounting year 01-04-2023 to 31-03-2024, amount picked from Term Deposit statement &amp; entered as further advances.</t>
  </si>
  <si>
    <t xml:space="preserve">Interest was to be paid directly in other bank account(Account number is 01-0486-0035261-00, refer snapshot below) as advised on Term Deposit statement, so no action required on interest.</t>
  </si>
  <si>
    <t xml:space="preserve">Maturity date is 27 Dec 2024 i.e. after balance date of 31 Mar 2024, so balance will remain as is.</t>
  </si>
  <si>
    <t xml:space="preserve">Westpac</t>
  </si>
  <si>
    <t xml:space="preserve">TD - 0004 -1553 0030386 81</t>
  </si>
  <si>
    <t xml:space="preserve">9 months</t>
  </si>
  <si>
    <t xml:space="preserve">Matured on 13 December 2023, in same accounting year, instructions for interest are "compounding", refer snapshot above. So as per guidelines withdrawal amount checked in General Ledger, found &amp; entered here. 
If amount would not have found in General Ledger, message should have entered  "To check &amp; update this field".</t>
  </si>
  <si>
    <t xml:space="preserve">Interest instructions are "Compounding" as per investment document &amp; investment matured in same accounting year. Value for field "Plus net interest reinvested" calculated as amount in field "Less withdrawals" less amount in field "Opening balance".</t>
  </si>
  <si>
    <t xml:space="preserve">TD - 00888801171002</t>
  </si>
  <si>
    <t xml:space="preserve">Matured on 28 Mar 2024, in same accounting year, instructions for interest are "Reinvested quarterly", amount checked &amp; found in General Ledger so entered here per General Ledger.</t>
  </si>
  <si>
    <t xml:space="preserve">Value for field "Plus net interest reinvested" calculated as amount in field "Less withdrawals" less amount in field "Opening balance".</t>
  </si>
  <si>
    <t xml:space="preserve">BNZ</t>
  </si>
  <si>
    <t xml:space="preserve">TD - 64429362-00003</t>
  </si>
  <si>
    <t xml:space="preserve">BNZ Term Deposit, 1st page</t>
  </si>
  <si>
    <t xml:space="preserve">180 Days</t>
  </si>
  <si>
    <t xml:space="preserve">Matured on 24 October 2023, in same accounting year, instructions for interest are "Add to principal", amount not found in General Ledge, message to pop up "To check &amp; update this field".</t>
  </si>
  <si>
    <t xml:space="preserve">Investment start date is within accounting year 01-04-2023 to 31-03-2024, amount  picked from Term Deposit statement &amp; entered as further advances.</t>
  </si>
  <si>
    <t xml:space="preserve">Value for field "Plus net interest reinvested" calculated as amount in field "Less withdrawals" less amount in field "Principal".</t>
  </si>
  <si>
    <t xml:space="preserve">BNZ Term Deposit, 2nd page</t>
  </si>
  <si>
    <t xml:space="preserve">Previous investment(in example above) reinvested, reinvestment date is 24 October 2023</t>
  </si>
  <si>
    <t xml:space="preserve">Previous investment matured &amp; reinvested in current year, amount picked from Term Deposit statement.</t>
  </si>
  <si>
    <t xml:space="preserve">Maturity date is 21 April 2024 i.e. after balance date of 31 Mar 2024, so balance will remain as is.</t>
  </si>
  <si>
    <t xml:space="preserve">Matured on 13 December 2023, in same accounting year, instructions for interest are "compounding", refer snapshot above. withdrawal amount not found in General Ledger, message to pop up "To check &amp; update this field".</t>
  </si>
  <si>
    <t xml:space="preserve">Once figure for "Less withdrawals" filled through manual intervention, figure for "Plus net interest reinvested" will also entered through manual intervention.</t>
  </si>
  <si>
    <t xml:space="preserve">This examples is for document related to accounting year 01-04-202 to 31-03-2023 we are preparing workpaper for accounting year 2022-23.
Term Deposit matured &amp; reinvested with same investment number, if we check deposit number in Term Deposit statements, it is same everywhere.</t>
  </si>
  <si>
    <t xml:space="preserve">TD - 82000000247827</t>
  </si>
  <si>
    <t xml:space="preserve">181 days</t>
  </si>
  <si>
    <t xml:space="preserve">Investment start date is prior to accounting year 01-04-2022 to 31-03-2023, amount invested picked from Term Deposit statement.</t>
  </si>
  <si>
    <t xml:space="preserve">For "Plus net interest reinvested" figure calculated as below, also refer to the snapshot:</t>
  </si>
  <si>
    <t xml:space="preserve">Amount invested on date immediate last date from accounting year balance date. Date in this case is 07 Feb 2023 &amp; this is immediate last date from accounting year balance date 31/03/2023.</t>
  </si>
  <si>
    <t xml:space="preserve">Less : Opening balance</t>
  </si>
  <si>
    <t xml:space="preserve">Note:</t>
  </si>
  <si>
    <t xml:space="preserve">DSH has 5 rows for investments &amp; need to be kept flexible to show more investments, as per earlier discussion.</t>
  </si>
  <si>
    <t xml:space="preserve">Share investment name</t>
  </si>
  <si>
    <t xml:space="preserve">No. of shares</t>
  </si>
  <si>
    <t xml:space="preserve">Value</t>
  </si>
  <si>
    <t xml:space="preserve">Plus purchases</t>
  </si>
  <si>
    <t xml:space="preserve">Plus dividends reinvested</t>
  </si>
  <si>
    <t xml:space="preserve">(Less) sales</t>
  </si>
  <si>
    <t xml:space="preserve">Plus/(less) revaluation</t>
  </si>
  <si>
    <t xml:space="preserve">Plus non taxable bonus issue</t>
  </si>
  <si>
    <t xml:space="preserve">$ per share</t>
  </si>
  <si>
    <t xml:space="preserve">Details of other assets</t>
  </si>
  <si>
    <t xml:space="preserve">Accounting basis</t>
  </si>
  <si>
    <t xml:space="preserve">Payments</t>
  </si>
  <si>
    <t xml:space="preserve">Period</t>
  </si>
  <si>
    <t xml:space="preserve">Monthly</t>
  </si>
  <si>
    <t xml:space="preserve">GST return information</t>
  </si>
  <si>
    <t xml:space="preserve">Period ended</t>
  </si>
  <si>
    <t xml:space="preserve">Total outputs</t>
  </si>
  <si>
    <t xml:space="preserve">Output tax</t>
  </si>
  <si>
    <t xml:space="preserve">Prior year adjustments</t>
  </si>
  <si>
    <t xml:space="preserve">Box 9 adjustments</t>
  </si>
  <si>
    <t xml:space="preserve">Total inputs</t>
  </si>
  <si>
    <t xml:space="preserve">Input tax</t>
  </si>
  <si>
    <t xml:space="preserve">Box 13 adjustments</t>
  </si>
  <si>
    <t xml:space="preserve">(Payment) / refund</t>
  </si>
  <si>
    <t xml:space="preserve">Paid/rec'd @ bal date</t>
  </si>
  <si>
    <t xml:space="preserve">GL output tax</t>
  </si>
  <si>
    <t xml:space="preserve">GL input tax</t>
  </si>
  <si>
    <t xml:space="preserve">Include variance in total?(y/n)    </t>
  </si>
  <si>
    <t xml:space="preserve">n</t>
  </si>
  <si>
    <t xml:space="preserve">GST ledger information</t>
  </si>
  <si>
    <t xml:space="preserve">Timing differences</t>
  </si>
  <si>
    <t xml:space="preserve">GST returns still outstanding at balance date</t>
  </si>
  <si>
    <t xml:space="preserve">L1.1</t>
  </si>
  <si>
    <t xml:space="preserve">GST returns outstanding from prior year periods</t>
  </si>
  <si>
    <t xml:space="preserve">Accounts receivable per </t>
  </si>
  <si>
    <t xml:space="preserve"> </t>
  </si>
  <si>
    <t xml:space="preserve">Accounts payable per</t>
  </si>
  <si>
    <t xml:space="preserve">Unprocessed payments</t>
  </si>
  <si>
    <t xml:space="preserve">Include unprocessed payments and receipts in total?(y/n)</t>
  </si>
  <si>
    <t xml:space="preserve">y</t>
  </si>
  <si>
    <t xml:space="preserve">F1-10</t>
  </si>
  <si>
    <t xml:space="preserve">Unprocessed receipts</t>
  </si>
  <si>
    <t xml:space="preserve">GST on income (outputs) since last return</t>
  </si>
  <si>
    <t xml:space="preserve">GST on expenses (inputs) since last return</t>
  </si>
  <si>
    <t xml:space="preserve">Cash on hand (payments basis only)</t>
  </si>
  <si>
    <t xml:space="preserve">Income in advance</t>
  </si>
  <si>
    <t xml:space="preserve">Adjustments required</t>
  </si>
  <si>
    <t xml:space="preserve">Narration</t>
  </si>
  <si>
    <t xml:space="preserve">Income not declared</t>
  </si>
  <si>
    <t xml:space="preserve">Income declared in error</t>
  </si>
  <si>
    <t xml:space="preserve">Expenses not claimed </t>
  </si>
  <si>
    <t xml:space="preserve">Expenses claimed in error </t>
  </si>
  <si>
    <t xml:space="preserve">Private use adjustments</t>
  </si>
  <si>
    <t xml:space="preserve">Other adjustments</t>
  </si>
  <si>
    <t xml:space="preserve">Entertainment adjustment </t>
  </si>
  <si>
    <t xml:space="preserve">FBT reimbursement</t>
  </si>
  <si>
    <t xml:space="preserve">Use of home as office</t>
  </si>
  <si>
    <t xml:space="preserve">Capital adjustments - debit</t>
  </si>
  <si>
    <t xml:space="preserve">Capital adjustments - credit</t>
  </si>
  <si>
    <t xml:space="preserve">Return variance (per above)</t>
  </si>
  <si>
    <t xml:space="preserve">Total adjustments</t>
  </si>
  <si>
    <t xml:space="preserve">Ledger totals</t>
  </si>
  <si>
    <t xml:space="preserve">Create adjustment sheet</t>
  </si>
  <si>
    <t xml:space="preserve">GST Period Variance</t>
  </si>
  <si>
    <t xml:space="preserve">Income variances</t>
  </si>
  <si>
    <t xml:space="preserve">Output tax per return</t>
  </si>
  <si>
    <t xml:space="preserve">Output tax per GL</t>
  </si>
  <si>
    <t xml:space="preserve">Explanation</t>
  </si>
  <si>
    <t xml:space="preserve">Total income variance</t>
  </si>
  <si>
    <t xml:space="preserve">Expense variances</t>
  </si>
  <si>
    <t xml:space="preserve"> Input tax  per return</t>
  </si>
  <si>
    <t xml:space="preserve">Input tax per GL</t>
  </si>
  <si>
    <t xml:space="preserve">Total expense variance</t>
  </si>
  <si>
    <t xml:space="preserve">Payments/refunds variance</t>
  </si>
  <si>
    <t xml:space="preserve">(payment)/ refund per return</t>
  </si>
  <si>
    <t xml:space="preserve">(payment)/ refund per   GL</t>
  </si>
  <si>
    <t xml:space="preserve">Total payments/refunds variance</t>
  </si>
  <si>
    <t xml:space="preserve">Details of other liabilities</t>
  </si>
  <si>
    <t xml:space="preserve">Current account name</t>
  </si>
  <si>
    <t xml:space="preserve">Enter Shareholder Name</t>
  </si>
  <si>
    <t xml:space="preserve">Details</t>
  </si>
  <si>
    <t xml:space="preserve">Enter all balances as positive numbers</t>
  </si>
  <si>
    <t xml:space="preserve">Opening Balance    </t>
  </si>
  <si>
    <t xml:space="preserve">Current year profit</t>
  </si>
  <si>
    <t xml:space="preserve">Plus: Capital Introduced</t>
  </si>
  <si>
    <t xml:space="preserve">511 - Shareholder 1 Cash Deposits</t>
  </si>
  <si>
    <t xml:space="preserve">512 - Shareholder 1 Shareholder Salary</t>
  </si>
  <si>
    <t xml:space="preserve">Total funds introduced</t>
  </si>
  <si>
    <t xml:space="preserve">Less: Drawings</t>
  </si>
  <si>
    <t xml:space="preserve">514 - Shareholder 1 Drawings</t>
  </si>
  <si>
    <t xml:space="preserve">518 - Shareholder 1 Personal Tax</t>
  </si>
  <si>
    <t xml:space="preserve">Total drawings</t>
  </si>
  <si>
    <t xml:space="preserve">Closing Balance</t>
  </si>
  <si>
    <t xml:space="preserve">Capital Introduced per cash book</t>
  </si>
  <si>
    <t xml:space="preserve">Salary Received</t>
  </si>
  <si>
    <t xml:space="preserve">Home Office Allowance</t>
  </si>
  <si>
    <t xml:space="preserve">Business Expenses paid Privately</t>
  </si>
  <si>
    <t xml:space="preserve">Drawings per cash book</t>
  </si>
  <si>
    <t xml:space="preserve">Provisional Tax Paid</t>
  </si>
  <si>
    <t xml:space="preserve">Terminal Tax Paid</t>
  </si>
  <si>
    <t xml:space="preserve">Private Portion of Expenses</t>
  </si>
  <si>
    <t xml:space="preserve">Interest on Overdrawn Current Account</t>
  </si>
  <si>
    <t xml:space="preserve">Other entity</t>
  </si>
  <si>
    <t xml:space="preserve">Balance date</t>
  </si>
  <si>
    <t xml:space="preserve">Presetup</t>
  </si>
  <si>
    <t xml:space="preserve">Debits</t>
  </si>
  <si>
    <t xml:space="preserve">Current year net movement as per General Ledger</t>
  </si>
  <si>
    <t xml:space="preserve">2024 - To record RPL transaction  - Light &amp; power - 4 Hardacres</t>
  </si>
  <si>
    <t xml:space="preserve">2024 - To record RPL transaction  - Rates 4 Hardacres</t>
  </si>
  <si>
    <t xml:space="preserve">2024 - To record RPL transaction  - Rates - 7 Nyhon Place</t>
  </si>
  <si>
    <t xml:space="preserve">2024 - To record RPL transaction  - RPL Transfer </t>
  </si>
  <si>
    <t xml:space="preserve">2024 - To record company transaction - Insueance - 4 Hardacre Costs</t>
  </si>
  <si>
    <t xml:space="preserve">2024 - To record company transaction - Deposit on Asset (house Build)</t>
  </si>
  <si>
    <t xml:space="preserve">2024 - To record company transaction - Deposit on Asset </t>
  </si>
  <si>
    <t xml:space="preserve">2024 - To record company transaction</t>
  </si>
  <si>
    <t xml:space="preserve">Total debits</t>
  </si>
  <si>
    <t xml:space="preserve">Credits</t>
  </si>
  <si>
    <t xml:space="preserve">2024 - To record company transaction - Transfers towards rent</t>
  </si>
  <si>
    <t xml:space="preserve">2024 - To record company transaction - Transfers towards fund </t>
  </si>
  <si>
    <t xml:space="preserve">2024 - To record company transaction - Transfers loan payment</t>
  </si>
  <si>
    <t xml:space="preserve">Total credits</t>
  </si>
  <si>
    <t xml:space="preserve">Other entity closing balance </t>
  </si>
  <si>
    <t xml:space="preserve">Lender</t>
  </si>
  <si>
    <t xml:space="preserve">Drawdown date</t>
  </si>
  <si>
    <t xml:space="preserve">Loan #</t>
  </si>
  <si>
    <t xml:space="preserve">Repayment date</t>
  </si>
  <si>
    <t xml:space="preserve">Private %</t>
  </si>
  <si>
    <t xml:space="preserve">Loan purpose</t>
  </si>
  <si>
    <t xml:space="preserve">Term</t>
  </si>
  <si>
    <t xml:space="preserve">Do you accrue interest to the term loan liability?</t>
  </si>
  <si>
    <t xml:space="preserve">What was last year's interest accrual amount?</t>
  </si>
  <si>
    <t xml:space="preserve">Opening balance per GL</t>
  </si>
  <si>
    <t xml:space="preserve">Less last year's interest accrual</t>
  </si>
  <si>
    <t xml:space="preserve">Opening balance less accrual</t>
  </si>
  <si>
    <t xml:space="preserve">Plus advances made</t>
  </si>
  <si>
    <t xml:space="preserve">Less payments made</t>
  </si>
  <si>
    <t xml:space="preserve"># of payments </t>
  </si>
  <si>
    <t xml:space="preserve">  Payment amount</t>
  </si>
  <si>
    <t xml:space="preserve">Other payments</t>
  </si>
  <si>
    <t xml:space="preserve">Interest for the year</t>
  </si>
  <si>
    <t xml:space="preserve">Private</t>
  </si>
  <si>
    <t xml:space="preserve">Outstanding balance per term loan statement</t>
  </si>
  <si>
    <t xml:space="preserve">Plus this year's accrual</t>
  </si>
  <si>
    <t xml:space="preserve">Outstanding term loan balance</t>
  </si>
  <si>
    <t xml:space="preserve">Made up as follows</t>
  </si>
  <si>
    <t xml:space="preserve">Interest</t>
  </si>
  <si>
    <t xml:space="preserve">Business portion</t>
  </si>
  <si>
    <t xml:space="preserve">Private portion</t>
  </si>
  <si>
    <t xml:space="preserve">Calculation of current portion &amp; interest accrual</t>
  </si>
  <si>
    <t xml:space="preserve">Pay periods in year (12, 26 or 52)</t>
  </si>
  <si>
    <t xml:space="preserve">Date interest last paid</t>
  </si>
  <si>
    <t xml:space="preserve">Days since interest last paid</t>
  </si>
  <si>
    <t xml:space="preserve">Payment</t>
  </si>
  <si>
    <t xml:space="preserve">Codes for interest accrual journal</t>
  </si>
  <si>
    <t xml:space="preserve">Balances</t>
  </si>
  <si>
    <t xml:space="preserve">Interest - business</t>
  </si>
  <si>
    <t xml:space="preserve">WP (current)</t>
  </si>
  <si>
    <t xml:space="preserve">Interest - private</t>
  </si>
  <si>
    <t xml:space="preserve">GL (current)</t>
  </si>
  <si>
    <t xml:space="preserve">Term loan</t>
  </si>
  <si>
    <t xml:space="preserve">Codes for current portion journal</t>
  </si>
  <si>
    <t xml:space="preserve">WP (term)</t>
  </si>
  <si>
    <t xml:space="preserve">Current portion</t>
  </si>
  <si>
    <t xml:space="preserve">GL (term)</t>
  </si>
  <si>
    <t xml:space="preserve">Term portion</t>
  </si>
  <si>
    <t xml:space="preserve">Total term loan</t>
  </si>
  <si>
    <t xml:space="preserve">Asset details </t>
  </si>
  <si>
    <t xml:space="preserve">Per attached HP agreement P1/2</t>
  </si>
  <si>
    <t xml:space="preserve">*  Ensure payments made for the year are correct</t>
  </si>
  <si>
    <t xml:space="preserve">Amount financed</t>
  </si>
  <si>
    <t xml:space="preserve">*  Enter opening balance unexpired finance charges</t>
  </si>
  <si>
    <t xml:space="preserve">Finance company</t>
  </si>
  <si>
    <t xml:space="preserve">Total interest</t>
  </si>
  <si>
    <t xml:space="preserve">*  Prepare journals if necessary</t>
  </si>
  <si>
    <t xml:space="preserve">Purchase date</t>
  </si>
  <si>
    <t xml:space="preserve">Monthly payment</t>
  </si>
  <si>
    <t xml:space="preserve">*  Ensure GL &amp; workpaper balances reconcile</t>
  </si>
  <si>
    <t xml:space="preserve">First year of HP</t>
  </si>
  <si>
    <t xml:space="preserve"># of months</t>
  </si>
  <si>
    <t xml:space="preserve">Payments in 1st year</t>
  </si>
  <si>
    <t xml:space="preserve">Balloon payment</t>
  </si>
  <si>
    <t xml:space="preserve">Codes used</t>
  </si>
  <si>
    <t xml:space="preserve">and</t>
  </si>
  <si>
    <t xml:space="preserve">Sum of digits</t>
  </si>
  <si>
    <t xml:space="preserve">Interest calculations</t>
  </si>
  <si>
    <t xml:space="preserve">Months left</t>
  </si>
  <si>
    <t xml:space="preserve">Cumulative interest</t>
  </si>
  <si>
    <t xml:space="preserve">                                                 </t>
  </si>
  <si>
    <t xml:space="preserve">Opening balance of HP this financial year</t>
  </si>
  <si>
    <t xml:space="preserve"># of payments</t>
  </si>
  <si>
    <t xml:space="preserve">Payment amount</t>
  </si>
  <si>
    <t xml:space="preserve">Gross amount owing at balance date </t>
  </si>
  <si>
    <t xml:space="preserve">Made up of</t>
  </si>
  <si>
    <t xml:space="preserve">x</t>
  </si>
  <si>
    <t xml:space="preserve">Opening balance unexpired finance charges</t>
  </si>
  <si>
    <t xml:space="preserve">Less charge for this year</t>
  </si>
  <si>
    <t xml:space="preserve">Closing balance unexpired finance charges</t>
  </si>
  <si>
    <t xml:space="preserve">Net balance of HP</t>
  </si>
  <si>
    <t xml:space="preserve">Current portion calculation (y/n)</t>
  </si>
  <si>
    <t xml:space="preserve">HP payments to be made</t>
  </si>
  <si>
    <t xml:space="preserve">HP interest to be charged in the next 12 months</t>
  </si>
  <si>
    <t xml:space="preserve">Net HP - current portion</t>
  </si>
  <si>
    <t xml:space="preserve">Net HP - term portion</t>
  </si>
  <si>
    <t xml:space="preserve">Total balance of HP</t>
  </si>
  <si>
    <t xml:space="preserve">Balance per workpaper (current)</t>
  </si>
  <si>
    <t xml:space="preserve">Balance per workpaper (term)</t>
  </si>
  <si>
    <t xml:space="preserve">Balance per GL (current)</t>
  </si>
  <si>
    <t xml:space="preserve">Balance per GL (term)</t>
  </si>
  <si>
    <t xml:space="preserve">Tax payable on current year taxable profit </t>
  </si>
  <si>
    <t xml:space="preserve">* Enter any prior years' tax in arrears</t>
  </si>
  <si>
    <t xml:space="preserve">* Enter any refunds due</t>
  </si>
  <si>
    <t xml:space="preserve">Have you posted the tax journal to the General Ledger? (Y or N)</t>
  </si>
  <si>
    <t xml:space="preserve">* Ensure taxation liability or asset matches the balance sheet amount</t>
  </si>
  <si>
    <t xml:space="preserve">Tax on beneficiary income </t>
  </si>
  <si>
    <t xml:space="preserve">Less</t>
  </si>
  <si>
    <t xml:space="preserve">Resident withholding tax paid</t>
  </si>
  <si>
    <t xml:space="preserve">Resident withholding tax paid on PIE &amp; FIF</t>
  </si>
  <si>
    <t xml:space="preserve">Imputation credits attached to dividends received</t>
  </si>
  <si>
    <t xml:space="preserve">Imputation credits attached to PIE &amp; FIF</t>
  </si>
  <si>
    <t xml:space="preserve">Imputation credits converted to losses or excess imputation credits</t>
  </si>
  <si>
    <t xml:space="preserve">Dividend withholding payments paid</t>
  </si>
  <si>
    <t xml:space="preserve">Other tax credits (e.g. overseas tax credits)</t>
  </si>
  <si>
    <t xml:space="preserve">RIT (overpayment) for current year per tax return</t>
  </si>
  <si>
    <t xml:space="preserve">Less provisional tax payments - check via IRD Online</t>
  </si>
  <si>
    <t xml:space="preserve">First instalment</t>
  </si>
  <si>
    <t xml:space="preserve">Second instalment</t>
  </si>
  <si>
    <t xml:space="preserve">Third instalment</t>
  </si>
  <si>
    <t xml:space="preserve">Other payments made</t>
  </si>
  <si>
    <t xml:space="preserve">Voluntary payments</t>
  </si>
  <si>
    <t xml:space="preserve">Tax transferred from other taxpayer</t>
  </si>
  <si>
    <t xml:space="preserve">Tax transferred to other taxpayer</t>
  </si>
  <si>
    <t xml:space="preserve">Total provisional tax payments</t>
  </si>
  <si>
    <t xml:space="preserve">Terminal tax due (refund) per tax return </t>
  </si>
  <si>
    <t xml:space="preserve">Add back provisional tax paid after balance date</t>
  </si>
  <si>
    <t xml:space="preserve">Plus prior years' terminal tax and arrears not yet paid</t>
  </si>
  <si>
    <t xml:space="preserve">Total prior year terminal tax and arrears</t>
  </si>
  <si>
    <t xml:space="preserve">Terminal tax due + prior years' terminal tax and arrears</t>
  </si>
  <si>
    <t xml:space="preserve">Less refunds not received</t>
  </si>
  <si>
    <t xml:space="preserve">Total refunds due</t>
  </si>
  <si>
    <t xml:space="preserve">Less tax payable on current year taxable profit if not posted to General Ledger</t>
  </si>
  <si>
    <t xml:space="preserve">Add back imputation credits not posted to General Ledger</t>
  </si>
  <si>
    <t xml:space="preserve">Taxation liability (asset) per statement of financial position</t>
  </si>
  <si>
    <t xml:space="preserve">Imputation Credit</t>
  </si>
  <si>
    <t xml:space="preserve">Imputation Credit Account</t>
  </si>
  <si>
    <t xml:space="preserve">Year</t>
  </si>
  <si>
    <t xml:space="preserve">Descriptions</t>
  </si>
  <si>
    <t xml:space="preserve">Opening Balnace</t>
  </si>
  <si>
    <t xml:space="preserve">Provisional tax payments</t>
  </si>
  <si>
    <t xml:space="preserve">Total Provisional tax payments made</t>
  </si>
  <si>
    <t xml:space="preserve">Termianl Tax Payments</t>
  </si>
  <si>
    <t xml:space="preserve">RWT</t>
  </si>
  <si>
    <t xml:space="preserve">RWT (Interest)</t>
  </si>
  <si>
    <t xml:space="preserve">RWT (Dividend)</t>
  </si>
  <si>
    <t xml:space="preserve">RWT (PIE/FIF)</t>
  </si>
  <si>
    <t xml:space="preserve">Any Other </t>
  </si>
  <si>
    <t xml:space="preserve">Imputation Credit (Dividends)</t>
  </si>
  <si>
    <t xml:space="preserve">Other Credits (If any)</t>
  </si>
  <si>
    <t xml:space="preserve">Refunds</t>
  </si>
  <si>
    <t xml:space="preserve">Year (XXXX) Income Tax Refund</t>
  </si>
  <si>
    <t xml:space="preserve">Imputation Credit Attached to Dividend Paid</t>
  </si>
  <si>
    <t xml:space="preserve">Other Debits (If any)</t>
  </si>
  <si>
    <t xml:space="preserve">Credits Forfeited</t>
  </si>
  <si>
    <t xml:space="preserve">Closing Balnace </t>
  </si>
  <si>
    <t xml:space="preserve">Imputation Credit Available</t>
  </si>
  <si>
    <t xml:space="preserve">Tax Rate</t>
  </si>
  <si>
    <t xml:space="preserve">Taxable Income</t>
  </si>
  <si>
    <t xml:space="preserve">Tax on Taxable Income</t>
  </si>
  <si>
    <t xml:space="preserve">Less ICs attached to dividends</t>
  </si>
  <si>
    <t xml:space="preserve">Total income tax less dividends paid</t>
  </si>
  <si>
    <t xml:space="preserve">Reconciliation of Calculated ICA Balance to Actual</t>
  </si>
  <si>
    <t xml:space="preserve">Adjust for payments / refunds not received / refunded as at 31 March</t>
  </si>
  <si>
    <t xml:space="preserve">Current year provisional tax not yet paid</t>
  </si>
  <si>
    <t xml:space="preserve">Terminal tax not yet paid</t>
  </si>
  <si>
    <t xml:space="preserve">Refund Due</t>
  </si>
  <si>
    <t xml:space="preserve">Accumulated  ICs conv'd to losses</t>
  </si>
  <si>
    <t xml:space="preserve">B/fd</t>
  </si>
  <si>
    <t xml:space="preserve">CY</t>
  </si>
  <si>
    <t xml:space="preserve">Overseas Tax Credit</t>
  </si>
  <si>
    <t xml:space="preserve">Overseas Tax Credit Lost</t>
  </si>
  <si>
    <t xml:space="preserve">Any Other Adjustments </t>
  </si>
  <si>
    <t xml:space="preserve">Small Balance W/off</t>
  </si>
  <si>
    <t xml:space="preserve">Imputation Credit to Retained Earnings Reconciliation</t>
  </si>
  <si>
    <t xml:space="preserve">Opening</t>
  </si>
  <si>
    <t xml:space="preserve">Accumulated Retained Earnings</t>
  </si>
  <si>
    <t xml:space="preserve">Add :</t>
  </si>
  <si>
    <t xml:space="preserve">Losses attributed to Sharholders</t>
  </si>
  <si>
    <t xml:space="preserve">Others (if any)</t>
  </si>
  <si>
    <t xml:space="preserve">Less :</t>
  </si>
  <si>
    <t xml:space="preserve">Net dividend declared at 28% imputation credits</t>
  </si>
  <si>
    <t xml:space="preserve">Losses</t>
  </si>
  <si>
    <t xml:space="preserve">Losses carried forward</t>
  </si>
  <si>
    <t xml:space="preserve">Losses utilised</t>
  </si>
  <si>
    <t xml:space="preserve">Additional Credits Adjustments</t>
  </si>
  <si>
    <t xml:space="preserve">Non-assessable income</t>
  </si>
  <si>
    <t xml:space="preserve">IC's convertered to loss but not utilised</t>
  </si>
  <si>
    <t xml:space="preserve">Other Credit Adjustments</t>
  </si>
  <si>
    <t xml:space="preserve">Additional Debits Adjustments</t>
  </si>
  <si>
    <t xml:space="preserve">Non-deductible expneses</t>
  </si>
  <si>
    <t xml:space="preserve">IC's attached to dividend when convertered to loss </t>
  </si>
  <si>
    <t xml:space="preserve">Other debit adjustments</t>
  </si>
  <si>
    <t xml:space="preserve">Loss to carry forward</t>
  </si>
  <si>
    <t xml:space="preserve">Retained earning balances</t>
  </si>
  <si>
    <t xml:space="preserve">Name of Sharholder</t>
  </si>
  <si>
    <t xml:space="preserve">No. of shares held at start of the year</t>
  </si>
  <si>
    <t xml:space="preserve">% of total shareholding at start</t>
  </si>
  <si>
    <t xml:space="preserve"># of shares held at balance date</t>
  </si>
  <si>
    <t xml:space="preserve">% of total shareholding at end of year</t>
  </si>
  <si>
    <t xml:space="preserve">lowest % held</t>
  </si>
  <si>
    <t xml:space="preserve">enter name of shareholder 6</t>
  </si>
  <si>
    <t xml:space="preserve">enter name of shareholder 7</t>
  </si>
  <si>
    <t xml:space="preserve">enter name of shareholder 8</t>
  </si>
  <si>
    <t xml:space="preserve">enter name of shareholder 9</t>
  </si>
  <si>
    <t xml:space="preserve">enter name of shareholder 10</t>
  </si>
  <si>
    <t xml:space="preserve">Can losses be carried forward?</t>
  </si>
  <si>
    <t xml:space="preserve">Can imputation credits be carried forward?</t>
  </si>
  <si>
    <t xml:space="preserve">Income</t>
  </si>
  <si>
    <t xml:space="preserve">Rent received</t>
  </si>
  <si>
    <t xml:space="preserve">Total income</t>
  </si>
  <si>
    <t xml:space="preserve">Expenses</t>
  </si>
  <si>
    <t xml:space="preserve">Accounting</t>
  </si>
  <si>
    <t xml:space="preserve">Advertising</t>
  </si>
  <si>
    <t xml:space="preserve">Bank fees</t>
  </si>
  <si>
    <t xml:space="preserve">Body corporate fee</t>
  </si>
  <si>
    <t xml:space="preserve">Electricity</t>
  </si>
  <si>
    <t xml:space="preserve">Loan fee</t>
  </si>
  <si>
    <t xml:space="preserve">Mortgage interest</t>
  </si>
  <si>
    <t xml:space="preserve">Repairs &amp; maintenance</t>
  </si>
  <si>
    <t xml:space="preserve">Water rates</t>
  </si>
  <si>
    <t xml:space="preserve">Total expenses</t>
  </si>
  <si>
    <t xml:space="preserve">Net rental income</t>
  </si>
  <si>
    <t xml:space="preserve">Gross income</t>
  </si>
  <si>
    <t xml:space="preserve">Zero rated</t>
  </si>
  <si>
    <t xml:space="preserve">Income ledger information</t>
  </si>
  <si>
    <t xml:space="preserve">Income per above</t>
  </si>
  <si>
    <t xml:space="preserve">Closing accounts receivable</t>
  </si>
  <si>
    <t xml:space="preserve">Less: Opening accounts receivable</t>
  </si>
  <si>
    <t xml:space="preserve">Less: GST</t>
  </si>
  <si>
    <t xml:space="preserve">Less: Net asset sales per ledger</t>
  </si>
  <si>
    <t xml:space="preserve">         Expense reimbursements</t>
  </si>
  <si>
    <t xml:space="preserve">         Adjustments per GST reconciliation</t>
  </si>
  <si>
    <t xml:space="preserve">Net income per ledger</t>
  </si>
  <si>
    <t xml:space="preserve">Discrepancy</t>
  </si>
  <si>
    <t xml:space="preserve">As a percentage of sales</t>
  </si>
  <si>
    <t xml:space="preserve">Leap yr?</t>
  </si>
  <si>
    <t xml:space="preserve">Vehicle</t>
  </si>
  <si>
    <t xml:space="preserve">Cost including GST</t>
  </si>
  <si>
    <t xml:space="preserve">Tax Book Value including GST</t>
  </si>
  <si>
    <t xml:space="preserve">Days not available</t>
  </si>
  <si>
    <t xml:space="preserve">Days available for private use</t>
  </si>
  <si>
    <t xml:space="preserve">Reimbursement</t>
  </si>
  <si>
    <t xml:space="preserve">Gross fringe benefits reimbursed</t>
  </si>
  <si>
    <t xml:space="preserve">GST on fringe benefits reimbursed</t>
  </si>
  <si>
    <t xml:space="preserve">Net fringe benefits reimbursed</t>
  </si>
  <si>
    <t xml:space="preserve">NZ interest received</t>
  </si>
  <si>
    <t xml:space="preserve">Name of payer</t>
  </si>
  <si>
    <t xml:space="preserve">Gross interest received</t>
  </si>
  <si>
    <t xml:space="preserve">Net interest received</t>
  </si>
  <si>
    <t xml:space="preserve">Less last year's accrual</t>
  </si>
  <si>
    <t xml:space="preserve">Interest receivable</t>
  </si>
  <si>
    <t xml:space="preserve">Total gross interest received</t>
  </si>
  <si>
    <t xml:space="preserve">NZ dividends received</t>
  </si>
  <si>
    <t xml:space="preserve">Date received</t>
  </si>
  <si>
    <t xml:space="preserve">Name of company</t>
  </si>
  <si>
    <t xml:space="preserve">Gross dividend received</t>
  </si>
  <si>
    <t xml:space="preserve">RWT / Dividends withholding </t>
  </si>
  <si>
    <t xml:space="preserve">Imputation credits</t>
  </si>
  <si>
    <t xml:space="preserve">Imputation credits %</t>
  </si>
  <si>
    <t xml:space="preserve">Total tax credits %</t>
  </si>
  <si>
    <t xml:space="preserve">Net dividend</t>
  </si>
  <si>
    <t xml:space="preserve">Listed PIE income</t>
  </si>
  <si>
    <t xml:space="preserve">Net dividend received</t>
  </si>
  <si>
    <t xml:space="preserve">Overseas tax credits</t>
  </si>
  <si>
    <t xml:space="preserve">Listed PIE income - excluded</t>
  </si>
  <si>
    <t xml:space="preserve">Total excluded income</t>
  </si>
  <si>
    <t xml:space="preserve">Total income excluded for income tax</t>
  </si>
  <si>
    <t xml:space="preserve">Unlisted PIE income</t>
  </si>
  <si>
    <t xml:space="preserve">Net income received</t>
  </si>
  <si>
    <t xml:space="preserve">Tax Credits</t>
  </si>
  <si>
    <t xml:space="preserve">Gross income received</t>
  </si>
  <si>
    <t xml:space="preserve">Overseas - Not subject to FIF</t>
  </si>
  <si>
    <t xml:space="preserve">Net income</t>
  </si>
  <si>
    <t xml:space="preserve">NZ RWT</t>
  </si>
  <si>
    <t xml:space="preserve">NZ imputation credits</t>
  </si>
  <si>
    <t xml:space="preserve">IRD deductions</t>
  </si>
  <si>
    <t xml:space="preserve">Actual gross</t>
  </si>
  <si>
    <t xml:space="preserve">Returned to IRD</t>
  </si>
  <si>
    <t xml:space="preserve">PAYE</t>
  </si>
  <si>
    <t xml:space="preserve">Kiwisaver Employee Deductions</t>
  </si>
  <si>
    <t xml:space="preserve">Kiwisaver Employer Contributions (net)</t>
  </si>
  <si>
    <t xml:space="preserve">ESCT</t>
  </si>
  <si>
    <t xml:space="preserve">Student Loan</t>
  </si>
  <si>
    <t xml:space="preserve">Child Support</t>
  </si>
  <si>
    <t xml:space="preserve">Total required IRD payment</t>
  </si>
  <si>
    <t xml:space="preserve">Actually paid to IRD</t>
  </si>
  <si>
    <t xml:space="preserve">Allowance &amp; deductions</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</si>
  <si>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</si>
  <si>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</si>
  <si>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</si>
  <si>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</si>
  <si>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</si>
  <si>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</si>
  <si>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</si>
  <si>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</si>
  <si>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</si>
  <si>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</si>
  <si>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</si>
  <si>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</si>
  <si>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Gross wages returned to IRD - on monthly schedule </t>
  </si>
  <si>
    <t xml:space="preserve">Adjustments required to monthly schedule </t>
  </si>
  <si>
    <t xml:space="preserve">Other reconciling items e.g. rent deductions, non-taxable allowances</t>
  </si>
  <si>
    <t xml:space="preserve">Gross Employer KiwiSaver contributions</t>
  </si>
  <si>
    <t xml:space="preserve">Non-taxable allowances</t>
  </si>
  <si>
    <t xml:space="preserve">Accommodation allowances</t>
  </si>
  <si>
    <t xml:space="preserve">Total gross wages for the year</t>
  </si>
  <si>
    <t xml:space="preserve">Variance as %</t>
  </si>
  <si>
    <t xml:space="preserve">R</t>
  </si>
  <si>
    <t xml:space="preserve">Expenses breakdown details / explanation on movement                            </t>
  </si>
  <si>
    <t xml:space="preserve">ACC Levy</t>
  </si>
  <si>
    <t xml:space="preserve">Enter "N" if GST not applicable </t>
  </si>
  <si>
    <t xml:space="preserve">Total </t>
  </si>
  <si>
    <t xml:space="preserve">Insurance </t>
  </si>
  <si>
    <t xml:space="preserve">Enter "N" if GST not applicable   </t>
  </si>
  <si>
    <t xml:space="preserve">Interest </t>
  </si>
  <si>
    <t xml:space="preserve">Lease / Rent </t>
  </si>
  <si>
    <t xml:space="preserve">Legal </t>
  </si>
  <si>
    <t xml:space="preserve">Repair &amp; maintenance </t>
  </si>
  <si>
    <t xml:space="preserve">Vehicle </t>
  </si>
  <si>
    <t xml:space="preserve">Total entertainment expenses per GL</t>
  </si>
  <si>
    <t xml:space="preserve">Less fully deductible entertainment</t>
  </si>
  <si>
    <t xml:space="preserve">Entertainment subject to 50% rule</t>
  </si>
  <si>
    <t xml:space="preserve">Deductible entertainment expenditure</t>
  </si>
  <si>
    <t xml:space="preserve">Non Deductible entertainment expenditure</t>
  </si>
  <si>
    <t xml:space="preserve">GST on non deductible portions</t>
  </si>
  <si>
    <t xml:space="preserve">Total non deductible</t>
  </si>
  <si>
    <t xml:space="preserve">Journal entry required (for companies,  sole traders and partnerships)</t>
  </si>
  <si>
    <t xml:space="preserve">Drawings / N/D Entertainment</t>
  </si>
  <si>
    <t xml:space="preserve">GST </t>
  </si>
  <si>
    <t xml:space="preserve">Entertainment Expenses</t>
  </si>
  <si>
    <t xml:space="preserve">Area of house (m2)</t>
  </si>
  <si>
    <t xml:space="preserve">Area used for business purpose (m2)</t>
  </si>
  <si>
    <t xml:space="preserve">Percentage to claim</t>
  </si>
  <si>
    <t xml:space="preserve">Method 1</t>
  </si>
  <si>
    <t xml:space="preserve">Method 2</t>
  </si>
  <si>
    <t xml:space="preserve">Expenses with GST</t>
  </si>
  <si>
    <t xml:space="preserve">% to claim</t>
  </si>
  <si>
    <t xml:space="preserve">Gross amount</t>
  </si>
  <si>
    <t xml:space="preserve">Amount to claim</t>
  </si>
  <si>
    <t xml:space="preserve">Power &amp; gas</t>
  </si>
  <si>
    <t xml:space="preserve">Insurance - building</t>
  </si>
  <si>
    <t xml:space="preserve">Insurance - contents</t>
  </si>
  <si>
    <t xml:space="preserve">Telephone rental</t>
  </si>
  <si>
    <t xml:space="preserve">For Method 2 - IRD Rate Method</t>
  </si>
  <si>
    <t xml:space="preserve">IRD Rate</t>
  </si>
  <si>
    <t xml:space="preserve">Business Use</t>
  </si>
  <si>
    <t xml:space="preserve">Expenses without GST</t>
  </si>
  <si>
    <t xml:space="preserve">% of claim</t>
  </si>
  <si>
    <t xml:space="preserve">Net </t>
  </si>
  <si>
    <t xml:space="preserve">Manual Journal :-</t>
  </si>
  <si>
    <t xml:space="preserve">Debit </t>
  </si>
  <si>
    <t xml:space="preserve">Credit </t>
  </si>
  <si>
    <t xml:space="preserve">Home office </t>
  </si>
  <si>
    <t xml:space="preserve">    To Fund Introduced</t>
  </si>
  <si>
    <t xml:space="preserve">(To record Home office expenses as per questionnaire)</t>
  </si>
  <si>
    <t xml:space="preserve">RWT payable?</t>
  </si>
  <si>
    <t xml:space="preserve">Rate</t>
  </si>
  <si>
    <t xml:space="preserve">Do you charge interest on the first day of the following quarter? (y)</t>
  </si>
  <si>
    <t xml:space="preserve">Interest analysis</t>
  </si>
  <si>
    <t xml:space="preserve">Month</t>
  </si>
  <si>
    <t xml:space="preserve">Tax payments </t>
  </si>
  <si>
    <t xml:space="preserve">Allocated monthly</t>
  </si>
  <si>
    <t xml:space="preserve">Capital intro</t>
  </si>
  <si>
    <t xml:space="preserve">Monthly balance</t>
  </si>
  <si>
    <t xml:space="preserve">Overdrawn int rate</t>
  </si>
  <si>
    <t xml:space="preserve">In funds int rate</t>
  </si>
  <si>
    <t xml:space="preserve">Monthly interest</t>
  </si>
  <si>
    <t xml:space="preserve">Quarterly interest</t>
  </si>
  <si>
    <t xml:space="preserve">Adjusted opening balance</t>
  </si>
  <si>
    <t xml:space="preserve">To be allocated monthly:</t>
  </si>
  <si>
    <t xml:space="preserve">Dr.</t>
  </si>
  <si>
    <t xml:space="preserve">Cr.</t>
  </si>
  <si>
    <t xml:space="preserve">Calculation to produce nil company taxable income</t>
  </si>
  <si>
    <t xml:space="preserve">Reconciliation</t>
  </si>
  <si>
    <t xml:space="preserve">Company taxable income prior to shareholder remuneration</t>
  </si>
  <si>
    <t xml:space="preserve">Goal seek to make taxable income nil</t>
  </si>
  <si>
    <t xml:space="preserve">Company taxable income </t>
  </si>
  <si>
    <t xml:space="preserve">Credits:</t>
  </si>
  <si>
    <t xml:space="preserve">Total credits from analysis sheet</t>
  </si>
  <si>
    <t xml:space="preserve">Shareholder remuneration</t>
  </si>
  <si>
    <t xml:space="preserve">Interest received</t>
  </si>
  <si>
    <t xml:space="preserve">Interest on overdrawn current account</t>
  </si>
  <si>
    <t xml:space="preserve">Company taxable income</t>
  </si>
  <si>
    <t xml:space="preserve">Debits:</t>
  </si>
  <si>
    <t xml:space="preserve">Total debits from analysis sheet</t>
  </si>
  <si>
    <t xml:space="preserve">Manual entry of shareholder remuneration (do not use goal seek function above)</t>
  </si>
  <si>
    <t xml:space="preserve">Interest charged</t>
  </si>
  <si>
    <t xml:space="preserve">Closing  balance</t>
  </si>
  <si>
    <t xml:space="preserve">Interest summary</t>
  </si>
  <si>
    <t xml:space="preserve">Interest as calculated</t>
  </si>
  <si>
    <t xml:space="preserve">Net interest</t>
  </si>
  <si>
    <t xml:space="preserve">Journal information</t>
  </si>
  <si>
    <t xml:space="preserve">Shareholders current account - interest charged</t>
  </si>
  <si>
    <t xml:space="preserve">Interest received - shareholders (in the P&amp;L)</t>
  </si>
  <si>
    <t xml:space="preserve">Shareholders RWT</t>
  </si>
  <si>
    <t xml:space="preserve">IRD prescribed interest rates</t>
  </si>
  <si>
    <t xml:space="preserve">month</t>
  </si>
  <si>
    <t xml:space="preserve">rate</t>
  </si>
  <si>
    <t xml:space="preserve">Accounting fee as per financial statements</t>
  </si>
  <si>
    <t xml:space="preserve">Annual accounting fees as per CA Firm's records</t>
  </si>
  <si>
    <t xml:space="preserve">Statement - Activity </t>
  </si>
  <si>
    <t xml:space="preserve">Other adjustments to be made (e.g. accounting software purchased on behalf of client)</t>
  </si>
  <si>
    <t xml:space="preserve">Total accounting fees based on CA firm's records</t>
  </si>
  <si>
    <t xml:space="preserve">Plus Payments to Other Accountants</t>
  </si>
  <si>
    <t xml:space="preserve">Total fee to other accountants</t>
  </si>
  <si>
    <t xml:space="preserve">Total Accounting Fees</t>
  </si>
</sst>
</file>

<file path=xl/styles.xml><?xml version="1.0" encoding="utf-8"?>
<styleSheet xmlns="http://schemas.openxmlformats.org/spreadsheetml/2006/main">
  <numFmts count="45">
    <numFmt numFmtId="164" formatCode="General"/>
    <numFmt numFmtId="165" formatCode="@"/>
    <numFmt numFmtId="166" formatCode="0.00%"/>
    <numFmt numFmtId="167" formatCode="0%"/>
    <numFmt numFmtId="168" formatCode="_-* #,##0.00_-;* \(#,##0.00\);_-* \-??_-;_-@_-"/>
    <numFmt numFmtId="169" formatCode="_-* #,##0.00_-;* \(#,##0.00\);_-* \-??_-;_-@_-"/>
    <numFmt numFmtId="170" formatCode="d/mm/yy;@"/>
    <numFmt numFmtId="171" formatCode="dd/mm/yyyy;@"/>
    <numFmt numFmtId="172" formatCode="_-* #,##0.00_-;\-* #,##0.00_-;_-* \-??_-;_-@_-"/>
    <numFmt numFmtId="173" formatCode="_(* #,##0.00_);_(* \(#,##0.00\);_(* \-??_);_(@_)"/>
    <numFmt numFmtId="174" formatCode="_ * #,##0.00_ ;_ * \-#,##0.00_ ;_ * \-??_ ;_ @_ "/>
    <numFmt numFmtId="175" formatCode="_ * #,##0.00_ ;_ * \-#,##0.00_ ;_ * \-??_ ;_ @_ "/>
    <numFmt numFmtId="176" formatCode="_-\$* #,##0.00_-;&quot;-$&quot;* #,##0.00_-;_-\$* \-??_-;_-@_-"/>
    <numFmt numFmtId="177" formatCode="_(\$* #,##0.00_);_(\$* \(#,##0.00\);_(\$* \-??_);_(@_)"/>
    <numFmt numFmtId="178" formatCode="_ &quot;₹ &quot;* #,##0.00_ ;_ &quot;₹ &quot;* \-#,##0.00_ ;_ &quot;₹ &quot;* \-??_ ;_ @_ "/>
    <numFmt numFmtId="179" formatCode="m/d/yyyy"/>
    <numFmt numFmtId="180" formatCode="#,##0.00"/>
    <numFmt numFmtId="181" formatCode="#,##0.00;\(#,##0.00\)"/>
    <numFmt numFmtId="182" formatCode="d\-mmm\-yy"/>
    <numFmt numFmtId="183" formatCode="[$-409]d\-mmm\-yy;@"/>
    <numFmt numFmtId="184" formatCode="General"/>
    <numFmt numFmtId="185" formatCode="\$#,##0.00_);[RED]&quot;($&quot;#,##0.00\)"/>
    <numFmt numFmtId="186" formatCode="#,##0"/>
    <numFmt numFmtId="187" formatCode="###0.00;\(###0.00\)"/>
    <numFmt numFmtId="188" formatCode="0.00"/>
    <numFmt numFmtId="189" formatCode="#,##0.00_);\(#,##0.00\);&quot;- &quot;_)"/>
    <numFmt numFmtId="190" formatCode="d/mm/yyyy;@"/>
    <numFmt numFmtId="191" formatCode="\(#,##0.00\)"/>
    <numFmt numFmtId="192" formatCode="_-* #,##0.00_-;\-* #,##0.00_-;_-* \-??_-;_-@_-"/>
    <numFmt numFmtId="193" formatCode="_-* #,##0_-;\-* #,##0_-;_-* \-_-;_-@_-"/>
    <numFmt numFmtId="194" formatCode="\(#,###.00\)"/>
    <numFmt numFmtId="195" formatCode="_(* #,##0.00_);_(* \(#,##0.00\);_(* \-??_)"/>
    <numFmt numFmtId="196" formatCode="_(* #,##0.00_);_(* \(#,##0.00\);_(* &quot;&quot;??_);_(@_)"/>
    <numFmt numFmtId="197" formatCode="mmm\-yyyy"/>
    <numFmt numFmtId="198" formatCode="0"/>
    <numFmt numFmtId="199" formatCode="mmm/yyyy"/>
    <numFmt numFmtId="200" formatCode="_-* #,##0_-;\-* #,##0_-;_-* \-_-;_-@_-"/>
    <numFmt numFmtId="201" formatCode=";;;"/>
    <numFmt numFmtId="202" formatCode="_-* \(#,##0.00\)_-;* #,##0.00;_-* \-??_-;_-@_-"/>
    <numFmt numFmtId="203" formatCode="[$-409]mmm\-yy;@"/>
    <numFmt numFmtId="204" formatCode="0.0%"/>
    <numFmt numFmtId="205" formatCode="mmmm"/>
    <numFmt numFmtId="206" formatCode="mmm\-yy"/>
    <numFmt numFmtId="207" formatCode="_-[$$-409]* #,##0.00_ ;_-[$$-409]* \-#,##0.00\ ;_-[$$-409]* \-??_ ;_-@_ "/>
    <numFmt numFmtId="208" formatCode="_ * #,##0_ ;_ * \-#,##0_ ;_ * \-??_ ;_ @_ "/>
  </numFmts>
  <fonts count="94">
    <font>
      <sz val="11"/>
      <color theme="1"/>
      <name val="Aptos Narrow"/>
      <family val="2"/>
      <charset val="1"/>
    </font>
    <font>
      <sz val="10"/>
      <name val="Arial"/>
      <family val="0"/>
    </font>
    <font>
      <sz val="10"/>
      <name val="Arial"/>
      <family val="0"/>
    </font>
    <font>
      <sz val="10"/>
      <name val="Arial"/>
      <family val="0"/>
    </font>
    <font>
      <sz val="11"/>
      <color rgb="FF474747"/>
      <name val="Aptos Narrow"/>
      <family val="2"/>
      <charset val="1"/>
    </font>
    <font>
      <b val="true"/>
      <sz val="12"/>
      <color rgb="FFFFFFFF"/>
      <name val="Aptos Narrow"/>
      <family val="2"/>
      <charset val="1"/>
    </font>
    <font>
      <b val="true"/>
      <sz val="14"/>
      <color rgb="FFDCDCDC"/>
      <name val="Georgia"/>
      <family val="1"/>
      <charset val="1"/>
    </font>
    <font>
      <b val="true"/>
      <sz val="10"/>
      <color rgb="FFBCBCBC"/>
      <name val="Aptos Narrow"/>
      <family val="2"/>
      <charset val="1"/>
    </font>
    <font>
      <u val="single"/>
      <sz val="10"/>
      <color rgb="FFCC6600"/>
      <name val="Arial"/>
      <family val="2"/>
      <charset val="1"/>
    </font>
    <font>
      <u val="single"/>
      <sz val="10"/>
      <name val="Arial"/>
      <family val="2"/>
      <charset val="1"/>
    </font>
    <font>
      <b val="true"/>
      <sz val="12"/>
      <color theme="0"/>
      <name val="Calibri"/>
      <family val="2"/>
      <charset val="1"/>
    </font>
    <font>
      <u val="single"/>
      <sz val="10"/>
      <color rgb="FF007AC3"/>
      <name val="Arial"/>
      <family val="2"/>
      <charset val="1"/>
    </font>
    <font>
      <u val="single"/>
      <sz val="11"/>
      <name val="Arial"/>
      <family val="2"/>
      <charset val="1"/>
    </font>
    <font>
      <u val="single"/>
      <sz val="11"/>
      <color theme="10"/>
      <name val="Calibri"/>
      <family val="2"/>
      <charset val="1"/>
    </font>
    <font>
      <u val="single"/>
      <sz val="13"/>
      <color rgb="FF0000FF"/>
      <name val="Times New Roman"/>
      <family val="1"/>
      <charset val="1"/>
    </font>
    <font>
      <u val="single"/>
      <sz val="11"/>
      <color rgb="FFCC6600"/>
      <name val="Arial"/>
      <family val="2"/>
      <charset val="1"/>
    </font>
    <font>
      <b val="true"/>
      <u val="single"/>
      <sz val="11"/>
      <color theme="5"/>
      <name val="Arial"/>
      <family val="2"/>
      <charset val="1"/>
    </font>
    <font>
      <u val="single"/>
      <sz val="10"/>
      <color theme="10"/>
      <name val="Arial"/>
      <family val="2"/>
      <charset val="1"/>
    </font>
    <font>
      <u val="single"/>
      <sz val="11"/>
      <color theme="10"/>
      <name val="Aptos Narrow"/>
      <family val="2"/>
      <charset val="1"/>
    </font>
    <font>
      <sz val="18"/>
      <color rgb="FF007AC3"/>
      <name val="Webdings"/>
      <family val="1"/>
      <charset val="2"/>
    </font>
    <font>
      <b val="true"/>
      <sz val="11"/>
      <color theme="1"/>
      <name val="Calibri"/>
      <family val="2"/>
      <charset val="1"/>
    </font>
    <font>
      <sz val="10"/>
      <color rgb="FF007AC3"/>
      <name val="Aptos Narrow"/>
      <family val="2"/>
      <charset val="1"/>
    </font>
    <font>
      <sz val="11"/>
      <color rgb="FF9C6500"/>
      <name val="Aptos Narrow"/>
      <family val="2"/>
      <charset val="1"/>
    </font>
    <font>
      <sz val="11"/>
      <color rgb="FF333333"/>
      <name val="Aptos Narrow"/>
      <family val="2"/>
      <charset val="1"/>
    </font>
    <font>
      <sz val="10"/>
      <name val="Arial"/>
      <family val="2"/>
      <charset val="1"/>
    </font>
    <font>
      <sz val="9"/>
      <color theme="1"/>
      <name val="Arial"/>
      <family val="2"/>
      <charset val="1"/>
    </font>
    <font>
      <sz val="13"/>
      <name val="Times New Roman"/>
      <family val="1"/>
      <charset val="1"/>
    </font>
    <font>
      <sz val="11"/>
      <color rgb="FF000000"/>
      <name val="Calibri"/>
      <family val="2"/>
      <charset val="1"/>
    </font>
    <font>
      <sz val="10"/>
      <name val="MS Sans Serif"/>
      <family val="2"/>
      <charset val="1"/>
    </font>
    <font>
      <b val="true"/>
      <sz val="11"/>
      <color rgb="FFDCDCDC"/>
      <name val="Georgia"/>
      <family val="1"/>
      <charset val="1"/>
    </font>
    <font>
      <b val="true"/>
      <sz val="10"/>
      <color rgb="FF474747"/>
      <name val="Aptos Narrow"/>
      <family val="2"/>
      <charset val="1"/>
    </font>
    <font>
      <b val="true"/>
      <sz val="15"/>
      <color theme="0"/>
      <name val="Arial"/>
      <family val="2"/>
      <charset val="1"/>
    </font>
    <font>
      <sz val="11"/>
      <color rgb="FF007AC3"/>
      <name val="Aptos Narrow"/>
      <family val="2"/>
      <charset val="1"/>
    </font>
    <font>
      <sz val="12"/>
      <color theme="0"/>
      <name val="Aptos Narrow"/>
      <family val="2"/>
      <charset val="1"/>
    </font>
    <font>
      <b val="true"/>
      <sz val="12"/>
      <color rgb="FF474747"/>
      <name val="Aptos Narrow"/>
      <family val="2"/>
      <charset val="1"/>
    </font>
    <font>
      <sz val="11"/>
      <color rgb="FF474747"/>
      <name val="Calibri"/>
      <family val="2"/>
      <charset val="1"/>
    </font>
    <font>
      <sz val="11"/>
      <name val="Calibri"/>
      <family val="2"/>
      <charset val="1"/>
    </font>
    <font>
      <b val="true"/>
      <sz val="14"/>
      <color rgb="FF474747"/>
      <name val="Aptos Narrow"/>
      <family val="2"/>
      <charset val="1"/>
    </font>
    <font>
      <sz val="28"/>
      <color theme="1"/>
      <name val="Georgia"/>
      <family val="1"/>
      <charset val="1"/>
    </font>
    <font>
      <sz val="48"/>
      <color rgb="FFBCBCBC"/>
      <name val="Aptos Narrow"/>
      <family val="2"/>
      <charset val="1"/>
    </font>
    <font>
      <b val="true"/>
      <sz val="22"/>
      <color rgb="FF474747"/>
      <name val="Aptos Narrow"/>
      <family val="2"/>
      <charset val="1"/>
    </font>
    <font>
      <sz val="11"/>
      <color theme="1"/>
      <name val="Arial"/>
      <family val="2"/>
      <charset val="1"/>
    </font>
    <font>
      <b val="true"/>
      <sz val="14"/>
      <color theme="1"/>
      <name val="Arial"/>
      <family val="2"/>
      <charset val="1"/>
    </font>
    <font>
      <sz val="12"/>
      <color theme="1"/>
      <name val="Arial"/>
      <family val="2"/>
      <charset val="1"/>
    </font>
    <font>
      <sz val="11"/>
      <color rgb="FFFF0000"/>
      <name val="Arial"/>
      <family val="2"/>
      <charset val="1"/>
    </font>
    <font>
      <u val="single"/>
      <sz val="10"/>
      <color rgb="FF0000FF"/>
      <name val="Arial"/>
      <family val="2"/>
      <charset val="1"/>
    </font>
    <font>
      <b val="true"/>
      <sz val="10"/>
      <color theme="1"/>
      <name val="Arial"/>
      <family val="2"/>
      <charset val="1"/>
    </font>
    <font>
      <b val="true"/>
      <sz val="9"/>
      <color theme="1"/>
      <name val="Arial"/>
      <family val="2"/>
      <charset val="1"/>
    </font>
    <font>
      <sz val="12"/>
      <name val="Arial"/>
      <family val="2"/>
      <charset val="1"/>
    </font>
    <font>
      <sz val="16"/>
      <name val="Arial"/>
      <family val="2"/>
      <charset val="1"/>
    </font>
    <font>
      <u val="single"/>
      <sz val="12"/>
      <color rgb="FF0000FF"/>
      <name val="Arial"/>
      <family val="2"/>
      <charset val="1"/>
    </font>
    <font>
      <sz val="12"/>
      <color rgb="FFFF0000"/>
      <name val="Arial"/>
      <family val="2"/>
      <charset val="1"/>
    </font>
    <font>
      <u val="single"/>
      <sz val="12"/>
      <color rgb="FFFF0000"/>
      <name val="Arial"/>
      <family val="2"/>
      <charset val="1"/>
    </font>
    <font>
      <sz val="10"/>
      <color theme="1"/>
      <name val="Arial"/>
      <family val="2"/>
      <charset val="1"/>
    </font>
    <font>
      <sz val="12"/>
      <color rgb="FFED0000"/>
      <name val="Arial"/>
      <family val="2"/>
      <charset val="1"/>
    </font>
    <font>
      <u val="single"/>
      <sz val="10"/>
      <color rgb="FFED0000"/>
      <name val="Arial"/>
      <family val="2"/>
      <charset val="1"/>
    </font>
    <font>
      <sz val="10"/>
      <color rgb="FFED0000"/>
      <name val="Arial"/>
      <family val="2"/>
      <charset val="1"/>
    </font>
    <font>
      <sz val="11"/>
      <name val="Arial"/>
      <family val="2"/>
      <charset val="1"/>
    </font>
    <font>
      <sz val="11"/>
      <color rgb="FFE5202E"/>
      <name val="Arial"/>
      <family val="2"/>
      <charset val="1"/>
    </font>
    <font>
      <sz val="14"/>
      <name val="Arial"/>
      <family val="2"/>
      <charset val="1"/>
    </font>
    <font>
      <sz val="11"/>
      <color rgb="FF0000FF"/>
      <name val="Arial"/>
      <family val="2"/>
      <charset val="1"/>
    </font>
    <font>
      <sz val="10"/>
      <color rgb="FF0000FF"/>
      <name val="Arial"/>
      <family val="2"/>
      <charset val="1"/>
    </font>
    <font>
      <sz val="10"/>
      <name val="Arial"/>
      <family val="2"/>
    </font>
    <font>
      <sz val="16"/>
      <color theme="1"/>
      <name val="Arial"/>
      <family val="2"/>
      <charset val="1"/>
    </font>
    <font>
      <i val="true"/>
      <sz val="11"/>
      <name val="Arial"/>
      <family val="2"/>
      <charset val="1"/>
    </font>
    <font>
      <sz val="14"/>
      <color rgb="FF474747"/>
      <name val="Arial"/>
      <family val="2"/>
      <charset val="1"/>
    </font>
    <font>
      <sz val="12"/>
      <color rgb="FF474747"/>
      <name val="Arial"/>
      <family val="2"/>
      <charset val="1"/>
    </font>
    <font>
      <i val="true"/>
      <sz val="12"/>
      <name val="Arial"/>
      <family val="2"/>
      <charset val="1"/>
    </font>
    <font>
      <sz val="8"/>
      <name val="Arial"/>
      <family val="2"/>
      <charset val="1"/>
    </font>
    <font>
      <sz val="11"/>
      <color rgb="FFFF0000"/>
      <name val="Aptos Narrow"/>
      <family val="2"/>
      <charset val="1"/>
    </font>
    <font>
      <b val="true"/>
      <sz val="11"/>
      <color rgb="FFFF0000"/>
      <name val="Arial"/>
      <family val="2"/>
      <charset val="1"/>
    </font>
    <font>
      <sz val="10"/>
      <color rgb="FFFF0000"/>
      <name val="Arial"/>
      <family val="2"/>
      <charset val="1"/>
    </font>
    <font>
      <sz val="11"/>
      <color rgb="FF474747"/>
      <name val="Arial"/>
      <family val="2"/>
      <charset val="1"/>
    </font>
    <font>
      <sz val="16"/>
      <color rgb="FF333333"/>
      <name val="Arial"/>
      <family val="2"/>
      <charset val="1"/>
    </font>
    <font>
      <u val="single"/>
      <sz val="9"/>
      <name val="Arial"/>
      <family val="2"/>
      <charset val="1"/>
    </font>
    <font>
      <sz val="11"/>
      <color rgb="FF333333"/>
      <name val="Arial"/>
      <family val="2"/>
      <charset val="1"/>
    </font>
    <font>
      <sz val="11"/>
      <color rgb="FFFFFFFF"/>
      <name val="Arial"/>
      <family val="2"/>
      <charset val="1"/>
    </font>
    <font>
      <sz val="10"/>
      <color rgb="FF474747"/>
      <name val="Arial"/>
      <family val="2"/>
      <charset val="1"/>
    </font>
    <font>
      <sz val="10"/>
      <color rgb="FF333333"/>
      <name val="Arial"/>
      <family val="2"/>
      <charset val="1"/>
    </font>
    <font>
      <sz val="12"/>
      <color rgb="FFFFFFFF"/>
      <name val="Arial"/>
      <family val="2"/>
      <charset val="1"/>
    </font>
    <font>
      <u val="single"/>
      <sz val="12"/>
      <name val="Arial"/>
      <family val="2"/>
      <charset val="1"/>
    </font>
    <font>
      <sz val="15"/>
      <name val="Arial"/>
      <family val="2"/>
      <charset val="1"/>
    </font>
    <font>
      <i val="true"/>
      <sz val="10"/>
      <name val="Arial"/>
      <family val="2"/>
      <charset val="1"/>
    </font>
    <font>
      <u val="single"/>
      <sz val="11"/>
      <color theme="5"/>
      <name val="Arial"/>
      <family val="2"/>
      <charset val="1"/>
    </font>
    <font>
      <sz val="11"/>
      <color rgb="FFFF9900"/>
      <name val="Arial"/>
      <family val="2"/>
      <charset val="1"/>
    </font>
    <font>
      <sz val="13"/>
      <name val="Arial"/>
      <family val="2"/>
      <charset val="1"/>
    </font>
    <font>
      <sz val="10"/>
      <color rgb="FFFFFFFF"/>
      <name val="Arial"/>
      <family val="2"/>
      <charset val="1"/>
    </font>
    <font>
      <u val="single"/>
      <sz val="11"/>
      <color rgb="FF333333"/>
      <name val="Arial"/>
      <family val="2"/>
      <charset val="1"/>
    </font>
    <font>
      <u val="single"/>
      <sz val="11"/>
      <color rgb="FF0000FF"/>
      <name val="Arial"/>
      <family val="2"/>
      <charset val="1"/>
    </font>
    <font>
      <b val="true"/>
      <sz val="16"/>
      <name val="Arial"/>
      <family val="2"/>
      <charset val="1"/>
    </font>
    <font>
      <b val="true"/>
      <sz val="11"/>
      <name val="Arial"/>
      <family val="2"/>
      <charset val="1"/>
    </font>
    <font>
      <sz val="10"/>
      <color theme="1"/>
      <name val="Aptos Narrow"/>
      <family val="2"/>
      <charset val="1"/>
    </font>
    <font>
      <b val="true"/>
      <sz val="10"/>
      <name val="Arial"/>
      <family val="2"/>
      <charset val="1"/>
    </font>
    <font>
      <i val="true"/>
      <sz val="9"/>
      <name val="Arial"/>
      <family val="2"/>
      <charset val="1"/>
    </font>
  </fonts>
  <fills count="26">
    <fill>
      <patternFill patternType="none"/>
    </fill>
    <fill>
      <patternFill patternType="gray125"/>
    </fill>
    <fill>
      <patternFill patternType="solid">
        <fgColor rgb="FFDCE6F1"/>
        <bgColor rgb="FFE4E4E4"/>
      </patternFill>
    </fill>
    <fill>
      <patternFill patternType="solid">
        <fgColor rgb="FFFFE6BD"/>
        <bgColor rgb="FFFFE4B9"/>
      </patternFill>
    </fill>
    <fill>
      <patternFill patternType="solid">
        <fgColor rgb="FF007AC3"/>
        <bgColor rgb="FF009881"/>
      </patternFill>
    </fill>
    <fill>
      <patternFill patternType="solid">
        <fgColor rgb="FFEA8F00"/>
        <bgColor rgb="FFFF9900"/>
      </patternFill>
    </fill>
    <fill>
      <patternFill patternType="solid">
        <fgColor theme="0"/>
        <bgColor rgb="FFF5F5F5"/>
      </patternFill>
    </fill>
    <fill>
      <patternFill patternType="solid">
        <fgColor rgb="FFF5F5F5"/>
        <bgColor rgb="FFF2F2F2"/>
      </patternFill>
    </fill>
    <fill>
      <patternFill patternType="solid">
        <fgColor rgb="FFFFE4B9"/>
        <bgColor rgb="FFFFE6BD"/>
      </patternFill>
    </fill>
    <fill>
      <patternFill patternType="solid">
        <fgColor rgb="FFFFEB9C"/>
        <bgColor rgb="FFFFE4B9"/>
      </patternFill>
    </fill>
    <fill>
      <patternFill patternType="solid">
        <fgColor rgb="FFDCDCDC"/>
        <bgColor rgb="FFD9D9D9"/>
      </patternFill>
    </fill>
    <fill>
      <patternFill patternType="solid">
        <fgColor rgb="FFE5202E"/>
        <bgColor rgb="FFED0000"/>
      </patternFill>
    </fill>
    <fill>
      <patternFill patternType="solid">
        <fgColor rgb="FFFBDDDF"/>
        <bgColor rgb="FFFFE6BD"/>
      </patternFill>
    </fill>
    <fill>
      <patternFill patternType="solid">
        <fgColor theme="0" tint="-0.25"/>
        <bgColor rgb="FFC0C0C0"/>
      </patternFill>
    </fill>
    <fill>
      <patternFill patternType="solid">
        <fgColor rgb="FF00B0F0"/>
        <bgColor rgb="FF45B1E1"/>
      </patternFill>
    </fill>
    <fill>
      <patternFill patternType="solid">
        <fgColor theme="0" tint="-0.05"/>
        <bgColor rgb="FFF5F5F5"/>
      </patternFill>
    </fill>
    <fill>
      <patternFill patternType="solid">
        <fgColor theme="4" tint="0.3997"/>
        <bgColor rgb="FF00B0F0"/>
      </patternFill>
    </fill>
    <fill>
      <patternFill patternType="solid">
        <fgColor theme="7" tint="0.7999"/>
        <bgColor rgb="FFC1E5F5"/>
      </patternFill>
    </fill>
    <fill>
      <patternFill patternType="solid">
        <fgColor rgb="FF92D050"/>
        <bgColor rgb="FF7AC043"/>
      </patternFill>
    </fill>
    <fill>
      <patternFill patternType="solid">
        <fgColor theme="4" tint="0.7999"/>
        <bgColor rgb="FFCAEEFB"/>
      </patternFill>
    </fill>
    <fill>
      <patternFill patternType="solid">
        <fgColor rgb="FFFFFF00"/>
        <bgColor rgb="FFFFEB9C"/>
      </patternFill>
    </fill>
    <fill>
      <patternFill patternType="solid">
        <fgColor rgb="FFC0C0C0"/>
        <bgColor rgb="FFBFBFBF"/>
      </patternFill>
    </fill>
    <fill>
      <patternFill patternType="solid">
        <fgColor rgb="FF333333"/>
        <bgColor rgb="FF474747"/>
      </patternFill>
    </fill>
    <fill>
      <patternFill patternType="solid">
        <fgColor theme="0" tint="-0.15"/>
        <bgColor rgb="FFDCDCDC"/>
      </patternFill>
    </fill>
    <fill>
      <patternFill patternType="solid">
        <fgColor theme="2" tint="-0.1"/>
        <bgColor rgb="FFD9D9D9"/>
      </patternFill>
    </fill>
    <fill>
      <patternFill patternType="solid">
        <fgColor rgb="FFFFFFCC"/>
        <bgColor rgb="FFF5F5F5"/>
      </patternFill>
    </fill>
  </fills>
  <borders count="187">
    <border diagonalUp="false" diagonalDown="false">
      <left/>
      <right/>
      <top/>
      <bottom/>
      <diagonal/>
    </border>
    <border diagonalUp="false" diagonalDown="false">
      <left style="thin">
        <color rgb="FF007AC3"/>
      </left>
      <right style="thin">
        <color rgb="FF007AC3"/>
      </right>
      <top style="thin">
        <color rgb="FF007AC3"/>
      </top>
      <bottom style="thin">
        <color rgb="FF007AC3"/>
      </bottom>
      <diagonal/>
    </border>
    <border diagonalUp="false" diagonalDown="false">
      <left style="thin">
        <color rgb="FFEA8F00"/>
      </left>
      <right style="thin">
        <color rgb="FFEA8F00"/>
      </right>
      <top style="thin">
        <color rgb="FFEA8F00"/>
      </top>
      <bottom style="thin">
        <color rgb="FFEA8F00"/>
      </bottom>
      <diagonal/>
    </border>
    <border diagonalUp="false" diagonalDown="false">
      <left style="thin">
        <color rgb="FFE4E4E4"/>
      </left>
      <right style="thin">
        <color rgb="FFE4E4E4"/>
      </right>
      <top style="thin">
        <color rgb="FFE4E4E4"/>
      </top>
      <bottom style="thin">
        <color rgb="FFE4E4E4"/>
      </bottom>
      <diagonal/>
    </border>
    <border diagonalUp="false" diagonalDown="false">
      <left style="thin">
        <color theme="0" tint="-0.25"/>
      </left>
      <right style="thin">
        <color theme="0" tint="-0.25"/>
      </right>
      <top style="thin">
        <color theme="0" tint="-0.25"/>
      </top>
      <bottom style="thin">
        <color theme="0" tint="-0.25"/>
      </bottom>
      <diagonal/>
    </border>
    <border diagonalUp="false" diagonalDown="false">
      <left/>
      <right/>
      <top/>
      <bottom style="thick">
        <color theme="0" tint="-0.25"/>
      </bottom>
      <diagonal/>
    </border>
    <border diagonalUp="false" diagonalDown="false">
      <left/>
      <right/>
      <top/>
      <bottom style="thick">
        <color rgb="FFE4E4E4"/>
      </bottom>
      <diagonal/>
    </border>
    <border diagonalUp="false" diagonalDown="false">
      <left style="thick">
        <color rgb="FFE5202E"/>
      </left>
      <right style="thick">
        <color rgb="FFE5202E"/>
      </right>
      <top style="thick">
        <color rgb="FFE5202E"/>
      </top>
      <bottom style="thick">
        <color rgb="FFE5202E"/>
      </bottom>
      <diagonal/>
    </border>
    <border diagonalUp="false" diagonalDown="false">
      <left style="thick">
        <color rgb="FF007AC3"/>
      </left>
      <right style="thick">
        <color rgb="FF007AC3"/>
      </right>
      <top/>
      <bottom style="thick">
        <color rgb="FF007AC3"/>
      </bottom>
      <diagonal/>
    </border>
    <border diagonalUp="false" diagonalDown="false">
      <left style="thick">
        <color rgb="FF007AC3"/>
      </left>
      <right/>
      <top style="thick">
        <color rgb="FF007AC3"/>
      </top>
      <bottom style="thick">
        <color rgb="FF007AC3"/>
      </bottom>
      <diagonal/>
    </border>
    <border diagonalUp="false" diagonalDown="false">
      <left style="thin">
        <color rgb="FFE5202E"/>
      </left>
      <right style="thin">
        <color rgb="FFE5202E"/>
      </right>
      <top style="thin">
        <color rgb="FFE5202E"/>
      </top>
      <bottom style="thin">
        <color rgb="FFE5202E"/>
      </bottom>
      <diagonal/>
    </border>
    <border diagonalUp="false" diagonalDown="false">
      <left style="thin">
        <color theme="0" tint="-0.25"/>
      </left>
      <right style="thin">
        <color theme="0" tint="-0.25"/>
      </right>
      <top style="thin">
        <color theme="0" tint="-0.25"/>
      </top>
      <bottom style="thick">
        <color theme="0" tint="-0.25"/>
      </bottom>
      <diagonal/>
    </border>
    <border diagonalUp="false" diagonalDown="false">
      <left/>
      <right/>
      <top/>
      <bottom style="double">
        <color rgb="FFE4E4E4"/>
      </bottom>
      <diagonal/>
    </border>
    <border diagonalUp="false" diagonalDown="false">
      <left/>
      <right/>
      <top/>
      <bottom style="double">
        <color theme="0" tint="-0.25"/>
      </bottom>
      <diagonal/>
    </border>
    <border diagonalUp="false" diagonalDown="false">
      <left/>
      <right/>
      <top style="thick">
        <color theme="0" tint="-0.25"/>
      </top>
      <bottom style="double">
        <color theme="0" tint="-0.25"/>
      </bottom>
      <diagonal/>
    </border>
    <border diagonalUp="false" diagonalDown="false">
      <left/>
      <right/>
      <top/>
      <bottom style="thin"/>
      <diagonal/>
    </border>
    <border diagonalUp="false" diagonalDown="false">
      <left/>
      <right/>
      <top style="thin">
        <color rgb="FFEBEBEB"/>
      </top>
      <bottom/>
      <diagonal/>
    </border>
    <border diagonalUp="false" diagonalDown="false">
      <left style="thin">
        <color rgb="FFE5202E"/>
      </left>
      <right/>
      <top style="thin">
        <color rgb="FFE5202E"/>
      </top>
      <bottom style="thin">
        <color rgb="FFE5202E"/>
      </bottom>
      <diagonal/>
    </border>
    <border diagonalUp="false" diagonalDown="false">
      <left/>
      <right style="thin">
        <color rgb="FFE5202E"/>
      </right>
      <top style="thin">
        <color rgb="FFE5202E"/>
      </top>
      <bottom style="thin">
        <color rgb="FFE5202E"/>
      </bottom>
      <diagonal/>
    </border>
    <border diagonalUp="false" diagonalDown="false">
      <left/>
      <right/>
      <top/>
      <bottom style="thin">
        <color theme="0" tint="-0.35"/>
      </bottom>
      <diagonal/>
    </border>
    <border diagonalUp="false" diagonalDown="false">
      <left/>
      <right/>
      <top/>
      <bottom style="thin">
        <color theme="0" tint="-0.25"/>
      </bottom>
      <diagonal/>
    </border>
    <border diagonalUp="false" diagonalDown="false">
      <left/>
      <right/>
      <top style="thin">
        <color theme="0" tint="-0.25"/>
      </top>
      <bottom/>
      <diagonal/>
    </border>
    <border diagonalUp="false" diagonalDown="false">
      <left/>
      <right style="thin">
        <color theme="0" tint="-0.25"/>
      </right>
      <top style="thin">
        <color theme="0" tint="-0.25"/>
      </top>
      <bottom style="thin">
        <color theme="0" tint="-0.25"/>
      </bottom>
      <diagonal/>
    </border>
    <border diagonalUp="false" diagonalDown="false">
      <left/>
      <right style="thin">
        <color theme="0" tint="-0.25"/>
      </right>
      <top style="thin">
        <color theme="0" tint="-0.25"/>
      </top>
      <bottom/>
      <diagonal/>
    </border>
    <border diagonalUp="false" diagonalDown="false">
      <left style="thick">
        <color theme="0" tint="-0.25"/>
      </left>
      <right/>
      <top style="thick">
        <color theme="0" tint="-0.25"/>
      </top>
      <bottom/>
      <diagonal/>
    </border>
    <border diagonalUp="false" diagonalDown="false">
      <left style="thick">
        <color theme="0" tint="-0.25"/>
      </left>
      <right/>
      <top/>
      <bottom style="thin">
        <color theme="0" tint="-0.25"/>
      </bottom>
      <diagonal/>
    </border>
    <border diagonalUp="false" diagonalDown="false">
      <left/>
      <right style="thin">
        <color theme="0" tint="-0.25"/>
      </right>
      <top/>
      <bottom/>
      <diagonal/>
    </border>
    <border diagonalUp="false" diagonalDown="false">
      <left style="thin">
        <color theme="0" tint="-0.25"/>
      </left>
      <right/>
      <top style="thin">
        <color theme="0" tint="-0.25"/>
      </top>
      <bottom/>
      <diagonal/>
    </border>
    <border diagonalUp="false" diagonalDown="false">
      <left style="thick">
        <color theme="0" tint="-0.25"/>
      </left>
      <right/>
      <top style="thin">
        <color theme="0" tint="-0.25"/>
      </top>
      <bottom/>
      <diagonal/>
    </border>
    <border diagonalUp="false" diagonalDown="false">
      <left style="thick">
        <color theme="0" tint="-0.25"/>
      </left>
      <right style="thin">
        <color theme="0" tint="-0.25"/>
      </right>
      <top style="thin">
        <color theme="0" tint="-0.25"/>
      </top>
      <bottom style="thick">
        <color theme="0" tint="-0.25"/>
      </bottom>
      <diagonal/>
    </border>
    <border diagonalUp="false" diagonalDown="false">
      <left style="thin">
        <color theme="0" tint="-0.25"/>
      </left>
      <right style="thin">
        <color theme="0" tint="-0.25"/>
      </right>
      <top/>
      <bottom/>
      <diagonal/>
    </border>
    <border diagonalUp="false" diagonalDown="false">
      <left/>
      <right/>
      <top style="thick">
        <color theme="0" tint="-0.25"/>
      </top>
      <bottom/>
      <diagonal/>
    </border>
    <border diagonalUp="false" diagonalDown="false">
      <left/>
      <right/>
      <top style="double">
        <color theme="0" tint="-0.25"/>
      </top>
      <bottom/>
      <diagonal/>
    </border>
    <border diagonalUp="false" diagonalDown="false">
      <left style="thin">
        <color theme="0" tint="-0.25"/>
      </left>
      <right style="thin">
        <color theme="0" tint="-0.25"/>
      </right>
      <top style="thin">
        <color theme="0" tint="-0.25"/>
      </top>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style="hair"/>
      <right/>
      <top style="medium"/>
      <bottom style="hair"/>
      <diagonal/>
    </border>
    <border diagonalUp="false" diagonalDown="false">
      <left style="hair"/>
      <right style="medium"/>
      <top style="medium"/>
      <bottom style="hair"/>
      <diagonal/>
    </border>
    <border diagonalUp="false" diagonalDown="false">
      <left style="medium"/>
      <right style="medium"/>
      <top style="medium"/>
      <bottom style="medium"/>
      <diagonal/>
    </border>
    <border diagonalUp="false" diagonalDown="false">
      <left style="medium"/>
      <right style="hair"/>
      <top style="hair"/>
      <bottom style="hair"/>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hair"/>
      <right style="hair"/>
      <top style="hair"/>
      <bottom/>
      <diagonal/>
    </border>
    <border diagonalUp="false" diagonalDown="false">
      <left style="hair"/>
      <right style="medium"/>
      <top style="hair"/>
      <bottom/>
      <diagonal/>
    </border>
    <border diagonalUp="false" diagonalDown="false">
      <left style="hair"/>
      <right style="hair"/>
      <top style="thin"/>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double"/>
      <diagonal/>
    </border>
    <border diagonalUp="false" diagonalDown="false">
      <left style="medium"/>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thin"/>
      <right style="thin"/>
      <top style="thin"/>
      <bottom style="thin"/>
      <diagonal/>
    </border>
    <border diagonalUp="false" diagonalDown="false">
      <left style="thin"/>
      <right style="hair"/>
      <top style="hair"/>
      <bottom style="hair"/>
      <diagonal/>
    </border>
    <border diagonalUp="false" diagonalDown="false">
      <left style="hair"/>
      <right style="thin"/>
      <top style="hair"/>
      <bottom style="hair"/>
      <diagonal/>
    </border>
    <border diagonalUp="false" diagonalDown="false">
      <left style="thin"/>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 diagonalUp="false" diagonalDown="false">
      <left/>
      <right/>
      <top/>
      <bottom style="medium"/>
      <diagonal/>
    </border>
    <border diagonalUp="false" diagonalDown="false">
      <left style="thin"/>
      <right style="hair"/>
      <top style="thin"/>
      <bottom style="hair"/>
      <diagonal/>
    </border>
    <border diagonalUp="false" diagonalDown="false">
      <left/>
      <right/>
      <top style="thin"/>
      <bottom/>
      <diagonal/>
    </border>
    <border diagonalUp="false" diagonalDown="false">
      <left/>
      <right/>
      <top style="thin"/>
      <bottom style="medium"/>
      <diagonal/>
    </border>
    <border diagonalUp="false" diagonalDown="false">
      <left style="thick"/>
      <right/>
      <top style="thick"/>
      <bottom style="thin"/>
      <diagonal/>
    </border>
    <border diagonalUp="false" diagonalDown="false">
      <left/>
      <right style="thin"/>
      <top style="thick"/>
      <bottom style="thin"/>
      <diagonal/>
    </border>
    <border diagonalUp="false" diagonalDown="false">
      <left style="thin"/>
      <right style="thick"/>
      <top style="thick"/>
      <bottom style="thin"/>
      <diagonal/>
    </border>
    <border diagonalUp="false" diagonalDown="false">
      <left style="thick"/>
      <right/>
      <top style="thin"/>
      <bottom style="thin"/>
      <diagonal/>
    </border>
    <border diagonalUp="false" diagonalDown="false">
      <left/>
      <right style="thin"/>
      <top style="thin"/>
      <bottom style="thin"/>
      <diagonal/>
    </border>
    <border diagonalUp="false" diagonalDown="false">
      <left style="thin"/>
      <right style="thick"/>
      <top style="thin"/>
      <bottom style="thin"/>
      <diagonal/>
    </border>
    <border diagonalUp="false" diagonalDown="false">
      <left style="thick"/>
      <right/>
      <top style="thin"/>
      <bottom style="thick"/>
      <diagonal/>
    </border>
    <border diagonalUp="false" diagonalDown="false">
      <left/>
      <right style="thin"/>
      <top style="thin"/>
      <bottom style="thick"/>
      <diagonal/>
    </border>
    <border diagonalUp="false" diagonalDown="false">
      <left style="thin"/>
      <right style="thick"/>
      <top style="thin"/>
      <bottom style="thick"/>
      <diagonal/>
    </border>
    <border diagonalUp="false" diagonalDown="false">
      <left style="thin"/>
      <right/>
      <top style="thin"/>
      <bottom style="thin"/>
      <diagonal/>
    </border>
    <border diagonalUp="false" diagonalDown="false">
      <left style="thin">
        <color theme="0"/>
      </left>
      <right style="thin">
        <color theme="0"/>
      </right>
      <top style="thin">
        <color theme="0"/>
      </top>
      <bottom style="thin">
        <color theme="0"/>
      </bottom>
      <diagonal/>
    </border>
    <border diagonalUp="false" diagonalDown="false">
      <left style="thin"/>
      <right style="thick"/>
      <top/>
      <bottom style="thin"/>
      <diagonal/>
    </border>
    <border diagonalUp="false" diagonalDown="false">
      <left style="thin"/>
      <right style="hair"/>
      <top/>
      <bottom style="hair"/>
      <diagonal/>
    </border>
    <border diagonalUp="false" diagonalDown="false">
      <left style="hair"/>
      <right style="thin"/>
      <top/>
      <bottom style="hair"/>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diagonal/>
    </border>
    <border diagonalUp="false" diagonalDown="false">
      <left style="thin"/>
      <right/>
      <top style="thin"/>
      <bottom style="hair"/>
      <diagonal/>
    </border>
    <border diagonalUp="false" diagonalDown="false">
      <left/>
      <right style="hair"/>
      <top style="thin"/>
      <bottom style="hair"/>
      <diagonal/>
    </border>
    <border diagonalUp="false" diagonalDown="false">
      <left style="hair"/>
      <right style="thin"/>
      <top style="thin"/>
      <bottom style="hair"/>
      <diagonal/>
    </border>
    <border diagonalUp="false" diagonalDown="false">
      <left style="thin"/>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thin"/>
      <right style="thin"/>
      <top style="thin"/>
      <bottom style="double"/>
      <diagonal/>
    </border>
    <border diagonalUp="false" diagonalDown="false">
      <left style="thin"/>
      <right/>
      <top style="hair"/>
      <bottom style="thin"/>
      <diagonal/>
    </border>
    <border diagonalUp="false" diagonalDown="false">
      <left/>
      <right/>
      <top style="hair"/>
      <bottom style="thin"/>
      <diagonal/>
    </border>
    <border diagonalUp="false" diagonalDown="false">
      <left/>
      <right style="hair"/>
      <top style="hair"/>
      <bottom style="thin"/>
      <diagonal/>
    </border>
    <border diagonalUp="false" diagonalDown="false">
      <left style="thin"/>
      <right style="thin"/>
      <top style="hair"/>
      <bottom style="thin"/>
      <diagonal/>
    </border>
    <border diagonalUp="false" diagonalDown="false">
      <left/>
      <right/>
      <top/>
      <bottom style="double"/>
      <diagonal/>
    </border>
    <border diagonalUp="false" diagonalDown="false">
      <left/>
      <right/>
      <top style="medium"/>
      <bottom style="hair"/>
      <diagonal/>
    </border>
    <border diagonalUp="false" diagonalDown="false">
      <left style="hair"/>
      <right style="medium"/>
      <top style="thin"/>
      <bottom style="thin"/>
      <diagonal/>
    </border>
    <border diagonalUp="false" diagonalDown="false">
      <left style="medium"/>
      <right/>
      <top/>
      <bottom/>
      <diagonal/>
    </border>
    <border diagonalUp="false" diagonalDown="false">
      <left style="medium"/>
      <right/>
      <top style="hair"/>
      <bottom style="hair"/>
      <diagonal/>
    </border>
    <border diagonalUp="false" diagonalDown="false">
      <left style="hair"/>
      <right style="medium"/>
      <top/>
      <bottom/>
      <diagonal/>
    </border>
    <border diagonalUp="false" diagonalDown="false">
      <left style="medium"/>
      <right/>
      <top style="hair"/>
      <bottom style="medium"/>
      <diagonal/>
    </border>
    <border diagonalUp="false" diagonalDown="false">
      <left/>
      <right/>
      <top style="hair"/>
      <bottom style="medium"/>
      <diagonal/>
    </border>
    <border diagonalUp="false" diagonalDown="false">
      <left/>
      <right style="hair"/>
      <top style="hair"/>
      <bottom style="medium"/>
      <diagonal/>
    </border>
    <border diagonalUp="false" diagonalDown="false">
      <left style="hair"/>
      <right style="thin"/>
      <top style="hair"/>
      <bottom style="medium"/>
      <diagonal/>
    </border>
    <border diagonalUp="false" diagonalDown="false">
      <left style="hair"/>
      <right style="thin"/>
      <top style="hair"/>
      <bottom/>
      <diagonal/>
    </border>
    <border diagonalUp="false" diagonalDown="false">
      <left/>
      <right/>
      <top style="thick"/>
      <bottom style="thin"/>
      <diagonal/>
    </border>
    <border diagonalUp="false" diagonalDown="false">
      <left style="thin"/>
      <right style="thick"/>
      <top style="thick"/>
      <bottom style="double"/>
      <diagonal/>
    </border>
    <border diagonalUp="false" diagonalDown="false">
      <left/>
      <right/>
      <top style="thin"/>
      <bottom style="thin"/>
      <diagonal/>
    </border>
    <border diagonalUp="false" diagonalDown="false">
      <left/>
      <right/>
      <top style="thin"/>
      <bottom style="thick"/>
      <diagonal/>
    </border>
    <border diagonalUp="false" diagonalDown="false">
      <left/>
      <right/>
      <top style="thin"/>
      <bottom style="double"/>
      <diagonal/>
    </border>
    <border diagonalUp="false" diagonalDown="false">
      <left style="thin">
        <color theme="0" tint="-0.25"/>
      </left>
      <right/>
      <top style="thick">
        <color theme="0" tint="-0.25"/>
      </top>
      <bottom/>
      <diagonal/>
    </border>
    <border diagonalUp="false" diagonalDown="false">
      <left style="thin">
        <color theme="0" tint="-0.25"/>
      </left>
      <right/>
      <top/>
      <bottom/>
      <diagonal/>
    </border>
    <border diagonalUp="false" diagonalDown="false">
      <left/>
      <right style="thin">
        <color theme="0" tint="-0.25"/>
      </right>
      <top style="thick">
        <color theme="0" tint="-0.25"/>
      </top>
      <bottom/>
      <diagonal/>
    </border>
    <border diagonalUp="false" diagonalDown="false">
      <left style="thin">
        <color theme="0" tint="-0.25"/>
      </left>
      <right style="thin">
        <color theme="0" tint="-0.25"/>
      </right>
      <top style="thick">
        <color theme="0" tint="-0.25"/>
      </top>
      <bottom/>
      <diagonal/>
    </border>
    <border diagonalUp="false" diagonalDown="false">
      <left/>
      <right style="thin">
        <color rgb="FFEA8F00"/>
      </right>
      <top/>
      <bottom/>
      <diagonal/>
    </border>
    <border diagonalUp="false" diagonalDown="false">
      <left style="thin">
        <color theme="0"/>
      </left>
      <right style="thin">
        <color theme="0"/>
      </right>
      <top style="medium"/>
      <bottom style="double"/>
      <diagonal/>
    </border>
    <border diagonalUp="false" diagonalDown="false">
      <left style="thin"/>
      <right/>
      <top/>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style="thin"/>
      <top style="hair"/>
      <bottom style="hair"/>
      <diagonal/>
    </border>
    <border diagonalUp="false" diagonalDown="false">
      <left/>
      <right style="thin"/>
      <top style="hair"/>
      <bottom style="hair"/>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hair"/>
      <right style="thin"/>
      <top style="thin"/>
      <bottom style="thin"/>
      <diagonal/>
    </border>
    <border diagonalUp="false" diagonalDown="false">
      <left style="hair"/>
      <right style="hair"/>
      <top style="thin"/>
      <bottom style="double"/>
      <diagonal/>
    </border>
    <border diagonalUp="false" diagonalDown="false">
      <left style="thin"/>
      <right style="thin"/>
      <top style="hair"/>
      <bottom/>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style="medium"/>
      <diagonal/>
    </border>
    <border diagonalUp="false" diagonalDown="false">
      <left/>
      <right style="thin"/>
      <top/>
      <bottom/>
      <diagonal/>
    </border>
    <border diagonalUp="false" diagonalDown="false">
      <left/>
      <right style="thin"/>
      <top/>
      <bottom style="thin"/>
      <diagonal/>
    </border>
    <border diagonalUp="false" diagonalDown="false">
      <left style="thin"/>
      <right/>
      <top style="thick">
        <color theme="0" tint="-0.25"/>
      </top>
      <bottom/>
      <diagonal/>
    </border>
    <border diagonalUp="false" diagonalDown="false">
      <left style="thin">
        <color theme="0" tint="-0.25"/>
      </left>
      <right style="thin"/>
      <top style="thick">
        <color theme="0" tint="-0.25"/>
      </top>
      <bottom/>
      <diagonal/>
    </border>
    <border diagonalUp="false" diagonalDown="false">
      <left style="thin"/>
      <right/>
      <top style="thin">
        <color theme="0" tint="-0.25"/>
      </top>
      <bottom/>
      <diagonal/>
    </border>
    <border diagonalUp="false" diagonalDown="false">
      <left style="thin">
        <color theme="0" tint="-0.25"/>
      </left>
      <right style="thin"/>
      <top style="thin">
        <color theme="0" tint="-0.25"/>
      </top>
      <bottom/>
      <diagonal/>
    </border>
    <border diagonalUp="false" diagonalDown="false">
      <left style="thin"/>
      <right/>
      <top style="thin">
        <color theme="0" tint="-0.25"/>
      </top>
      <bottom style="thin"/>
      <diagonal/>
    </border>
    <border diagonalUp="false" diagonalDown="false">
      <left style="thin">
        <color theme="0" tint="-0.25"/>
      </left>
      <right style="thin">
        <color theme="0" tint="-0.25"/>
      </right>
      <top style="thin">
        <color theme="0" tint="-0.25"/>
      </top>
      <bottom style="thin"/>
      <diagonal/>
    </border>
    <border diagonalUp="false" diagonalDown="false">
      <left style="thin">
        <color theme="0" tint="-0.25"/>
      </left>
      <right style="thin"/>
      <top style="thin">
        <color theme="0" tint="-0.25"/>
      </top>
      <bottom style="thin"/>
      <diagonal/>
    </border>
    <border diagonalUp="false" diagonalDown="false">
      <left style="thin">
        <color theme="0" tint="-0.25"/>
      </left>
      <right/>
      <top style="thick">
        <color theme="0" tint="-0.25"/>
      </top>
      <bottom style="double"/>
      <diagonal/>
    </border>
    <border diagonalUp="false" diagonalDown="false">
      <left style="thin">
        <color theme="0" tint="-0.25"/>
      </left>
      <right style="thin">
        <color theme="0" tint="-0.25"/>
      </right>
      <top style="thick">
        <color theme="0" tint="-0.25"/>
      </top>
      <bottom style="double"/>
      <diagonal/>
    </border>
    <border diagonalUp="false" diagonalDown="false">
      <left style="hair"/>
      <right style="hair"/>
      <top style="thin"/>
      <bottom/>
      <diagonal/>
    </border>
    <border diagonalUp="false" diagonalDown="false">
      <left style="thin"/>
      <right style="thin"/>
      <top/>
      <bottom style="double"/>
      <diagonal/>
    </border>
    <border diagonalUp="false" diagonalDown="false">
      <left/>
      <right style="thick"/>
      <top style="thin"/>
      <bottom style="thin"/>
      <diagonal/>
    </border>
    <border diagonalUp="false" diagonalDown="false">
      <left/>
      <right style="hair"/>
      <top/>
      <bottom style="hair"/>
      <diagonal/>
    </border>
    <border diagonalUp="false" diagonalDown="false">
      <left/>
      <right style="hair"/>
      <top style="thin"/>
      <bottom style="double"/>
      <diagonal/>
    </border>
    <border diagonalUp="false" diagonalDown="false">
      <left style="hair"/>
      <right/>
      <top style="thin"/>
      <bottom style="hair"/>
      <diagonal/>
    </border>
    <border diagonalUp="false" diagonalDown="false">
      <left style="hair"/>
      <right/>
      <top style="hair"/>
      <bottom style="hair"/>
      <diagonal/>
    </border>
    <border diagonalUp="false" diagonalDown="false">
      <left style="thin">
        <color theme="0" tint="-0.25"/>
      </left>
      <right style="thin"/>
      <top style="thin">
        <color theme="0" tint="-0.25"/>
      </top>
      <bottom style="thin">
        <color theme="0" tint="-0.25"/>
      </bottom>
      <diagonal/>
    </border>
    <border diagonalUp="false" diagonalDown="false">
      <left style="hair"/>
      <right/>
      <top style="hair"/>
      <bottom style="thin"/>
      <diagonal/>
    </border>
    <border diagonalUp="false" diagonalDown="false">
      <left style="hair"/>
      <right/>
      <top style="thin"/>
      <bottom style="double"/>
      <diagonal/>
    </border>
    <border diagonalUp="false" diagonalDown="false">
      <left style="thick">
        <color theme="0" tint="-0.25"/>
      </left>
      <right/>
      <top style="thick">
        <color theme="0" tint="-0.25"/>
      </top>
      <bottom style="thin">
        <color theme="0" tint="-0.25"/>
      </bottom>
      <diagonal/>
    </border>
    <border diagonalUp="false" diagonalDown="false">
      <left/>
      <right style="thin">
        <color theme="0" tint="-0.25"/>
      </right>
      <top style="thick">
        <color theme="0" tint="-0.25"/>
      </top>
      <bottom style="thin">
        <color theme="0" tint="-0.25"/>
      </bottom>
      <diagonal/>
    </border>
    <border diagonalUp="false" diagonalDown="false">
      <left style="thick">
        <color theme="0" tint="-0.25"/>
      </left>
      <right/>
      <top/>
      <bottom/>
      <diagonal/>
    </border>
    <border diagonalUp="false" diagonalDown="false">
      <left style="thin"/>
      <right style="thin"/>
      <top/>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ck"/>
      <right style="thin"/>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n">
        <color theme="0" tint="-0.25"/>
      </right>
      <top style="thin"/>
      <bottom style="thin">
        <color theme="0" tint="-0.25"/>
      </bottom>
      <diagonal/>
    </border>
    <border diagonalUp="false" diagonalDown="false">
      <left style="thin">
        <color theme="0" tint="-0.25"/>
      </left>
      <right style="thin"/>
      <top style="thin"/>
      <bottom/>
      <diagonal/>
    </border>
    <border diagonalUp="false" diagonalDown="false">
      <left style="thin"/>
      <right style="thin">
        <color theme="0" tint="-0.25"/>
      </right>
      <top style="thin">
        <color theme="0" tint="-0.25"/>
      </top>
      <bottom style="thin">
        <color theme="0" tint="-0.25"/>
      </bottom>
      <diagonal/>
    </border>
    <border diagonalUp="false" diagonalDown="false">
      <left style="thin"/>
      <right style="thin">
        <color theme="0" tint="-0.25"/>
      </right>
      <top style="thin">
        <color theme="0" tint="-0.25"/>
      </top>
      <bottom style="thin"/>
      <diagonal/>
    </border>
    <border diagonalUp="false" diagonalDown="false">
      <left style="thin"/>
      <right style="hair">
        <color theme="0" tint="-0.25"/>
      </right>
      <top style="thin"/>
      <bottom style="hair">
        <color theme="0" tint="-0.25"/>
      </bottom>
      <diagonal/>
    </border>
    <border diagonalUp="false" diagonalDown="false">
      <left style="hair">
        <color theme="0" tint="-0.25"/>
      </left>
      <right style="hair">
        <color theme="0" tint="-0.25"/>
      </right>
      <top style="thin"/>
      <bottom style="hair">
        <color theme="0" tint="-0.25"/>
      </bottom>
      <diagonal/>
    </border>
    <border diagonalUp="false" diagonalDown="false">
      <left style="hair">
        <color theme="0" tint="-0.25"/>
      </left>
      <right style="thin"/>
      <top style="thin"/>
      <bottom style="hair">
        <color theme="0" tint="-0.25"/>
      </bottom>
      <diagonal/>
    </border>
    <border diagonalUp="false" diagonalDown="false">
      <left style="thin"/>
      <right style="hair">
        <color theme="0" tint="-0.25"/>
      </right>
      <top style="hair">
        <color theme="0" tint="-0.25"/>
      </top>
      <bottom style="hair">
        <color theme="0" tint="-0.25"/>
      </bottom>
      <diagonal/>
    </border>
    <border diagonalUp="false" diagonalDown="false">
      <left style="hair">
        <color theme="0" tint="-0.25"/>
      </left>
      <right style="hair">
        <color theme="0" tint="-0.25"/>
      </right>
      <top style="hair">
        <color theme="0" tint="-0.25"/>
      </top>
      <bottom style="hair">
        <color theme="0" tint="-0.25"/>
      </bottom>
      <diagonal/>
    </border>
    <border diagonalUp="false" diagonalDown="false">
      <left style="hair">
        <color theme="0" tint="-0.25"/>
      </left>
      <right style="thin"/>
      <top style="hair">
        <color theme="0" tint="-0.25"/>
      </top>
      <bottom style="hair">
        <color theme="0" tint="-0.25"/>
      </bottom>
      <diagonal/>
    </border>
    <border diagonalUp="false" diagonalDown="false">
      <left style="thin"/>
      <right style="hair">
        <color theme="0" tint="-0.25"/>
      </right>
      <top style="hair">
        <color theme="0" tint="-0.25"/>
      </top>
      <bottom style="thin"/>
      <diagonal/>
    </border>
    <border diagonalUp="false" diagonalDown="false">
      <left style="hair">
        <color theme="0" tint="-0.25"/>
      </left>
      <right style="hair">
        <color theme="0" tint="-0.25"/>
      </right>
      <top style="hair">
        <color theme="0" tint="-0.25"/>
      </top>
      <bottom style="thin"/>
      <diagonal/>
    </border>
    <border diagonalUp="false" diagonalDown="false">
      <left style="hair">
        <color theme="0" tint="-0.25"/>
      </left>
      <right style="thin"/>
      <top style="hair">
        <color theme="0" tint="-0.25"/>
      </top>
      <bottom style="thin"/>
      <diagonal/>
    </border>
    <border diagonalUp="false" diagonalDown="false">
      <left style="thin">
        <color theme="0" tint="-0.25"/>
      </left>
      <right/>
      <top style="thin"/>
      <bottom/>
      <diagonal/>
    </border>
    <border diagonalUp="false" diagonalDown="false">
      <left style="thin">
        <color theme="0" tint="-0.25"/>
      </left>
      <right style="thin">
        <color theme="0" tint="-0.25"/>
      </right>
      <top style="thin"/>
      <bottom/>
      <diagonal/>
    </border>
    <border diagonalUp="false" diagonalDown="false">
      <left style="thin"/>
      <right style="hair">
        <color theme="0" tint="-0.25"/>
      </right>
      <top style="thick">
        <color theme="0" tint="-0.25"/>
      </top>
      <bottom style="hair">
        <color theme="0" tint="-0.25"/>
      </bottom>
      <diagonal/>
    </border>
    <border diagonalUp="false" diagonalDown="false">
      <left style="hair">
        <color theme="0" tint="-0.25"/>
      </left>
      <right style="hair">
        <color theme="0" tint="-0.25"/>
      </right>
      <top style="thin">
        <color theme="0" tint="-0.25"/>
      </top>
      <bottom style="hair">
        <color theme="0" tint="-0.25"/>
      </bottom>
      <diagonal/>
    </border>
    <border diagonalUp="false" diagonalDown="false">
      <left style="hair">
        <color theme="0" tint="-0.25"/>
      </left>
      <right style="hair">
        <color theme="0" tint="-0.25"/>
      </right>
      <top style="thick">
        <color theme="0" tint="-0.25"/>
      </top>
      <bottom style="hair">
        <color theme="0" tint="-0.25"/>
      </bottom>
      <diagonal/>
    </border>
    <border diagonalUp="false" diagonalDown="false">
      <left style="hair">
        <color theme="0" tint="-0.25"/>
      </left>
      <right style="thin"/>
      <top style="thick">
        <color theme="0" tint="-0.25"/>
      </top>
      <bottom style="hair">
        <color theme="0" tint="-0.25"/>
      </bottom>
      <diagonal/>
    </border>
    <border diagonalUp="false" diagonalDown="false">
      <left/>
      <right/>
      <top style="thick">
        <color theme="0" tint="-0.25"/>
      </top>
      <bottom style="double"/>
      <diagonal/>
    </border>
    <border diagonalUp="false" diagonalDown="false">
      <left style="thin"/>
      <right/>
      <top style="hair"/>
      <bottom/>
      <diagonal/>
    </border>
    <border diagonalUp="false" diagonalDown="false">
      <left/>
      <right style="hair"/>
      <top style="medium"/>
      <bottom style="hair"/>
      <diagonal/>
    </border>
    <border diagonalUp="false" diagonalDown="false">
      <left style="hair"/>
      <right/>
      <top style="hair"/>
      <bottom style="medium"/>
      <diagonal/>
    </border>
  </borders>
  <cellStyleXfs count="26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4" fontId="0" fillId="0" borderId="0" applyFont="true" applyBorder="true" applyAlignment="true" applyProtection="true">
      <alignment horizontal="general" vertical="bottom" textRotation="0" wrapText="false" indent="0" shrinkToFit="false"/>
      <protection locked="true" hidden="false"/>
    </xf>
    <xf numFmtId="41" fontId="1" fillId="0" borderId="0" applyFont="true" applyBorder="false" applyAlignment="false" applyProtection="false"/>
    <xf numFmtId="178" fontId="0" fillId="0" borderId="0" applyFont="true" applyBorder="true" applyAlignment="true" applyProtection="true">
      <alignment horizontal="general" vertical="bottom" textRotation="0" wrapText="false" indent="0" shrinkToFit="false"/>
      <protection locked="true" hidden="false"/>
    </xf>
    <xf numFmtId="42" fontId="1" fillId="0" borderId="0" applyFont="true" applyBorder="false" applyAlignment="false" applyProtection="false"/>
    <xf numFmtId="167" fontId="0" fillId="0" borderId="0" applyFont="true" applyBorder="true" applyAlignment="true" applyProtection="true">
      <alignment horizontal="general" vertical="bottom" textRotation="0" wrapText="false" indent="0" shrinkToFit="false"/>
      <protection locked="true" hidden="false"/>
    </xf>
    <xf numFmtId="164" fontId="45" fillId="0" borderId="0" applyFont="true" applyBorder="true" applyAlignment="true" applyProtection="true">
      <alignment horizontal="general" vertical="bottom" textRotation="0" wrapText="false" indent="0" shrinkToFit="false"/>
      <protection locked="true" hidden="false"/>
    </xf>
    <xf numFmtId="164" fontId="4" fillId="2" borderId="1" applyFont="true" applyBorder="true" applyAlignment="true" applyProtection="true">
      <alignment horizontal="left" vertical="center" textRotation="0" wrapText="false" indent="1" shrinkToFit="false"/>
      <protection locked="true" hidden="false"/>
    </xf>
    <xf numFmtId="164" fontId="4" fillId="2" borderId="1" applyFont="true" applyBorder="true" applyAlignment="true" applyProtection="true">
      <alignment horizontal="left" vertical="center" textRotation="0" wrapText="true" indent="1" shrinkToFit="false"/>
      <protection locked="true" hidden="false"/>
    </xf>
    <xf numFmtId="164" fontId="4" fillId="2" borderId="1" applyFont="true" applyBorder="true" applyAlignment="true" applyProtection="true">
      <alignment horizontal="left" vertical="center" textRotation="0" wrapText="false" indent="1" shrinkToFit="false"/>
      <protection locked="true" hidden="false"/>
    </xf>
    <xf numFmtId="164" fontId="4" fillId="2" borderId="1" applyFont="true" applyBorder="true" applyAlignment="true" applyProtection="true">
      <alignment horizontal="left" vertical="center" textRotation="0" wrapText="false" indent="1" shrinkToFit="false"/>
      <protection locked="true" hidden="false"/>
    </xf>
    <xf numFmtId="164" fontId="4" fillId="3" borderId="2" applyFont="true" applyBorder="true" applyAlignment="true" applyProtection="true">
      <alignment horizontal="left" vertical="center" textRotation="0" wrapText="false" indent="1" shrinkToFit="false"/>
      <protection locked="true" hidden="false"/>
    </xf>
    <xf numFmtId="165" fontId="4" fillId="0" borderId="0" applyFont="true" applyBorder="true" applyAlignment="true" applyProtection="true">
      <alignment horizontal="left" vertical="center" textRotation="0" wrapText="false" indent="0" shrinkToFit="false"/>
      <protection locked="true" hidden="false"/>
    </xf>
    <xf numFmtId="165" fontId="4" fillId="0" borderId="0" applyFont="true" applyBorder="true" applyAlignment="true" applyProtection="true">
      <alignment horizontal="left" vertical="center" textRotation="0" wrapText="false" indent="0" shrinkToFit="false"/>
      <protection locked="true" hidden="false"/>
    </xf>
    <xf numFmtId="165" fontId="4" fillId="0" borderId="0" applyFont="true" applyBorder="true" applyAlignment="true" applyProtection="true">
      <alignment horizontal="left" vertical="center" textRotation="0" wrapText="false" indent="0" shrinkToFit="false"/>
      <protection locked="true" hidden="false"/>
    </xf>
    <xf numFmtId="165" fontId="4" fillId="0" borderId="0" applyFont="true" applyBorder="true" applyAlignment="true" applyProtection="true">
      <alignment horizontal="left" vertical="center" textRotation="0" wrapText="false" indent="0" shrinkToFit="false"/>
      <protection locked="true" hidden="false"/>
    </xf>
    <xf numFmtId="165" fontId="4" fillId="0" borderId="0" applyFont="true" applyBorder="true" applyAlignment="true" applyProtection="true">
      <alignment horizontal="left" vertical="bottom" textRotation="0" wrapText="false" indent="1" shrinkToFit="false"/>
      <protection locked="true" hidden="false"/>
    </xf>
    <xf numFmtId="165" fontId="5" fillId="4" borderId="0" applyFont="true" applyBorder="true" applyAlignment="true" applyProtection="true">
      <alignment horizontal="left" vertical="center" textRotation="0" wrapText="false" indent="1" shrinkToFit="false"/>
      <protection locked="true" hidden="false"/>
    </xf>
    <xf numFmtId="165" fontId="5" fillId="5" borderId="0" applyFont="true" applyBorder="true" applyAlignment="true" applyProtection="true">
      <alignment horizontal="left" vertical="center" textRotation="0" wrapText="false" indent="1" shrinkToFit="false"/>
      <protection locked="true" hidden="false"/>
    </xf>
    <xf numFmtId="166" fontId="4" fillId="6" borderId="3" applyFont="true" applyBorder="true" applyAlignment="true" applyProtection="true">
      <alignment horizontal="left" vertical="center" textRotation="0" wrapText="false" indent="1" shrinkToFit="false"/>
      <protection locked="true" hidden="false"/>
    </xf>
    <xf numFmtId="167" fontId="4" fillId="7" borderId="3" applyFont="true" applyBorder="true" applyAlignment="true" applyProtection="true">
      <alignment horizontal="left" vertical="center" textRotation="0" wrapText="false" indent="1" shrinkToFit="false"/>
      <protection locked="true" hidden="false"/>
    </xf>
    <xf numFmtId="168" fontId="4" fillId="7" borderId="3" applyFont="true" applyBorder="true" applyAlignment="true" applyProtection="true">
      <alignment horizontal="general" vertical="center" textRotation="0" wrapText="false" indent="0" shrinkToFit="false"/>
      <protection locked="false" hidden="false"/>
    </xf>
    <xf numFmtId="168" fontId="4" fillId="7" borderId="3" applyFont="true" applyBorder="true" applyAlignment="true" applyProtection="true">
      <alignment horizontal="general" vertical="center" textRotation="0" wrapText="false" indent="0" shrinkToFit="false"/>
      <protection locked="false" hidden="false"/>
    </xf>
    <xf numFmtId="168" fontId="4" fillId="7" borderId="4" applyFont="true" applyBorder="true" applyAlignment="true" applyProtection="true">
      <alignment horizontal="general" vertical="center" textRotation="0" wrapText="false" indent="0" shrinkToFit="false"/>
      <protection locked="false" hidden="false"/>
    </xf>
    <xf numFmtId="169" fontId="4" fillId="7" borderId="4" applyFont="true" applyBorder="true" applyAlignment="true" applyProtection="true">
      <alignment horizontal="general" vertical="center" textRotation="0" wrapText="false" indent="0" shrinkToFit="false"/>
      <protection locked="false" hidden="false"/>
    </xf>
    <xf numFmtId="168" fontId="4" fillId="7" borderId="3" applyFont="true" applyBorder="true" applyAlignment="true" applyProtection="true">
      <alignment horizontal="general" vertical="center" textRotation="0" wrapText="false" indent="0" shrinkToFit="false"/>
      <protection locked="false" hidden="false"/>
    </xf>
    <xf numFmtId="170" fontId="4" fillId="7" borderId="4" applyFont="true" applyBorder="true" applyAlignment="true" applyProtection="true">
      <alignment horizontal="left" vertical="center" textRotation="0" wrapText="false" indent="1" shrinkToFit="false"/>
      <protection locked="false" hidden="false"/>
    </xf>
    <xf numFmtId="170" fontId="4" fillId="7" borderId="3" applyFont="true" applyBorder="true" applyAlignment="true" applyProtection="true">
      <alignment horizontal="left" vertical="center" textRotation="0" wrapText="false" indent="1" shrinkToFit="false"/>
      <protection locked="false" hidden="false"/>
    </xf>
    <xf numFmtId="170" fontId="4" fillId="7" borderId="4" applyFont="true" applyBorder="true" applyAlignment="true" applyProtection="true">
      <alignment horizontal="left" vertical="center" textRotation="0" wrapText="false" indent="1" shrinkToFit="false"/>
      <protection locked="false" hidden="false"/>
    </xf>
    <xf numFmtId="171" fontId="4" fillId="6" borderId="4" applyFont="true" applyBorder="true" applyAlignment="true" applyProtection="true">
      <alignment horizontal="left" vertical="center" textRotation="0" wrapText="false" indent="1" shrinkToFit="false"/>
      <protection locked="true" hidden="false"/>
    </xf>
    <xf numFmtId="171" fontId="4" fillId="6" borderId="3" applyFont="true" applyBorder="true" applyAlignment="true" applyProtection="true">
      <alignment horizontal="left" vertical="center" textRotation="0" wrapText="false" indent="1" shrinkToFit="false"/>
      <protection locked="true" hidden="false"/>
    </xf>
    <xf numFmtId="171" fontId="4" fillId="6" borderId="4" applyFont="true" applyBorder="true" applyAlignment="true" applyProtection="true">
      <alignment horizontal="left" vertical="center" textRotation="0" wrapText="false" indent="1" shrinkToFit="false"/>
      <protection locked="true" hidden="false"/>
    </xf>
    <xf numFmtId="171" fontId="4" fillId="6" borderId="4" applyFont="true" applyBorder="true" applyAlignment="true" applyProtection="true">
      <alignment horizontal="left" vertical="center" textRotation="0" wrapText="false" indent="1" shrinkToFit="false"/>
      <protection locked="true" hidden="false"/>
    </xf>
    <xf numFmtId="164" fontId="4" fillId="6" borderId="4" applyFont="true" applyBorder="true" applyAlignment="true" applyProtection="true">
      <alignment horizontal="general" vertical="center" textRotation="0" wrapText="false" indent="0" shrinkToFit="false"/>
      <protection locked="true" hidden="false"/>
    </xf>
    <xf numFmtId="167" fontId="4" fillId="6" borderId="4" applyFont="true" applyBorder="true" applyAlignment="true" applyProtection="true">
      <alignment horizontal="right" vertical="center" textRotation="0" wrapText="false" indent="1" shrinkToFit="false"/>
      <protection locked="true" hidden="false"/>
    </xf>
    <xf numFmtId="167" fontId="4" fillId="6" borderId="3" applyFont="true" applyBorder="true" applyAlignment="true" applyProtection="true">
      <alignment horizontal="right" vertical="center" textRotation="0" wrapText="false" indent="1" shrinkToFit="false"/>
      <protection locked="true" hidden="false"/>
    </xf>
    <xf numFmtId="167" fontId="4" fillId="6" borderId="4" applyFont="true" applyBorder="true" applyAlignment="true" applyProtection="true">
      <alignment horizontal="right" vertical="center" textRotation="0" wrapText="false" indent="1" shrinkToFit="false"/>
      <protection locked="true" hidden="false"/>
    </xf>
    <xf numFmtId="167" fontId="4" fillId="6" borderId="4" applyFont="true" applyBorder="true" applyAlignment="true" applyProtection="true">
      <alignment horizontal="right" vertical="center" textRotation="0" wrapText="false" indent="1" shrinkToFit="false"/>
      <protection locked="true" hidden="false"/>
    </xf>
    <xf numFmtId="168" fontId="4" fillId="6" borderId="3" applyFont="true" applyBorder="true" applyAlignment="true" applyProtection="true">
      <alignment horizontal="general" vertical="center" textRotation="0" wrapText="false" indent="0" shrinkToFit="false"/>
      <protection locked="true" hidden="false"/>
    </xf>
    <xf numFmtId="168" fontId="4" fillId="6" borderId="4" applyFont="true" applyBorder="true" applyAlignment="true" applyProtection="true">
      <alignment horizontal="general" vertical="center" textRotation="0" wrapText="false" indent="0" shrinkToFit="false"/>
      <protection locked="true" hidden="false"/>
    </xf>
    <xf numFmtId="164" fontId="4" fillId="6" borderId="4" applyFont="true" applyBorder="true" applyAlignment="true" applyProtection="true">
      <alignment horizontal="general" vertical="center" textRotation="0" wrapText="false" indent="0" shrinkToFit="false"/>
      <protection locked="true" hidden="false"/>
    </xf>
    <xf numFmtId="164" fontId="4" fillId="6" borderId="4" applyFont="true" applyBorder="true" applyAlignment="true" applyProtection="true">
      <alignment horizontal="general" vertical="center" textRotation="0" wrapText="false" indent="0" shrinkToFit="false"/>
      <protection locked="true" hidden="false"/>
    </xf>
    <xf numFmtId="164" fontId="4" fillId="6" borderId="4" applyFont="true" applyBorder="true" applyAlignment="true" applyProtection="true">
      <alignment horizontal="right" vertical="center" textRotation="0" wrapText="false" indent="1" shrinkToFit="false"/>
      <protection locked="true" hidden="false"/>
    </xf>
    <xf numFmtId="164" fontId="4" fillId="6" borderId="3" applyFont="true" applyBorder="true" applyAlignment="true" applyProtection="true">
      <alignment horizontal="right" vertical="center" textRotation="0" wrapText="false" indent="1" shrinkToFit="false"/>
      <protection locked="true" hidden="false"/>
    </xf>
    <xf numFmtId="164" fontId="4" fillId="6" borderId="4" applyFont="true" applyBorder="true" applyAlignment="true" applyProtection="true">
      <alignment horizontal="right" vertical="center" textRotation="0" wrapText="false" indent="1" shrinkToFit="false"/>
      <protection locked="true" hidden="false"/>
    </xf>
    <xf numFmtId="164" fontId="4" fillId="6" borderId="4" applyFont="true" applyBorder="true" applyAlignment="true" applyProtection="true">
      <alignment horizontal="left" vertical="center" textRotation="0" wrapText="false" indent="1" shrinkToFit="false"/>
      <protection locked="true" hidden="false"/>
    </xf>
    <xf numFmtId="164" fontId="4" fillId="6" borderId="3" applyFont="true" applyBorder="true" applyAlignment="true" applyProtection="true">
      <alignment horizontal="left" vertical="center" textRotation="0" wrapText="false" indent="1" shrinkToFit="false"/>
      <protection locked="true" hidden="false"/>
    </xf>
    <xf numFmtId="164" fontId="4" fillId="6" borderId="3" applyFont="true" applyBorder="true" applyAlignment="true" applyProtection="true">
      <alignment horizontal="left" vertical="center" textRotation="0" wrapText="false" indent="1" shrinkToFit="false"/>
      <protection locked="true" hidden="false"/>
    </xf>
    <xf numFmtId="164" fontId="4" fillId="6" borderId="4" applyFont="true" applyBorder="true" applyAlignment="true" applyProtection="true">
      <alignment horizontal="left" vertical="center" textRotation="0" wrapText="false" indent="1" shrinkToFit="false"/>
      <protection locked="true" hidden="false"/>
    </xf>
    <xf numFmtId="164" fontId="4" fillId="6" borderId="4" applyFont="true" applyBorder="true" applyAlignment="true" applyProtection="true">
      <alignment horizontal="left" vertical="center" textRotation="0" wrapText="false" indent="1" shrinkToFit="false"/>
      <protection locked="true" hidden="false"/>
    </xf>
    <xf numFmtId="166" fontId="4" fillId="7" borderId="4" applyFont="true" applyBorder="true" applyAlignment="true" applyProtection="true">
      <alignment horizontal="right" vertical="center" textRotation="0" wrapText="false" indent="1" shrinkToFit="false"/>
      <protection locked="false" hidden="false"/>
    </xf>
    <xf numFmtId="166" fontId="4" fillId="7" borderId="3" applyFont="true" applyBorder="true" applyAlignment="true" applyProtection="true">
      <alignment horizontal="right" vertical="center" textRotation="0" wrapText="false" indent="1" shrinkToFit="false"/>
      <protection locked="false" hidden="false"/>
    </xf>
    <xf numFmtId="164" fontId="4" fillId="7" borderId="4" applyFont="true" applyBorder="true" applyAlignment="true" applyProtection="true">
      <alignment horizontal="left" vertical="center" textRotation="0" wrapText="false" indent="1" shrinkToFit="false"/>
      <protection locked="false" hidden="false"/>
    </xf>
    <xf numFmtId="166" fontId="4" fillId="7" borderId="4" applyFont="true" applyBorder="true" applyAlignment="true" applyProtection="true">
      <alignment horizontal="left" vertical="center" textRotation="0" wrapText="false" indent="1" shrinkToFit="false"/>
      <protection locked="false" hidden="false"/>
    </xf>
    <xf numFmtId="164" fontId="4" fillId="7" borderId="3" applyFont="true" applyBorder="true" applyAlignment="true" applyProtection="true">
      <alignment horizontal="left" vertical="center" textRotation="0" wrapText="false" indent="1" shrinkToFit="false"/>
      <protection locked="false" hidden="false"/>
    </xf>
    <xf numFmtId="165" fontId="4" fillId="7" borderId="3" applyFont="true" applyBorder="true" applyAlignment="true" applyProtection="true">
      <alignment horizontal="left" vertical="center" textRotation="0" wrapText="false" indent="1" shrinkToFit="false"/>
      <protection locked="false" hidden="false"/>
    </xf>
    <xf numFmtId="164" fontId="4" fillId="7" borderId="3" applyFont="true" applyBorder="true" applyAlignment="true" applyProtection="true">
      <alignment horizontal="left" vertical="center" textRotation="0" wrapText="false" indent="1" shrinkToFit="false"/>
      <protection locked="false" hidden="false"/>
    </xf>
    <xf numFmtId="164" fontId="4" fillId="7" borderId="3" applyFont="true" applyBorder="true" applyAlignment="true" applyProtection="true">
      <alignment horizontal="left" vertical="center" textRotation="0" wrapText="false" indent="1" shrinkToFit="false"/>
      <protection locked="false" hidden="false"/>
    </xf>
    <xf numFmtId="164" fontId="4" fillId="7" borderId="4" applyFont="true" applyBorder="true" applyAlignment="true" applyProtection="true">
      <alignment horizontal="left" vertical="center" textRotation="0" wrapText="false" indent="1" shrinkToFit="false"/>
      <protection locked="false" hidden="false"/>
    </xf>
    <xf numFmtId="164" fontId="4" fillId="7" borderId="4" applyFont="true" applyBorder="true" applyAlignment="true" applyProtection="true">
      <alignment horizontal="left" vertical="center" textRotation="0" wrapText="false" indent="1" shrinkToFit="false"/>
      <protection locked="false" hidden="false"/>
    </xf>
    <xf numFmtId="164" fontId="4" fillId="7" borderId="4" applyFont="true" applyBorder="true" applyAlignment="true" applyProtection="true">
      <alignment horizontal="general" vertical="center" textRotation="0" wrapText="false" indent="0" shrinkToFit="false"/>
      <protection locked="false" hidden="false"/>
    </xf>
    <xf numFmtId="164" fontId="4" fillId="7" borderId="4" applyFont="true" applyBorder="true" applyAlignment="true" applyProtection="true">
      <alignment horizontal="left" vertical="center" textRotation="0" wrapText="false" indent="1" shrinkToFit="false"/>
      <protection locked="false" hidden="false"/>
    </xf>
    <xf numFmtId="168" fontId="4" fillId="7" borderId="4" applyFont="true" applyBorder="true" applyAlignment="true" applyProtection="true">
      <alignment horizontal="general" vertical="center" textRotation="0" wrapText="false" indent="0" shrinkToFit="false"/>
      <protection locked="false" hidden="false"/>
    </xf>
    <xf numFmtId="164" fontId="4" fillId="7" borderId="4" applyFont="true" applyBorder="true" applyAlignment="true" applyProtection="true">
      <alignment horizontal="general" vertical="center" textRotation="0" wrapText="false" indent="0" shrinkToFit="false"/>
      <protection locked="false" hidden="false"/>
    </xf>
    <xf numFmtId="164" fontId="6" fillId="0" borderId="5" applyFont="true" applyBorder="true" applyAlignment="true" applyProtection="true">
      <alignment horizontal="general" vertical="center" textRotation="0" wrapText="false" indent="0" shrinkToFit="false"/>
      <protection locked="true" hidden="false"/>
    </xf>
    <xf numFmtId="164" fontId="6" fillId="0" borderId="5" applyFont="true" applyBorder="true" applyAlignment="true" applyProtection="true">
      <alignment horizontal="general" vertical="center" textRotation="0" wrapText="false" indent="0" shrinkToFit="false"/>
      <protection locked="true" hidden="false"/>
    </xf>
    <xf numFmtId="164" fontId="6" fillId="0" borderId="6" applyFont="true" applyBorder="true" applyAlignment="true" applyProtection="true">
      <alignment horizontal="general" vertical="center" textRotation="0" wrapText="false" indent="0" shrinkToFit="false"/>
      <protection locked="true" hidden="false"/>
    </xf>
    <xf numFmtId="164" fontId="6" fillId="0" borderId="5" applyFont="true" applyBorder="true" applyAlignment="true" applyProtection="true">
      <alignment horizontal="general" vertical="center" textRotation="0" wrapText="false" indent="0" shrinkToFit="false"/>
      <protection locked="true" hidden="false"/>
    </xf>
    <xf numFmtId="172" fontId="0" fillId="0" borderId="0" applyFont="true" applyBorder="true" applyAlignment="true" applyProtection="true">
      <alignment horizontal="general" vertical="bottom" textRotation="0" wrapText="false" indent="0" shrinkToFit="false"/>
      <protection locked="true" hidden="false"/>
    </xf>
    <xf numFmtId="172" fontId="0" fillId="0" borderId="0" applyFont="true" applyBorder="true" applyAlignment="true" applyProtection="true">
      <alignment horizontal="general" vertical="bottom" textRotation="0" wrapText="false" indent="0" shrinkToFit="false"/>
      <protection locked="true" hidden="false"/>
    </xf>
    <xf numFmtId="173"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4" fontId="0" fillId="0" borderId="0" applyFont="true" applyBorder="true" applyAlignment="true" applyProtection="true">
      <alignment horizontal="general" vertical="bottom" textRotation="0" wrapText="false" indent="0" shrinkToFit="false"/>
      <protection locked="true" hidden="false"/>
    </xf>
    <xf numFmtId="175" fontId="0" fillId="0" borderId="0" applyFont="true" applyBorder="false" applyAlignment="true" applyProtection="false">
      <alignment horizontal="general" vertical="bottom" textRotation="0" wrapText="false" indent="0" shrinkToFit="false"/>
    </xf>
    <xf numFmtId="175" fontId="0" fillId="0" borderId="0" applyFont="true" applyBorder="false" applyAlignment="true" applyProtection="false">
      <alignment horizontal="general" vertical="bottom" textRotation="0" wrapText="false" indent="0" shrinkToFit="false"/>
    </xf>
    <xf numFmtId="176" fontId="0" fillId="0" borderId="0" applyFont="true" applyBorder="true" applyAlignment="true" applyProtection="true">
      <alignment horizontal="general" vertical="bottom" textRotation="0" wrapText="false" indent="0" shrinkToFit="false"/>
      <protection locked="true" hidden="false"/>
    </xf>
    <xf numFmtId="176" fontId="0" fillId="0" borderId="0" applyFont="true" applyBorder="true" applyAlignment="true" applyProtection="true">
      <alignment horizontal="general" vertical="bottom" textRotation="0" wrapText="false" indent="0" shrinkToFit="false"/>
      <protection locked="true" hidden="false"/>
    </xf>
    <xf numFmtId="176" fontId="0" fillId="0" borderId="0" applyFont="true" applyBorder="true" applyAlignment="true" applyProtection="true">
      <alignment horizontal="general" vertical="bottom" textRotation="0" wrapText="false" indent="0" shrinkToFit="false"/>
      <protection locked="true" hidden="false"/>
    </xf>
    <xf numFmtId="177" fontId="0" fillId="0" borderId="0" applyFont="true" applyBorder="true" applyAlignment="true" applyProtection="true">
      <alignment horizontal="general" vertical="bottom" textRotation="0" wrapText="false" indent="0" shrinkToFit="false"/>
      <protection locked="true" hidden="false"/>
    </xf>
    <xf numFmtId="178" fontId="0" fillId="0" borderId="0" applyFont="true" applyBorder="true" applyAlignment="true" applyProtection="true">
      <alignment horizontal="general" vertical="bottom" textRotation="0" wrapText="false" indent="0" shrinkToFit="false"/>
      <protection locked="true" hidden="false"/>
    </xf>
    <xf numFmtId="178" fontId="0" fillId="0" borderId="0" applyFont="true" applyBorder="true" applyAlignment="true" applyProtection="true">
      <alignment horizontal="general" vertical="bottom" textRotation="0" wrapText="false" indent="0" shrinkToFit="false"/>
      <protection locked="true" hidden="false"/>
    </xf>
    <xf numFmtId="178" fontId="0" fillId="0" borderId="0" applyFont="true" applyBorder="true" applyAlignment="true" applyProtection="true">
      <alignment horizontal="general" vertical="bottom" textRotation="0" wrapText="false" indent="0" shrinkToFit="false"/>
      <protection locked="true" hidden="false"/>
    </xf>
    <xf numFmtId="178" fontId="0" fillId="0" borderId="0" applyFont="true" applyBorder="true" applyAlignment="true" applyProtection="true">
      <alignment horizontal="general" vertical="bottom" textRotation="0" wrapText="false" indent="0" shrinkToFit="false"/>
      <protection locked="true" hidden="false"/>
    </xf>
    <xf numFmtId="178" fontId="0" fillId="0" borderId="0" applyFont="true" applyBorder="true" applyAlignment="true" applyProtection="true">
      <alignment horizontal="general" vertical="bottom" textRotation="0" wrapText="false" indent="0" shrinkToFit="false"/>
      <protection locked="true" hidden="false"/>
    </xf>
    <xf numFmtId="177" fontId="0" fillId="0" borderId="0" applyFont="true" applyBorder="true" applyAlignment="true" applyProtection="true">
      <alignment horizontal="general" vertical="bottom" textRotation="0" wrapText="false" indent="0" shrinkToFit="false"/>
      <protection locked="true" hidden="false"/>
    </xf>
    <xf numFmtId="176"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right" vertical="center" textRotation="0" wrapText="false" indent="0" shrinkToFit="false"/>
      <protection locked="true" hidden="false"/>
    </xf>
    <xf numFmtId="164" fontId="7" fillId="0" borderId="0" applyFont="true" applyBorder="true" applyAlignment="true" applyProtection="true">
      <alignment horizontal="right" vertical="center" textRotation="0" wrapText="false" indent="0" shrinkToFit="false"/>
      <protection locked="true" hidden="false"/>
    </xf>
    <xf numFmtId="164" fontId="7" fillId="0" borderId="0" applyFont="true" applyBorder="true" applyAlignment="true" applyProtection="true">
      <alignment horizontal="right" vertical="center"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5" borderId="0" applyFont="true" applyBorder="true" applyAlignment="true" applyProtection="true">
      <alignment horizontal="left" vertical="center" textRotation="0" wrapText="false" indent="1"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top" textRotation="0" wrapText="false" indent="0" shrinkToFit="false"/>
      <protection locked="false" hidden="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0" fillId="4" borderId="0" applyFont="true" applyBorder="true" applyAlignment="true" applyProtection="true">
      <alignment horizontal="left" vertical="center" textRotation="0" wrapText="false" indent="1"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19" fillId="0" borderId="0" applyFont="true" applyBorder="true" applyAlignment="true" applyProtection="true">
      <alignment horizontal="left" vertical="top" textRotation="0" wrapText="false" indent="1" shrinkToFit="false"/>
      <protection locked="true" hidden="false"/>
    </xf>
    <xf numFmtId="164" fontId="20" fillId="0" borderId="4" applyFont="true" applyBorder="true" applyAlignment="true" applyProtection="true">
      <alignment horizontal="left" vertical="center" textRotation="0" wrapText="false" indent="1"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5" fontId="21" fillId="0" borderId="0" applyFont="true" applyBorder="true" applyAlignment="true" applyProtection="true">
      <alignment horizontal="left" vertical="bottom" textRotation="0" wrapText="false" indent="0" shrinkToFit="false"/>
      <protection locked="true" hidden="false"/>
    </xf>
    <xf numFmtId="164" fontId="21" fillId="0" borderId="0" applyFont="true" applyBorder="true" applyAlignment="true" applyProtection="true">
      <alignment horizontal="left" vertical="bottom" textRotation="0" wrapText="false" indent="0" shrinkToFit="false"/>
      <protection locked="true" hidden="false"/>
    </xf>
    <xf numFmtId="164" fontId="21" fillId="0" borderId="0" applyFont="true" applyBorder="true" applyAlignment="true" applyProtection="true">
      <alignment horizontal="left" vertical="bottom" textRotation="0" wrapText="false" indent="0" shrinkToFit="false"/>
      <protection locked="true" hidden="false"/>
    </xf>
    <xf numFmtId="164" fontId="21" fillId="0" borderId="0" applyFont="true" applyBorder="true" applyAlignment="true" applyProtection="true">
      <alignment horizontal="left" vertical="bottom" textRotation="0" wrapText="false" indent="0" shrinkToFit="false"/>
      <protection locked="true" hidden="false"/>
    </xf>
    <xf numFmtId="166" fontId="22" fillId="8" borderId="2" applyFont="true" applyBorder="true" applyAlignment="true" applyProtection="true">
      <alignment horizontal="general" vertical="bottom" textRotation="0" wrapText="false" indent="0" shrinkToFit="false"/>
      <protection locked="true" hidden="false"/>
    </xf>
    <xf numFmtId="166" fontId="22" fillId="8" borderId="2" applyFont="true" applyBorder="true" applyAlignment="true" applyProtection="true">
      <alignment horizontal="general" vertical="center" textRotation="0" wrapText="false" indent="0" shrinkToFit="false"/>
      <protection locked="true" hidden="false"/>
    </xf>
    <xf numFmtId="164" fontId="22" fillId="9"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79" fontId="29" fillId="0" borderId="5" applyFont="true" applyBorder="true" applyAlignment="true" applyProtection="true">
      <alignment horizontal="right" vertical="center" textRotation="0" wrapText="false" indent="0" shrinkToFit="false"/>
      <protection locked="true" hidden="false"/>
    </xf>
    <xf numFmtId="179" fontId="29" fillId="0" borderId="5" applyFont="true" applyBorder="true" applyAlignment="true" applyProtection="true">
      <alignment horizontal="right" vertical="center" textRotation="0" wrapText="false" indent="0" shrinkToFit="false"/>
      <protection locked="true" hidden="false"/>
    </xf>
    <xf numFmtId="179" fontId="29" fillId="0" borderId="6" applyFont="true" applyBorder="true" applyAlignment="true" applyProtection="true">
      <alignment horizontal="right" vertical="center" textRotation="0" wrapText="false" indent="0" shrinkToFit="false"/>
      <protection locked="true" hidden="false"/>
    </xf>
    <xf numFmtId="179" fontId="29" fillId="0" borderId="5" applyFont="true" applyBorder="true" applyAlignment="true" applyProtection="true">
      <alignment horizontal="right" vertical="center" textRotation="0" wrapText="false" indent="0" shrinkToFit="false"/>
      <protection locked="true" hidden="false"/>
    </xf>
    <xf numFmtId="164" fontId="30" fillId="10" borderId="0" applyFont="true" applyBorder="true" applyAlignment="true" applyProtection="true">
      <alignment horizontal="left" vertical="center" textRotation="0" wrapText="false" indent="1" shrinkToFit="false"/>
      <protection locked="true" hidden="false"/>
    </xf>
    <xf numFmtId="164" fontId="30" fillId="10" borderId="0" applyFont="true" applyBorder="true" applyAlignment="true" applyProtection="true">
      <alignment horizontal="left" vertical="center" textRotation="0" wrapText="false" indent="1" shrinkToFit="false"/>
      <protection locked="true" hidden="false"/>
    </xf>
    <xf numFmtId="164" fontId="30" fillId="10" borderId="0" applyFont="true" applyBorder="true" applyAlignment="true" applyProtection="true">
      <alignment horizontal="left" vertical="center" textRotation="0" wrapText="false" indent="1" shrinkToFit="false"/>
      <protection locked="true" hidden="false"/>
    </xf>
    <xf numFmtId="164" fontId="31" fillId="11" borderId="7" applyFont="true" applyBorder="true" applyAlignment="true" applyProtection="true">
      <alignment horizontal="center" vertical="center" textRotation="0" wrapText="false" indent="0" shrinkToFit="false"/>
      <protection locked="true" hidden="false"/>
    </xf>
    <xf numFmtId="164" fontId="31" fillId="11" borderId="7" applyFont="true" applyBorder="true" applyAlignment="true" applyProtection="true">
      <alignment horizontal="center" vertical="center" textRotation="0" wrapText="false" indent="0" shrinkToFit="false"/>
      <protection locked="true" hidden="false"/>
    </xf>
    <xf numFmtId="164" fontId="32" fillId="0" borderId="8" applyFont="true" applyBorder="true" applyAlignment="true" applyProtection="true">
      <alignment horizontal="left" vertical="center" textRotation="0" wrapText="false" indent="1" shrinkToFit="false"/>
      <protection locked="true" hidden="false"/>
    </xf>
    <xf numFmtId="164" fontId="32" fillId="0" borderId="8" applyFont="true" applyBorder="true" applyAlignment="true" applyProtection="true">
      <alignment horizontal="left" vertical="center" textRotation="0" wrapText="false" indent="1" shrinkToFit="false"/>
      <protection locked="true" hidden="false"/>
    </xf>
    <xf numFmtId="164" fontId="32" fillId="0" borderId="8" applyFont="true" applyBorder="true" applyAlignment="true" applyProtection="true">
      <alignment horizontal="left" vertical="center" textRotation="0" wrapText="false" indent="1" shrinkToFit="false"/>
      <protection locked="true" hidden="false"/>
    </xf>
    <xf numFmtId="164" fontId="33" fillId="4" borderId="9" applyFont="true" applyBorder="true" applyAlignment="true" applyProtection="true">
      <alignment horizontal="left" vertical="center" textRotation="0" wrapText="false" indent="1" shrinkToFit="false"/>
      <protection locked="true" hidden="false"/>
    </xf>
    <xf numFmtId="164" fontId="33" fillId="4" borderId="9" applyFont="true" applyBorder="true" applyAlignment="true" applyProtection="true">
      <alignment horizontal="left" vertical="center" textRotation="0" wrapText="false" indent="1" shrinkToFit="false"/>
      <protection locked="true" hidden="false"/>
    </xf>
    <xf numFmtId="164" fontId="34" fillId="7" borderId="4" applyFont="true" applyBorder="true" applyAlignment="true" applyProtection="true">
      <alignment horizontal="left" vertical="center" textRotation="0" wrapText="false" indent="1" shrinkToFit="false"/>
      <protection locked="true" hidden="false"/>
    </xf>
    <xf numFmtId="164" fontId="34" fillId="7" borderId="3" applyFont="true" applyBorder="true" applyAlignment="true" applyProtection="true">
      <alignment horizontal="left" vertical="center" textRotation="0" wrapText="false" indent="1" shrinkToFit="false"/>
      <protection locked="true" hidden="false"/>
    </xf>
    <xf numFmtId="164" fontId="34" fillId="7" borderId="4" applyFont="true" applyBorder="true" applyAlignment="true" applyProtection="true">
      <alignment horizontal="left" vertical="center" textRotation="0" wrapText="false" indent="1" shrinkToFit="false"/>
      <protection locked="true" hidden="false"/>
    </xf>
    <xf numFmtId="164" fontId="4" fillId="0" borderId="4" applyFont="true" applyBorder="true" applyAlignment="true" applyProtection="true">
      <alignment horizontal="left" vertical="center" textRotation="0" wrapText="false" indent="1" shrinkToFit="false"/>
      <protection locked="true" hidden="false"/>
    </xf>
    <xf numFmtId="164" fontId="35" fillId="12" borderId="10" applyFont="true" applyBorder="true" applyAlignment="true" applyProtection="true">
      <alignment horizontal="left" vertical="center" textRotation="0" wrapText="false" indent="1" shrinkToFit="false"/>
      <protection locked="true" hidden="false"/>
    </xf>
    <xf numFmtId="164" fontId="36" fillId="12" borderId="10" applyFont="true" applyBorder="true" applyAlignment="true" applyProtection="true">
      <alignment horizontal="left" vertical="center" textRotation="0" wrapText="false" indent="1" shrinkToFit="false"/>
      <protection locked="true" hidden="false"/>
    </xf>
    <xf numFmtId="164" fontId="35" fillId="12" borderId="10" applyFont="true" applyBorder="true" applyAlignment="true" applyProtection="true">
      <alignment horizontal="left" vertical="center" textRotation="0" wrapText="false" indent="1" shrinkToFit="false"/>
      <protection locked="true" hidden="false"/>
    </xf>
    <xf numFmtId="165" fontId="37" fillId="0" borderId="11" applyFont="true" applyBorder="true" applyAlignment="true" applyProtection="true">
      <alignment horizontal="left" vertical="center" textRotation="0" wrapText="false" indent="1" shrinkToFit="false"/>
      <protection locked="true" hidden="false"/>
    </xf>
    <xf numFmtId="165" fontId="37" fillId="0" borderId="3" applyFont="true" applyBorder="true" applyAlignment="true" applyProtection="true">
      <alignment horizontal="left" vertical="center" textRotation="0" wrapText="false" indent="1" shrinkToFit="false"/>
      <protection locked="true" hidden="false"/>
    </xf>
    <xf numFmtId="165" fontId="37" fillId="0" borderId="11" applyFont="true" applyBorder="true" applyAlignment="true" applyProtection="true">
      <alignment horizontal="left" vertical="center" textRotation="0" wrapText="false" indent="1" shrinkToFit="false"/>
      <protection locked="true" hidden="false"/>
    </xf>
    <xf numFmtId="165" fontId="37" fillId="0" borderId="4" applyFont="true" applyBorder="true" applyAlignment="true" applyProtection="true">
      <alignment horizontal="left" vertical="center" textRotation="0" wrapText="false" indent="1" shrinkToFit="false"/>
      <protection locked="true" hidden="false"/>
    </xf>
    <xf numFmtId="165" fontId="37" fillId="0" borderId="11" applyFont="true" applyBorder="true" applyAlignment="true" applyProtection="true">
      <alignment horizontal="left" vertical="center" textRotation="0" wrapText="false" indent="1" shrinkToFit="false"/>
      <protection locked="true" hidden="false"/>
    </xf>
    <xf numFmtId="165" fontId="37" fillId="0" borderId="11" applyFont="true" applyBorder="true" applyAlignment="true" applyProtection="true">
      <alignment horizontal="left" vertical="center" textRotation="0" wrapText="false" indent="1" shrinkToFit="false"/>
      <protection locked="true" hidden="false"/>
    </xf>
    <xf numFmtId="168" fontId="4" fillId="0" borderId="12" applyFont="true" applyBorder="true" applyAlignment="true" applyProtection="true">
      <alignment horizontal="general" vertical="bottom" textRotation="0" wrapText="false" indent="0" shrinkToFit="false"/>
      <protection locked="true" hidden="false"/>
    </xf>
    <xf numFmtId="168" fontId="4" fillId="0" borderId="13" applyFont="true" applyBorder="true" applyAlignment="true" applyProtection="true">
      <alignment horizontal="general" vertical="center" textRotation="0" wrapText="false" indent="0" shrinkToFit="false"/>
      <protection locked="true" hidden="false"/>
    </xf>
    <xf numFmtId="168" fontId="4" fillId="0" borderId="12" applyFont="true" applyBorder="true" applyAlignment="true" applyProtection="true">
      <alignment horizontal="general" vertical="center" textRotation="0" wrapText="false" indent="0" shrinkToFit="false"/>
      <protection locked="true" hidden="false"/>
    </xf>
    <xf numFmtId="168" fontId="4" fillId="0" borderId="14" applyFont="true" applyBorder="true" applyAlignment="true" applyProtection="true">
      <alignment horizontal="general" vertical="center" textRotation="0" wrapText="false" indent="0" shrinkToFit="false"/>
      <protection locked="true" hidden="false"/>
    </xf>
    <xf numFmtId="169" fontId="4" fillId="0" borderId="13" applyFont="true" applyBorder="true" applyAlignment="true" applyProtection="true">
      <alignment horizontal="general" vertical="center" textRotation="0" wrapText="false" indent="0" shrinkToFit="false"/>
      <protection locked="true" hidden="false"/>
    </xf>
    <xf numFmtId="168" fontId="4" fillId="0" borderId="13" applyFont="true" applyBorder="true" applyAlignment="true" applyProtection="true">
      <alignment horizontal="general" vertical="center" textRotation="0" wrapText="false" indent="0" shrinkToFit="false"/>
      <protection locked="true" hidden="false"/>
    </xf>
    <xf numFmtId="164" fontId="38" fillId="0" borderId="0" applyFont="true" applyBorder="true" applyAlignment="true" applyProtection="true">
      <alignment horizontal="general" vertical="center" textRotation="0" wrapText="false" indent="0" shrinkToFit="false"/>
      <protection locked="true" hidden="false"/>
    </xf>
    <xf numFmtId="164" fontId="24" fillId="7" borderId="4" applyFont="true" applyBorder="true" applyAlignment="true" applyProtection="true">
      <alignment horizontal="left" vertical="center" textRotation="0" wrapText="false" indent="1" shrinkToFit="false"/>
      <protection locked="false" hidden="false"/>
    </xf>
    <xf numFmtId="164" fontId="20" fillId="0" borderId="4" applyFont="true" applyBorder="true" applyAlignment="true" applyProtection="true">
      <alignment horizontal="left" vertical="center" textRotation="0" wrapText="false" indent="1" shrinkToFit="false"/>
      <protection locked="true" hidden="false"/>
    </xf>
    <xf numFmtId="164" fontId="39" fillId="0" borderId="0" applyFont="true" applyBorder="true" applyAlignment="true" applyProtection="true">
      <alignment horizontal="right" vertical="bottom" textRotation="0" wrapText="false" indent="0" shrinkToFit="false"/>
      <protection locked="true" hidden="false"/>
    </xf>
    <xf numFmtId="164" fontId="39" fillId="0" borderId="0" applyFont="true" applyBorder="true" applyAlignment="true" applyProtection="true">
      <alignment horizontal="right" vertical="bottom" textRotation="0" wrapText="false" indent="0" shrinkToFit="false"/>
      <protection locked="true" hidden="false"/>
    </xf>
    <xf numFmtId="164" fontId="39" fillId="0" borderId="0" applyFont="true" applyBorder="true" applyAlignment="true" applyProtection="true">
      <alignment horizontal="right" vertical="bottom" textRotation="0" wrapText="false" indent="0" shrinkToFit="false"/>
      <protection locked="true" hidden="false"/>
    </xf>
    <xf numFmtId="164" fontId="40" fillId="0" borderId="0" applyFont="true" applyBorder="true" applyAlignment="true" applyProtection="true">
      <alignment horizontal="general" vertical="bottom" textRotation="0" wrapText="false" indent="0" shrinkToFit="false"/>
      <protection locked="true" hidden="false"/>
    </xf>
    <xf numFmtId="164" fontId="40" fillId="0" borderId="0" applyFont="true" applyBorder="true" applyAlignment="true" applyProtection="true">
      <alignment horizontal="general" vertical="bottom" textRotation="0" wrapText="false" indent="0" shrinkToFit="false"/>
      <protection locked="true" hidden="false"/>
    </xf>
    <xf numFmtId="164" fontId="40" fillId="0" borderId="0" applyFont="true" applyBorder="true" applyAlignment="true" applyProtection="true">
      <alignment horizontal="general" vertical="bottom" textRotation="0" wrapText="false" indent="0" shrinkToFit="false"/>
      <protection locked="true" hidden="false"/>
    </xf>
  </cellStyleXfs>
  <cellXfs count="1285">
    <xf numFmtId="164" fontId="0" fillId="0" borderId="0" xfId="0" applyFont="fals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true" applyProtection="false">
      <alignment horizontal="left" vertical="bottom" textRotation="0" wrapText="false" indent="0" shrinkToFit="false"/>
      <protection locked="true" hidden="false"/>
    </xf>
    <xf numFmtId="164" fontId="42" fillId="0" borderId="0" xfId="0" applyFont="true" applyBorder="false" applyAlignment="true" applyProtection="false">
      <alignment horizontal="left" vertical="center" textRotation="0" wrapText="false" indent="0" shrinkToFit="false"/>
      <protection locked="true" hidden="false"/>
    </xf>
    <xf numFmtId="164" fontId="42" fillId="0" borderId="0" xfId="0" applyFont="true" applyBorder="fals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left" vertical="center" textRotation="0" wrapText="false" indent="0" shrinkToFit="false"/>
      <protection locked="true" hidden="false"/>
    </xf>
    <xf numFmtId="164" fontId="43" fillId="0" borderId="0" xfId="0" applyFont="true" applyBorder="false" applyAlignment="true" applyProtection="false">
      <alignment horizontal="general" vertical="center" textRotation="0" wrapText="false" indent="0" shrinkToFit="false"/>
      <protection locked="true" hidden="false"/>
    </xf>
    <xf numFmtId="180" fontId="43" fillId="0" borderId="0" xfId="0" applyFont="true" applyBorder="false" applyAlignment="true" applyProtection="false">
      <alignment horizontal="general" vertical="center" textRotation="0" wrapText="false" indent="0" shrinkToFit="false"/>
      <protection locked="true" hidden="false"/>
    </xf>
    <xf numFmtId="164" fontId="44" fillId="0" borderId="0" xfId="0" applyFont="true" applyBorder="false" applyAlignment="false" applyProtection="false">
      <alignment horizontal="general" vertical="bottom" textRotation="0" wrapText="false" indent="0" shrinkToFit="false"/>
      <protection locked="true" hidden="false"/>
    </xf>
    <xf numFmtId="181" fontId="43" fillId="0" borderId="0" xfId="0" applyFont="true" applyBorder="false" applyAlignment="true" applyProtection="false">
      <alignment horizontal="general" vertical="center" textRotation="0" wrapText="false" indent="0" shrinkToFit="false"/>
      <protection locked="true" hidden="false"/>
    </xf>
    <xf numFmtId="164" fontId="45"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6" fillId="0" borderId="15" xfId="167" applyFont="true" applyBorder="true" applyAlignment="true" applyProtection="false">
      <alignment horizontal="center" vertical="center" textRotation="0" wrapText="false" indent="0" shrinkToFit="false"/>
      <protection locked="true" hidden="false"/>
    </xf>
    <xf numFmtId="182" fontId="46" fillId="0" borderId="15" xfId="167" applyFont="true" applyBorder="true" applyAlignment="true" applyProtection="false">
      <alignment horizontal="center" vertical="center" textRotation="0" wrapText="false" indent="0" shrinkToFit="false"/>
      <protection locked="true" hidden="false"/>
    </xf>
    <xf numFmtId="164" fontId="41" fillId="0" borderId="0" xfId="0" applyFont="true" applyBorder="false" applyAlignment="true" applyProtection="false">
      <alignment horizontal="center" vertical="bottom" textRotation="0" wrapText="false" indent="0" shrinkToFit="false"/>
      <protection locked="true" hidden="false"/>
    </xf>
    <xf numFmtId="164" fontId="25" fillId="0" borderId="0" xfId="167" applyFont="true" applyBorder="false" applyAlignment="true" applyProtection="false">
      <alignment horizontal="general" vertical="center" textRotation="0" wrapText="false" indent="0" shrinkToFit="false"/>
      <protection locked="true" hidden="false"/>
    </xf>
    <xf numFmtId="181" fontId="25" fillId="0" borderId="0" xfId="167" applyFont="true" applyBorder="false" applyAlignment="true" applyProtection="false">
      <alignment horizontal="right" vertical="center" textRotation="0" wrapText="false" indent="0" shrinkToFit="false"/>
      <protection locked="true" hidden="false"/>
    </xf>
    <xf numFmtId="164" fontId="25" fillId="0" borderId="16" xfId="167" applyFont="true" applyBorder="true" applyAlignment="true" applyProtection="false">
      <alignment horizontal="general" vertical="center" textRotation="0" wrapText="false" indent="0" shrinkToFit="false"/>
      <protection locked="true" hidden="false"/>
    </xf>
    <xf numFmtId="181" fontId="25" fillId="0" borderId="16" xfId="167" applyFont="true" applyBorder="true" applyAlignment="true" applyProtection="false">
      <alignment horizontal="right" vertical="center" textRotation="0" wrapText="false" indent="0" shrinkToFit="false"/>
      <protection locked="true" hidden="false"/>
    </xf>
    <xf numFmtId="180" fontId="41" fillId="0" borderId="0" xfId="0" applyFont="true" applyBorder="false" applyAlignment="false" applyProtection="false">
      <alignment horizontal="general" vertical="bottom" textRotation="0" wrapText="false" indent="0" shrinkToFit="false"/>
      <protection locked="true" hidden="false"/>
    </xf>
    <xf numFmtId="164" fontId="47" fillId="0" borderId="16" xfId="167" applyFont="true" applyBorder="true" applyAlignment="true" applyProtection="false">
      <alignment horizontal="general" vertical="center" textRotation="0" wrapText="false" indent="0" shrinkToFit="false"/>
      <protection locked="true" hidden="false"/>
    </xf>
    <xf numFmtId="181" fontId="47" fillId="0" borderId="16" xfId="167" applyFont="true" applyBorder="true" applyAlignment="true" applyProtection="false">
      <alignment horizontal="right" vertical="center" textRotation="0" wrapText="false" indent="0" shrinkToFit="false"/>
      <protection locked="true" hidden="false"/>
    </xf>
    <xf numFmtId="164" fontId="48" fillId="0" borderId="0" xfId="0" applyFont="true" applyBorder="fals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false">
      <alignment horizontal="general" vertical="center" textRotation="0" wrapText="false" indent="0" shrinkToFit="false"/>
      <protection locked="true" hidden="false"/>
    </xf>
    <xf numFmtId="164" fontId="49" fillId="0" borderId="0" xfId="212" applyFont="true" applyBorder="true" applyAlignment="true" applyProtection="false">
      <alignment horizontal="center" vertical="center" textRotation="0" wrapText="false" indent="0" shrinkToFit="false"/>
      <protection locked="true" hidden="false"/>
    </xf>
    <xf numFmtId="164" fontId="50" fillId="0" borderId="0" xfId="20" applyFont="true" applyBorder="false" applyAlignment="true" applyProtection="false">
      <alignment horizontal="center" vertical="center" textRotation="0" wrapText="false" indent="0" shrinkToFit="false"/>
      <protection locked="true" hidden="false"/>
    </xf>
    <xf numFmtId="164" fontId="51" fillId="0" borderId="0" xfId="0" applyFont="true" applyBorder="fals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false">
      <alignment horizontal="left" vertical="center" textRotation="0" wrapText="false" indent="0" shrinkToFit="false"/>
      <protection locked="true" hidden="false"/>
    </xf>
    <xf numFmtId="164" fontId="51" fillId="13" borderId="0" xfId="212" applyFont="true" applyBorder="false" applyAlignment="true" applyProtection="false">
      <alignment horizontal="general" vertical="center" textRotation="0" wrapText="false" indent="0" shrinkToFit="false"/>
      <protection locked="true" hidden="false"/>
    </xf>
    <xf numFmtId="164" fontId="43" fillId="13" borderId="0" xfId="0" applyFont="true" applyBorder="false" applyAlignment="true" applyProtection="false">
      <alignment horizontal="general" vertical="center" textRotation="0" wrapText="false" indent="0" shrinkToFit="false"/>
      <protection locked="true" hidden="false"/>
    </xf>
    <xf numFmtId="164" fontId="48" fillId="0" borderId="0" xfId="212" applyFont="true" applyBorder="false" applyAlignment="true" applyProtection="false">
      <alignment horizontal="general" vertical="center" textRotation="0" wrapText="false" indent="0" shrinkToFit="false"/>
      <protection locked="true" hidden="false"/>
    </xf>
    <xf numFmtId="179" fontId="51" fillId="13" borderId="0" xfId="212" applyFont="true" applyBorder="false" applyAlignment="true" applyProtection="false">
      <alignment horizontal="left" vertical="center" textRotation="0" wrapText="false" indent="0" shrinkToFit="false"/>
      <protection locked="true" hidden="false"/>
    </xf>
    <xf numFmtId="183" fontId="48" fillId="13" borderId="0" xfId="212" applyFont="true" applyBorder="false" applyAlignment="true" applyProtection="false">
      <alignment horizontal="general" vertical="center" textRotation="0" wrapText="false" indent="0" shrinkToFit="false"/>
      <protection locked="true" hidden="false"/>
    </xf>
    <xf numFmtId="164" fontId="48" fillId="0" borderId="0" xfId="159" applyFont="true" applyBorder="false" applyAlignment="true" applyProtection="false">
      <alignment horizontal="center" vertical="center" textRotation="0" wrapText="false" indent="0" shrinkToFit="false"/>
      <protection locked="true" hidden="false"/>
    </xf>
    <xf numFmtId="164" fontId="48" fillId="13" borderId="0" xfId="0" applyFont="true" applyBorder="false" applyAlignment="true" applyProtection="false">
      <alignment horizontal="left" vertical="center" textRotation="0" wrapText="false" indent="0" shrinkToFit="false"/>
      <protection locked="true" hidden="false"/>
    </xf>
    <xf numFmtId="164" fontId="48" fillId="0" borderId="0" xfId="159" applyFont="true" applyBorder="false" applyAlignment="true" applyProtection="false">
      <alignment horizontal="general" vertical="center" textRotation="0" wrapText="false" indent="0" shrinkToFit="false"/>
      <protection locked="true" hidden="false"/>
    </xf>
    <xf numFmtId="164" fontId="51" fillId="0" borderId="0" xfId="159" applyFont="true" applyBorder="false" applyAlignment="true" applyProtection="false">
      <alignment horizontal="general" vertical="center" textRotation="0" wrapText="false" indent="0" shrinkToFit="false"/>
      <protection locked="true" hidden="false"/>
    </xf>
    <xf numFmtId="164" fontId="48" fillId="0" borderId="0" xfId="0" applyFont="true" applyBorder="false" applyAlignment="true" applyProtection="false">
      <alignment horizontal="center" vertical="center" textRotation="0" wrapText="true" indent="0" shrinkToFit="false"/>
      <protection locked="true" hidden="false"/>
    </xf>
    <xf numFmtId="164" fontId="45" fillId="0" borderId="0" xfId="20" applyFont="true" applyBorder="false" applyAlignment="true" applyProtection="false">
      <alignment horizontal="general" vertical="center" textRotation="0" wrapText="false" indent="0" shrinkToFit="false"/>
      <protection locked="true" hidden="false"/>
    </xf>
    <xf numFmtId="184" fontId="48"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52" fillId="0" borderId="0" xfId="0" applyFont="true" applyBorder="false" applyAlignment="true" applyProtection="false">
      <alignment horizontal="general" vertical="center" textRotation="0" wrapText="false" indent="0" shrinkToFit="false"/>
      <protection locked="true" hidden="false"/>
    </xf>
    <xf numFmtId="164" fontId="45" fillId="0" borderId="0" xfId="20" applyFont="true" applyBorder="false" applyAlignment="true" applyProtection="false">
      <alignment horizontal="left" vertical="center" textRotation="0" wrapText="false" indent="0" shrinkToFit="false"/>
      <protection locked="true" hidden="false"/>
    </xf>
    <xf numFmtId="164" fontId="53" fillId="0" borderId="0" xfId="0" applyFont="true" applyBorder="false" applyAlignment="true" applyProtection="false">
      <alignment horizontal="general" vertical="center" textRotation="0" wrapText="false" indent="0"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4" fontId="55" fillId="0" borderId="0" xfId="20" applyFont="true" applyBorder="false" applyAlignment="true" applyProtection="false">
      <alignment horizontal="general" vertical="center" textRotation="0" wrapText="false" indent="0" shrinkToFit="false"/>
      <protection locked="true" hidden="false"/>
    </xf>
    <xf numFmtId="184" fontId="54" fillId="0" borderId="0" xfId="0" applyFont="true" applyBorder="false" applyAlignment="true" applyProtection="false">
      <alignment horizontal="left" vertical="center" textRotation="0" wrapText="false" indent="0" shrinkToFit="false"/>
      <protection locked="true" hidden="false"/>
    </xf>
    <xf numFmtId="164" fontId="56" fillId="0" borderId="0" xfId="0" applyFont="true" applyBorder="false" applyAlignment="true" applyProtection="false">
      <alignment horizontal="general" vertical="center" textRotation="0" wrapText="true" indent="0" shrinkToFit="false"/>
      <protection locked="true" hidden="false"/>
    </xf>
    <xf numFmtId="164" fontId="41" fillId="0" borderId="0" xfId="0" applyFont="true" applyBorder="false" applyAlignment="true" applyProtection="false">
      <alignment horizontal="general" vertical="center" textRotation="0" wrapText="false" indent="0" shrinkToFit="false"/>
      <protection locked="true" hidden="false"/>
    </xf>
    <xf numFmtId="164" fontId="57" fillId="0" borderId="0" xfId="0" applyFont="true" applyBorder="false" applyAlignment="true" applyProtection="false">
      <alignment horizontal="general" vertical="center" textRotation="0" wrapText="false" indent="0" shrinkToFit="false"/>
      <protection locked="true" hidden="false"/>
    </xf>
    <xf numFmtId="164" fontId="24" fillId="0" borderId="0" xfId="157" applyFont="true" applyBorder="false" applyAlignment="false" applyProtection="false">
      <alignment horizontal="general" vertical="bottom" textRotation="0" wrapText="false" indent="0" shrinkToFit="false"/>
      <protection locked="true" hidden="false"/>
    </xf>
    <xf numFmtId="174" fontId="24" fillId="0" borderId="0" xfId="15" applyFont="true" applyBorder="false" applyAlignment="fals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general" vertical="center" textRotation="0" wrapText="false" indent="0" shrinkToFit="false"/>
      <protection locked="true" hidden="false"/>
    </xf>
    <xf numFmtId="164" fontId="24" fillId="0" borderId="0" xfId="157" applyFont="true" applyBorder="false" applyAlignment="true" applyProtection="false">
      <alignment horizontal="right" vertical="center" textRotation="0" wrapText="false" indent="1" shrinkToFit="false"/>
      <protection locked="true" hidden="false"/>
    </xf>
    <xf numFmtId="185" fontId="58" fillId="0" borderId="17" xfId="157" applyFont="true" applyBorder="true" applyAlignment="true" applyProtection="false">
      <alignment horizontal="general" vertical="center" textRotation="0" wrapText="false" indent="0" shrinkToFit="false"/>
      <protection locked="true" hidden="false"/>
    </xf>
    <xf numFmtId="185" fontId="58" fillId="0" borderId="18" xfId="157" applyFont="true" applyBorder="true" applyAlignment="true" applyProtection="false">
      <alignment horizontal="general" vertical="center" textRotation="0" wrapText="false" indent="0" shrinkToFit="false"/>
      <protection locked="true" hidden="false"/>
    </xf>
    <xf numFmtId="164" fontId="12" fillId="0" borderId="0" xfId="157" applyFont="true" applyBorder="false" applyAlignment="true" applyProtection="false">
      <alignment horizontal="general" vertical="center" textRotation="0" wrapText="false" indent="0" shrinkToFit="false"/>
      <protection locked="true" hidden="false"/>
    </xf>
    <xf numFmtId="164" fontId="24" fillId="0" borderId="0" xfId="157" applyFont="true" applyBorder="false" applyAlignment="true" applyProtection="false">
      <alignment horizontal="general" vertical="center" textRotation="0" wrapText="false" indent="0" shrinkToFit="false"/>
      <protection locked="true" hidden="false"/>
    </xf>
    <xf numFmtId="174" fontId="12" fillId="0" borderId="0" xfId="15" applyFont="true" applyBorder="false" applyAlignment="true" applyProtection="false">
      <alignment horizontal="general" vertical="center" textRotation="0" wrapText="false" indent="0" shrinkToFit="false"/>
      <protection locked="true" hidden="false"/>
    </xf>
    <xf numFmtId="164" fontId="12" fillId="0" borderId="19" xfId="157" applyFont="true" applyBorder="true" applyAlignment="true" applyProtection="false">
      <alignment horizontal="general" vertical="center" textRotation="0" wrapText="false" indent="0" shrinkToFit="false"/>
      <protection locked="true" hidden="false"/>
    </xf>
    <xf numFmtId="164" fontId="24" fillId="0" borderId="0" xfId="133" applyFont="true" applyBorder="true" applyAlignment="true" applyProtection="false">
      <alignment horizontal="right" vertical="center" textRotation="0" wrapText="false" indent="0" shrinkToFit="false"/>
      <protection locked="true" hidden="false"/>
    </xf>
    <xf numFmtId="164" fontId="24" fillId="0" borderId="0" xfId="157" applyFont="true" applyBorder="false" applyAlignment="true" applyProtection="false">
      <alignment horizontal="right" vertical="center" textRotation="0" wrapText="false" indent="0" shrinkToFit="false"/>
      <protection locked="true" hidden="false"/>
    </xf>
    <xf numFmtId="164" fontId="24" fillId="0" borderId="20" xfId="133" applyFont="true" applyBorder="true" applyAlignment="true" applyProtection="false">
      <alignment horizontal="general" vertical="center" textRotation="0" wrapText="false" indent="0" shrinkToFit="false"/>
      <protection locked="true" hidden="false"/>
    </xf>
    <xf numFmtId="164" fontId="48" fillId="7" borderId="21" xfId="235" applyFont="true" applyBorder="true" applyAlignment="true" applyProtection="false">
      <alignment horizontal="left" vertical="center" textRotation="0" wrapText="false" indent="1" shrinkToFit="false"/>
      <protection locked="true" hidden="false"/>
    </xf>
    <xf numFmtId="174" fontId="48" fillId="7" borderId="21" xfId="15" applyFont="true" applyBorder="true" applyAlignment="true" applyProtection="false">
      <alignment horizontal="left" vertical="center" textRotation="0" wrapText="false" indent="1" shrinkToFit="false"/>
      <protection locked="true" hidden="false"/>
    </xf>
    <xf numFmtId="164" fontId="48" fillId="7" borderId="0" xfId="235" applyFont="true" applyBorder="true" applyAlignment="true" applyProtection="false">
      <alignment horizontal="left" vertical="center" textRotation="0" wrapText="false" indent="1" shrinkToFit="false"/>
      <protection locked="true" hidden="false"/>
    </xf>
    <xf numFmtId="164" fontId="24" fillId="7" borderId="22" xfId="133" applyFont="true" applyBorder="true" applyAlignment="true" applyProtection="false">
      <alignment horizontal="center" vertical="center" textRotation="0" wrapText="false" indent="0" shrinkToFit="false"/>
      <protection locked="true" hidden="false"/>
    </xf>
    <xf numFmtId="164" fontId="24" fillId="0" borderId="21" xfId="157" applyFont="true" applyBorder="true" applyAlignment="false" applyProtection="false">
      <alignment horizontal="general" vertical="bottom" textRotation="0" wrapText="false" indent="0" shrinkToFit="false"/>
      <protection locked="true" hidden="false"/>
    </xf>
    <xf numFmtId="174" fontId="24" fillId="0" borderId="21" xfId="15" applyFont="true" applyBorder="true" applyAlignment="false" applyProtection="false">
      <alignment horizontal="general" vertical="bottom" textRotation="0" wrapText="false" indent="0" shrinkToFit="false"/>
      <protection locked="true" hidden="false"/>
    </xf>
    <xf numFmtId="164" fontId="24" fillId="0" borderId="23" xfId="157" applyFont="true" applyBorder="true" applyAlignment="false" applyProtection="false">
      <alignment horizontal="general" vertical="bottom" textRotation="0" wrapText="false" indent="0" shrinkToFit="false"/>
      <protection locked="true" hidden="false"/>
    </xf>
    <xf numFmtId="164" fontId="57" fillId="0" borderId="0" xfId="126" applyFont="true" applyBorder="true" applyAlignment="false" applyProtection="false">
      <alignment horizontal="general" vertical="bottom" textRotation="0" wrapText="false" indent="0" shrinkToFit="false"/>
      <protection locked="true" hidden="false"/>
    </xf>
    <xf numFmtId="165" fontId="59" fillId="0" borderId="24" xfId="242" applyFont="true" applyBorder="true" applyAlignment="true" applyProtection="false">
      <alignment horizontal="left" vertical="center" textRotation="0" wrapText="false" indent="1" shrinkToFit="false"/>
      <protection locked="true" hidden="false"/>
    </xf>
    <xf numFmtId="164" fontId="24" fillId="0" borderId="25" xfId="157" applyFont="true" applyBorder="true" applyAlignment="true" applyProtection="false">
      <alignment horizontal="center" vertical="center" textRotation="0" wrapText="false" indent="0" shrinkToFit="false"/>
      <protection locked="true" hidden="false"/>
    </xf>
    <xf numFmtId="164" fontId="24" fillId="0" borderId="20" xfId="157" applyFont="true" applyBorder="true" applyAlignment="false" applyProtection="false">
      <alignment horizontal="general" vertical="bottom" textRotation="0" wrapText="false" indent="0" shrinkToFit="false"/>
      <protection locked="true" hidden="false"/>
    </xf>
    <xf numFmtId="164" fontId="24" fillId="0" borderId="20" xfId="157" applyFont="true" applyBorder="true" applyAlignment="true" applyProtection="false">
      <alignment horizontal="center" vertical="center" textRotation="0" wrapText="false" indent="0" shrinkToFit="false"/>
      <protection locked="true" hidden="false"/>
    </xf>
    <xf numFmtId="164" fontId="24" fillId="0" borderId="26" xfId="157" applyFont="true" applyBorder="true" applyAlignment="false" applyProtection="false">
      <alignment horizontal="general" vertical="bottom" textRotation="0" wrapText="false" indent="0" shrinkToFit="false"/>
      <protection locked="true" hidden="false"/>
    </xf>
    <xf numFmtId="165" fontId="24" fillId="0" borderId="27" xfId="225" applyFont="true" applyBorder="true" applyAlignment="true" applyProtection="false">
      <alignment horizontal="left" vertical="center" textRotation="0" wrapText="false" indent="1" shrinkToFit="false"/>
      <protection locked="true" hidden="false"/>
    </xf>
    <xf numFmtId="174" fontId="24" fillId="0" borderId="28" xfId="15" applyFont="true" applyBorder="true" applyAlignment="true" applyProtection="false">
      <alignment horizontal="left" vertical="center" textRotation="0" wrapText="false" indent="1" shrinkToFit="false"/>
      <protection locked="true" hidden="false"/>
    </xf>
    <xf numFmtId="165" fontId="24" fillId="0" borderId="27" xfId="225" applyFont="true" applyBorder="true" applyAlignment="true" applyProtection="false">
      <alignment horizontal="center" vertical="center" textRotation="0" wrapText="false" indent="0" shrinkToFit="false"/>
      <protection locked="true" hidden="false"/>
    </xf>
    <xf numFmtId="165" fontId="24" fillId="0" borderId="28" xfId="225" applyFont="true" applyBorder="true" applyAlignment="true" applyProtection="false">
      <alignment horizontal="left" vertical="center" textRotation="0" wrapText="false" indent="1" shrinkToFit="false"/>
      <protection locked="true" hidden="false"/>
    </xf>
    <xf numFmtId="165" fontId="24" fillId="0" borderId="29" xfId="225" applyFont="true" applyBorder="true" applyAlignment="true" applyProtection="false">
      <alignment horizontal="left" vertical="center" textRotation="0" wrapText="false" indent="1" shrinkToFit="false"/>
      <protection locked="true" hidden="false"/>
    </xf>
    <xf numFmtId="165" fontId="24" fillId="0" borderId="11" xfId="225" applyFont="true" applyBorder="true" applyAlignment="true" applyProtection="false">
      <alignment horizontal="left" vertical="center" textRotation="0" wrapText="false" indent="1" shrinkToFit="false"/>
      <protection locked="true" hidden="false"/>
    </xf>
    <xf numFmtId="164" fontId="24" fillId="0" borderId="30" xfId="157" applyFont="true" applyBorder="true" applyAlignment="false" applyProtection="false">
      <alignment horizontal="general" vertical="bottom" textRotation="0" wrapText="false" indent="0" shrinkToFit="false"/>
      <protection locked="true" hidden="false"/>
    </xf>
    <xf numFmtId="164" fontId="24" fillId="0" borderId="31" xfId="157" applyFont="true" applyBorder="true" applyAlignment="false" applyProtection="false">
      <alignment horizontal="general" vertical="bottom" textRotation="0" wrapText="false" indent="0" shrinkToFit="false"/>
      <protection locked="true" hidden="false"/>
    </xf>
    <xf numFmtId="174" fontId="24" fillId="0" borderId="31" xfId="15" applyFont="true" applyBorder="true" applyAlignment="false" applyProtection="false">
      <alignment horizontal="general" vertical="bottom" textRotation="0" wrapText="false" indent="0" shrinkToFit="false"/>
      <protection locked="true" hidden="false"/>
    </xf>
    <xf numFmtId="168" fontId="24" fillId="0" borderId="28" xfId="47" applyFont="true" applyBorder="true" applyAlignment="true" applyProtection="false">
      <alignment horizontal="general" vertical="center" textRotation="0" wrapText="false" indent="0" shrinkToFit="false"/>
      <protection locked="true" hidden="false"/>
    </xf>
    <xf numFmtId="164" fontId="57" fillId="7" borderId="27" xfId="66" applyFont="true" applyBorder="true" applyAlignment="true" applyProtection="true">
      <alignment horizontal="left" vertical="center" textRotation="0" wrapText="false" indent="1" shrinkToFit="false"/>
      <protection locked="false" hidden="false"/>
    </xf>
    <xf numFmtId="164" fontId="24" fillId="7" borderId="27" xfId="66" applyFont="true" applyBorder="true" applyAlignment="true" applyProtection="true">
      <alignment horizontal="left" vertical="center" textRotation="0" wrapText="false" indent="1" shrinkToFit="false"/>
      <protection locked="false" hidden="false"/>
    </xf>
    <xf numFmtId="164" fontId="24" fillId="14" borderId="27" xfId="157" applyFont="true" applyBorder="true" applyAlignment="true" applyProtection="true">
      <alignment horizontal="left" vertical="center" textRotation="0" wrapText="false" indent="1" shrinkToFit="false"/>
      <protection locked="true" hidden="true"/>
    </xf>
    <xf numFmtId="164" fontId="24" fillId="14" borderId="21" xfId="157" applyFont="true" applyBorder="true" applyAlignment="true" applyProtection="false">
      <alignment horizontal="general" vertical="center" textRotation="0" wrapText="false" indent="0" shrinkToFit="false"/>
      <protection locked="true" hidden="false"/>
    </xf>
    <xf numFmtId="168" fontId="24" fillId="14" borderId="27" xfId="47" applyFont="true" applyBorder="true" applyAlignment="true" applyProtection="false">
      <alignment horizontal="general" vertical="center" textRotation="0" wrapText="false" indent="0" shrinkToFit="false"/>
      <protection locked="true" hidden="false"/>
    </xf>
    <xf numFmtId="168" fontId="24" fillId="14" borderId="28" xfId="47" applyFont="true" applyBorder="true" applyAlignment="true" applyProtection="false">
      <alignment horizontal="general" vertical="center" textRotation="0" wrapText="false" indent="0" shrinkToFit="false"/>
      <protection locked="true" hidden="false"/>
    </xf>
    <xf numFmtId="164" fontId="24" fillId="0" borderId="0" xfId="157" applyFont="true" applyBorder="false" applyAlignment="true" applyProtection="false">
      <alignment horizontal="center" vertical="bottom" textRotation="0" wrapText="false" indent="0" shrinkToFit="false"/>
      <protection locked="true" hidden="false"/>
    </xf>
    <xf numFmtId="168" fontId="57" fillId="0" borderId="27" xfId="157" applyFont="true" applyBorder="true" applyAlignment="true" applyProtection="false">
      <alignment horizontal="center" vertical="center" textRotation="0" wrapText="false" indent="0" shrinkToFit="false"/>
      <protection locked="true" hidden="false"/>
    </xf>
    <xf numFmtId="164" fontId="60" fillId="0" borderId="28" xfId="157" applyFont="true" applyBorder="true" applyAlignment="false" applyProtection="false">
      <alignment horizontal="general" vertical="bottom" textRotation="0" wrapText="false" indent="0" shrinkToFit="false"/>
      <protection locked="true" hidden="false"/>
    </xf>
    <xf numFmtId="184" fontId="57" fillId="0" borderId="23" xfId="157" applyFont="true" applyBorder="true" applyAlignment="true" applyProtection="true">
      <alignment horizontal="center" vertical="bottom" textRotation="0" wrapText="false" indent="0" shrinkToFit="false"/>
      <protection locked="true" hidden="true"/>
    </xf>
    <xf numFmtId="164" fontId="61" fillId="0" borderId="27" xfId="126" applyFont="true" applyBorder="true" applyAlignment="false" applyProtection="false">
      <alignment horizontal="general" vertical="bottom" textRotation="0" wrapText="false" indent="0" shrinkToFit="false"/>
      <protection locked="true" hidden="false"/>
    </xf>
    <xf numFmtId="184" fontId="57" fillId="0" borderId="21" xfId="157" applyFont="true" applyBorder="true" applyAlignment="true" applyProtection="true">
      <alignment horizontal="center" vertical="bottom" textRotation="0" wrapText="false" indent="0" shrinkToFit="false"/>
      <protection locked="true" hidden="true"/>
    </xf>
    <xf numFmtId="164" fontId="24" fillId="6" borderId="4" xfId="47" applyFont="true" applyBorder="true" applyAlignment="true" applyProtection="true">
      <alignment horizontal="left" vertical="center" textRotation="0" wrapText="false" indent="1" shrinkToFit="false"/>
      <protection locked="false" hidden="false"/>
    </xf>
    <xf numFmtId="174" fontId="24" fillId="0" borderId="0" xfId="157" applyFont="true" applyBorder="false" applyAlignment="false" applyProtection="false">
      <alignment horizontal="general" vertical="bottom" textRotation="0" wrapText="false" indent="0" shrinkToFit="false"/>
      <protection locked="true" hidden="false"/>
    </xf>
    <xf numFmtId="164" fontId="57" fillId="0" borderId="0" xfId="157" applyFont="true" applyBorder="false" applyAlignment="false" applyProtection="false">
      <alignment horizontal="general" vertical="bottom" textRotation="0" wrapText="false" indent="0" shrinkToFit="false"/>
      <protection locked="true" hidden="false"/>
    </xf>
    <xf numFmtId="186" fontId="57" fillId="7" borderId="27" xfId="66" applyFont="true" applyBorder="true" applyAlignment="true" applyProtection="true">
      <alignment horizontal="left" vertical="center" textRotation="0" wrapText="false" indent="1" shrinkToFit="false"/>
      <protection locked="false" hidden="false"/>
    </xf>
    <xf numFmtId="174" fontId="24" fillId="0" borderId="32" xfId="15" applyFont="true" applyBorder="true" applyAlignment="false" applyProtection="false">
      <alignment horizontal="general" vertical="bottom" textRotation="0" wrapText="false" indent="0" shrinkToFit="false"/>
      <protection locked="true" hidden="false"/>
    </xf>
    <xf numFmtId="164" fontId="24" fillId="0" borderId="21" xfId="157" applyFont="true" applyBorder="true" applyAlignment="true" applyProtection="false">
      <alignment horizontal="general" vertical="center" textRotation="0" wrapText="false" indent="0" shrinkToFit="false"/>
      <protection locked="true" hidden="false"/>
    </xf>
    <xf numFmtId="168" fontId="57" fillId="0" borderId="33" xfId="157" applyFont="true" applyBorder="true" applyAlignment="true" applyProtection="false">
      <alignment horizontal="center" vertical="center" textRotation="0" wrapText="false" indent="0" shrinkToFit="false"/>
      <protection locked="true" hidden="false"/>
    </xf>
    <xf numFmtId="164" fontId="60" fillId="0" borderId="21" xfId="157" applyFont="true" applyBorder="true" applyAlignment="false" applyProtection="false">
      <alignment horizontal="general" vertical="bottom" textRotation="0" wrapText="false" indent="0" shrinkToFit="false"/>
      <protection locked="true" hidden="false"/>
    </xf>
    <xf numFmtId="164" fontId="24" fillId="0" borderId="21" xfId="126" applyFont="true" applyBorder="true" applyAlignment="false" applyProtection="false">
      <alignment horizontal="general" vertical="bottom" textRotation="0" wrapText="false" indent="0" shrinkToFit="false"/>
      <protection locked="true" hidden="false"/>
    </xf>
    <xf numFmtId="168" fontId="57" fillId="0" borderId="4" xfId="157" applyFont="true" applyBorder="true" applyAlignment="true" applyProtection="false">
      <alignment horizontal="center" vertical="center" textRotation="0" wrapText="false" indent="0" shrinkToFit="false"/>
      <protection locked="true" hidden="false"/>
    </xf>
    <xf numFmtId="164" fontId="24" fillId="0" borderId="27" xfId="157" applyFont="true" applyBorder="true" applyAlignment="true" applyProtection="true">
      <alignment horizontal="left" vertical="center" textRotation="0" wrapText="false" indent="1" shrinkToFit="false"/>
      <protection locked="true" hidden="true"/>
    </xf>
    <xf numFmtId="174" fontId="24" fillId="14" borderId="28" xfId="15" applyFont="true" applyBorder="true" applyAlignment="true" applyProtection="false">
      <alignment horizontal="general" vertical="center" textRotation="0" wrapText="false" indent="0" shrinkToFit="false"/>
      <protection locked="true" hidden="false"/>
    </xf>
    <xf numFmtId="165" fontId="57" fillId="7" borderId="27" xfId="66" applyFont="true" applyBorder="true" applyAlignment="true" applyProtection="true">
      <alignment horizontal="left" vertical="center" textRotation="0" wrapText="false" indent="1" shrinkToFit="false"/>
      <protection locked="false" hidden="false"/>
    </xf>
    <xf numFmtId="164" fontId="49" fillId="0" borderId="21" xfId="157" applyFont="true" applyBorder="true" applyAlignment="true" applyProtection="false">
      <alignment horizontal="general" vertical="center" textRotation="0" wrapText="false" indent="0" shrinkToFit="false"/>
      <protection locked="true" hidden="false"/>
    </xf>
    <xf numFmtId="174" fontId="24" fillId="0" borderId="28" xfId="15" applyFont="true" applyBorder="true" applyAlignment="true" applyProtection="false">
      <alignment horizontal="general" vertical="center" textRotation="0" wrapText="false" indent="0" shrinkToFit="false"/>
      <protection locked="true" hidden="false"/>
    </xf>
    <xf numFmtId="168" fontId="24" fillId="0" borderId="27" xfId="47" applyFont="true" applyBorder="true" applyAlignment="true" applyProtection="true">
      <alignment horizontal="general" vertical="center" textRotation="0" wrapText="false" indent="0" shrinkToFit="false"/>
      <protection locked="false" hidden="false"/>
    </xf>
    <xf numFmtId="164" fontId="49" fillId="0" borderId="27" xfId="157" applyFont="true" applyBorder="true" applyAlignment="true" applyProtection="true">
      <alignment horizontal="center" vertical="center" textRotation="0" wrapText="false" indent="0" shrinkToFit="false"/>
      <protection locked="true" hidden="true"/>
    </xf>
    <xf numFmtId="184" fontId="57" fillId="0" borderId="22" xfId="157" applyFont="true" applyBorder="true" applyAlignment="true" applyProtection="true">
      <alignment horizontal="center" vertical="bottom" textRotation="0" wrapText="false" indent="0" shrinkToFit="false"/>
      <protection locked="true" hidden="true"/>
    </xf>
    <xf numFmtId="174" fontId="24" fillId="7" borderId="27" xfId="15" applyFont="true" applyBorder="true" applyAlignment="true" applyProtection="true">
      <alignment horizontal="left" vertical="center" textRotation="0" wrapText="false" indent="1" shrinkToFit="false"/>
      <protection locked="false" hidden="false"/>
    </xf>
    <xf numFmtId="164" fontId="57" fillId="0" borderId="21" xfId="0" applyFont="true" applyBorder="true" applyAlignment="false" applyProtection="false">
      <alignment horizontal="general" vertical="bottom" textRotation="0" wrapText="false" indent="0" shrinkToFit="false"/>
      <protection locked="true" hidden="false"/>
    </xf>
    <xf numFmtId="164" fontId="63" fillId="0" borderId="0" xfId="0" applyFont="true" applyBorder="false" applyAlignment="true" applyProtection="false">
      <alignment horizontal="general" vertical="center" textRotation="0" wrapText="false" indent="0" shrinkToFit="false"/>
      <protection locked="true" hidden="false"/>
    </xf>
    <xf numFmtId="164" fontId="57" fillId="0" borderId="34" xfId="0" applyFont="true" applyBorder="true" applyAlignment="true" applyProtection="false">
      <alignment horizontal="left" vertical="bottom" textRotation="0" wrapText="false" indent="0" shrinkToFit="false"/>
      <protection locked="true" hidden="false"/>
    </xf>
    <xf numFmtId="164" fontId="57" fillId="0" borderId="35" xfId="0" applyFont="true" applyBorder="true" applyAlignment="true" applyProtection="false">
      <alignment horizontal="center" vertical="bottom" textRotation="0" wrapText="false" indent="0" shrinkToFit="false"/>
      <protection locked="true" hidden="false"/>
    </xf>
    <xf numFmtId="173" fontId="57" fillId="0" borderId="36" xfId="0" applyFont="true" applyBorder="true" applyAlignment="true" applyProtection="false">
      <alignment horizontal="center" vertical="bottom" textRotation="0" wrapText="false" indent="0" shrinkToFit="false"/>
      <protection locked="true" hidden="false"/>
    </xf>
    <xf numFmtId="172" fontId="57" fillId="15" borderId="37" xfId="104" applyFont="true" applyBorder="true" applyAlignment="true" applyProtection="false">
      <alignment horizontal="center" vertical="bottom" textRotation="0" wrapText="false" indent="0" shrinkToFit="false"/>
      <protection locked="true" hidden="false"/>
    </xf>
    <xf numFmtId="173" fontId="57" fillId="0" borderId="0" xfId="104" applyFont="true" applyBorder="false" applyAlignment="false" applyProtection="false">
      <alignment horizontal="general" vertical="bottom" textRotation="0" wrapText="false" indent="0" shrinkToFit="false"/>
      <protection locked="true" hidden="false"/>
    </xf>
    <xf numFmtId="164" fontId="53" fillId="16" borderId="38" xfId="0" applyFont="true" applyBorder="true" applyAlignment="true" applyProtection="false">
      <alignment horizontal="center" vertical="center" textRotation="0" wrapText="false" indent="0" shrinkToFit="false"/>
      <protection locked="true" hidden="false"/>
    </xf>
    <xf numFmtId="164" fontId="57" fillId="0" borderId="39" xfId="0" applyFont="true" applyBorder="true" applyAlignment="true" applyProtection="false">
      <alignment horizontal="left" vertical="bottom" textRotation="0" wrapText="false" indent="0" shrinkToFit="false"/>
      <protection locked="true" hidden="false"/>
    </xf>
    <xf numFmtId="164" fontId="57" fillId="0" borderId="40" xfId="0" applyFont="true" applyBorder="true" applyAlignment="false" applyProtection="false">
      <alignment horizontal="general" vertical="bottom" textRotation="0" wrapText="false" indent="0" shrinkToFit="false"/>
      <protection locked="true" hidden="false"/>
    </xf>
    <xf numFmtId="173" fontId="57" fillId="0" borderId="40" xfId="0" applyFont="true" applyBorder="true" applyAlignment="false" applyProtection="false">
      <alignment horizontal="general" vertical="bottom" textRotation="0" wrapText="false" indent="0" shrinkToFit="false"/>
      <protection locked="true" hidden="false"/>
    </xf>
    <xf numFmtId="173" fontId="57" fillId="0" borderId="41" xfId="0" applyFont="true" applyBorder="true" applyAlignment="false" applyProtection="false">
      <alignment horizontal="general" vertical="bottom" textRotation="0" wrapText="false" indent="0" shrinkToFit="false"/>
      <protection locked="true" hidden="false"/>
    </xf>
    <xf numFmtId="173" fontId="57" fillId="0" borderId="42" xfId="0" applyFont="true" applyBorder="true" applyAlignment="false" applyProtection="false">
      <alignment horizontal="general" vertical="bottom" textRotation="0" wrapText="false" indent="0" shrinkToFit="false"/>
      <protection locked="true" hidden="false"/>
    </xf>
    <xf numFmtId="173" fontId="57" fillId="0" borderId="43" xfId="104" applyFont="true" applyBorder="true" applyAlignment="false" applyProtection="false">
      <alignment horizontal="general" vertical="bottom" textRotation="0" wrapText="false" indent="0" shrinkToFit="false"/>
      <protection locked="true" hidden="false"/>
    </xf>
    <xf numFmtId="177" fontId="57" fillId="15" borderId="39" xfId="104" applyFont="true" applyBorder="true" applyAlignment="true" applyProtection="true">
      <alignment horizontal="left" vertical="bottom" textRotation="0" wrapText="false" indent="0" shrinkToFit="false"/>
      <protection locked="false" hidden="false"/>
    </xf>
    <xf numFmtId="164" fontId="57" fillId="0" borderId="42" xfId="0" applyFont="true" applyBorder="true" applyAlignment="false" applyProtection="false">
      <alignment horizontal="general" vertical="bottom" textRotation="0" wrapText="false" indent="0" shrinkToFit="false"/>
      <protection locked="true" hidden="false"/>
    </xf>
    <xf numFmtId="173" fontId="57" fillId="15" borderId="42" xfId="0" applyFont="true" applyBorder="true" applyAlignment="false" applyProtection="false">
      <alignment horizontal="general" vertical="bottom" textRotation="0" wrapText="false" indent="0" shrinkToFit="false"/>
      <protection locked="true" hidden="false"/>
    </xf>
    <xf numFmtId="173" fontId="57" fillId="15" borderId="40" xfId="0" applyFont="true" applyBorder="true" applyAlignment="false" applyProtection="false">
      <alignment horizontal="general" vertical="bottom" textRotation="0" wrapText="false" indent="0" shrinkToFit="false"/>
      <protection locked="true" hidden="false"/>
    </xf>
    <xf numFmtId="173" fontId="41" fillId="15" borderId="40" xfId="0" applyFont="true" applyBorder="true" applyAlignment="false" applyProtection="false">
      <alignment horizontal="general" vertical="bottom" textRotation="0" wrapText="false" indent="0" shrinkToFit="false"/>
      <protection locked="true" hidden="false"/>
    </xf>
    <xf numFmtId="173" fontId="57" fillId="0" borderId="44" xfId="0" applyFont="true" applyBorder="true" applyAlignment="false" applyProtection="false">
      <alignment horizontal="general" vertical="bottom" textRotation="0" wrapText="false" indent="0" shrinkToFit="false"/>
      <protection locked="true" hidden="false"/>
    </xf>
    <xf numFmtId="173" fontId="57" fillId="14" borderId="41" xfId="104" applyFont="true" applyBorder="true" applyAlignment="false" applyProtection="false">
      <alignment horizontal="general" vertical="bottom" textRotation="0" wrapText="false" indent="0" shrinkToFit="false"/>
      <protection locked="true" hidden="false"/>
    </xf>
    <xf numFmtId="164" fontId="57" fillId="0" borderId="39" xfId="0" applyFont="true" applyBorder="true" applyAlignment="true" applyProtection="false">
      <alignment horizontal="center" vertical="bottom" textRotation="0" wrapText="false" indent="0" shrinkToFit="false"/>
      <protection locked="true" hidden="false"/>
    </xf>
    <xf numFmtId="173" fontId="57" fillId="0" borderId="41" xfId="104" applyFont="true" applyBorder="true" applyAlignment="false" applyProtection="false">
      <alignment horizontal="general" vertical="bottom" textRotation="0" wrapText="false" indent="0" shrinkToFit="false"/>
      <protection locked="true" hidden="false"/>
    </xf>
    <xf numFmtId="173" fontId="57" fillId="0" borderId="45" xfId="0" applyFont="true" applyBorder="true" applyAlignment="false" applyProtection="false">
      <alignment horizontal="general" vertical="bottom" textRotation="0" wrapText="false" indent="0" shrinkToFit="false"/>
      <protection locked="true" hidden="false"/>
    </xf>
    <xf numFmtId="173" fontId="57" fillId="0" borderId="46" xfId="0" applyFont="true" applyBorder="true" applyAlignment="false" applyProtection="false">
      <alignment horizontal="general" vertical="bottom" textRotation="0" wrapText="false" indent="0" shrinkToFit="false"/>
      <protection locked="true" hidden="false"/>
    </xf>
    <xf numFmtId="174" fontId="57" fillId="14" borderId="47" xfId="104" applyFont="true" applyBorder="true" applyAlignment="false" applyProtection="false">
      <alignment horizontal="general" vertical="bottom" textRotation="0" wrapText="false" indent="0" shrinkToFit="false"/>
      <protection locked="true" hidden="false"/>
    </xf>
    <xf numFmtId="164" fontId="57" fillId="0" borderId="48" xfId="0" applyFont="true" applyBorder="true" applyAlignment="true" applyProtection="false">
      <alignment horizontal="left" vertical="bottom" textRotation="0" wrapText="false" indent="0" shrinkToFit="false"/>
      <protection locked="true" hidden="false"/>
    </xf>
    <xf numFmtId="164" fontId="57" fillId="0" borderId="49" xfId="0" applyFont="true" applyBorder="true" applyAlignment="true" applyProtection="false">
      <alignment horizontal="left" vertical="bottom" textRotation="0" wrapText="false" indent="0" shrinkToFit="false"/>
      <protection locked="true" hidden="false"/>
    </xf>
    <xf numFmtId="164" fontId="57" fillId="0" borderId="50" xfId="0" applyFont="true" applyBorder="true" applyAlignment="true" applyProtection="false">
      <alignment horizontal="left" vertical="bottom" textRotation="0" wrapText="false" indent="0" shrinkToFit="false"/>
      <protection locked="true" hidden="false"/>
    </xf>
    <xf numFmtId="177" fontId="57" fillId="0" borderId="43" xfId="104" applyFont="true" applyBorder="true" applyAlignment="false" applyProtection="false">
      <alignment horizontal="general" vertical="bottom" textRotation="0" wrapText="false" indent="0" shrinkToFit="false"/>
      <protection locked="true" hidden="false"/>
    </xf>
    <xf numFmtId="164" fontId="57" fillId="15" borderId="48" xfId="0" applyFont="true" applyBorder="true" applyAlignment="true" applyProtection="false">
      <alignment horizontal="left" vertical="bottom" textRotation="0" wrapText="false" indent="0" shrinkToFit="false"/>
      <protection locked="true" hidden="false"/>
    </xf>
    <xf numFmtId="164" fontId="57" fillId="15" borderId="49" xfId="0" applyFont="true" applyBorder="true" applyAlignment="true" applyProtection="false">
      <alignment horizontal="left" vertical="bottom" textRotation="0" wrapText="false" indent="0" shrinkToFit="false"/>
      <protection locked="true" hidden="false"/>
    </xf>
    <xf numFmtId="164" fontId="57" fillId="15" borderId="50" xfId="0" applyFont="true" applyBorder="true" applyAlignment="true" applyProtection="false">
      <alignment horizontal="left" vertical="bottom" textRotation="0" wrapText="false" indent="0" shrinkToFit="false"/>
      <protection locked="true" hidden="false"/>
    </xf>
    <xf numFmtId="177" fontId="57" fillId="15" borderId="43" xfId="104" applyFont="true" applyBorder="true" applyAlignment="false" applyProtection="false">
      <alignment horizontal="general" vertical="bottom" textRotation="0" wrapText="false" indent="0" shrinkToFit="false"/>
      <protection locked="true" hidden="false"/>
    </xf>
    <xf numFmtId="172" fontId="57" fillId="15" borderId="43" xfId="104" applyFont="true" applyBorder="true" applyAlignment="false" applyProtection="false">
      <alignment horizontal="general" vertical="bottom" textRotation="0" wrapText="false" indent="0" shrinkToFit="false"/>
      <protection locked="true" hidden="false"/>
    </xf>
    <xf numFmtId="167" fontId="57" fillId="14" borderId="50" xfId="19" applyFont="true" applyBorder="true" applyAlignment="true" applyProtection="false">
      <alignment horizontal="left" vertical="bottom" textRotation="0" wrapText="false" indent="0" shrinkToFit="false"/>
      <protection locked="true" hidden="false"/>
    </xf>
    <xf numFmtId="164" fontId="57" fillId="0" borderId="51" xfId="0" applyFont="true" applyBorder="true" applyAlignment="true" applyProtection="false">
      <alignment horizontal="left" vertical="bottom" textRotation="0" wrapText="false" indent="0" shrinkToFit="false"/>
      <protection locked="true" hidden="false"/>
    </xf>
    <xf numFmtId="164" fontId="57" fillId="0" borderId="52" xfId="0" applyFont="true" applyBorder="true" applyAlignment="false" applyProtection="false">
      <alignment horizontal="general" vertical="bottom" textRotation="0" wrapText="false" indent="0" shrinkToFit="false"/>
      <protection locked="true" hidden="false"/>
    </xf>
    <xf numFmtId="173" fontId="57" fillId="0" borderId="52" xfId="0" applyFont="true" applyBorder="true" applyAlignment="false" applyProtection="false">
      <alignment horizontal="general" vertical="bottom" textRotation="0" wrapText="false" indent="0" shrinkToFit="false"/>
      <protection locked="true" hidden="false"/>
    </xf>
    <xf numFmtId="173" fontId="57" fillId="0" borderId="53" xfId="0" applyFont="true" applyBorder="true" applyAlignment="false" applyProtection="false">
      <alignment horizontal="general" vertical="bottom" textRotation="0" wrapText="false" indent="0" shrinkToFit="false"/>
      <protection locked="true" hidden="false"/>
    </xf>
    <xf numFmtId="173" fontId="57"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16" borderId="38" xfId="0" applyFont="true" applyBorder="true" applyAlignment="true" applyProtection="false">
      <alignment horizontal="center" vertical="center" textRotation="0" wrapText="false" indent="0" shrinkToFit="false"/>
      <protection locked="true" hidden="false"/>
    </xf>
    <xf numFmtId="164" fontId="48" fillId="13" borderId="34" xfId="212" applyFont="true" applyBorder="true" applyAlignment="true" applyProtection="false">
      <alignment horizontal="center" vertical="center" textRotation="0" wrapText="false" indent="0" shrinkToFit="false"/>
      <protection locked="true" hidden="false"/>
    </xf>
    <xf numFmtId="164" fontId="48" fillId="13" borderId="35" xfId="212" applyFont="true" applyBorder="true" applyAlignment="true" applyProtection="false">
      <alignment horizontal="center" vertical="center" textRotation="0" wrapText="false" indent="0" shrinkToFit="false"/>
      <protection locked="true" hidden="false"/>
    </xf>
    <xf numFmtId="164" fontId="48" fillId="13" borderId="37" xfId="212" applyFont="true" applyBorder="true" applyAlignment="true" applyProtection="false">
      <alignment horizontal="center" vertical="center" textRotation="0" wrapText="false" indent="0" shrinkToFit="false"/>
      <protection locked="true" hidden="false"/>
    </xf>
    <xf numFmtId="164" fontId="48" fillId="0" borderId="39" xfId="0" applyFont="true" applyBorder="true" applyAlignment="true" applyProtection="false">
      <alignment horizontal="general" vertical="center" textRotation="0" wrapText="false" indent="0" shrinkToFit="false"/>
      <protection locked="true" hidden="false"/>
    </xf>
    <xf numFmtId="164" fontId="48" fillId="0" borderId="40" xfId="0" applyFont="true" applyBorder="true" applyAlignment="true" applyProtection="false">
      <alignment horizontal="general" vertical="center" textRotation="0" wrapText="false" indent="0" shrinkToFit="false"/>
      <protection locked="true" hidden="false"/>
    </xf>
    <xf numFmtId="164" fontId="48" fillId="0" borderId="41" xfId="0" applyFont="true" applyBorder="true" applyAlignment="true" applyProtection="false">
      <alignment horizontal="general" vertical="center" textRotation="0" wrapText="false" indent="0" shrinkToFit="false"/>
      <protection locked="true" hidden="false"/>
    </xf>
    <xf numFmtId="164" fontId="48" fillId="0" borderId="40" xfId="0" applyFont="true" applyBorder="true" applyAlignment="true" applyProtection="false">
      <alignment horizontal="general" vertical="center" textRotation="0" wrapText="true" indent="0" shrinkToFit="false"/>
      <protection locked="true" hidden="false"/>
    </xf>
    <xf numFmtId="164" fontId="57" fillId="0" borderId="41" xfId="0" applyFont="true" applyBorder="true" applyAlignment="true" applyProtection="false">
      <alignment horizontal="general" vertical="center" textRotation="0" wrapText="false" indent="0" shrinkToFit="false"/>
      <protection locked="true" hidden="false"/>
    </xf>
    <xf numFmtId="164" fontId="48" fillId="0" borderId="51" xfId="0" applyFont="true" applyBorder="true" applyAlignment="true" applyProtection="false">
      <alignment horizontal="general" vertical="center" textRotation="0" wrapText="false" indent="0" shrinkToFit="false"/>
      <protection locked="true" hidden="false"/>
    </xf>
    <xf numFmtId="164" fontId="48" fillId="0" borderId="52" xfId="0" applyFont="true" applyBorder="true" applyAlignment="true" applyProtection="false">
      <alignment horizontal="general" vertical="center" textRotation="0" wrapText="false" indent="0" shrinkToFit="false"/>
      <protection locked="true" hidden="false"/>
    </xf>
    <xf numFmtId="164" fontId="48" fillId="0" borderId="53" xfId="0" applyFont="true" applyBorder="true" applyAlignment="true" applyProtection="false">
      <alignment horizontal="general" vertical="center" textRotation="0" wrapText="false" indent="0" shrinkToFit="false"/>
      <protection locked="true" hidden="false"/>
    </xf>
    <xf numFmtId="164" fontId="44" fillId="0" borderId="0" xfId="0" applyFont="true" applyBorder="false" applyAlignment="true" applyProtection="false">
      <alignment horizontal="general" vertical="center" textRotation="0" wrapText="false" indent="0" shrinkToFit="false"/>
      <protection locked="true" hidden="false"/>
    </xf>
    <xf numFmtId="164" fontId="49" fillId="0" borderId="0" xfId="212" applyFont="true" applyBorder="false" applyAlignment="true" applyProtection="false">
      <alignment horizontal="center" vertical="center" textRotation="0" wrapText="false" indent="0" shrinkToFit="false"/>
      <protection locked="true" hidden="false"/>
    </xf>
    <xf numFmtId="164" fontId="49" fillId="0" borderId="0" xfId="212" applyFont="true" applyBorder="false" applyAlignment="true" applyProtection="false">
      <alignment horizontal="right" vertical="center" textRotation="0" wrapText="false" indent="0" shrinkToFit="false"/>
      <protection locked="true" hidden="false"/>
    </xf>
    <xf numFmtId="164" fontId="53" fillId="0" borderId="0" xfId="0" applyFont="true" applyBorder="false" applyAlignment="true" applyProtection="false">
      <alignment horizontal="center" vertical="center" textRotation="0" wrapText="false" indent="0" shrinkToFit="false"/>
      <protection locked="true" hidden="false"/>
    </xf>
    <xf numFmtId="164" fontId="53" fillId="0" borderId="0" xfId="0" applyFont="true" applyBorder="true" applyAlignment="true" applyProtection="false">
      <alignment horizontal="center" vertical="center" textRotation="0" wrapText="false" indent="0" shrinkToFit="false"/>
      <protection locked="true" hidden="false"/>
    </xf>
    <xf numFmtId="164" fontId="57" fillId="6" borderId="0" xfId="0" applyFont="true" applyBorder="false" applyAlignment="true" applyProtection="false">
      <alignment horizontal="general" vertical="center" textRotation="0" wrapText="false" indent="0" shrinkToFit="false"/>
      <protection locked="true" hidden="false"/>
    </xf>
    <xf numFmtId="164" fontId="53" fillId="15" borderId="0" xfId="0" applyFont="true" applyBorder="false" applyAlignment="true" applyProtection="false">
      <alignment horizontal="center" vertical="center" textRotation="0" wrapText="false" indent="0" shrinkToFit="false"/>
      <protection locked="true" hidden="false"/>
    </xf>
    <xf numFmtId="164" fontId="53" fillId="15" borderId="0" xfId="0" applyFont="true" applyBorder="true" applyAlignment="true" applyProtection="false">
      <alignment horizontal="center" vertical="center" textRotation="0" wrapText="false" indent="0" shrinkToFit="false"/>
      <protection locked="true" hidden="false"/>
    </xf>
    <xf numFmtId="164" fontId="57" fillId="6" borderId="0" xfId="0" applyFont="true" applyBorder="false" applyAlignment="true" applyProtection="false">
      <alignment horizontal="center" vertical="center" textRotation="0" wrapText="false" indent="0" shrinkToFit="false"/>
      <protection locked="true" hidden="false"/>
    </xf>
    <xf numFmtId="164" fontId="57" fillId="6" borderId="0" xfId="0" applyFont="true" applyBorder="false" applyAlignment="true" applyProtection="false">
      <alignment horizontal="right" vertical="center" textRotation="0" wrapText="false" indent="0" shrinkToFit="false"/>
      <protection locked="true" hidden="false"/>
    </xf>
    <xf numFmtId="173" fontId="57" fillId="15" borderId="54" xfId="95" applyFont="true" applyBorder="true" applyAlignment="true" applyProtection="true">
      <alignment horizontal="general" vertical="center" textRotation="0" wrapText="false" indent="0" shrinkToFit="false"/>
      <protection locked="false" hidden="false"/>
    </xf>
    <xf numFmtId="164" fontId="57" fillId="6" borderId="0" xfId="0" applyFont="true" applyBorder="true" applyAlignment="true" applyProtection="false">
      <alignment horizontal="left" vertical="center" textRotation="0" wrapText="false" indent="0" shrinkToFit="false"/>
      <protection locked="true" hidden="false"/>
    </xf>
    <xf numFmtId="187" fontId="64" fillId="6" borderId="0" xfId="0" applyFont="true" applyBorder="false" applyAlignment="true" applyProtection="false">
      <alignment horizontal="center" vertical="center" textRotation="0" wrapText="false" indent="0" shrinkToFit="false"/>
      <protection locked="true" hidden="false"/>
    </xf>
    <xf numFmtId="187" fontId="57" fillId="6" borderId="0" xfId="0" applyFont="true" applyBorder="false" applyAlignment="true" applyProtection="false">
      <alignment horizontal="general" vertical="center" textRotation="0" wrapText="false" indent="0" shrinkToFit="false"/>
      <protection locked="true" hidden="false"/>
    </xf>
    <xf numFmtId="164" fontId="57" fillId="6" borderId="0" xfId="0" applyFont="true" applyBorder="false" applyAlignment="true" applyProtection="false">
      <alignment horizontal="left" vertical="center" textRotation="0" wrapText="false" indent="0" shrinkToFit="false"/>
      <protection locked="true" hidden="false"/>
    </xf>
    <xf numFmtId="164" fontId="57" fillId="13" borderId="54" xfId="0" applyFont="true" applyBorder="true" applyAlignment="true" applyProtection="false">
      <alignment horizontal="center" vertical="center" textRotation="0" wrapText="true" indent="0" shrinkToFit="false"/>
      <protection locked="true" hidden="false"/>
    </xf>
    <xf numFmtId="164" fontId="57" fillId="13" borderId="54" xfId="0" applyFont="true" applyBorder="true" applyAlignment="true" applyProtection="false">
      <alignment horizontal="general" vertical="center" textRotation="0" wrapText="true" indent="0" shrinkToFit="false"/>
      <protection locked="true" hidden="false"/>
    </xf>
    <xf numFmtId="187" fontId="57" fillId="13" borderId="54" xfId="0" applyFont="true" applyBorder="true" applyAlignment="true" applyProtection="false">
      <alignment horizontal="center" vertical="center" textRotation="0" wrapText="true" indent="0" shrinkToFit="false"/>
      <protection locked="true" hidden="false"/>
    </xf>
    <xf numFmtId="164" fontId="57" fillId="15" borderId="55" xfId="0" applyFont="true" applyBorder="true" applyAlignment="true" applyProtection="true">
      <alignment horizontal="left" vertical="bottom" textRotation="0" wrapText="false" indent="0" shrinkToFit="false"/>
      <protection locked="false" hidden="false"/>
    </xf>
    <xf numFmtId="164" fontId="57" fillId="15" borderId="40" xfId="0" applyFont="true" applyBorder="true" applyAlignment="true" applyProtection="true">
      <alignment horizontal="left" vertical="bottom" textRotation="0" wrapText="false" indent="0" shrinkToFit="false"/>
      <protection locked="false" hidden="false"/>
    </xf>
    <xf numFmtId="188" fontId="57" fillId="15" borderId="56" xfId="0" applyFont="true" applyBorder="true" applyAlignment="true" applyProtection="true">
      <alignment horizontal="right" vertical="bottom" textRotation="0" wrapText="false" indent="0" shrinkToFit="false"/>
      <protection locked="false" hidden="false"/>
    </xf>
    <xf numFmtId="164" fontId="57" fillId="15" borderId="57" xfId="0" applyFont="true" applyBorder="true" applyAlignment="true" applyProtection="true">
      <alignment horizontal="left" vertical="bottom" textRotation="0" wrapText="false" indent="0" shrinkToFit="false"/>
      <protection locked="false" hidden="false"/>
    </xf>
    <xf numFmtId="164" fontId="57" fillId="15" borderId="58" xfId="0" applyFont="true" applyBorder="true" applyAlignment="true" applyProtection="true">
      <alignment horizontal="left" vertical="bottom" textRotation="0" wrapText="false" indent="0" shrinkToFit="false"/>
      <protection locked="false" hidden="false"/>
    </xf>
    <xf numFmtId="188" fontId="57" fillId="15" borderId="59" xfId="0" applyFont="true" applyBorder="true" applyAlignment="true" applyProtection="true">
      <alignment horizontal="right" vertical="bottom" textRotation="0" wrapText="false" indent="0" shrinkToFit="false"/>
      <protection locked="false" hidden="false"/>
    </xf>
    <xf numFmtId="164" fontId="57" fillId="6" borderId="0" xfId="0" applyFont="true" applyBorder="true" applyAlignment="true" applyProtection="false">
      <alignment horizontal="right" vertical="center" textRotation="0" wrapText="false" indent="0" shrinkToFit="false"/>
      <protection locked="true" hidden="false"/>
    </xf>
    <xf numFmtId="173" fontId="57" fillId="14" borderId="60" xfId="0" applyFont="true" applyBorder="true" applyAlignment="true" applyProtection="false">
      <alignment horizontal="general" vertical="center" textRotation="0" wrapText="false" indent="0" shrinkToFit="false"/>
      <protection locked="true" hidden="false"/>
    </xf>
    <xf numFmtId="164" fontId="57" fillId="6" borderId="15" xfId="0" applyFont="true" applyBorder="true" applyAlignment="true" applyProtection="false">
      <alignment horizontal="left" vertical="center" textRotation="0" wrapText="false" indent="0" shrinkToFit="false"/>
      <protection locked="true" hidden="false"/>
    </xf>
    <xf numFmtId="187" fontId="57" fillId="13" borderId="54" xfId="0" applyFont="true" applyBorder="true" applyAlignment="true" applyProtection="false">
      <alignment horizontal="general" vertical="center" textRotation="0" wrapText="true" indent="0" shrinkToFit="false"/>
      <protection locked="true" hidden="false"/>
    </xf>
    <xf numFmtId="187" fontId="57" fillId="13" borderId="54" xfId="0" applyFont="true" applyBorder="true" applyAlignment="true" applyProtection="false">
      <alignment horizontal="center" vertical="center" textRotation="0" wrapText="false" indent="0" shrinkToFit="false"/>
      <protection locked="true" hidden="false"/>
    </xf>
    <xf numFmtId="164" fontId="57" fillId="15" borderId="61" xfId="0" applyFont="true" applyBorder="true" applyAlignment="true" applyProtection="true">
      <alignment horizontal="center" vertical="bottom" textRotation="0" wrapText="false" indent="0" shrinkToFit="false"/>
      <protection locked="false" hidden="false"/>
    </xf>
    <xf numFmtId="164" fontId="57" fillId="15" borderId="55" xfId="0" applyFont="true" applyBorder="true" applyAlignment="true" applyProtection="true">
      <alignment horizontal="center" vertical="bottom" textRotation="0" wrapText="false" indent="0" shrinkToFit="false"/>
      <protection locked="false" hidden="false"/>
    </xf>
    <xf numFmtId="164" fontId="57" fillId="15" borderId="57" xfId="0" applyFont="true" applyBorder="true" applyAlignment="true" applyProtection="true">
      <alignment horizontal="center" vertical="bottom" textRotation="0" wrapText="false" indent="0" shrinkToFit="false"/>
      <protection locked="false" hidden="false"/>
    </xf>
    <xf numFmtId="164" fontId="57" fillId="6" borderId="62" xfId="0" applyFont="true" applyBorder="true" applyAlignment="true" applyProtection="false">
      <alignment horizontal="right" vertical="center" textRotation="0" wrapText="false" indent="0" shrinkToFit="false"/>
      <protection locked="true" hidden="false"/>
    </xf>
    <xf numFmtId="173" fontId="57" fillId="14" borderId="63" xfId="0" applyFont="true" applyBorder="true" applyAlignment="true" applyProtection="false">
      <alignment horizontal="general" vertical="center" textRotation="0" wrapText="false" indent="0" shrinkToFit="false"/>
      <protection locked="true" hidden="false"/>
    </xf>
    <xf numFmtId="164" fontId="57" fillId="0" borderId="64" xfId="159" applyFont="true" applyBorder="true" applyAlignment="false" applyProtection="false">
      <alignment horizontal="general" vertical="bottom" textRotation="0" wrapText="false" indent="0" shrinkToFit="false"/>
      <protection locked="true" hidden="false"/>
    </xf>
    <xf numFmtId="164" fontId="24" fillId="0" borderId="65" xfId="159" applyFont="true" applyBorder="true" applyAlignment="false" applyProtection="false">
      <alignment horizontal="general" vertical="bottom" textRotation="0" wrapText="false" indent="0" shrinkToFit="false"/>
      <protection locked="true" hidden="false"/>
    </xf>
    <xf numFmtId="174" fontId="24" fillId="14" borderId="66" xfId="159" applyFont="true" applyBorder="true" applyAlignment="false" applyProtection="false">
      <alignment horizontal="general" vertical="bottom" textRotation="0" wrapText="false" indent="0" shrinkToFit="false"/>
      <protection locked="true" hidden="false"/>
    </xf>
    <xf numFmtId="164" fontId="57" fillId="0" borderId="67" xfId="159" applyFont="true" applyBorder="true" applyAlignment="false" applyProtection="false">
      <alignment horizontal="general" vertical="bottom" textRotation="0" wrapText="false" indent="0" shrinkToFit="false"/>
      <protection locked="true" hidden="false"/>
    </xf>
    <xf numFmtId="164" fontId="24" fillId="0" borderId="68" xfId="159" applyFont="true" applyBorder="true" applyAlignment="false" applyProtection="false">
      <alignment horizontal="general" vertical="bottom" textRotation="0" wrapText="false" indent="0" shrinkToFit="false"/>
      <protection locked="true" hidden="false"/>
    </xf>
    <xf numFmtId="174" fontId="53" fillId="14" borderId="69" xfId="159" applyFont="true" applyBorder="true" applyAlignment="false" applyProtection="false">
      <alignment horizontal="general" vertical="bottom" textRotation="0" wrapText="false" indent="0" shrinkToFit="false"/>
      <protection locked="true" hidden="false"/>
    </xf>
    <xf numFmtId="164" fontId="57" fillId="0" borderId="70" xfId="159" applyFont="true" applyBorder="true" applyAlignment="false" applyProtection="false">
      <alignment horizontal="general" vertical="bottom" textRotation="0" wrapText="false" indent="0" shrinkToFit="false"/>
      <protection locked="true" hidden="false"/>
    </xf>
    <xf numFmtId="164" fontId="24" fillId="0" borderId="71" xfId="159" applyFont="true" applyBorder="true" applyAlignment="false" applyProtection="false">
      <alignment horizontal="general" vertical="bottom" textRotation="0" wrapText="false" indent="0" shrinkToFit="false"/>
      <protection locked="true" hidden="false"/>
    </xf>
    <xf numFmtId="174" fontId="24" fillId="14" borderId="72" xfId="159" applyFont="true" applyBorder="true" applyAlignment="false" applyProtection="false">
      <alignment horizontal="general" vertical="bottom" textRotation="0" wrapText="false" indent="0" shrinkToFit="false"/>
      <protection locked="true" hidden="false"/>
    </xf>
    <xf numFmtId="179" fontId="57" fillId="15" borderId="55" xfId="0" applyFont="true" applyBorder="true" applyAlignment="true" applyProtection="true">
      <alignment horizontal="left" vertical="bottom" textRotation="0" wrapText="false" indent="0" shrinkToFit="false"/>
      <protection locked="false" hidden="false"/>
    </xf>
    <xf numFmtId="164" fontId="57" fillId="6" borderId="0" xfId="0" applyFont="true" applyBorder="false" applyAlignment="false" applyProtection="false">
      <alignment horizontal="general" vertical="bottom" textRotation="0" wrapText="false" indent="0" shrinkToFit="false"/>
      <protection locked="true" hidden="false"/>
    </xf>
    <xf numFmtId="164" fontId="49" fillId="0" borderId="0" xfId="212" applyFont="true" applyBorder="false" applyAlignment="true" applyProtection="false">
      <alignment horizontal="general" vertical="center" textRotation="0" wrapText="false" indent="0" shrinkToFit="false"/>
      <protection locked="true" hidden="false"/>
    </xf>
    <xf numFmtId="164" fontId="57" fillId="13" borderId="54" xfId="0" applyFont="true" applyBorder="true" applyAlignment="true" applyProtection="false">
      <alignment horizontal="center" vertical="top" textRotation="0" wrapText="false" indent="0" shrinkToFit="false"/>
      <protection locked="true" hidden="false"/>
    </xf>
    <xf numFmtId="164" fontId="57" fillId="13" borderId="54" xfId="0" applyFont="true" applyBorder="true" applyAlignment="true" applyProtection="false">
      <alignment horizontal="center" vertical="top" textRotation="0" wrapText="true" indent="0" shrinkToFit="false"/>
      <protection locked="true" hidden="false"/>
    </xf>
    <xf numFmtId="187" fontId="57" fillId="13" borderId="73" xfId="0" applyFont="true" applyBorder="true" applyAlignment="true" applyProtection="false">
      <alignment horizontal="center" vertical="top" textRotation="0" wrapText="false" indent="0" shrinkToFit="false"/>
      <protection locked="true" hidden="false"/>
    </xf>
    <xf numFmtId="187" fontId="57" fillId="13" borderId="54" xfId="0" applyFont="true" applyBorder="true" applyAlignment="true" applyProtection="false">
      <alignment horizontal="center" vertical="top" textRotation="0" wrapText="false" indent="0" shrinkToFit="false"/>
      <protection locked="true" hidden="false"/>
    </xf>
    <xf numFmtId="189" fontId="57" fillId="0" borderId="74" xfId="15" applyFont="true" applyBorder="true" applyAlignment="true" applyProtection="true">
      <alignment horizontal="right" vertical="bottom" textRotation="0" wrapText="false" indent="0" shrinkToFit="false"/>
      <protection locked="false" hidden="false"/>
    </xf>
    <xf numFmtId="173" fontId="57" fillId="15" borderId="39" xfId="0" applyFont="true" applyBorder="true" applyAlignment="false" applyProtection="false">
      <alignment horizontal="general" vertical="bottom" textRotation="0" wrapText="false" indent="0" shrinkToFit="false"/>
      <protection locked="true" hidden="false"/>
    </xf>
    <xf numFmtId="164" fontId="57" fillId="15" borderId="40" xfId="0" applyFont="true" applyBorder="true" applyAlignment="true" applyProtection="false">
      <alignment horizontal="center" vertical="bottom" textRotation="0" wrapText="false" indent="0" shrinkToFit="false"/>
      <protection locked="true" hidden="false"/>
    </xf>
    <xf numFmtId="174" fontId="24" fillId="17" borderId="75" xfId="159" applyFont="true" applyBorder="true" applyAlignment="false" applyProtection="false">
      <alignment horizontal="general" vertical="bottom" textRotation="0" wrapText="false" indent="0" shrinkToFit="false"/>
      <protection locked="true" hidden="false"/>
    </xf>
    <xf numFmtId="173" fontId="57" fillId="15" borderId="44" xfId="0" applyFont="true" applyBorder="true" applyAlignment="true" applyProtection="true">
      <alignment horizontal="right" vertical="bottom" textRotation="0" wrapText="false" indent="0" shrinkToFit="false"/>
      <protection locked="false" hidden="false"/>
    </xf>
    <xf numFmtId="174" fontId="24" fillId="14" borderId="75" xfId="159" applyFont="true" applyBorder="true" applyAlignment="false" applyProtection="false">
      <alignment horizontal="general" vertical="bottom" textRotation="0" wrapText="false" indent="0" shrinkToFit="false"/>
      <protection locked="true" hidden="false"/>
    </xf>
    <xf numFmtId="189" fontId="45" fillId="0" borderId="74" xfId="20" applyFont="true" applyBorder="true" applyAlignment="true" applyProtection="true">
      <alignment horizontal="left" vertical="bottom" textRotation="0" wrapText="false" indent="0" shrinkToFit="false"/>
      <protection locked="false" hidden="false"/>
    </xf>
    <xf numFmtId="164" fontId="57" fillId="15" borderId="40" xfId="0" applyFont="true" applyBorder="true" applyAlignment="true" applyProtection="true">
      <alignment horizontal="center" vertical="bottom" textRotation="0" wrapText="false" indent="0" shrinkToFit="false"/>
      <protection locked="false" hidden="false"/>
    </xf>
    <xf numFmtId="173" fontId="57" fillId="15" borderId="40" xfId="0" applyFont="true" applyBorder="true" applyAlignment="true" applyProtection="true">
      <alignment horizontal="right" vertical="bottom" textRotation="0" wrapText="false" indent="0" shrinkToFit="false"/>
      <protection locked="false" hidden="false"/>
    </xf>
    <xf numFmtId="164" fontId="57" fillId="15" borderId="58" xfId="0" applyFont="true" applyBorder="true" applyAlignment="true" applyProtection="false">
      <alignment horizontal="center" vertical="bottom" textRotation="0" wrapText="false" indent="0" shrinkToFit="false"/>
      <protection locked="true" hidden="false"/>
    </xf>
    <xf numFmtId="173" fontId="57" fillId="15" borderId="58" xfId="0" applyFont="true" applyBorder="true" applyAlignment="true" applyProtection="true">
      <alignment horizontal="right" vertical="bottom" textRotation="0" wrapText="false" indent="0" shrinkToFit="false"/>
      <protection locked="false" hidden="false"/>
    </xf>
    <xf numFmtId="164" fontId="57" fillId="6" borderId="0" xfId="0" applyFont="true" applyBorder="false" applyAlignment="true" applyProtection="false">
      <alignment horizontal="left" vertical="bottom" textRotation="0" wrapText="false" indent="0" shrinkToFit="false"/>
      <protection locked="true" hidden="false"/>
    </xf>
    <xf numFmtId="164" fontId="57" fillId="6" borderId="0" xfId="0" applyFont="true" applyBorder="false" applyAlignment="true" applyProtection="false">
      <alignment horizontal="center" vertical="bottom" textRotation="0" wrapText="false" indent="0" shrinkToFit="false"/>
      <protection locked="true" hidden="false"/>
    </xf>
    <xf numFmtId="164" fontId="57" fillId="6" borderId="0" xfId="0" applyFont="true" applyBorder="false" applyAlignment="true" applyProtection="false">
      <alignment horizontal="right" vertical="bottom" textRotation="0" wrapText="false" indent="0" shrinkToFit="false"/>
      <protection locked="true" hidden="false"/>
    </xf>
    <xf numFmtId="181" fontId="57" fillId="6" borderId="0" xfId="0" applyFont="true" applyBorder="false" applyAlignment="true" applyProtection="false">
      <alignment horizontal="right" vertical="bottom" textRotation="0" wrapText="false" indent="0" shrinkToFit="false"/>
      <protection locked="true" hidden="false"/>
    </xf>
    <xf numFmtId="172" fontId="57" fillId="6" borderId="0" xfId="0" applyFont="true" applyBorder="false" applyAlignment="true" applyProtection="false">
      <alignment horizontal="right" vertical="bottom" textRotation="0" wrapText="false" indent="0" shrinkToFit="false"/>
      <protection locked="true" hidden="false"/>
    </xf>
    <xf numFmtId="189" fontId="44" fillId="0" borderId="74" xfId="15" applyFont="true" applyBorder="true" applyAlignment="true" applyProtection="true">
      <alignment horizontal="right" vertical="bottom" textRotation="0" wrapText="false" indent="0" shrinkToFit="false"/>
      <protection locked="false" hidden="false"/>
    </xf>
    <xf numFmtId="164" fontId="57" fillId="18" borderId="0" xfId="0" applyFont="true" applyBorder="false" applyAlignment="false" applyProtection="false">
      <alignment horizontal="general" vertical="bottom" textRotation="0" wrapText="false" indent="0" shrinkToFit="false"/>
      <protection locked="true" hidden="false"/>
    </xf>
    <xf numFmtId="189" fontId="57" fillId="18" borderId="74" xfId="15" applyFont="true" applyBorder="true" applyAlignment="true" applyProtection="true">
      <alignment horizontal="right" vertical="bottom" textRotation="0" wrapText="false" indent="0" shrinkToFit="false"/>
      <protection locked="fals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65" fillId="0" borderId="0" xfId="236" applyFont="true" applyBorder="true" applyAlignment="true" applyProtection="false">
      <alignment horizontal="general" vertical="center" textRotation="0" wrapText="false" indent="0" shrinkToFit="false"/>
      <protection locked="true" hidden="false"/>
    </xf>
    <xf numFmtId="164" fontId="66" fillId="0" borderId="0" xfId="236" applyFont="true" applyBorder="true" applyAlignment="true" applyProtection="false">
      <alignment horizontal="general" vertical="center" textRotation="0" wrapText="false" indent="0" shrinkToFit="false"/>
      <protection locked="true" hidden="false"/>
    </xf>
    <xf numFmtId="165" fontId="66" fillId="13" borderId="54" xfId="243" applyFont="true" applyBorder="true" applyAlignment="true" applyProtection="false">
      <alignment horizontal="left" vertical="center" textRotation="0" wrapText="false" indent="1" shrinkToFit="false"/>
      <protection locked="true" hidden="false"/>
    </xf>
    <xf numFmtId="164" fontId="57" fillId="15" borderId="76" xfId="0" applyFont="true" applyBorder="true" applyAlignment="true" applyProtection="false">
      <alignment horizontal="center" vertical="bottom" textRotation="0" wrapText="false" indent="0" shrinkToFit="false"/>
      <protection locked="true" hidden="false"/>
    </xf>
    <xf numFmtId="173" fontId="57" fillId="15" borderId="45" xfId="0" applyFont="true" applyBorder="true" applyAlignment="true" applyProtection="false">
      <alignment horizontal="left" vertical="bottom" textRotation="0" wrapText="false" indent="0" shrinkToFit="false"/>
      <protection locked="true" hidden="false"/>
    </xf>
    <xf numFmtId="173" fontId="57" fillId="15" borderId="77" xfId="0" applyFont="true" applyBorder="true" applyAlignment="true" applyProtection="false">
      <alignment horizontal="center" vertical="bottom" textRotation="0" wrapText="false" indent="0" shrinkToFit="false"/>
      <protection locked="true" hidden="false"/>
    </xf>
    <xf numFmtId="164" fontId="57" fillId="15" borderId="55" xfId="0" applyFont="true" applyBorder="true" applyAlignment="true" applyProtection="false">
      <alignment horizontal="center" vertical="bottom" textRotation="0" wrapText="false" indent="0" shrinkToFit="false"/>
      <protection locked="true" hidden="false"/>
    </xf>
    <xf numFmtId="173" fontId="57" fillId="15" borderId="40" xfId="0" applyFont="true" applyBorder="true" applyAlignment="true" applyProtection="false">
      <alignment horizontal="left" vertical="bottom" textRotation="0" wrapText="false" indent="0" shrinkToFit="false"/>
      <protection locked="true" hidden="false"/>
    </xf>
    <xf numFmtId="173" fontId="57" fillId="15" borderId="56" xfId="0" applyFont="true" applyBorder="true" applyAlignment="true" applyProtection="false">
      <alignment horizontal="center" vertical="bottom" textRotation="0" wrapText="false" indent="0" shrinkToFit="false"/>
      <protection locked="true" hidden="false"/>
    </xf>
    <xf numFmtId="164" fontId="57" fillId="15" borderId="57" xfId="0" applyFont="true" applyBorder="true" applyAlignment="true" applyProtection="false">
      <alignment horizontal="center" vertical="bottom" textRotation="0" wrapText="false" indent="0" shrinkToFit="false"/>
      <protection locked="true" hidden="false"/>
    </xf>
    <xf numFmtId="173" fontId="57" fillId="15" borderId="58" xfId="0" applyFont="true" applyBorder="true" applyAlignment="true" applyProtection="false">
      <alignment horizontal="left" vertical="bottom" textRotation="0" wrapText="false" indent="0" shrinkToFit="false"/>
      <protection locked="true" hidden="false"/>
    </xf>
    <xf numFmtId="173" fontId="57" fillId="15" borderId="59" xfId="0" applyFont="true" applyBorder="true" applyAlignment="true" applyProtection="false">
      <alignment horizontal="center" vertical="bottom" textRotation="0" wrapText="false" indent="0" shrinkToFit="false"/>
      <protection locked="true" hidden="false"/>
    </xf>
    <xf numFmtId="164" fontId="66" fillId="6" borderId="78" xfId="61" applyFont="true" applyBorder="true" applyAlignment="true" applyProtection="false">
      <alignment horizontal="left" vertical="center" textRotation="0" wrapText="false" indent="1" shrinkToFit="false"/>
      <protection locked="true" hidden="false"/>
    </xf>
    <xf numFmtId="168" fontId="66" fillId="14" borderId="79" xfId="52" applyFont="true" applyBorder="true" applyAlignment="true" applyProtection="false">
      <alignment horizontal="general" vertical="center" textRotation="0" wrapText="false" indent="0" shrinkToFit="false"/>
      <protection locked="true" hidden="false"/>
    </xf>
    <xf numFmtId="164" fontId="66" fillId="6" borderId="80" xfId="61" applyFont="true" applyBorder="true" applyAlignment="true" applyProtection="false">
      <alignment horizontal="left" vertical="center" textRotation="0" wrapText="false" indent="1" shrinkToFit="false"/>
      <protection locked="true" hidden="false"/>
    </xf>
    <xf numFmtId="168" fontId="66" fillId="14" borderId="81" xfId="52" applyFont="true" applyBorder="true" applyAlignment="true" applyProtection="false">
      <alignment horizontal="general" vertical="center" textRotation="0" wrapText="false" indent="0" shrinkToFit="false"/>
      <protection locked="true" hidden="false"/>
    </xf>
    <xf numFmtId="164" fontId="48" fillId="0" borderId="0" xfId="0" applyFont="true" applyBorder="false" applyAlignment="false" applyProtection="false">
      <alignment horizontal="general" vertical="bottom" textRotation="0" wrapText="false" indent="0" shrinkToFit="false"/>
      <protection locked="true" hidden="false"/>
    </xf>
    <xf numFmtId="164" fontId="66" fillId="6" borderId="82" xfId="61" applyFont="true" applyBorder="true" applyAlignment="true" applyProtection="false">
      <alignment horizontal="left" vertical="center" textRotation="0" wrapText="false" indent="1" shrinkToFit="false"/>
      <protection locked="true" hidden="false"/>
    </xf>
    <xf numFmtId="174" fontId="48" fillId="14" borderId="83" xfId="159" applyFont="true" applyBorder="true" applyAlignment="false" applyProtection="false">
      <alignment horizontal="general" vertical="bottom"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57" fillId="0" borderId="0" xfId="0" applyFont="true" applyBorder="false" applyAlignment="false" applyProtection="false">
      <alignment horizontal="general" vertical="bottom" textRotation="0" wrapText="false" indent="0" shrinkToFit="false"/>
      <protection locked="true" hidden="false"/>
    </xf>
    <xf numFmtId="164" fontId="57" fillId="13" borderId="84" xfId="0" applyFont="true" applyBorder="true" applyAlignment="true" applyProtection="false">
      <alignment horizontal="center" vertical="bottom" textRotation="0" wrapText="false" indent="0" shrinkToFit="false"/>
      <protection locked="true" hidden="false"/>
    </xf>
    <xf numFmtId="164" fontId="24" fillId="0" borderId="85" xfId="0" applyFont="true" applyBorder="true" applyAlignment="false" applyProtection="false">
      <alignment horizontal="general" vertical="bottom" textRotation="0" wrapText="false" indent="0" shrinkToFit="false"/>
      <protection locked="true" hidden="false"/>
    </xf>
    <xf numFmtId="164" fontId="24" fillId="0" borderId="86" xfId="0" applyFont="true" applyBorder="true" applyAlignment="false" applyProtection="false">
      <alignment horizontal="general" vertical="bottom" textRotation="0" wrapText="false" indent="0" shrinkToFit="false"/>
      <protection locked="true" hidden="false"/>
    </xf>
    <xf numFmtId="164" fontId="24" fillId="0" borderId="44" xfId="0" applyFont="true" applyBorder="true" applyAlignment="false" applyProtection="false">
      <alignment horizontal="general" vertical="bottom" textRotation="0" wrapText="false" indent="0" shrinkToFit="false"/>
      <protection locked="true" hidden="false"/>
    </xf>
    <xf numFmtId="173" fontId="57" fillId="15" borderId="87" xfId="0" applyFont="true" applyBorder="true" applyAlignment="false" applyProtection="true">
      <alignment horizontal="general" vertical="bottom" textRotation="0" wrapText="false" indent="0" shrinkToFit="false"/>
      <protection locked="false" hidden="false"/>
    </xf>
    <xf numFmtId="164" fontId="24" fillId="0" borderId="88" xfId="0" applyFont="true" applyBorder="true" applyAlignment="false" applyProtection="false">
      <alignment horizontal="general" vertical="bottom" textRotation="0" wrapText="false" indent="0" shrinkToFit="false"/>
      <protection locked="true" hidden="false"/>
    </xf>
    <xf numFmtId="164" fontId="24" fillId="0" borderId="55" xfId="0" applyFont="true" applyBorder="true" applyAlignment="false" applyProtection="false">
      <alignment horizontal="general" vertical="bottom" textRotation="0" wrapText="false" indent="0" shrinkToFit="false"/>
      <protection locked="true" hidden="false"/>
    </xf>
    <xf numFmtId="164" fontId="24" fillId="0" borderId="40" xfId="0" applyFont="true" applyBorder="true" applyAlignment="false" applyProtection="false">
      <alignment horizontal="general" vertical="bottom" textRotation="0" wrapText="false" indent="0" shrinkToFit="false"/>
      <protection locked="true" hidden="false"/>
    </xf>
    <xf numFmtId="173" fontId="24" fillId="14" borderId="56" xfId="0" applyFont="true" applyBorder="true" applyAlignment="false" applyProtection="false">
      <alignment horizontal="general" vertical="bottom" textRotation="0" wrapText="false" indent="0" shrinkToFit="false"/>
      <protection locked="true" hidden="false"/>
    </xf>
    <xf numFmtId="173" fontId="24" fillId="0" borderId="56" xfId="0" applyFont="true" applyBorder="true" applyAlignment="false" applyProtection="false">
      <alignment horizontal="general" vertical="bottom" textRotation="0" wrapText="false" indent="0" shrinkToFit="false"/>
      <protection locked="true" hidden="false"/>
    </xf>
    <xf numFmtId="173" fontId="24" fillId="14" borderId="40" xfId="0" applyFont="true" applyBorder="true" applyAlignment="false" applyProtection="false">
      <alignment horizontal="general" vertical="bottom" textRotation="0" wrapText="false" indent="0" shrinkToFit="false"/>
      <protection locked="true" hidden="false"/>
    </xf>
    <xf numFmtId="164" fontId="24" fillId="15" borderId="40" xfId="0" applyFont="true" applyBorder="true" applyAlignment="false" applyProtection="true">
      <alignment horizontal="general" vertical="bottom" textRotation="0" wrapText="false" indent="0" shrinkToFit="false"/>
      <protection locked="false" hidden="false"/>
    </xf>
    <xf numFmtId="164" fontId="24" fillId="0" borderId="56" xfId="0" applyFont="true" applyBorder="true" applyAlignment="false" applyProtection="false">
      <alignment horizontal="general" vertical="bottom" textRotation="0" wrapText="false" indent="0" shrinkToFit="false"/>
      <protection locked="true" hidden="false"/>
    </xf>
    <xf numFmtId="173" fontId="41" fillId="6" borderId="40" xfId="0" applyFont="true" applyBorder="true" applyAlignment="false" applyProtection="false">
      <alignment horizontal="general" vertical="bottom" textRotation="0" wrapText="false" indent="0" shrinkToFit="false"/>
      <protection locked="true" hidden="false"/>
    </xf>
    <xf numFmtId="173" fontId="24" fillId="15" borderId="40" xfId="0" applyFont="true" applyBorder="true" applyAlignment="false" applyProtection="true">
      <alignment horizontal="general" vertical="bottom" textRotation="0" wrapText="false" indent="0" shrinkToFit="false"/>
      <protection locked="false" hidden="false"/>
    </xf>
    <xf numFmtId="164" fontId="24" fillId="0" borderId="89" xfId="0" applyFont="true" applyBorder="true" applyAlignment="false" applyProtection="false">
      <alignment horizontal="general" vertical="bottom" textRotation="0" wrapText="false" indent="0" shrinkToFit="false"/>
      <protection locked="true" hidden="false"/>
    </xf>
    <xf numFmtId="164" fontId="24" fillId="0" borderId="90" xfId="0" applyFont="true" applyBorder="true" applyAlignment="false" applyProtection="false">
      <alignment horizontal="general" vertical="bottom" textRotation="0" wrapText="false" indent="0" shrinkToFit="false"/>
      <protection locked="true" hidden="false"/>
    </xf>
    <xf numFmtId="173" fontId="57" fillId="14" borderId="91" xfId="0" applyFont="true" applyBorder="true" applyAlignment="false" applyProtection="false">
      <alignment horizontal="general" vertical="bottom" textRotation="0" wrapText="false" indent="0" shrinkToFit="false"/>
      <protection locked="true" hidden="false"/>
    </xf>
    <xf numFmtId="164" fontId="24" fillId="0" borderId="92" xfId="0" applyFont="true" applyBorder="true" applyAlignment="false" applyProtection="false">
      <alignment horizontal="general" vertical="bottom" textRotation="0" wrapText="false" indent="0" shrinkToFit="false"/>
      <protection locked="true" hidden="false"/>
    </xf>
    <xf numFmtId="164" fontId="24" fillId="0" borderId="93" xfId="0" applyFont="true" applyBorder="true" applyAlignment="false" applyProtection="false">
      <alignment horizontal="general" vertical="bottom" textRotation="0" wrapText="false" indent="0" shrinkToFit="false"/>
      <protection locked="true" hidden="false"/>
    </xf>
    <xf numFmtId="164" fontId="24" fillId="0" borderId="94" xfId="0" applyFont="true" applyBorder="true" applyAlignment="false" applyProtection="false">
      <alignment horizontal="general" vertical="bottom" textRotation="0" wrapText="false" indent="0" shrinkToFit="false"/>
      <protection locked="true" hidden="false"/>
    </xf>
    <xf numFmtId="164" fontId="24" fillId="0" borderId="59" xfId="0" applyFont="true" applyBorder="true" applyAlignment="false" applyProtection="false">
      <alignment horizontal="general" vertical="bottom" textRotation="0" wrapText="false" indent="0" shrinkToFit="false"/>
      <protection locked="true" hidden="false"/>
    </xf>
    <xf numFmtId="164" fontId="24" fillId="0" borderId="95" xfId="0" applyFont="true" applyBorder="true" applyAlignment="false" applyProtection="false">
      <alignment horizontal="general" vertical="bottom" textRotation="0" wrapText="false" indent="0" shrinkToFit="false"/>
      <protection locked="true" hidden="false"/>
    </xf>
    <xf numFmtId="173" fontId="57" fillId="14" borderId="96" xfId="0" applyFont="true" applyBorder="true" applyAlignment="false" applyProtection="false">
      <alignment horizontal="general" vertical="bottom" textRotation="0" wrapText="false" indent="0" shrinkToFit="false"/>
      <protection locked="true" hidden="false"/>
    </xf>
    <xf numFmtId="173" fontId="41" fillId="0" borderId="0" xfId="0" applyFont="true" applyBorder="false" applyAlignment="false" applyProtection="false">
      <alignment horizontal="general" vertical="bottom" textRotation="0" wrapText="false" indent="0" shrinkToFit="false"/>
      <protection locked="true" hidden="false"/>
    </xf>
    <xf numFmtId="164" fontId="57" fillId="13" borderId="34" xfId="0" applyFont="true" applyBorder="true" applyAlignment="true" applyProtection="false">
      <alignment horizontal="left" vertical="bottom" textRotation="0" wrapText="false" indent="0" shrinkToFit="false"/>
      <protection locked="true" hidden="false"/>
    </xf>
    <xf numFmtId="164" fontId="57" fillId="13" borderId="35" xfId="0" applyFont="true" applyBorder="true" applyAlignment="true" applyProtection="false">
      <alignment horizontal="center" vertical="bottom" textRotation="0" wrapText="true" indent="0" shrinkToFit="false"/>
      <protection locked="true" hidden="false"/>
    </xf>
    <xf numFmtId="164" fontId="57" fillId="13" borderId="97" xfId="0" applyFont="true" applyBorder="true" applyAlignment="true" applyProtection="false">
      <alignment horizontal="center" vertical="bottom" textRotation="0" wrapText="false" indent="0" shrinkToFit="false"/>
      <protection locked="true" hidden="false"/>
    </xf>
    <xf numFmtId="164" fontId="57" fillId="13" borderId="37" xfId="0" applyFont="true" applyBorder="true" applyAlignment="true" applyProtection="false">
      <alignment horizontal="center" vertical="bottom" textRotation="0" wrapText="false" indent="0" shrinkToFit="false"/>
      <protection locked="true" hidden="false"/>
    </xf>
    <xf numFmtId="173" fontId="57" fillId="15" borderId="39" xfId="0" applyFont="true" applyBorder="true" applyAlignment="true" applyProtection="false">
      <alignment horizontal="left" vertical="bottom" textRotation="0" wrapText="false" indent="0" shrinkToFit="false"/>
      <protection locked="true" hidden="false"/>
    </xf>
    <xf numFmtId="182" fontId="57" fillId="15" borderId="40" xfId="0" applyFont="true" applyBorder="true" applyAlignment="true" applyProtection="false">
      <alignment horizontal="center" vertical="bottom" textRotation="0" wrapText="false" indent="0" shrinkToFit="false"/>
      <protection locked="true" hidden="false"/>
    </xf>
    <xf numFmtId="167" fontId="57" fillId="15" borderId="40" xfId="213" applyFont="true" applyBorder="true" applyAlignment="true" applyProtection="false">
      <alignment horizontal="center" vertical="bottom" textRotation="0" wrapText="false" indent="0" shrinkToFit="false"/>
      <protection locked="true" hidden="false"/>
    </xf>
    <xf numFmtId="173" fontId="57" fillId="15" borderId="41" xfId="0" applyFont="true" applyBorder="true" applyAlignment="true" applyProtection="false">
      <alignment horizontal="center" vertical="bottom" textRotation="0" wrapText="false" indent="0" shrinkToFit="false"/>
      <protection locked="true" hidden="false"/>
    </xf>
    <xf numFmtId="173" fontId="57" fillId="15" borderId="43" xfId="0" applyFont="true" applyBorder="true" applyAlignment="true" applyProtection="false">
      <alignment horizontal="center" vertical="bottom" textRotation="0" wrapText="false" indent="0" shrinkToFit="false"/>
      <protection locked="true" hidden="false"/>
    </xf>
    <xf numFmtId="173" fontId="57" fillId="15" borderId="43" xfId="0" applyFont="true" applyBorder="true" applyAlignment="false" applyProtection="false">
      <alignment horizontal="general" vertical="bottom" textRotation="0" wrapText="false" indent="0" shrinkToFit="false"/>
      <protection locked="true" hidden="false"/>
    </xf>
    <xf numFmtId="173" fontId="57" fillId="0" borderId="39" xfId="0" applyFont="true" applyBorder="true" applyAlignment="true" applyProtection="false">
      <alignment horizontal="left" vertical="bottom" textRotation="0" wrapText="false" indent="0" shrinkToFit="false"/>
      <protection locked="true" hidden="false"/>
    </xf>
    <xf numFmtId="173" fontId="57" fillId="14" borderId="98" xfId="0" applyFont="true" applyBorder="true" applyAlignment="false" applyProtection="false">
      <alignment horizontal="general" vertical="bottom" textRotation="0" wrapText="false" indent="0" shrinkToFit="false"/>
      <protection locked="true" hidden="false"/>
    </xf>
    <xf numFmtId="173" fontId="57" fillId="0" borderId="99" xfId="0" applyFont="true" applyBorder="true" applyAlignment="false" applyProtection="false">
      <alignment horizontal="general" vertical="bottom" textRotation="0" wrapText="false" indent="0" shrinkToFit="false"/>
      <protection locked="true" hidden="false"/>
    </xf>
    <xf numFmtId="173" fontId="57" fillId="0" borderId="46" xfId="0" applyFont="true" applyBorder="true" applyAlignment="true" applyProtection="false">
      <alignment horizontal="center" vertical="bottom" textRotation="0" wrapText="false" indent="0" shrinkToFit="false"/>
      <protection locked="true" hidden="false"/>
    </xf>
    <xf numFmtId="173" fontId="57" fillId="0" borderId="41" xfId="0" applyFont="true" applyBorder="true" applyAlignment="true" applyProtection="false">
      <alignment horizontal="center" vertical="bottom" textRotation="0" wrapText="false" indent="0" shrinkToFit="false"/>
      <protection locked="true" hidden="false"/>
    </xf>
    <xf numFmtId="173" fontId="57" fillId="0" borderId="100" xfId="0" applyFont="true" applyBorder="true" applyAlignment="true" applyProtection="false">
      <alignment horizontal="left" vertical="bottom" textRotation="0" wrapText="false" indent="0" shrinkToFit="false"/>
      <protection locked="true" hidden="false"/>
    </xf>
    <xf numFmtId="173" fontId="57" fillId="0" borderId="89" xfId="0" applyFont="true" applyBorder="true" applyAlignment="true" applyProtection="false">
      <alignment horizontal="left" vertical="bottom" textRotation="0" wrapText="false" indent="0" shrinkToFit="false"/>
      <protection locked="true" hidden="false"/>
    </xf>
    <xf numFmtId="173" fontId="57" fillId="0" borderId="90" xfId="0" applyFont="true" applyBorder="true" applyAlignment="true" applyProtection="false">
      <alignment horizontal="center" vertical="bottom" textRotation="0" wrapText="false" indent="0" shrinkToFit="false"/>
      <protection locked="true" hidden="false"/>
    </xf>
    <xf numFmtId="173" fontId="57" fillId="0" borderId="40" xfId="0" applyFont="true" applyBorder="true" applyAlignment="true" applyProtection="false">
      <alignment horizontal="center" vertical="bottom" textRotation="0" wrapText="false" indent="0" shrinkToFit="false"/>
      <protection locked="true" hidden="false"/>
    </xf>
    <xf numFmtId="173" fontId="57" fillId="15" borderId="100" xfId="0" applyFont="true" applyBorder="true" applyAlignment="true" applyProtection="false">
      <alignment horizontal="left" vertical="bottom" textRotation="0" wrapText="false" indent="0" shrinkToFit="false"/>
      <protection locked="true" hidden="false"/>
    </xf>
    <xf numFmtId="173" fontId="57" fillId="15" borderId="89" xfId="0" applyFont="true" applyBorder="true" applyAlignment="true" applyProtection="false">
      <alignment horizontal="left" vertical="bottom" textRotation="0" wrapText="false" indent="0" shrinkToFit="false"/>
      <protection locked="true" hidden="false"/>
    </xf>
    <xf numFmtId="173" fontId="57" fillId="15" borderId="90" xfId="0" applyFont="true" applyBorder="true" applyAlignment="false" applyProtection="false">
      <alignment horizontal="general" vertical="bottom" textRotation="0" wrapText="false" indent="0" shrinkToFit="false"/>
      <protection locked="true" hidden="false"/>
    </xf>
    <xf numFmtId="173" fontId="57" fillId="15" borderId="41" xfId="0" applyFont="true" applyBorder="true" applyAlignment="false" applyProtection="false">
      <alignment horizontal="general" vertical="bottom" textRotation="0" wrapText="false" indent="0" shrinkToFit="false"/>
      <protection locked="true" hidden="false"/>
    </xf>
    <xf numFmtId="173" fontId="57" fillId="14" borderId="98" xfId="0" applyFont="true" applyBorder="true" applyAlignment="true" applyProtection="false">
      <alignment horizontal="center" vertical="bottom" textRotation="0" wrapText="false" indent="0" shrinkToFit="false"/>
      <protection locked="true" hidden="false"/>
    </xf>
    <xf numFmtId="173" fontId="57" fillId="0" borderId="90" xfId="0" applyFont="true" applyBorder="true" applyAlignment="false" applyProtection="false">
      <alignment horizontal="general" vertical="bottom" textRotation="0" wrapText="false" indent="0" shrinkToFit="false"/>
      <protection locked="true" hidden="false"/>
    </xf>
    <xf numFmtId="173" fontId="57" fillId="0" borderId="101" xfId="0" applyFont="true" applyBorder="true" applyAlignment="true" applyProtection="false">
      <alignment horizontal="center" vertical="bottom" textRotation="0" wrapText="false" indent="0" shrinkToFit="false"/>
      <protection locked="true" hidden="false"/>
    </xf>
    <xf numFmtId="164" fontId="59" fillId="0" borderId="100" xfId="0" applyFont="true" applyBorder="true" applyAlignment="true" applyProtection="false">
      <alignment horizontal="left" vertical="bottom" textRotation="0" wrapText="false" indent="0" shrinkToFit="false"/>
      <protection locked="true" hidden="false"/>
    </xf>
    <xf numFmtId="164" fontId="59" fillId="0" borderId="89" xfId="0" applyFont="true" applyBorder="true" applyAlignment="true" applyProtection="false">
      <alignment horizontal="left" vertical="bottom" textRotation="0" wrapText="false" indent="0" shrinkToFit="false"/>
      <protection locked="true" hidden="false"/>
    </xf>
    <xf numFmtId="164" fontId="59" fillId="0" borderId="90" xfId="0" applyFont="true" applyBorder="true" applyAlignment="false" applyProtection="false">
      <alignment horizontal="general" vertical="bottom" textRotation="0" wrapText="false" indent="0" shrinkToFit="false"/>
      <protection locked="true" hidden="false"/>
    </xf>
    <xf numFmtId="164" fontId="59" fillId="0" borderId="40" xfId="0" applyFont="true" applyBorder="true" applyAlignment="false" applyProtection="false">
      <alignment horizontal="general" vertical="bottom" textRotation="0" wrapText="false" indent="0" shrinkToFit="false"/>
      <protection locked="true" hidden="false"/>
    </xf>
    <xf numFmtId="164" fontId="59" fillId="0" borderId="40" xfId="0" applyFont="true" applyBorder="true" applyAlignment="true" applyProtection="false">
      <alignment horizontal="center" vertical="bottom" textRotation="0" wrapText="false" indent="0" shrinkToFit="false"/>
      <protection locked="true" hidden="false"/>
    </xf>
    <xf numFmtId="164" fontId="59" fillId="0" borderId="41" xfId="0" applyFont="true" applyBorder="true" applyAlignment="true" applyProtection="false">
      <alignment horizontal="center" vertical="bottom" textRotation="0" wrapText="false" indent="0" shrinkToFit="false"/>
      <protection locked="true" hidden="false"/>
    </xf>
    <xf numFmtId="164" fontId="67" fillId="0" borderId="100" xfId="0" applyFont="true" applyBorder="true" applyAlignment="true" applyProtection="false">
      <alignment horizontal="left" vertical="bottom" textRotation="0" wrapText="false" indent="0" shrinkToFit="false"/>
      <protection locked="true" hidden="false"/>
    </xf>
    <xf numFmtId="164" fontId="67" fillId="0" borderId="89" xfId="0" applyFont="true" applyBorder="true" applyAlignment="true" applyProtection="false">
      <alignment horizontal="left" vertical="bottom" textRotation="0" wrapText="false" indent="0" shrinkToFit="false"/>
      <protection locked="true" hidden="false"/>
    </xf>
    <xf numFmtId="164" fontId="67" fillId="0" borderId="100" xfId="0" applyFont="true" applyBorder="true" applyAlignment="false" applyProtection="false">
      <alignment horizontal="general" vertical="bottom" textRotation="0" wrapText="false" indent="0" shrinkToFit="false"/>
      <protection locked="true" hidden="false"/>
    </xf>
    <xf numFmtId="164" fontId="67" fillId="0" borderId="89" xfId="0" applyFont="true" applyBorder="true" applyAlignment="false" applyProtection="false">
      <alignment horizontal="general" vertical="bottom" textRotation="0" wrapText="false" indent="0" shrinkToFit="false"/>
      <protection locked="true" hidden="false"/>
    </xf>
    <xf numFmtId="164" fontId="67" fillId="0" borderId="49" xfId="0" applyFont="true" applyBorder="true" applyAlignment="false" applyProtection="false">
      <alignment horizontal="general" vertical="bottom" textRotation="0" wrapText="false" indent="0" shrinkToFit="false"/>
      <protection locked="true" hidden="false"/>
    </xf>
    <xf numFmtId="164" fontId="59" fillId="0" borderId="50" xfId="0" applyFont="true" applyBorder="true" applyAlignment="false" applyProtection="false">
      <alignment horizontal="general" vertical="bottom" textRotation="0" wrapText="false" indent="0" shrinkToFit="false"/>
      <protection locked="true" hidden="false"/>
    </xf>
    <xf numFmtId="164" fontId="59" fillId="0" borderId="42" xfId="0" applyFont="true" applyBorder="true" applyAlignment="false" applyProtection="false">
      <alignment horizontal="general" vertical="bottom" textRotation="0" wrapText="false" indent="0" shrinkToFit="false"/>
      <protection locked="true" hidden="false"/>
    </xf>
    <xf numFmtId="164" fontId="59" fillId="0" borderId="42" xfId="0" applyFont="true" applyBorder="true" applyAlignment="true" applyProtection="false">
      <alignment horizontal="center" vertical="bottom" textRotation="0" wrapText="false" indent="0" shrinkToFit="false"/>
      <protection locked="true" hidden="false"/>
    </xf>
    <xf numFmtId="164" fontId="59" fillId="0" borderId="43" xfId="0" applyFont="true" applyBorder="true" applyAlignment="true" applyProtection="false">
      <alignment horizontal="center" vertical="bottom" textRotation="0" wrapText="false" indent="0" shrinkToFit="false"/>
      <protection locked="true" hidden="false"/>
    </xf>
    <xf numFmtId="164" fontId="67" fillId="0" borderId="49" xfId="0" applyFont="true" applyBorder="true" applyAlignment="true" applyProtection="false">
      <alignment horizontal="left" vertical="bottom" textRotation="0" wrapText="false" indent="0" shrinkToFit="false"/>
      <protection locked="true" hidden="false"/>
    </xf>
    <xf numFmtId="164" fontId="57" fillId="0" borderId="102" xfId="0" applyFont="true" applyBorder="true" applyAlignment="false" applyProtection="false">
      <alignment horizontal="general" vertical="bottom" textRotation="0" wrapText="false" indent="0" shrinkToFit="false"/>
      <protection locked="true" hidden="false"/>
    </xf>
    <xf numFmtId="164" fontId="57" fillId="0" borderId="103" xfId="0" applyFont="true" applyBorder="true" applyAlignment="false" applyProtection="false">
      <alignment horizontal="general" vertical="bottom" textRotation="0" wrapText="false" indent="0" shrinkToFit="false"/>
      <protection locked="true" hidden="false"/>
    </xf>
    <xf numFmtId="164" fontId="57" fillId="0" borderId="104" xfId="0" applyFont="true" applyBorder="true" applyAlignment="false" applyProtection="false">
      <alignment horizontal="general" vertical="bottom" textRotation="0" wrapText="false" indent="0" shrinkToFit="false"/>
      <protection locked="true" hidden="false"/>
    </xf>
    <xf numFmtId="164" fontId="57" fillId="0" borderId="53" xfId="0" applyFont="true" applyBorder="true" applyAlignment="false" applyProtection="false">
      <alignment horizontal="general" vertical="bottom" textRotation="0" wrapText="false" indent="0" shrinkToFit="false"/>
      <protection locked="true" hidden="false"/>
    </xf>
    <xf numFmtId="164" fontId="41" fillId="18" borderId="0" xfId="0" applyFont="true" applyBorder="false" applyAlignment="false" applyProtection="false">
      <alignment horizontal="general" vertical="bottom" textRotation="0" wrapText="false" indent="0" shrinkToFit="false"/>
      <protection locked="true" hidden="false"/>
    </xf>
    <xf numFmtId="164" fontId="57" fillId="13" borderId="54" xfId="0" applyFont="true" applyBorder="true" applyAlignment="false" applyProtection="false">
      <alignment horizontal="general" vertical="bottom" textRotation="0" wrapText="false" indent="0" shrinkToFit="false"/>
      <protection locked="true" hidden="false"/>
    </xf>
    <xf numFmtId="164" fontId="57" fillId="15" borderId="54" xfId="0" applyFont="true" applyBorder="true" applyAlignment="false" applyProtection="true">
      <alignment horizontal="general" vertical="bottom" textRotation="0" wrapText="false" indent="0" shrinkToFit="false"/>
      <protection locked="false" hidden="false"/>
    </xf>
    <xf numFmtId="164" fontId="57" fillId="13" borderId="54" xfId="0" applyFont="true" applyBorder="true" applyAlignment="true" applyProtection="false">
      <alignment horizontal="center" vertical="bottom" textRotation="0" wrapText="false" indent="0" shrinkToFit="false"/>
      <protection locked="true" hidden="false"/>
    </xf>
    <xf numFmtId="190" fontId="24" fillId="15" borderId="54" xfId="0" applyFont="true" applyBorder="true" applyAlignment="true" applyProtection="true">
      <alignment horizontal="center" vertical="bottom" textRotation="0" wrapText="false" indent="0" shrinkToFit="false"/>
      <protection locked="false" hidden="false"/>
    </xf>
    <xf numFmtId="164" fontId="57" fillId="13" borderId="68" xfId="0" applyFont="true" applyBorder="true" applyAlignment="true" applyProtection="false">
      <alignment horizontal="center" vertical="bottom" textRotation="0" wrapText="false" indent="0" shrinkToFit="false"/>
      <protection locked="true" hidden="false"/>
    </xf>
    <xf numFmtId="164" fontId="57" fillId="0" borderId="61" xfId="0" applyFont="true" applyBorder="true" applyAlignment="false" applyProtection="false">
      <alignment horizontal="general" vertical="bottom" textRotation="0" wrapText="false" indent="0" shrinkToFit="false"/>
      <protection locked="true" hidden="false"/>
    </xf>
    <xf numFmtId="165" fontId="24" fillId="15" borderId="44" xfId="0" applyFont="true" applyBorder="true" applyAlignment="true" applyProtection="true">
      <alignment horizontal="center" vertical="bottom" textRotation="0" wrapText="false" indent="0" shrinkToFit="false"/>
      <protection locked="false" hidden="false"/>
    </xf>
    <xf numFmtId="172" fontId="57" fillId="15" borderId="44" xfId="0" applyFont="true" applyBorder="true" applyAlignment="false" applyProtection="true">
      <alignment horizontal="general" vertical="bottom" textRotation="0" wrapText="false" indent="0" shrinkToFit="false"/>
      <protection locked="false" hidden="false"/>
    </xf>
    <xf numFmtId="172" fontId="57" fillId="0" borderId="87" xfId="0" applyFont="true" applyBorder="true" applyAlignment="false" applyProtection="false">
      <alignment horizontal="general" vertical="bottom" textRotation="0" wrapText="false" indent="0" shrinkToFit="false"/>
      <protection locked="true" hidden="false"/>
    </xf>
    <xf numFmtId="164" fontId="57" fillId="0" borderId="55" xfId="0" applyFont="true" applyBorder="true" applyAlignment="false" applyProtection="false">
      <alignment horizontal="general" vertical="bottom" textRotation="0" wrapText="false" indent="0" shrinkToFit="false"/>
      <protection locked="true" hidden="false"/>
    </xf>
    <xf numFmtId="165" fontId="24" fillId="15" borderId="40" xfId="0" applyFont="true" applyBorder="true" applyAlignment="true" applyProtection="true">
      <alignment horizontal="center" vertical="bottom" textRotation="0" wrapText="false" indent="0" shrinkToFit="false"/>
      <protection locked="false" hidden="false"/>
    </xf>
    <xf numFmtId="172" fontId="57" fillId="15" borderId="40" xfId="0" applyFont="true" applyBorder="true" applyAlignment="false" applyProtection="true">
      <alignment horizontal="general" vertical="bottom" textRotation="0" wrapText="false" indent="0" shrinkToFit="false"/>
      <protection locked="false" hidden="false"/>
    </xf>
    <xf numFmtId="172" fontId="57" fillId="0" borderId="56" xfId="0" applyFont="true" applyBorder="true" applyAlignment="false" applyProtection="false">
      <alignment horizontal="general" vertical="bottom" textRotation="0" wrapText="false" indent="0" shrinkToFit="false"/>
      <protection locked="true" hidden="false"/>
    </xf>
    <xf numFmtId="165" fontId="41" fillId="15" borderId="40" xfId="0" applyFont="true" applyBorder="true" applyAlignment="true" applyProtection="true">
      <alignment horizontal="center" vertical="bottom" textRotation="0" wrapText="false" indent="0" shrinkToFit="false"/>
      <protection locked="false" hidden="false"/>
    </xf>
    <xf numFmtId="172" fontId="57" fillId="0" borderId="40" xfId="0" applyFont="true" applyBorder="true" applyAlignment="false" applyProtection="false">
      <alignment horizontal="general" vertical="bottom" textRotation="0" wrapText="false" indent="0" shrinkToFit="false"/>
      <protection locked="true" hidden="false"/>
    </xf>
    <xf numFmtId="172" fontId="57" fillId="15" borderId="56" xfId="0" applyFont="true" applyBorder="true" applyAlignment="false" applyProtection="true">
      <alignment horizontal="general" vertical="bottom" textRotation="0" wrapText="false" indent="0" shrinkToFit="false"/>
      <protection locked="false" hidden="false"/>
    </xf>
    <xf numFmtId="164" fontId="57" fillId="15" borderId="55" xfId="0" applyFont="true" applyBorder="true" applyAlignment="false" applyProtection="true">
      <alignment horizontal="general" vertical="bottom" textRotation="0" wrapText="false" indent="0" shrinkToFit="false"/>
      <protection locked="false" hidden="false"/>
    </xf>
    <xf numFmtId="164" fontId="57" fillId="0" borderId="57" xfId="0" applyFont="true" applyBorder="true" applyAlignment="false" applyProtection="false">
      <alignment horizontal="general" vertical="bottom" textRotation="0" wrapText="false" indent="0" shrinkToFit="false"/>
      <protection locked="true" hidden="false"/>
    </xf>
    <xf numFmtId="165" fontId="41" fillId="15" borderId="58" xfId="0" applyFont="true" applyBorder="true" applyAlignment="true" applyProtection="true">
      <alignment horizontal="center" vertical="bottom" textRotation="0" wrapText="false" indent="0" shrinkToFit="false"/>
      <protection locked="false" hidden="false"/>
    </xf>
    <xf numFmtId="172" fontId="57" fillId="15" borderId="58" xfId="0" applyFont="true" applyBorder="true" applyAlignment="false" applyProtection="true">
      <alignment horizontal="general" vertical="bottom" textRotation="0" wrapText="false" indent="0" shrinkToFit="false"/>
      <protection locked="false" hidden="false"/>
    </xf>
    <xf numFmtId="172" fontId="57" fillId="15" borderId="59" xfId="0" applyFont="true" applyBorder="true" applyAlignment="false" applyProtection="true">
      <alignment horizontal="general" vertical="bottom" textRotation="0" wrapText="false" indent="0" shrinkToFit="false"/>
      <protection locked="false" hidden="false"/>
    </xf>
    <xf numFmtId="172" fontId="57" fillId="14" borderId="63" xfId="0" applyFont="true" applyBorder="true" applyAlignment="false" applyProtection="false">
      <alignment horizontal="general" vertical="bottom" textRotation="0" wrapText="false" indent="0" shrinkToFit="false"/>
      <protection locked="true" hidden="false"/>
    </xf>
    <xf numFmtId="164" fontId="57" fillId="13" borderId="84" xfId="0" applyFont="true" applyBorder="true" applyAlignment="false" applyProtection="false">
      <alignment horizontal="general" vertical="bottom" textRotation="0" wrapText="false" indent="0" shrinkToFit="false"/>
      <protection locked="true" hidden="false"/>
    </xf>
    <xf numFmtId="166" fontId="57" fillId="15" borderId="84" xfId="0" applyFont="true" applyBorder="true" applyAlignment="false" applyProtection="true">
      <alignment horizontal="general" vertical="bottom" textRotation="0" wrapText="false" indent="0" shrinkToFit="false"/>
      <protection locked="false" hidden="false"/>
    </xf>
    <xf numFmtId="164" fontId="57" fillId="13" borderId="73" xfId="0" applyFont="true" applyBorder="true" applyAlignment="false" applyProtection="false">
      <alignment horizontal="general" vertical="bottom" textRotation="0" wrapText="false" indent="0" shrinkToFit="false"/>
      <protection locked="true" hidden="false"/>
    </xf>
    <xf numFmtId="172" fontId="57" fillId="14" borderId="44" xfId="0" applyFont="true" applyBorder="true" applyAlignment="false" applyProtection="false">
      <alignment horizontal="general" vertical="bottom" textRotation="0" wrapText="false" indent="0" shrinkToFit="false"/>
      <protection locked="true" hidden="false"/>
    </xf>
    <xf numFmtId="172" fontId="57" fillId="14" borderId="87" xfId="0" applyFont="true" applyBorder="true" applyAlignment="false" applyProtection="false">
      <alignment horizontal="general" vertical="bottom" textRotation="0" wrapText="false" indent="0" shrinkToFit="false"/>
      <protection locked="true" hidden="false"/>
    </xf>
    <xf numFmtId="172" fontId="57" fillId="14" borderId="40" xfId="0" applyFont="true" applyBorder="true" applyAlignment="false" applyProtection="false">
      <alignment horizontal="general" vertical="bottom" textRotation="0" wrapText="false" indent="0" shrinkToFit="false"/>
      <protection locked="true" hidden="false"/>
    </xf>
    <xf numFmtId="172" fontId="57" fillId="14" borderId="56" xfId="0" applyFont="true" applyBorder="true" applyAlignment="false" applyProtection="false">
      <alignment horizontal="general" vertical="bottom" textRotation="0" wrapText="false" indent="0" shrinkToFit="false"/>
      <protection locked="true" hidden="false"/>
    </xf>
    <xf numFmtId="172" fontId="57" fillId="17" borderId="40" xfId="0" applyFont="true" applyBorder="true" applyAlignment="false" applyProtection="false">
      <alignment horizontal="general" vertical="bottom" textRotation="0" wrapText="false" indent="0" shrinkToFit="false"/>
      <protection locked="true" hidden="false"/>
    </xf>
    <xf numFmtId="172" fontId="57" fillId="17" borderId="56" xfId="0" applyFont="true" applyBorder="true" applyAlignment="false" applyProtection="false">
      <alignment horizontal="general" vertical="bottom" textRotation="0" wrapText="false" indent="0" shrinkToFit="false"/>
      <protection locked="true" hidden="false"/>
    </xf>
    <xf numFmtId="164" fontId="57" fillId="15" borderId="57" xfId="0" applyFont="true" applyBorder="true" applyAlignment="false" applyProtection="true">
      <alignment horizontal="general" vertical="bottom" textRotation="0" wrapText="false" indent="0" shrinkToFit="false"/>
      <protection locked="false" hidden="false"/>
    </xf>
    <xf numFmtId="172" fontId="57" fillId="17" borderId="58" xfId="0" applyFont="true" applyBorder="true" applyAlignment="false" applyProtection="false">
      <alignment horizontal="general" vertical="bottom" textRotation="0" wrapText="false" indent="0" shrinkToFit="false"/>
      <protection locked="true" hidden="false"/>
    </xf>
    <xf numFmtId="172" fontId="57" fillId="17" borderId="59" xfId="0" applyFont="true" applyBorder="true" applyAlignment="false" applyProtection="false">
      <alignment horizontal="general" vertical="bottom" textRotation="0" wrapText="false" indent="0" shrinkToFit="false"/>
      <protection locked="true" hidden="false"/>
    </xf>
    <xf numFmtId="164" fontId="57" fillId="15" borderId="87" xfId="0" applyFont="true" applyBorder="true" applyAlignment="false" applyProtection="true">
      <alignment horizontal="general" vertical="bottom" textRotation="0" wrapText="false" indent="0" shrinkToFit="false"/>
      <protection locked="false" hidden="false"/>
    </xf>
    <xf numFmtId="164" fontId="68" fillId="0" borderId="40" xfId="0" applyFont="true" applyBorder="true" applyAlignment="true" applyProtection="false">
      <alignment horizontal="right" vertical="bottom" textRotation="0" wrapText="false" indent="0" shrinkToFit="false"/>
      <protection locked="true" hidden="false"/>
    </xf>
    <xf numFmtId="172" fontId="57" fillId="14" borderId="58" xfId="0" applyFont="true" applyBorder="true" applyAlignment="false" applyProtection="true">
      <alignment horizontal="general" vertical="bottom" textRotation="0" wrapText="false" indent="0" shrinkToFit="false"/>
      <protection locked="false" hidden="false"/>
    </xf>
    <xf numFmtId="164" fontId="68" fillId="0" borderId="58" xfId="0" applyFont="true" applyBorder="true" applyAlignment="true" applyProtection="false">
      <alignment horizontal="right" vertical="bottom" textRotation="0" wrapText="false" indent="0" shrinkToFit="false"/>
      <protection locked="true" hidden="false"/>
    </xf>
    <xf numFmtId="172" fontId="57" fillId="14" borderId="59" xfId="0" applyFont="true" applyBorder="true" applyAlignment="false" applyProtection="false">
      <alignment horizontal="general" vertical="bottom" textRotation="0" wrapText="false" indent="0" shrinkToFit="false"/>
      <protection locked="true" hidden="false"/>
    </xf>
    <xf numFmtId="164" fontId="57" fillId="0" borderId="0" xfId="0" applyFont="true" applyBorder="true" applyAlignment="false" applyProtection="false">
      <alignment horizontal="general" vertical="bottom" textRotation="0" wrapText="false" indent="0" shrinkToFit="false"/>
      <protection locked="true" hidden="false"/>
    </xf>
    <xf numFmtId="164" fontId="57" fillId="13" borderId="54" xfId="0" applyFont="true" applyBorder="true" applyAlignment="true" applyProtection="false">
      <alignment horizontal="general" vertical="top" textRotation="0" wrapText="false" indent="0" shrinkToFit="false"/>
      <protection locked="true" hidden="false"/>
    </xf>
    <xf numFmtId="164" fontId="57" fillId="15" borderId="61" xfId="0" applyFont="true" applyBorder="true" applyAlignment="false" applyProtection="true">
      <alignment horizontal="general" vertical="bottom" textRotation="0" wrapText="false" indent="0" shrinkToFit="false"/>
      <protection locked="false" hidden="false"/>
    </xf>
    <xf numFmtId="172" fontId="57" fillId="19" borderId="44" xfId="0" applyFont="true" applyBorder="true" applyAlignment="false" applyProtection="true">
      <alignment horizontal="general" vertical="bottom" textRotation="0" wrapText="false" indent="0" shrinkToFit="false"/>
      <protection locked="false" hidden="false"/>
    </xf>
    <xf numFmtId="172" fontId="57" fillId="19" borderId="40" xfId="0" applyFont="true" applyBorder="true" applyAlignment="false" applyProtection="true">
      <alignment horizontal="general" vertical="bottom" textRotation="0" wrapText="false" indent="0" shrinkToFit="false"/>
      <protection locked="false" hidden="false"/>
    </xf>
    <xf numFmtId="172" fontId="57" fillId="0" borderId="58" xfId="0" applyFont="true" applyBorder="true" applyAlignment="false" applyProtection="false">
      <alignment horizontal="general" vertical="bottom" textRotation="0" wrapText="false" indent="0" shrinkToFit="false"/>
      <protection locked="true" hidden="false"/>
    </xf>
    <xf numFmtId="164" fontId="41" fillId="15" borderId="44" xfId="0" applyFont="true" applyBorder="true" applyAlignment="true" applyProtection="true">
      <alignment horizontal="center" vertical="bottom" textRotation="0" wrapText="false" indent="0" shrinkToFit="false"/>
      <protection locked="false" hidden="false"/>
    </xf>
    <xf numFmtId="172" fontId="57" fillId="0" borderId="44" xfId="0" applyFont="true" applyBorder="true" applyAlignment="false" applyProtection="false">
      <alignment horizontal="general" vertical="bottom" textRotation="0" wrapText="false" indent="0" shrinkToFit="false"/>
      <protection locked="true" hidden="false"/>
    </xf>
    <xf numFmtId="172" fontId="57" fillId="15" borderId="87" xfId="0" applyFont="true" applyBorder="true" applyAlignment="false" applyProtection="true">
      <alignment horizontal="general" vertical="bottom" textRotation="0" wrapText="false" indent="0" shrinkToFit="false"/>
      <protection locked="false" hidden="false"/>
    </xf>
    <xf numFmtId="164" fontId="41" fillId="15" borderId="40" xfId="0" applyFont="true" applyBorder="true" applyAlignment="true" applyProtection="true">
      <alignment horizontal="center" vertical="bottom" textRotation="0" wrapText="false" indent="0" shrinkToFit="false"/>
      <protection locked="false" hidden="false"/>
    </xf>
    <xf numFmtId="164" fontId="41" fillId="15" borderId="58" xfId="0" applyFont="true" applyBorder="true" applyAlignment="true" applyProtection="true">
      <alignment horizontal="center" vertical="bottom" textRotation="0" wrapText="false" indent="0" shrinkToFit="false"/>
      <protection locked="false" hidden="false"/>
    </xf>
    <xf numFmtId="164" fontId="57" fillId="0" borderId="55" xfId="0" applyFont="true" applyBorder="true" applyAlignment="false" applyProtection="true">
      <alignment horizontal="general" vertical="bottom" textRotation="0" wrapText="false" indent="0" shrinkToFit="false"/>
      <protection locked="false" hidden="false"/>
    </xf>
    <xf numFmtId="172" fontId="57" fillId="17" borderId="40"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7" fillId="13" borderId="61" xfId="0" applyFont="true" applyBorder="true" applyAlignment="true" applyProtection="false">
      <alignment horizontal="general" vertical="center" textRotation="0" wrapText="false" indent="0" shrinkToFit="false"/>
      <protection locked="true" hidden="false"/>
    </xf>
    <xf numFmtId="164" fontId="44" fillId="15" borderId="87" xfId="0" applyFont="true" applyBorder="true" applyAlignment="true" applyProtection="true">
      <alignment horizontal="general" vertical="center" textRotation="0" wrapText="true" indent="0" shrinkToFit="false"/>
      <protection locked="false" hidden="false"/>
    </xf>
    <xf numFmtId="170" fontId="44" fillId="15" borderId="87" xfId="0" applyFont="true" applyBorder="true" applyAlignment="true" applyProtection="true">
      <alignment horizontal="general" vertical="center" textRotation="0" wrapText="true" indent="0" shrinkToFit="false"/>
      <protection locked="false" hidden="false"/>
    </xf>
    <xf numFmtId="164" fontId="69" fillId="0" borderId="0" xfId="0" applyFont="true" applyBorder="false" applyAlignment="true" applyProtection="false">
      <alignment horizontal="general" vertical="center" textRotation="0" wrapText="false" indent="0" shrinkToFit="false"/>
      <protection locked="true" hidden="false"/>
    </xf>
    <xf numFmtId="164" fontId="57" fillId="13" borderId="57" xfId="0" applyFont="true" applyBorder="true" applyAlignment="true" applyProtection="false">
      <alignment horizontal="general" vertical="center" textRotation="0" wrapText="false" indent="0" shrinkToFit="false"/>
      <protection locked="true" hidden="false"/>
    </xf>
    <xf numFmtId="164" fontId="44" fillId="15" borderId="59" xfId="0" applyFont="true" applyBorder="true" applyAlignment="true" applyProtection="true">
      <alignment horizontal="general" vertical="center" textRotation="0" wrapText="true" indent="0" shrinkToFit="false"/>
      <protection locked="false" hidden="false"/>
    </xf>
    <xf numFmtId="164" fontId="57" fillId="13" borderId="55" xfId="0" applyFont="true" applyBorder="true" applyAlignment="true" applyProtection="false">
      <alignment horizontal="general" vertical="center" textRotation="0" wrapText="false" indent="0" shrinkToFit="false"/>
      <protection locked="true" hidden="false"/>
    </xf>
    <xf numFmtId="164" fontId="57" fillId="0" borderId="0" xfId="0" applyFont="true" applyBorder="true" applyAlignment="true" applyProtection="false">
      <alignment horizontal="general" vertical="center" textRotation="0" wrapText="false" indent="0" shrinkToFit="false"/>
      <protection locked="true" hidden="false"/>
    </xf>
    <xf numFmtId="164" fontId="57" fillId="0" borderId="61" xfId="0" applyFont="true" applyBorder="true" applyAlignment="true" applyProtection="false">
      <alignment horizontal="general" vertical="center" textRotation="0" wrapText="false" indent="0" shrinkToFit="false"/>
      <protection locked="true" hidden="false"/>
    </xf>
    <xf numFmtId="172" fontId="24" fillId="15" borderId="87" xfId="0" applyFont="true" applyBorder="true" applyAlignment="true" applyProtection="true">
      <alignment horizontal="general" vertical="center" textRotation="0" wrapText="false" indent="0" shrinkToFit="false"/>
      <protection locked="false" hidden="false"/>
    </xf>
    <xf numFmtId="164" fontId="44" fillId="0" borderId="0" xfId="0" applyFont="true" applyBorder="false" applyAlignment="true" applyProtection="false">
      <alignment horizontal="general" vertical="center" textRotation="0" wrapText="true" indent="0" shrinkToFit="false"/>
      <protection locked="true" hidden="false"/>
    </xf>
    <xf numFmtId="164" fontId="57" fillId="0" borderId="55" xfId="0" applyFont="true" applyBorder="true" applyAlignment="true" applyProtection="false">
      <alignment horizontal="general" vertical="center" textRotation="0" wrapText="false" indent="0" shrinkToFit="false"/>
      <protection locked="true" hidden="false"/>
    </xf>
    <xf numFmtId="191" fontId="57" fillId="15" borderId="56" xfId="0" applyFont="true" applyBorder="true" applyAlignment="true" applyProtection="true">
      <alignment horizontal="general" vertical="center" textRotation="0" wrapText="false" indent="0" shrinkToFit="false"/>
      <protection locked="false" hidden="false"/>
    </xf>
    <xf numFmtId="172" fontId="57" fillId="14" borderId="56" xfId="0" applyFont="true" applyBorder="true" applyAlignment="true" applyProtection="false">
      <alignment horizontal="general" vertical="center" textRotation="0" wrapText="false" indent="0" shrinkToFit="false"/>
      <protection locked="true" hidden="false"/>
    </xf>
    <xf numFmtId="172" fontId="24" fillId="15" borderId="56" xfId="0" applyFont="true" applyBorder="true" applyAlignment="true" applyProtection="true">
      <alignment horizontal="general" vertical="center" textRotation="0" wrapText="false" indent="0" shrinkToFit="false"/>
      <protection locked="false" hidden="false"/>
    </xf>
    <xf numFmtId="172" fontId="57" fillId="14" borderId="105" xfId="0" applyFont="true" applyBorder="true" applyAlignment="true" applyProtection="false">
      <alignment horizontal="general" vertical="center" textRotation="0" wrapText="false" indent="0" shrinkToFit="false"/>
      <protection locked="true" hidden="false"/>
    </xf>
    <xf numFmtId="164" fontId="57" fillId="0" borderId="57" xfId="0" applyFont="true" applyBorder="true" applyAlignment="true" applyProtection="false">
      <alignment horizontal="general" vertical="center" textRotation="0" wrapText="false" indent="0" shrinkToFit="false"/>
      <protection locked="true" hidden="false"/>
    </xf>
    <xf numFmtId="172" fontId="24" fillId="15" borderId="106" xfId="0" applyFont="true" applyBorder="true" applyAlignment="true" applyProtection="true">
      <alignment horizontal="general" vertical="center" textRotation="0" wrapText="false" indent="0" shrinkToFit="false"/>
      <protection locked="false" hidden="false"/>
    </xf>
    <xf numFmtId="164" fontId="57" fillId="0" borderId="62" xfId="0" applyFont="true" applyBorder="true" applyAlignment="true" applyProtection="false">
      <alignment horizontal="general" vertical="center" textRotation="0" wrapText="false" indent="0" shrinkToFit="false"/>
      <protection locked="true" hidden="false"/>
    </xf>
    <xf numFmtId="164" fontId="57" fillId="0" borderId="64" xfId="0" applyFont="true" applyBorder="true" applyAlignment="true" applyProtection="false">
      <alignment horizontal="general" vertical="center" textRotation="0" wrapText="false" indent="0" shrinkToFit="false"/>
      <protection locked="true" hidden="false"/>
    </xf>
    <xf numFmtId="164" fontId="57" fillId="0" borderId="107" xfId="0" applyFont="true" applyBorder="true" applyAlignment="true" applyProtection="false">
      <alignment horizontal="general" vertical="center" textRotation="0" wrapText="false" indent="0" shrinkToFit="false"/>
      <protection locked="true" hidden="false"/>
    </xf>
    <xf numFmtId="164" fontId="57" fillId="0" borderId="65" xfId="0" applyFont="true" applyBorder="true" applyAlignment="true" applyProtection="false">
      <alignment horizontal="general" vertical="center" textRotation="0" wrapText="false" indent="0" shrinkToFit="false"/>
      <protection locked="true" hidden="false"/>
    </xf>
    <xf numFmtId="172" fontId="57" fillId="14" borderId="108" xfId="0" applyFont="true" applyBorder="true" applyAlignment="true" applyProtection="false">
      <alignment horizontal="general" vertical="center" textRotation="0" wrapText="false" indent="0" shrinkToFit="false"/>
      <protection locked="true" hidden="false"/>
    </xf>
    <xf numFmtId="164" fontId="57" fillId="0" borderId="67" xfId="0" applyFont="true" applyBorder="true" applyAlignment="true" applyProtection="false">
      <alignment horizontal="general" vertical="center" textRotation="0" wrapText="false" indent="0" shrinkToFit="false"/>
      <protection locked="true" hidden="false"/>
    </xf>
    <xf numFmtId="164" fontId="57" fillId="0" borderId="109" xfId="0" applyFont="true" applyBorder="true" applyAlignment="true" applyProtection="false">
      <alignment horizontal="general" vertical="center" textRotation="0" wrapText="false" indent="0" shrinkToFit="false"/>
      <protection locked="true" hidden="false"/>
    </xf>
    <xf numFmtId="164" fontId="57" fillId="0" borderId="68" xfId="0" applyFont="true" applyBorder="true" applyAlignment="true" applyProtection="false">
      <alignment horizontal="general" vertical="center" textRotation="0" wrapText="false" indent="0" shrinkToFit="false"/>
      <protection locked="true" hidden="false"/>
    </xf>
    <xf numFmtId="172" fontId="57" fillId="14" borderId="75" xfId="0" applyFont="true" applyBorder="true" applyAlignment="true" applyProtection="false">
      <alignment horizontal="general" vertical="center" textRotation="0" wrapText="false" indent="0" shrinkToFit="false"/>
      <protection locked="true" hidden="false"/>
    </xf>
    <xf numFmtId="164" fontId="57" fillId="0" borderId="70" xfId="0" applyFont="true" applyBorder="true" applyAlignment="true" applyProtection="false">
      <alignment horizontal="general" vertical="center" textRotation="0" wrapText="false" indent="0" shrinkToFit="false"/>
      <protection locked="true" hidden="false"/>
    </xf>
    <xf numFmtId="164" fontId="57" fillId="0" borderId="110" xfId="0" applyFont="true" applyBorder="true" applyAlignment="true" applyProtection="false">
      <alignment horizontal="general" vertical="center" textRotation="0" wrapText="false" indent="0" shrinkToFit="false"/>
      <protection locked="true" hidden="false"/>
    </xf>
    <xf numFmtId="164" fontId="57" fillId="0" borderId="71" xfId="0" applyFont="true" applyBorder="true" applyAlignment="true" applyProtection="false">
      <alignment horizontal="general" vertical="center" textRotation="0" wrapText="false" indent="0" shrinkToFit="false"/>
      <protection locked="true" hidden="false"/>
    </xf>
    <xf numFmtId="172" fontId="57" fillId="14" borderId="72" xfId="0" applyFont="true" applyBorder="true" applyAlignment="true" applyProtection="false">
      <alignment horizontal="general" vertical="center" textRotation="0" wrapText="false" indent="0" shrinkToFit="false"/>
      <protection locked="true" hidden="false"/>
    </xf>
    <xf numFmtId="164" fontId="57" fillId="0" borderId="0" xfId="0" applyFont="true" applyBorder="false" applyAlignment="true" applyProtection="false">
      <alignment horizontal="general" vertical="center" textRotation="0" wrapText="true" indent="0" shrinkToFit="false"/>
      <protection locked="true" hidden="false"/>
    </xf>
    <xf numFmtId="164" fontId="48" fillId="0" borderId="0" xfId="0" applyFont="true" applyBorder="false" applyAlignment="true" applyProtection="false">
      <alignment horizontal="general" vertical="center" textRotation="0" wrapText="true" indent="0" shrinkToFit="false"/>
      <protection locked="true" hidden="false"/>
    </xf>
    <xf numFmtId="164" fontId="44" fillId="20" borderId="0" xfId="0" applyFont="true" applyBorder="false" applyAlignment="true" applyProtection="false">
      <alignment horizontal="general" vertical="center" textRotation="0" wrapText="true" indent="0" shrinkToFit="false"/>
      <protection locked="true" hidden="false"/>
    </xf>
    <xf numFmtId="164" fontId="57" fillId="15" borderId="87" xfId="0" applyFont="true" applyBorder="true" applyAlignment="true" applyProtection="true">
      <alignment horizontal="general" vertical="center" textRotation="0" wrapText="false" indent="0" shrinkToFit="false"/>
      <protection locked="false" hidden="false"/>
    </xf>
    <xf numFmtId="170" fontId="57" fillId="15" borderId="87" xfId="0" applyFont="true" applyBorder="true" applyAlignment="true" applyProtection="true">
      <alignment horizontal="general" vertical="center" textRotation="0" wrapText="false" indent="0" shrinkToFit="false"/>
      <protection locked="false" hidden="false"/>
    </xf>
    <xf numFmtId="164" fontId="57" fillId="15" borderId="59" xfId="0" applyFont="true" applyBorder="true" applyAlignment="true" applyProtection="true">
      <alignment horizontal="general" vertical="center" textRotation="0" wrapText="false" indent="0" shrinkToFit="false"/>
      <protection locked="false" hidden="false"/>
    </xf>
    <xf numFmtId="192" fontId="57" fillId="15" borderId="56" xfId="0" applyFont="true" applyBorder="true" applyAlignment="true" applyProtection="true">
      <alignment horizontal="general" vertical="center" textRotation="0" wrapText="false" indent="0" shrinkToFit="false"/>
      <protection locked="false" hidden="false"/>
    </xf>
    <xf numFmtId="193" fontId="57" fillId="15" borderId="56" xfId="0" applyFont="true" applyBorder="true" applyAlignment="true" applyProtection="true">
      <alignment horizontal="general" vertical="center" textRotation="0" wrapText="false" indent="0" shrinkToFit="false"/>
      <protection locked="false" hidden="false"/>
    </xf>
    <xf numFmtId="166" fontId="57" fillId="15" borderId="59" xfId="0" applyFont="true" applyBorder="true" applyAlignment="true" applyProtection="true">
      <alignment horizontal="general" vertical="center" textRotation="0" wrapText="false" indent="0" shrinkToFit="false"/>
      <protection locked="false" hidden="false"/>
    </xf>
    <xf numFmtId="192" fontId="24" fillId="15" borderId="56" xfId="0" applyFont="true" applyBorder="true" applyAlignment="true" applyProtection="true">
      <alignment horizontal="general" vertical="center" textRotation="0" wrapText="false" indent="0" shrinkToFit="false"/>
      <protection locked="false" hidden="false"/>
    </xf>
    <xf numFmtId="192" fontId="24" fillId="15" borderId="87" xfId="0" applyFont="true" applyBorder="true" applyAlignment="true" applyProtection="true">
      <alignment horizontal="general" vertical="center" textRotation="0" wrapText="false" indent="0" shrinkToFit="false"/>
      <protection locked="false" hidden="false"/>
    </xf>
    <xf numFmtId="192" fontId="24" fillId="0" borderId="56" xfId="0" applyFont="true" applyBorder="true" applyAlignment="true" applyProtection="true">
      <alignment horizontal="general" vertical="center" textRotation="0" wrapText="false" indent="0" shrinkToFit="false"/>
      <protection locked="false" hidden="false"/>
    </xf>
    <xf numFmtId="164" fontId="57" fillId="0" borderId="0" xfId="0" applyFont="true" applyBorder="false" applyAlignment="true" applyProtection="false">
      <alignment horizontal="center" vertical="center" textRotation="0" wrapText="true" indent="0" shrinkToFit="false"/>
      <protection locked="true" hidden="false"/>
    </xf>
    <xf numFmtId="191" fontId="57" fillId="0" borderId="56" xfId="0" applyFont="true" applyBorder="true" applyAlignment="true" applyProtection="true">
      <alignment horizontal="general" vertical="center" textRotation="0" wrapText="false" indent="0" shrinkToFit="false"/>
      <protection locked="false" hidden="false"/>
    </xf>
    <xf numFmtId="179" fontId="57" fillId="0" borderId="0" xfId="0" applyFont="true" applyBorder="false" applyAlignment="true" applyProtection="false">
      <alignment horizontal="general" vertical="center" textRotation="0" wrapText="false" indent="0" shrinkToFit="false"/>
      <protection locked="true" hidden="false"/>
    </xf>
    <xf numFmtId="172" fontId="44" fillId="0" borderId="0" xfId="0" applyFont="true" applyBorder="false" applyAlignment="true" applyProtection="false">
      <alignment horizontal="general" vertical="center" textRotation="0" wrapText="true" indent="0" shrinkToFit="false"/>
      <protection locked="true" hidden="false"/>
    </xf>
    <xf numFmtId="164" fontId="70" fillId="0" borderId="111" xfId="0" applyFont="true" applyBorder="true" applyAlignment="true" applyProtection="false">
      <alignment horizontal="general" vertical="center" textRotation="0" wrapText="true" indent="0" shrinkToFit="false"/>
      <protection locked="true" hidden="false"/>
    </xf>
    <xf numFmtId="175" fontId="70" fillId="0" borderId="111" xfId="0" applyFont="true" applyBorder="true" applyAlignment="true" applyProtection="false">
      <alignment horizontal="general" vertical="center" textRotation="0" wrapText="true" indent="0" shrinkToFit="false"/>
      <protection locked="true" hidden="false"/>
    </xf>
    <xf numFmtId="164" fontId="48" fillId="0" borderId="0" xfId="61" applyFont="true" applyBorder="true" applyAlignment="true" applyProtection="false">
      <alignment horizontal="general" vertical="center" textRotation="0" wrapText="false" indent="0" shrinkToFit="false"/>
      <protection locked="true" hidden="false"/>
    </xf>
    <xf numFmtId="164" fontId="48" fillId="0" borderId="0" xfId="70" applyFont="true" applyBorder="true" applyAlignment="true" applyProtection="true">
      <alignment horizontal="center" vertical="center" textRotation="0" wrapText="true" indent="0" shrinkToFit="false"/>
      <protection locked="false" hidden="false"/>
    </xf>
    <xf numFmtId="165" fontId="48" fillId="0" borderId="0" xfId="245" applyFont="true" applyBorder="true" applyAlignment="true" applyProtection="false">
      <alignment horizontal="left" vertical="center" textRotation="0" wrapText="false" indent="1" shrinkToFit="false"/>
      <protection locked="true" hidden="false"/>
    </xf>
    <xf numFmtId="165" fontId="48" fillId="0" borderId="60" xfId="245" applyFont="true" applyBorder="true" applyAlignment="true" applyProtection="false">
      <alignment horizontal="left" vertical="center" textRotation="0" wrapText="false" indent="1" shrinkToFit="false"/>
      <protection locked="true" hidden="false"/>
    </xf>
    <xf numFmtId="164" fontId="48" fillId="6" borderId="34" xfId="61" applyFont="true" applyBorder="true" applyAlignment="true" applyProtection="false">
      <alignment horizontal="left" vertical="center" textRotation="0" wrapText="false" indent="1" shrinkToFit="false"/>
      <protection locked="true" hidden="false"/>
    </xf>
    <xf numFmtId="164" fontId="48" fillId="6" borderId="45" xfId="61" applyFont="true" applyBorder="true" applyAlignment="true" applyProtection="false">
      <alignment horizontal="left" vertical="center" textRotation="0" wrapText="false" indent="1" shrinkToFit="false"/>
      <protection locked="true" hidden="false"/>
    </xf>
    <xf numFmtId="164" fontId="48" fillId="15" borderId="45" xfId="35" applyFont="true" applyBorder="true" applyAlignment="true" applyProtection="true">
      <alignment horizontal="center" vertical="center" textRotation="0" wrapText="false" indent="0" shrinkToFit="false"/>
      <protection locked="false" hidden="false"/>
    </xf>
    <xf numFmtId="168" fontId="48" fillId="15" borderId="46" xfId="35" applyFont="true" applyBorder="true" applyAlignment="true" applyProtection="true">
      <alignment horizontal="general" vertical="center" textRotation="0" wrapText="false" indent="0" shrinkToFit="false"/>
      <protection locked="false" hidden="false"/>
    </xf>
    <xf numFmtId="164" fontId="48" fillId="6" borderId="39" xfId="61" applyFont="true" applyBorder="true" applyAlignment="true" applyProtection="false">
      <alignment horizontal="left" vertical="center" textRotation="0" wrapText="false" indent="1" shrinkToFit="false"/>
      <protection locked="true" hidden="false"/>
    </xf>
    <xf numFmtId="164" fontId="48" fillId="6" borderId="40" xfId="61" applyFont="true" applyBorder="true" applyAlignment="true" applyProtection="false">
      <alignment horizontal="left" vertical="center" textRotation="0" wrapText="false" indent="1" shrinkToFit="false"/>
      <protection locked="true" hidden="false"/>
    </xf>
    <xf numFmtId="164" fontId="48" fillId="15" borderId="40" xfId="35" applyFont="true" applyBorder="true" applyAlignment="true" applyProtection="true">
      <alignment horizontal="center" vertical="center" textRotation="0" wrapText="false" indent="0" shrinkToFit="false"/>
      <protection locked="false" hidden="false"/>
    </xf>
    <xf numFmtId="168" fontId="48" fillId="15" borderId="41" xfId="35" applyFont="true" applyBorder="true" applyAlignment="true" applyProtection="true">
      <alignment horizontal="general" vertical="center" textRotation="0" wrapText="false" indent="0" shrinkToFit="false"/>
      <protection locked="false" hidden="false"/>
    </xf>
    <xf numFmtId="194" fontId="48" fillId="15" borderId="41" xfId="35" applyFont="true" applyBorder="true" applyAlignment="true" applyProtection="true">
      <alignment horizontal="general" vertical="center" textRotation="0" wrapText="false" indent="0" shrinkToFit="false"/>
      <protection locked="false" hidden="false"/>
    </xf>
    <xf numFmtId="168" fontId="57" fillId="15" borderId="41" xfId="35" applyFont="true" applyBorder="true" applyAlignment="true" applyProtection="true">
      <alignment horizontal="general" vertical="center" textRotation="0" wrapText="false" indent="0" shrinkToFit="false"/>
      <protection locked="false" hidden="false"/>
    </xf>
    <xf numFmtId="165" fontId="48" fillId="0" borderId="51" xfId="26" applyFont="true" applyBorder="true" applyAlignment="true" applyProtection="false">
      <alignment horizontal="left" vertical="center" textRotation="0" wrapText="false" indent="1" shrinkToFit="false"/>
      <protection locked="true" hidden="false"/>
    </xf>
    <xf numFmtId="165" fontId="48" fillId="0" borderId="52" xfId="26" applyFont="true" applyBorder="true" applyAlignment="true" applyProtection="false">
      <alignment horizontal="left" vertical="center" textRotation="0" wrapText="false" indent="1" shrinkToFit="false"/>
      <protection locked="true" hidden="false"/>
    </xf>
    <xf numFmtId="168" fontId="48" fillId="14" borderId="52" xfId="53" applyFont="true" applyBorder="true" applyAlignment="true" applyProtection="false">
      <alignment horizontal="general" vertical="center" textRotation="0" wrapText="false" indent="0" shrinkToFit="false"/>
      <protection locked="true" hidden="false"/>
    </xf>
    <xf numFmtId="168" fontId="48" fillId="14" borderId="53" xfId="53" applyFont="true" applyBorder="true" applyAlignment="true" applyProtection="false">
      <alignment horizontal="general" vertical="center" textRotation="0" wrapText="false" indent="0" shrinkToFit="false"/>
      <protection locked="true" hidden="false"/>
    </xf>
    <xf numFmtId="168" fontId="48" fillId="6" borderId="34" xfId="53" applyFont="true" applyBorder="true" applyAlignment="true" applyProtection="false">
      <alignment horizontal="left" vertical="center" textRotation="0" wrapText="false" indent="0" shrinkToFit="false"/>
      <protection locked="true" hidden="false"/>
    </xf>
    <xf numFmtId="168" fontId="48" fillId="14" borderId="37" xfId="53" applyFont="true" applyBorder="true" applyAlignment="true" applyProtection="false">
      <alignment horizontal="general" vertical="center" textRotation="0" wrapText="false" indent="0" shrinkToFit="false"/>
      <protection locked="true" hidden="false"/>
    </xf>
    <xf numFmtId="168" fontId="48" fillId="6" borderId="51" xfId="53" applyFont="true" applyBorder="true" applyAlignment="true" applyProtection="false">
      <alignment horizontal="left" vertical="center" textRotation="0" wrapText="false" indent="1" shrinkToFit="false"/>
      <protection locked="true" hidden="false"/>
    </xf>
    <xf numFmtId="177" fontId="57" fillId="13" borderId="54" xfId="104" applyFont="true" applyBorder="true" applyAlignment="true" applyProtection="true">
      <alignment horizontal="left" vertical="bottom" textRotation="0" wrapText="false" indent="0" shrinkToFit="false"/>
      <protection locked="false" hidden="false"/>
    </xf>
    <xf numFmtId="177" fontId="57" fillId="13" borderId="54" xfId="104" applyFont="true" applyBorder="true" applyAlignment="true" applyProtection="true">
      <alignment horizontal="center" vertical="bottom" textRotation="0" wrapText="false" indent="0" shrinkToFit="false"/>
      <protection locked="false" hidden="false"/>
    </xf>
    <xf numFmtId="173" fontId="57" fillId="15" borderId="61" xfId="0" applyFont="true" applyBorder="true" applyAlignment="true" applyProtection="false">
      <alignment horizontal="left" vertical="bottom" textRotation="0" wrapText="false" indent="0" shrinkToFit="false"/>
      <protection locked="true" hidden="false"/>
    </xf>
    <xf numFmtId="173" fontId="57" fillId="15" borderId="44" xfId="0" applyFont="true" applyBorder="true" applyAlignment="true" applyProtection="false">
      <alignment horizontal="left" vertical="bottom" textRotation="0" wrapText="false" indent="0" shrinkToFit="false"/>
      <protection locked="true" hidden="false"/>
    </xf>
    <xf numFmtId="173" fontId="57" fillId="15" borderId="87" xfId="0" applyFont="true" applyBorder="true" applyAlignment="true" applyProtection="false">
      <alignment horizontal="center" vertical="bottom" textRotation="0" wrapText="false" indent="0" shrinkToFit="false"/>
      <protection locked="true" hidden="false"/>
    </xf>
    <xf numFmtId="173" fontId="57" fillId="15" borderId="55" xfId="0" applyFont="true" applyBorder="true" applyAlignment="true" applyProtection="false">
      <alignment horizontal="left" vertical="bottom" textRotation="0" wrapText="false" indent="0" shrinkToFit="false"/>
      <protection locked="true" hidden="false"/>
    </xf>
    <xf numFmtId="173" fontId="41" fillId="15" borderId="56" xfId="0" applyFont="true" applyBorder="true" applyAlignment="true" applyProtection="false">
      <alignment horizontal="center" vertical="bottom" textRotation="0" wrapText="false" indent="0" shrinkToFit="false"/>
      <protection locked="true" hidden="false"/>
    </xf>
    <xf numFmtId="173" fontId="57" fillId="15" borderId="57" xfId="0" applyFont="true" applyBorder="true" applyAlignment="true" applyProtection="false">
      <alignment horizontal="left" vertical="bottom" textRotation="0" wrapText="false" indent="0" shrinkToFit="false"/>
      <protection locked="true" hidden="false"/>
    </xf>
    <xf numFmtId="174" fontId="71" fillId="14" borderId="69" xfId="159" applyFont="true" applyBorder="true" applyAlignment="false" applyProtection="false">
      <alignment horizontal="general" vertical="bottom" textRotation="0" wrapText="false" indent="0" shrinkToFit="false"/>
      <protection locked="true" hidden="false"/>
    </xf>
    <xf numFmtId="164" fontId="24" fillId="0" borderId="0" xfId="159" applyFont="true" applyBorder="false" applyAlignment="false" applyProtection="false">
      <alignment horizontal="general" vertical="bottom" textRotation="0" wrapText="false" indent="0" shrinkToFit="false"/>
      <protection locked="true" hidden="false"/>
    </xf>
    <xf numFmtId="164" fontId="24" fillId="0" borderId="0" xfId="159" applyFont="true" applyBorder="false" applyAlignment="true" applyProtection="false">
      <alignment horizontal="center" vertical="bottom" textRotation="0" wrapText="false" indent="0" shrinkToFit="false"/>
      <protection locked="true" hidden="false"/>
    </xf>
    <xf numFmtId="164" fontId="72" fillId="6" borderId="27" xfId="59" applyFont="true" applyBorder="true" applyAlignment="true" applyProtection="false">
      <alignment horizontal="left" vertical="center" textRotation="0" wrapText="false" indent="1" shrinkToFit="false"/>
      <protection locked="true" hidden="false"/>
    </xf>
    <xf numFmtId="164" fontId="72" fillId="7" borderId="33" xfId="67" applyFont="true" applyBorder="true" applyAlignment="true" applyProtection="true">
      <alignment horizontal="left" vertical="center" textRotation="0" wrapText="false" indent="1" shrinkToFit="false"/>
      <protection locked="false" hidden="false"/>
    </xf>
    <xf numFmtId="164" fontId="73" fillId="0" borderId="0" xfId="159" applyFont="true" applyBorder="false" applyAlignment="true" applyProtection="false">
      <alignment horizontal="center" vertical="bottom" textRotation="0" wrapText="false" indent="0" shrinkToFit="false"/>
      <protection locked="true" hidden="false"/>
    </xf>
    <xf numFmtId="164" fontId="57" fillId="0" borderId="0" xfId="159" applyFont="true" applyBorder="true" applyAlignment="true" applyProtection="false">
      <alignment horizontal="left" vertical="bottom" textRotation="0" wrapText="false" indent="0" shrinkToFit="false"/>
      <protection locked="true" hidden="false"/>
    </xf>
    <xf numFmtId="164" fontId="72" fillId="7" borderId="4" xfId="67" applyFont="true" applyBorder="true" applyAlignment="true" applyProtection="true">
      <alignment horizontal="left" vertical="center" textRotation="0" wrapText="false" indent="1" shrinkToFit="false"/>
      <protection locked="false" hidden="false"/>
    </xf>
    <xf numFmtId="164" fontId="74" fillId="0" borderId="0" xfId="159" applyFont="true" applyBorder="false" applyAlignment="true" applyProtection="false">
      <alignment horizontal="center" vertical="bottom" textRotation="0" wrapText="false" indent="0" shrinkToFit="false"/>
      <protection locked="true" hidden="false"/>
    </xf>
    <xf numFmtId="164" fontId="24" fillId="0" borderId="21" xfId="159" applyFont="true" applyBorder="true" applyAlignment="false" applyProtection="false">
      <alignment horizontal="general" vertical="bottom" textRotation="0" wrapText="false" indent="0" shrinkToFit="false"/>
      <protection locked="true" hidden="false"/>
    </xf>
    <xf numFmtId="164" fontId="66" fillId="7" borderId="33" xfId="235" applyFont="true" applyBorder="true" applyAlignment="true" applyProtection="false">
      <alignment horizontal="left" vertical="center" textRotation="0" wrapText="false" indent="1" shrinkToFit="false"/>
      <protection locked="true" hidden="false"/>
    </xf>
    <xf numFmtId="164" fontId="24" fillId="0" borderId="21" xfId="159" applyFont="true" applyBorder="true" applyAlignment="true" applyProtection="false">
      <alignment horizontal="center" vertical="bottom" textRotation="0" wrapText="false" indent="0" shrinkToFit="false"/>
      <protection locked="true" hidden="false"/>
    </xf>
    <xf numFmtId="165" fontId="72" fillId="0" borderId="27" xfId="242" applyFont="true" applyBorder="true" applyAlignment="true" applyProtection="false">
      <alignment horizontal="left" vertical="center" textRotation="0" wrapText="true" indent="1" shrinkToFit="false"/>
      <protection locked="true" hidden="false"/>
    </xf>
    <xf numFmtId="165" fontId="72" fillId="0" borderId="33" xfId="242" applyFont="true" applyBorder="true" applyAlignment="true" applyProtection="false">
      <alignment horizontal="left" vertical="center" textRotation="0" wrapText="true" indent="1" shrinkToFit="false"/>
      <protection locked="true" hidden="false"/>
    </xf>
    <xf numFmtId="170" fontId="72" fillId="14" borderId="112" xfId="40" applyFont="true" applyBorder="true" applyAlignment="true" applyProtection="true">
      <alignment horizontal="left" vertical="center" textRotation="0" wrapText="false" indent="1" shrinkToFit="false"/>
      <protection locked="false" hidden="false"/>
    </xf>
    <xf numFmtId="168" fontId="72" fillId="14" borderId="112" xfId="53" applyFont="true" applyBorder="true" applyAlignment="true" applyProtection="false">
      <alignment horizontal="general" vertical="center" textRotation="0" wrapText="false" indent="0" shrinkToFit="false"/>
      <protection locked="true" hidden="false"/>
    </xf>
    <xf numFmtId="168" fontId="41" fillId="7" borderId="112" xfId="35" applyFont="true" applyBorder="true" applyAlignment="true" applyProtection="true">
      <alignment horizontal="general" vertical="center" textRotation="0" wrapText="false" indent="0" shrinkToFit="false"/>
      <protection locked="false" hidden="false"/>
    </xf>
    <xf numFmtId="168" fontId="72" fillId="7" borderId="112" xfId="35" applyFont="true" applyBorder="true" applyAlignment="true" applyProtection="true">
      <alignment horizontal="general" vertical="center" textRotation="0" wrapText="false" indent="0" shrinkToFit="false"/>
      <protection locked="false" hidden="false"/>
    </xf>
    <xf numFmtId="164" fontId="57" fillId="19" borderId="4" xfId="67" applyFont="true" applyBorder="true" applyAlignment="true" applyProtection="true">
      <alignment horizontal="center" vertical="center" textRotation="0" wrapText="false" indent="0" shrinkToFit="false"/>
      <protection locked="false" hidden="false"/>
    </xf>
    <xf numFmtId="170" fontId="72" fillId="14" borderId="27" xfId="40" applyFont="true" applyBorder="true" applyAlignment="true" applyProtection="true">
      <alignment horizontal="left" vertical="center" textRotation="0" wrapText="false" indent="1" shrinkToFit="false"/>
      <protection locked="false" hidden="false"/>
    </xf>
    <xf numFmtId="168" fontId="72" fillId="14" borderId="27" xfId="53" applyFont="true" applyBorder="true" applyAlignment="true" applyProtection="false">
      <alignment horizontal="general" vertical="center" textRotation="0" wrapText="false" indent="0" shrinkToFit="false"/>
      <protection locked="true" hidden="false"/>
    </xf>
    <xf numFmtId="168" fontId="72" fillId="7" borderId="27" xfId="35" applyFont="true" applyBorder="true" applyAlignment="true" applyProtection="true">
      <alignment horizontal="general" vertical="center" textRotation="0" wrapText="false" indent="0" shrinkToFit="false"/>
      <protection locked="false" hidden="false"/>
    </xf>
    <xf numFmtId="165" fontId="72" fillId="0" borderId="0" xfId="27" applyFont="true" applyBorder="false" applyAlignment="true" applyProtection="false">
      <alignment horizontal="right" vertical="center" textRotation="0" wrapText="false" indent="1" shrinkToFit="false"/>
      <protection locked="true" hidden="false"/>
    </xf>
    <xf numFmtId="168" fontId="72" fillId="14" borderId="31" xfId="249" applyFont="true" applyBorder="true" applyAlignment="true" applyProtection="false">
      <alignment horizontal="general" vertical="center" textRotation="0" wrapText="false" indent="0" shrinkToFit="false"/>
      <protection locked="true" hidden="false"/>
    </xf>
    <xf numFmtId="164" fontId="24" fillId="0" borderId="32" xfId="159" applyFont="true" applyBorder="true" applyAlignment="false" applyProtection="false">
      <alignment horizontal="general" vertical="bottom" textRotation="0" wrapText="false" indent="0" shrinkToFit="false"/>
      <protection locked="true" hidden="false"/>
    </xf>
    <xf numFmtId="164" fontId="24" fillId="0" borderId="32" xfId="159" applyFont="true" applyBorder="true" applyAlignment="true" applyProtection="false">
      <alignment horizontal="center" vertical="bottom" textRotation="0" wrapText="false" indent="0" shrinkToFit="false"/>
      <protection locked="true" hidden="false"/>
    </xf>
    <xf numFmtId="165" fontId="72" fillId="0" borderId="0" xfId="27" applyFont="true" applyBorder="false" applyAlignment="true" applyProtection="false">
      <alignment horizontal="left" vertical="center" textRotation="0" wrapText="false" indent="0" shrinkToFit="false"/>
      <protection locked="true" hidden="false"/>
    </xf>
    <xf numFmtId="164" fontId="24" fillId="0" borderId="113" xfId="159" applyFont="true" applyBorder="true" applyAlignment="false" applyProtection="false">
      <alignment horizontal="general" vertical="bottom" textRotation="0" wrapText="false" indent="0" shrinkToFit="false"/>
      <protection locked="true" hidden="false"/>
    </xf>
    <xf numFmtId="165" fontId="72" fillId="0" borderId="113" xfId="27" applyFont="true" applyBorder="true" applyAlignment="true" applyProtection="false">
      <alignment horizontal="right" vertical="center" textRotation="0" wrapText="false" indent="0" shrinkToFit="false"/>
      <protection locked="true" hidden="false"/>
    </xf>
    <xf numFmtId="164" fontId="72" fillId="19" borderId="33" xfId="67" applyFont="true" applyBorder="true" applyAlignment="true" applyProtection="true">
      <alignment horizontal="left" vertical="center" textRotation="0" wrapText="false" indent="1" shrinkToFit="false"/>
      <protection locked="false" hidden="false"/>
    </xf>
    <xf numFmtId="172" fontId="24" fillId="0" borderId="0" xfId="159" applyFont="true" applyBorder="false" applyAlignment="false" applyProtection="false">
      <alignment horizontal="general" vertical="bottom" textRotation="0" wrapText="false" indent="0" shrinkToFit="false"/>
      <protection locked="true" hidden="false"/>
    </xf>
    <xf numFmtId="172" fontId="24" fillId="0" borderId="0" xfId="159" applyFont="true" applyBorder="false" applyAlignment="true" applyProtection="false">
      <alignment horizontal="center" vertical="bottom" textRotation="0" wrapText="false" indent="0" shrinkToFit="false"/>
      <protection locked="true" hidden="false"/>
    </xf>
    <xf numFmtId="164" fontId="73" fillId="0" borderId="21" xfId="159" applyFont="true" applyBorder="true" applyAlignment="true" applyProtection="false">
      <alignment horizontal="center" vertical="bottom" textRotation="0" wrapText="false" indent="0" shrinkToFit="false"/>
      <protection locked="true" hidden="false"/>
    </xf>
    <xf numFmtId="165" fontId="65" fillId="0" borderId="33" xfId="242" applyFont="true" applyBorder="true" applyAlignment="true" applyProtection="false">
      <alignment horizontal="left" vertical="center" textRotation="0" wrapText="false" indent="1" shrinkToFit="false"/>
      <protection locked="true" hidden="false"/>
    </xf>
    <xf numFmtId="164" fontId="75" fillId="0" borderId="112" xfId="159" applyFont="true" applyBorder="true" applyAlignment="false" applyProtection="false">
      <alignment horizontal="general" vertical="bottom" textRotation="0" wrapText="false" indent="0" shrinkToFit="false"/>
      <protection locked="true" hidden="false"/>
    </xf>
    <xf numFmtId="164" fontId="24" fillId="0" borderId="31" xfId="159" applyFont="true" applyBorder="true" applyAlignment="false" applyProtection="false">
      <alignment horizontal="general" vertical="bottom" textRotation="0" wrapText="false" indent="0" shrinkToFit="false"/>
      <protection locked="true" hidden="false"/>
    </xf>
    <xf numFmtId="164" fontId="75" fillId="0" borderId="31" xfId="159" applyFont="true" applyBorder="true" applyAlignment="true" applyProtection="false">
      <alignment horizontal="center" vertical="bottom" textRotation="0" wrapText="false" indent="0" shrinkToFit="false"/>
      <protection locked="true" hidden="false"/>
    </xf>
    <xf numFmtId="172" fontId="24" fillId="0" borderId="114" xfId="159" applyFont="true" applyBorder="true" applyAlignment="false" applyProtection="false">
      <alignment horizontal="general" vertical="bottom" textRotation="0" wrapText="false" indent="0" shrinkToFit="false"/>
      <protection locked="true" hidden="false"/>
    </xf>
    <xf numFmtId="165" fontId="72" fillId="0" borderId="113" xfId="27" applyFont="true" applyBorder="true" applyAlignment="true" applyProtection="false">
      <alignment horizontal="left" vertical="center" textRotation="0" wrapText="false" indent="1" shrinkToFit="false"/>
      <protection locked="true" hidden="false"/>
    </xf>
    <xf numFmtId="165" fontId="72" fillId="0" borderId="0" xfId="27" applyFont="true" applyBorder="false" applyAlignment="true" applyProtection="false">
      <alignment horizontal="left" vertical="center" textRotation="0" wrapText="false" indent="1" shrinkToFit="false"/>
      <protection locked="true" hidden="false"/>
    </xf>
    <xf numFmtId="164" fontId="24" fillId="0" borderId="0" xfId="159" applyFont="true" applyBorder="false" applyAlignment="true" applyProtection="false">
      <alignment horizontal="left" vertical="bottom" textRotation="0" wrapText="false" indent="1" shrinkToFit="false"/>
      <protection locked="true" hidden="false"/>
    </xf>
    <xf numFmtId="168" fontId="72" fillId="14" borderId="33" xfId="53" applyFont="true" applyBorder="true" applyAlignment="true" applyProtection="false">
      <alignment horizontal="general" vertical="center" textRotation="0" wrapText="false" indent="0" shrinkToFit="false"/>
      <protection locked="true" hidden="false"/>
    </xf>
    <xf numFmtId="172" fontId="24" fillId="0" borderId="23" xfId="159" applyFont="true" applyBorder="true" applyAlignment="false" applyProtection="false">
      <alignment horizontal="general" vertical="bottom" textRotation="0" wrapText="false" indent="0" shrinkToFit="false"/>
      <protection locked="true" hidden="false"/>
    </xf>
    <xf numFmtId="164" fontId="72" fillId="7" borderId="27" xfId="67" applyFont="true" applyBorder="true" applyAlignment="true" applyProtection="true">
      <alignment horizontal="left" vertical="center" textRotation="0" wrapText="false" indent="1" shrinkToFit="false"/>
      <protection locked="false" hidden="false"/>
    </xf>
    <xf numFmtId="168" fontId="72" fillId="7" borderId="33" xfId="35" applyFont="true" applyBorder="true" applyAlignment="true" applyProtection="true">
      <alignment horizontal="general" vertical="center" textRotation="0" wrapText="false" indent="0" shrinkToFit="false"/>
      <protection locked="false" hidden="false"/>
    </xf>
    <xf numFmtId="164" fontId="72" fillId="7" borderId="27" xfId="67" applyFont="true" applyBorder="true" applyAlignment="true" applyProtection="true">
      <alignment horizontal="center" vertical="center" textRotation="0" wrapText="false" indent="0" shrinkToFit="false"/>
      <protection locked="false" hidden="false"/>
    </xf>
    <xf numFmtId="168" fontId="72" fillId="6" borderId="33" xfId="53" applyFont="true" applyBorder="true" applyAlignment="true" applyProtection="false">
      <alignment horizontal="general" vertical="center" textRotation="0" wrapText="false" indent="0" shrinkToFit="false"/>
      <protection locked="true" hidden="false"/>
    </xf>
    <xf numFmtId="194" fontId="72" fillId="7" borderId="33" xfId="35" applyFont="true" applyBorder="true" applyAlignment="true" applyProtection="true">
      <alignment horizontal="general" vertical="center" textRotation="0" wrapText="false" indent="0" shrinkToFit="false"/>
      <protection locked="false" hidden="false"/>
    </xf>
    <xf numFmtId="172" fontId="24" fillId="0" borderId="21" xfId="159" applyFont="true" applyBorder="true" applyAlignment="true" applyProtection="false">
      <alignment horizontal="center" vertical="bottom" textRotation="0" wrapText="false" indent="0" shrinkToFit="false"/>
      <protection locked="true" hidden="false"/>
    </xf>
    <xf numFmtId="164" fontId="24" fillId="0" borderId="23" xfId="159" applyFont="true" applyBorder="true" applyAlignment="false" applyProtection="false">
      <alignment horizontal="general" vertical="bottom" textRotation="0" wrapText="false" indent="0" shrinkToFit="false"/>
      <protection locked="true" hidden="false"/>
    </xf>
    <xf numFmtId="172" fontId="24" fillId="0" borderId="21" xfId="159" applyFont="true" applyBorder="true" applyAlignment="false" applyProtection="false">
      <alignment horizontal="general" vertical="bottom" textRotation="0" wrapText="false" indent="0" shrinkToFit="false"/>
      <protection locked="true" hidden="false"/>
    </xf>
    <xf numFmtId="164" fontId="76" fillId="0" borderId="0" xfId="159" applyFont="true" applyBorder="false" applyAlignment="true" applyProtection="false">
      <alignment horizontal="center" vertical="bottom" textRotation="0" wrapText="false" indent="0" shrinkToFit="false"/>
      <protection locked="true" hidden="false"/>
    </xf>
    <xf numFmtId="165" fontId="65" fillId="0" borderId="27" xfId="242" applyFont="true" applyBorder="true" applyAlignment="true" applyProtection="false">
      <alignment horizontal="left" vertical="center" textRotation="0" wrapText="false" indent="1" shrinkToFit="false"/>
      <protection locked="true" hidden="false"/>
    </xf>
    <xf numFmtId="165" fontId="77" fillId="0" borderId="0" xfId="27" applyFont="true" applyBorder="false" applyAlignment="true" applyProtection="false">
      <alignment horizontal="left" vertical="center" textRotation="0" wrapText="false" indent="0" shrinkToFit="false"/>
      <protection locked="true" hidden="false"/>
    </xf>
    <xf numFmtId="164" fontId="72" fillId="7" borderId="112" xfId="67" applyFont="true" applyBorder="true" applyAlignment="true" applyProtection="true">
      <alignment horizontal="left" vertical="center" textRotation="0" wrapText="false" indent="1" shrinkToFit="false"/>
      <protection locked="false" hidden="false"/>
    </xf>
    <xf numFmtId="194" fontId="72" fillId="7" borderId="115" xfId="35" applyFont="true" applyBorder="true" applyAlignment="true" applyProtection="true">
      <alignment horizontal="general" vertical="center" textRotation="0" wrapText="false" indent="0" shrinkToFit="false"/>
      <protection locked="false" hidden="false"/>
    </xf>
    <xf numFmtId="165" fontId="72" fillId="7" borderId="27" xfId="67" applyFont="true" applyBorder="true" applyAlignment="true" applyProtection="true">
      <alignment horizontal="left" vertical="center" textRotation="0" wrapText="false" indent="1" shrinkToFit="false"/>
      <protection locked="false" hidden="false"/>
    </xf>
    <xf numFmtId="168" fontId="72" fillId="14" borderId="4" xfId="76" applyFont="true" applyBorder="true" applyAlignment="true" applyProtection="true">
      <alignment horizontal="general" vertical="center" textRotation="0" wrapText="false" indent="0" shrinkToFit="false"/>
      <protection locked="false" hidden="false"/>
    </xf>
    <xf numFmtId="164" fontId="24" fillId="0" borderId="0" xfId="159" applyFont="true" applyBorder="true" applyAlignment="true" applyProtection="false">
      <alignment horizontal="right" vertical="bottom" textRotation="0" wrapText="false" indent="1" shrinkToFit="false"/>
      <protection locked="true" hidden="false"/>
    </xf>
    <xf numFmtId="168" fontId="72" fillId="14" borderId="14" xfId="249" applyFont="true" applyBorder="true" applyAlignment="true" applyProtection="false">
      <alignment horizontal="general" vertical="center" textRotation="0" wrapText="false" indent="0" shrinkToFit="false"/>
      <protection locked="true" hidden="false"/>
    </xf>
    <xf numFmtId="165" fontId="72" fillId="0" borderId="0" xfId="27" applyFont="true" applyBorder="false" applyAlignment="true" applyProtection="false">
      <alignment horizontal="general" vertical="center" textRotation="0" wrapText="false" indent="0" shrinkToFit="false"/>
      <protection locked="true" hidden="false"/>
    </xf>
    <xf numFmtId="165" fontId="72" fillId="0" borderId="0" xfId="27" applyFont="true" applyBorder="true" applyAlignment="true" applyProtection="false">
      <alignment horizontal="right" vertical="center" textRotation="0" wrapText="false" indent="1" shrinkToFit="false"/>
      <protection locked="true" hidden="false"/>
    </xf>
    <xf numFmtId="168" fontId="72" fillId="14" borderId="4" xfId="53" applyFont="true" applyBorder="true" applyAlignment="true" applyProtection="false">
      <alignment horizontal="general" vertical="center" textRotation="0" wrapText="false" indent="0" shrinkToFit="false"/>
      <protection locked="true" hidden="false"/>
    </xf>
    <xf numFmtId="164" fontId="78" fillId="0" borderId="0" xfId="159" applyFont="true" applyBorder="false" applyAlignment="false" applyProtection="false">
      <alignment horizontal="general" vertical="bottom" textRotation="0" wrapText="false" indent="0" shrinkToFit="false"/>
      <protection locked="true" hidden="false"/>
    </xf>
    <xf numFmtId="165" fontId="79" fillId="4" borderId="0" xfId="31" applyFont="true" applyBorder="true" applyAlignment="true" applyProtection="false">
      <alignment horizontal="left" vertical="center" textRotation="0" wrapText="false" indent="1" shrinkToFit="false"/>
      <protection locked="true" hidden="false"/>
    </xf>
    <xf numFmtId="165" fontId="72" fillId="0" borderId="116" xfId="27" applyFont="true" applyBorder="true" applyAlignment="true" applyProtection="false">
      <alignment horizontal="right" vertical="center" textRotation="0" wrapText="false" indent="1" shrinkToFit="false"/>
      <protection locked="true" hidden="false"/>
    </xf>
    <xf numFmtId="164" fontId="72" fillId="14" borderId="2" xfId="25" applyFont="true" applyBorder="true" applyAlignment="true" applyProtection="false">
      <alignment horizontal="left" vertical="center" textRotation="0" wrapText="false" indent="0" shrinkToFit="false"/>
      <protection locked="true" hidden="false"/>
    </xf>
    <xf numFmtId="164" fontId="80" fillId="0" borderId="0" xfId="20" applyFont="true" applyBorder="false" applyAlignment="true" applyProtection="false">
      <alignment horizontal="center" vertical="center" textRotation="0" wrapText="false" indent="0" shrinkToFit="false"/>
      <protection locked="true" hidden="false"/>
    </xf>
    <xf numFmtId="164" fontId="59" fillId="0" borderId="0" xfId="159" applyFont="true" applyBorder="false" applyAlignment="false" applyProtection="false">
      <alignment horizontal="general" vertical="bottom" textRotation="0" wrapText="false" indent="0" shrinkToFit="false"/>
      <protection locked="true" hidden="false"/>
    </xf>
    <xf numFmtId="164" fontId="48" fillId="7" borderId="33" xfId="235" applyFont="true" applyBorder="true" applyAlignment="true" applyProtection="false">
      <alignment horizontal="left" vertical="center" textRotation="0" wrapText="false" indent="1" shrinkToFit="false"/>
      <protection locked="true" hidden="false"/>
    </xf>
    <xf numFmtId="164" fontId="57" fillId="0" borderId="21" xfId="159" applyFont="true" applyBorder="true" applyAlignment="false" applyProtection="false">
      <alignment horizontal="general" vertical="bottom" textRotation="0" wrapText="false" indent="0" shrinkToFit="false"/>
      <protection locked="true" hidden="false"/>
    </xf>
    <xf numFmtId="165" fontId="59" fillId="0" borderId="27" xfId="242" applyFont="true" applyBorder="true" applyAlignment="true" applyProtection="false">
      <alignment horizontal="left" vertical="center" textRotation="0" wrapText="false" indent="1" shrinkToFit="false"/>
      <protection locked="true" hidden="false"/>
    </xf>
    <xf numFmtId="165" fontId="57" fillId="0" borderId="27" xfId="242" applyFont="true" applyBorder="true" applyAlignment="true" applyProtection="false">
      <alignment horizontal="left" vertical="center" textRotation="0" wrapText="true" indent="1" shrinkToFit="false"/>
      <protection locked="true" hidden="false"/>
    </xf>
    <xf numFmtId="165" fontId="59" fillId="0" borderId="33" xfId="242" applyFont="true" applyBorder="true" applyAlignment="true" applyProtection="false">
      <alignment horizontal="left" vertical="center" textRotation="0" wrapText="false" indent="1" shrinkToFit="false"/>
      <protection locked="true" hidden="false"/>
    </xf>
    <xf numFmtId="164" fontId="81" fillId="0" borderId="0" xfId="159" applyFont="true" applyBorder="false" applyAlignment="false" applyProtection="false">
      <alignment horizontal="general" vertical="bottom" textRotation="0" wrapText="false" indent="0" shrinkToFit="false"/>
      <protection locked="true" hidden="false"/>
    </xf>
    <xf numFmtId="171" fontId="57" fillId="14" borderId="112" xfId="43" applyFont="true" applyBorder="true" applyAlignment="true" applyProtection="false">
      <alignment horizontal="left" vertical="center" textRotation="0" wrapText="false" indent="1" shrinkToFit="false"/>
      <protection locked="true" hidden="false"/>
    </xf>
    <xf numFmtId="168" fontId="57" fillId="14" borderId="112" xfId="53" applyFont="true" applyBorder="true" applyAlignment="true" applyProtection="false">
      <alignment horizontal="general" vertical="center" textRotation="0" wrapText="false" indent="0" shrinkToFit="false"/>
      <protection locked="true" hidden="false"/>
    </xf>
    <xf numFmtId="168" fontId="57" fillId="7" borderId="112" xfId="35" applyFont="true" applyBorder="true" applyAlignment="true" applyProtection="true">
      <alignment horizontal="general" vertical="center" textRotation="0" wrapText="false" indent="0" shrinkToFit="false"/>
      <protection locked="false" hidden="false"/>
    </xf>
    <xf numFmtId="164" fontId="57" fillId="7" borderId="115" xfId="67" applyFont="true" applyBorder="true" applyAlignment="true" applyProtection="true">
      <alignment horizontal="left" vertical="center" textRotation="0" wrapText="true" indent="1" shrinkToFit="false"/>
      <protection locked="false" hidden="false"/>
    </xf>
    <xf numFmtId="171" fontId="57" fillId="14" borderId="27" xfId="43" applyFont="true" applyBorder="true" applyAlignment="true" applyProtection="false">
      <alignment horizontal="left" vertical="center" textRotation="0" wrapText="false" indent="1" shrinkToFit="false"/>
      <protection locked="true" hidden="false"/>
    </xf>
    <xf numFmtId="168" fontId="57" fillId="14" borderId="27" xfId="53" applyFont="true" applyBorder="true" applyAlignment="true" applyProtection="false">
      <alignment horizontal="general" vertical="center" textRotation="0" wrapText="false" indent="0" shrinkToFit="false"/>
      <protection locked="true" hidden="false"/>
    </xf>
    <xf numFmtId="168" fontId="57" fillId="7" borderId="27" xfId="35" applyFont="true" applyBorder="true" applyAlignment="true" applyProtection="true">
      <alignment horizontal="general" vertical="center" textRotation="0" wrapText="false" indent="0" shrinkToFit="false"/>
      <protection locked="false" hidden="false"/>
    </xf>
    <xf numFmtId="164" fontId="57" fillId="7" borderId="33" xfId="67" applyFont="true" applyBorder="true" applyAlignment="true" applyProtection="true">
      <alignment horizontal="left" vertical="center" textRotation="0" wrapText="true" indent="1" shrinkToFit="false"/>
      <protection locked="false" hidden="false"/>
    </xf>
    <xf numFmtId="165" fontId="57" fillId="0" borderId="0" xfId="27" applyFont="true" applyBorder="true" applyAlignment="true" applyProtection="false">
      <alignment horizontal="right" vertical="center" textRotation="0" wrapText="false" indent="1" shrinkToFit="false"/>
      <protection locked="true" hidden="false"/>
    </xf>
    <xf numFmtId="168" fontId="57" fillId="14" borderId="31" xfId="249" applyFont="true" applyBorder="true" applyAlignment="true" applyProtection="false">
      <alignment horizontal="general" vertical="center" textRotation="0" wrapText="false" indent="0" shrinkToFit="false"/>
      <protection locked="true" hidden="false"/>
    </xf>
    <xf numFmtId="164" fontId="24" fillId="0" borderId="0" xfId="159" applyFont="true" applyBorder="true" applyAlignment="false" applyProtection="false">
      <alignment horizontal="general" vertical="bottom" textRotation="0" wrapText="false" indent="0" shrinkToFit="false"/>
      <protection locked="true" hidden="false"/>
    </xf>
    <xf numFmtId="165" fontId="59" fillId="0" borderId="27" xfId="242" applyFont="true" applyBorder="true" applyAlignment="true" applyProtection="false">
      <alignment horizontal="left" vertical="center" textRotation="0" wrapText="true" indent="1" shrinkToFit="false"/>
      <protection locked="true" hidden="false"/>
    </xf>
    <xf numFmtId="165" fontId="59" fillId="0" borderId="33" xfId="242" applyFont="true" applyBorder="true" applyAlignment="true" applyProtection="false">
      <alignment horizontal="left" vertical="center" textRotation="0" wrapText="true" indent="1" shrinkToFit="false"/>
      <protection locked="true" hidden="false"/>
    </xf>
    <xf numFmtId="164" fontId="12" fillId="0" borderId="0" xfId="117" applyFont="true" applyBorder="true" applyAlignment="true" applyProtection="true">
      <alignment horizontal="general" vertical="bottom" textRotation="0" wrapText="false" indent="0" shrinkToFit="false"/>
      <protection locked="true" hidden="false"/>
    </xf>
    <xf numFmtId="164" fontId="53" fillId="15" borderId="0" xfId="0" applyFont="true" applyBorder="false" applyAlignment="true" applyProtection="false">
      <alignment horizontal="left" vertical="center" textRotation="0" wrapText="false" indent="0" shrinkToFit="false"/>
      <protection locked="true" hidden="false"/>
    </xf>
    <xf numFmtId="174" fontId="53" fillId="15" borderId="0" xfId="15" applyFont="true" applyBorder="false" applyAlignment="true" applyProtection="false">
      <alignment horizontal="center" vertical="center" textRotation="0" wrapText="false" indent="0" shrinkToFit="false"/>
      <protection locked="true" hidden="false"/>
    </xf>
    <xf numFmtId="173" fontId="57" fillId="14" borderId="40" xfId="0" applyFont="true" applyBorder="true" applyAlignment="true" applyProtection="true">
      <alignment horizontal="right" vertical="bottom" textRotation="0" wrapText="false" indent="0" shrinkToFit="false"/>
      <protection locked="false" hidden="false"/>
    </xf>
    <xf numFmtId="173" fontId="57" fillId="14" borderId="56" xfId="0" applyFont="true" applyBorder="true" applyAlignment="true" applyProtection="true">
      <alignment horizontal="right" vertical="bottom" textRotation="0" wrapText="false" indent="0" shrinkToFit="false"/>
      <protection locked="false" hidden="false"/>
    </xf>
    <xf numFmtId="173" fontId="57" fillId="14" borderId="58" xfId="0" applyFont="true" applyBorder="true" applyAlignment="true" applyProtection="true">
      <alignment horizontal="right" vertical="bottom" textRotation="0" wrapText="false" indent="0" shrinkToFit="false"/>
      <protection locked="false" hidden="false"/>
    </xf>
    <xf numFmtId="173" fontId="57" fillId="14" borderId="59" xfId="0" applyFont="true" applyBorder="true" applyAlignment="true" applyProtection="true">
      <alignment horizontal="right" vertical="bottom" textRotation="0" wrapText="false" indent="0" shrinkToFit="false"/>
      <protection locked="false" hidden="false"/>
    </xf>
    <xf numFmtId="173" fontId="57" fillId="14" borderId="117" xfId="0" applyFont="true" applyBorder="true" applyAlignment="true" applyProtection="true">
      <alignment horizontal="right" vertical="bottom" textRotation="0" wrapText="false" indent="0" shrinkToFit="false"/>
      <protection locked="false" hidden="false"/>
    </xf>
    <xf numFmtId="174" fontId="24" fillId="6" borderId="75" xfId="159" applyFont="true" applyBorder="true" applyAlignment="false" applyProtection="false">
      <alignment horizontal="general" vertical="bottom" textRotation="0" wrapText="false" indent="0" shrinkToFit="false"/>
      <protection locked="true" hidden="false"/>
    </xf>
    <xf numFmtId="174" fontId="24" fillId="14" borderId="54" xfId="159" applyFont="true" applyBorder="true" applyAlignment="false" applyProtection="false">
      <alignment horizontal="general" vertical="bottom" textRotation="0" wrapText="false" indent="0" shrinkToFit="false"/>
      <protection locked="true" hidden="false"/>
    </xf>
    <xf numFmtId="174" fontId="71" fillId="0" borderId="69" xfId="159" applyFont="true" applyBorder="true" applyAlignment="false" applyProtection="false">
      <alignment horizontal="general" vertical="bottom" textRotation="0" wrapText="false" indent="0" shrinkToFit="false"/>
      <protection locked="true" hidden="false"/>
    </xf>
    <xf numFmtId="164" fontId="44" fillId="6" borderId="0" xfId="0" applyFont="true" applyBorder="false" applyAlignment="false" applyProtection="false">
      <alignment horizontal="general" vertical="bottom" textRotation="0" wrapText="false" indent="0" shrinkToFit="false"/>
      <protection locked="true" hidden="false"/>
    </xf>
    <xf numFmtId="164" fontId="44" fillId="15" borderId="15" xfId="0" applyFont="true" applyBorder="true" applyAlignment="true" applyProtection="false">
      <alignment horizontal="center" vertical="bottom" textRotation="0" wrapText="false" indent="0" shrinkToFit="false"/>
      <protection locked="true" hidden="false"/>
    </xf>
    <xf numFmtId="164" fontId="57" fillId="13" borderId="73" xfId="0" applyFont="true" applyBorder="true" applyAlignment="true" applyProtection="false">
      <alignment horizontal="center" vertical="top" textRotation="0" wrapText="false" indent="0" shrinkToFit="false"/>
      <protection locked="true" hidden="false"/>
    </xf>
    <xf numFmtId="164" fontId="57" fillId="21" borderId="54" xfId="0" applyFont="true" applyBorder="true" applyAlignment="true" applyProtection="false">
      <alignment horizontal="center" vertical="bottom" textRotation="0" wrapText="true" indent="0" shrinkToFit="false"/>
      <protection locked="true" hidden="false"/>
    </xf>
    <xf numFmtId="164" fontId="57" fillId="21" borderId="68" xfId="0" applyFont="true" applyBorder="true" applyAlignment="true" applyProtection="false">
      <alignment horizontal="center" vertical="top" textRotation="0" wrapText="false" indent="0" shrinkToFit="false"/>
      <protection locked="true" hidden="false"/>
    </xf>
    <xf numFmtId="187" fontId="57" fillId="21" borderId="54" xfId="0" applyFont="true" applyBorder="true" applyAlignment="true" applyProtection="false">
      <alignment horizontal="center" vertical="top" textRotation="0" wrapText="false" indent="0" shrinkToFit="false"/>
      <protection locked="true" hidden="false"/>
    </xf>
    <xf numFmtId="164" fontId="12" fillId="0" borderId="61" xfId="0" applyFont="true" applyBorder="true" applyAlignment="false" applyProtection="true">
      <alignment horizontal="general" vertical="bottom" textRotation="0" wrapText="false" indent="0" shrinkToFit="false"/>
      <protection locked="false" hidden="false"/>
    </xf>
    <xf numFmtId="164" fontId="12" fillId="0" borderId="44" xfId="0" applyFont="true" applyBorder="true" applyAlignment="false" applyProtection="true">
      <alignment horizontal="general" vertical="bottom" textRotation="0" wrapText="false" indent="0" shrinkToFit="false"/>
      <protection locked="false" hidden="false"/>
    </xf>
    <xf numFmtId="164" fontId="57" fillId="0" borderId="44" xfId="0" applyFont="true" applyBorder="true" applyAlignment="false" applyProtection="true">
      <alignment horizontal="general" vertical="bottom" textRotation="0" wrapText="false" indent="0" shrinkToFit="false"/>
      <protection locked="false" hidden="false"/>
    </xf>
    <xf numFmtId="164" fontId="57" fillId="0" borderId="44" xfId="0" applyFont="true" applyBorder="true" applyAlignment="true" applyProtection="true">
      <alignment horizontal="left" vertical="bottom" textRotation="0" wrapText="false" indent="0" shrinkToFit="false"/>
      <protection locked="false" hidden="false"/>
    </xf>
    <xf numFmtId="173" fontId="57" fillId="15" borderId="87" xfId="0" applyFont="true" applyBorder="true" applyAlignment="true" applyProtection="true">
      <alignment horizontal="center" vertical="bottom" textRotation="0" wrapText="false" indent="0" shrinkToFit="false"/>
      <protection locked="false" hidden="false"/>
    </xf>
    <xf numFmtId="164" fontId="57" fillId="0" borderId="55" xfId="0" applyFont="true" applyBorder="true" applyAlignment="true" applyProtection="true">
      <alignment horizontal="left" vertical="bottom" textRotation="0" wrapText="false" indent="0" shrinkToFit="false"/>
      <protection locked="false" hidden="false"/>
    </xf>
    <xf numFmtId="164" fontId="57" fillId="0" borderId="40" xfId="0" applyFont="true" applyBorder="true" applyAlignment="true" applyProtection="true">
      <alignment horizontal="left" vertical="bottom" textRotation="0" wrapText="false" indent="0" shrinkToFit="false"/>
      <protection locked="false" hidden="false"/>
    </xf>
    <xf numFmtId="174" fontId="57" fillId="15" borderId="40" xfId="15" applyFont="true" applyBorder="true" applyAlignment="true" applyProtection="true">
      <alignment horizontal="left" vertical="bottom" textRotation="0" wrapText="false" indent="0" shrinkToFit="false"/>
      <protection locked="false" hidden="false"/>
    </xf>
    <xf numFmtId="173" fontId="57" fillId="14" borderId="56" xfId="0" applyFont="true" applyBorder="true" applyAlignment="true" applyProtection="false">
      <alignment horizontal="right" vertical="bottom" textRotation="0" wrapText="false" indent="0" shrinkToFit="false"/>
      <protection locked="true" hidden="false"/>
    </xf>
    <xf numFmtId="173" fontId="57" fillId="0" borderId="56" xfId="0" applyFont="true" applyBorder="true" applyAlignment="true" applyProtection="false">
      <alignment horizontal="right" vertical="bottom" textRotation="0" wrapText="false" indent="0" shrinkToFit="false"/>
      <protection locked="true" hidden="false"/>
    </xf>
    <xf numFmtId="173" fontId="57" fillId="15" borderId="56" xfId="0" applyFont="true" applyBorder="true" applyAlignment="true" applyProtection="false">
      <alignment horizontal="right" vertical="bottom" textRotation="0" wrapText="false" indent="0" shrinkToFit="false"/>
      <protection locked="true" hidden="false"/>
    </xf>
    <xf numFmtId="164" fontId="41" fillId="0" borderId="40" xfId="0" applyFont="true" applyBorder="true" applyAlignment="true" applyProtection="true">
      <alignment horizontal="left" vertical="bottom" textRotation="0" wrapText="false" indent="0" shrinkToFit="false"/>
      <protection locked="false" hidden="false"/>
    </xf>
    <xf numFmtId="164" fontId="0" fillId="0" borderId="89" xfId="0" applyFont="false" applyBorder="true" applyAlignment="false" applyProtection="true">
      <alignment horizontal="general" vertical="bottom" textRotation="0" wrapText="false" indent="0" shrinkToFit="false"/>
      <protection locked="false" hidden="false"/>
    </xf>
    <xf numFmtId="164" fontId="0" fillId="0" borderId="90" xfId="0" applyFont="false" applyBorder="true" applyAlignment="false" applyProtection="true">
      <alignment horizontal="general" vertical="bottom" textRotation="0" wrapText="false" indent="0" shrinkToFit="false"/>
      <protection locked="false" hidden="false"/>
    </xf>
    <xf numFmtId="173" fontId="57" fillId="0" borderId="40" xfId="0" applyFont="true" applyBorder="true" applyAlignment="true" applyProtection="false">
      <alignment horizontal="right" vertical="bottom" textRotation="0" wrapText="false" indent="0" shrinkToFit="false"/>
      <protection locked="true" hidden="false"/>
    </xf>
    <xf numFmtId="174" fontId="57" fillId="14" borderId="40" xfId="15" applyFont="true" applyBorder="true" applyAlignment="true" applyProtection="true">
      <alignment horizontal="left" vertical="bottom" textRotation="0" wrapText="false" indent="0" shrinkToFit="false"/>
      <protection locked="false" hidden="false"/>
    </xf>
    <xf numFmtId="164" fontId="57" fillId="0" borderId="58" xfId="0" applyFont="true" applyBorder="true" applyAlignment="true" applyProtection="true">
      <alignment horizontal="left" vertical="bottom" textRotation="0" wrapText="false" indent="0" shrinkToFit="false"/>
      <protection locked="false" hidden="false"/>
    </xf>
    <xf numFmtId="174" fontId="57" fillId="14" borderId="58" xfId="15" applyFont="true" applyBorder="true" applyAlignment="true" applyProtection="true">
      <alignment horizontal="left" vertical="bottom" textRotation="0" wrapText="false" indent="0" shrinkToFit="false"/>
      <protection locked="false" hidden="false"/>
    </xf>
    <xf numFmtId="173" fontId="57" fillId="0" borderId="106" xfId="0" applyFont="true" applyBorder="true" applyAlignment="true" applyProtection="false">
      <alignment horizontal="right" vertical="bottom" textRotation="0" wrapText="false" indent="0" shrinkToFit="false"/>
      <protection locked="true" hidden="false"/>
    </xf>
    <xf numFmtId="164" fontId="57" fillId="0" borderId="118" xfId="0" applyFont="true" applyBorder="true" applyAlignment="false" applyProtection="true">
      <alignment horizontal="general" vertical="bottom" textRotation="0" wrapText="false" indent="0" shrinkToFit="false"/>
      <protection locked="false" hidden="false"/>
    </xf>
    <xf numFmtId="164" fontId="57" fillId="0" borderId="15" xfId="0" applyFont="true" applyBorder="true" applyAlignment="false" applyProtection="true">
      <alignment horizontal="general" vertical="bottom" textRotation="0" wrapText="false" indent="0" shrinkToFit="false"/>
      <protection locked="false" hidden="false"/>
    </xf>
    <xf numFmtId="164" fontId="82" fillId="0" borderId="119" xfId="0" applyFont="true" applyBorder="true" applyAlignment="true" applyProtection="false">
      <alignment horizontal="center" vertical="bottom" textRotation="0" wrapText="false" indent="0" shrinkToFit="false"/>
      <protection locked="true" hidden="false"/>
    </xf>
    <xf numFmtId="173" fontId="57" fillId="0" borderId="120" xfId="0" applyFont="true" applyBorder="true" applyAlignment="true" applyProtection="false">
      <alignment horizontal="right" vertical="bottom" textRotation="0" wrapText="false" indent="0" shrinkToFit="false"/>
      <protection locked="true" hidden="false"/>
    </xf>
    <xf numFmtId="173" fontId="57" fillId="14" borderId="84" xfId="0" applyFont="true" applyBorder="true" applyAlignment="true" applyProtection="false">
      <alignment horizontal="right" vertical="bottom" textRotation="0" wrapText="false" indent="0" shrinkToFit="false"/>
      <protection locked="true" hidden="false"/>
    </xf>
    <xf numFmtId="164" fontId="57" fillId="0" borderId="121" xfId="0" applyFont="true" applyBorder="true" applyAlignment="false" applyProtection="true">
      <alignment horizontal="general" vertical="bottom" textRotation="0" wrapText="false" indent="0" shrinkToFit="false"/>
      <protection locked="false" hidden="false"/>
    </xf>
    <xf numFmtId="164" fontId="57" fillId="0" borderId="0" xfId="0" applyFont="true" applyBorder="false" applyAlignment="false" applyProtection="true">
      <alignment horizontal="general" vertical="bottom" textRotation="0" wrapText="false" indent="0" shrinkToFit="false"/>
      <protection locked="false" hidden="false"/>
    </xf>
    <xf numFmtId="164" fontId="82" fillId="0" borderId="0" xfId="0" applyFont="true" applyBorder="false" applyAlignment="true" applyProtection="false">
      <alignment horizontal="center" vertical="bottom" textRotation="0" wrapText="false" indent="0" shrinkToFit="false"/>
      <protection locked="true" hidden="false"/>
    </xf>
    <xf numFmtId="173" fontId="57" fillId="0" borderId="0" xfId="0" applyFont="true" applyBorder="false" applyAlignment="true" applyProtection="false">
      <alignment horizontal="right" vertical="bottom" textRotation="0" wrapText="false" indent="0" shrinkToFit="false"/>
      <protection locked="true" hidden="false"/>
    </xf>
    <xf numFmtId="173" fontId="57" fillId="14" borderId="40" xfId="0" applyFont="true" applyBorder="true" applyAlignment="true" applyProtection="false">
      <alignment horizontal="right" vertical="bottom" textRotation="0" wrapText="false" indent="0" shrinkToFit="false"/>
      <protection locked="true" hidden="false"/>
    </xf>
    <xf numFmtId="164" fontId="9" fillId="0" borderId="0" xfId="20" applyFont="true" applyBorder="false" applyAlignment="true" applyProtection="false">
      <alignment horizontal="general" vertical="center" textRotation="0" wrapText="false" indent="0" shrinkToFit="false"/>
      <protection locked="true" hidden="false"/>
    </xf>
    <xf numFmtId="164" fontId="57" fillId="13" borderId="54" xfId="0" applyFont="true" applyBorder="true" applyAlignment="true" applyProtection="false">
      <alignment horizontal="left" vertical="bottom" textRotation="0" wrapText="false" indent="0" shrinkToFit="false"/>
      <protection locked="true" hidden="false"/>
    </xf>
    <xf numFmtId="164" fontId="24" fillId="20" borderId="54" xfId="0" applyFont="true" applyBorder="true" applyAlignment="false" applyProtection="true">
      <alignment horizontal="general" vertical="bottom" textRotation="0" wrapText="false" indent="0" shrinkToFit="false"/>
      <protection locked="false" hidden="false"/>
    </xf>
    <xf numFmtId="164" fontId="57" fillId="20" borderId="54" xfId="0" applyFont="true" applyBorder="true" applyAlignment="true" applyProtection="false">
      <alignment horizontal="left" vertical="bottom" textRotation="0" wrapText="false" indent="0" shrinkToFit="false"/>
      <protection locked="true" hidden="false"/>
    </xf>
    <xf numFmtId="164" fontId="57" fillId="20" borderId="54" xfId="0" applyFont="true" applyBorder="true" applyAlignment="true" applyProtection="false">
      <alignment horizontal="center" vertical="bottom" textRotation="0" wrapText="false" indent="0" shrinkToFit="false"/>
      <protection locked="true" hidden="false"/>
    </xf>
    <xf numFmtId="179" fontId="57" fillId="20" borderId="54" xfId="0" applyFont="true" applyBorder="true" applyAlignment="false" applyProtection="true">
      <alignment horizontal="general" vertical="bottom" textRotation="0" wrapText="false" indent="0" shrinkToFit="false"/>
      <protection locked="false" hidden="false"/>
    </xf>
    <xf numFmtId="164" fontId="57" fillId="20" borderId="0" xfId="0" applyFont="true" applyBorder="false" applyAlignment="false" applyProtection="false">
      <alignment horizontal="general" vertical="bottom" textRotation="0" wrapText="false" indent="0" shrinkToFit="false"/>
      <protection locked="true" hidden="false"/>
    </xf>
    <xf numFmtId="164" fontId="57" fillId="20" borderId="0" xfId="0" applyFont="true" applyBorder="false" applyAlignment="true" applyProtection="false">
      <alignment horizontal="center" vertical="bottom" textRotation="0" wrapText="false" indent="0" shrinkToFit="false"/>
      <protection locked="true" hidden="false"/>
    </xf>
    <xf numFmtId="195" fontId="57" fillId="20" borderId="54" xfId="0" applyFont="true" applyBorder="true" applyAlignment="false" applyProtection="true">
      <alignment horizontal="general" vertical="bottom" textRotation="0" wrapText="false" indent="0" shrinkToFit="false"/>
      <protection locked="false" hidden="false"/>
    </xf>
    <xf numFmtId="179" fontId="57" fillId="15" borderId="61" xfId="0" applyFont="true" applyBorder="true" applyAlignment="false" applyProtection="true">
      <alignment horizontal="general" vertical="bottom" textRotation="0" wrapText="false" indent="0" shrinkToFit="false"/>
      <protection locked="false" hidden="false"/>
    </xf>
    <xf numFmtId="164" fontId="24" fillId="15" borderId="44" xfId="0" applyFont="true" applyBorder="true" applyAlignment="false" applyProtection="true">
      <alignment horizontal="general" vertical="bottom" textRotation="0" wrapText="false" indent="0" shrinkToFit="false"/>
      <protection locked="false" hidden="false"/>
    </xf>
    <xf numFmtId="195" fontId="57" fillId="15" borderId="87" xfId="0" applyFont="true" applyBorder="true" applyAlignment="false" applyProtection="true">
      <alignment horizontal="general" vertical="bottom" textRotation="0" wrapText="false" indent="0" shrinkToFit="false"/>
      <protection locked="false" hidden="false"/>
    </xf>
    <xf numFmtId="179" fontId="57" fillId="15" borderId="55" xfId="0" applyFont="true" applyBorder="true" applyAlignment="false" applyProtection="true">
      <alignment horizontal="general" vertical="bottom" textRotation="0" wrapText="false" indent="0" shrinkToFit="false"/>
      <protection locked="false" hidden="false"/>
    </xf>
    <xf numFmtId="195" fontId="57" fillId="15" borderId="56" xfId="0" applyFont="true" applyBorder="true" applyAlignment="false" applyProtection="true">
      <alignment horizontal="general" vertical="bottom" textRotation="0" wrapText="false" indent="0" shrinkToFit="false"/>
      <protection locked="false" hidden="false"/>
    </xf>
    <xf numFmtId="179" fontId="57" fillId="15" borderId="57" xfId="0" applyFont="true" applyBorder="true" applyAlignment="false" applyProtection="true">
      <alignment horizontal="general" vertical="bottom" textRotation="0" wrapText="false" indent="0" shrinkToFit="false"/>
      <protection locked="false" hidden="false"/>
    </xf>
    <xf numFmtId="164" fontId="24" fillId="15" borderId="58" xfId="0" applyFont="true" applyBorder="true" applyAlignment="false" applyProtection="true">
      <alignment horizontal="general" vertical="bottom" textRotation="0" wrapText="false" indent="0" shrinkToFit="false"/>
      <protection locked="false" hidden="false"/>
    </xf>
    <xf numFmtId="195" fontId="57" fillId="15" borderId="59" xfId="0" applyFont="true" applyBorder="true" applyAlignment="false" applyProtection="true">
      <alignment horizontal="general" vertical="bottom" textRotation="0" wrapText="false" indent="0" shrinkToFit="false"/>
      <protection locked="false" hidden="false"/>
    </xf>
    <xf numFmtId="173" fontId="57" fillId="14" borderId="15" xfId="0" applyFont="true" applyBorder="true" applyAlignment="false" applyProtection="false">
      <alignment horizontal="general" vertical="bottom" textRotation="0" wrapText="false" indent="0" shrinkToFit="false"/>
      <protection locked="true" hidden="false"/>
    </xf>
    <xf numFmtId="173" fontId="57" fillId="14" borderId="111" xfId="0" applyFont="true" applyBorder="true" applyAlignment="false" applyProtection="false">
      <alignment horizontal="general" vertical="bottom" textRotation="0" wrapText="false" indent="0" shrinkToFit="false"/>
      <protection locked="true" hidden="false"/>
    </xf>
    <xf numFmtId="195" fontId="57" fillId="15" borderId="0" xfId="0" applyFont="true" applyBorder="false" applyAlignment="false" applyProtection="true">
      <alignment horizontal="general" vertical="bottom" textRotation="0" wrapText="false" indent="0" shrinkToFit="false"/>
      <protection locked="false" hidden="false"/>
    </xf>
    <xf numFmtId="164" fontId="76" fillId="22" borderId="122" xfId="0" applyFont="true" applyBorder="true" applyAlignment="false" applyProtection="false">
      <alignment horizontal="general" vertical="bottom" textRotation="0" wrapText="false" indent="0" shrinkToFit="false"/>
      <protection locked="true" hidden="false"/>
    </xf>
    <xf numFmtId="164" fontId="24" fillId="15" borderId="123" xfId="0" applyFont="true" applyBorder="true" applyAlignment="true" applyProtection="true">
      <alignment horizontal="left" vertical="bottom" textRotation="0" wrapText="false" indent="0" shrinkToFit="false"/>
      <protection locked="false" hidden="false"/>
    </xf>
    <xf numFmtId="179" fontId="24" fillId="15" borderId="122" xfId="0" applyFont="true" applyBorder="true" applyAlignment="false" applyProtection="true">
      <alignment horizontal="general" vertical="bottom" textRotation="0" wrapText="false" indent="0" shrinkToFit="false"/>
      <protection locked="false" hidden="false"/>
    </xf>
    <xf numFmtId="164" fontId="76" fillId="22" borderId="124" xfId="0" applyFont="true" applyBorder="true" applyAlignment="false" applyProtection="false">
      <alignment horizontal="general" vertical="bottom" textRotation="0" wrapText="false" indent="0" shrinkToFit="false"/>
      <protection locked="true" hidden="false"/>
    </xf>
    <xf numFmtId="164" fontId="24" fillId="15" borderId="88" xfId="0" applyFont="true" applyBorder="true" applyAlignment="true" applyProtection="true">
      <alignment horizontal="left" vertical="bottom" textRotation="0" wrapText="false" indent="0" shrinkToFit="false"/>
      <protection locked="false" hidden="false"/>
    </xf>
    <xf numFmtId="164" fontId="24" fillId="15" borderId="89" xfId="0" applyFont="true" applyBorder="true" applyAlignment="true" applyProtection="true">
      <alignment horizontal="left" vertical="bottom" textRotation="0" wrapText="false" indent="0" shrinkToFit="false"/>
      <protection locked="false" hidden="false"/>
    </xf>
    <xf numFmtId="164" fontId="24" fillId="15" borderId="125" xfId="0" applyFont="true" applyBorder="true" applyAlignment="true" applyProtection="true">
      <alignment horizontal="left" vertical="bottom" textRotation="0" wrapText="false" indent="0" shrinkToFit="false"/>
      <protection locked="false" hidden="false"/>
    </xf>
    <xf numFmtId="179" fontId="24" fillId="15" borderId="124" xfId="0" applyFont="true" applyBorder="true" applyAlignment="false" applyProtection="true">
      <alignment horizontal="general" vertical="bottom" textRotation="0" wrapText="false" indent="0" shrinkToFit="false"/>
      <protection locked="false" hidden="false"/>
    </xf>
    <xf numFmtId="166" fontId="24" fillId="15" borderId="89" xfId="0" applyFont="true" applyBorder="true" applyAlignment="true" applyProtection="true">
      <alignment horizontal="left" vertical="bottom" textRotation="0" wrapText="false" indent="0" shrinkToFit="false"/>
      <protection locked="false" hidden="false"/>
    </xf>
    <xf numFmtId="172" fontId="24" fillId="15" borderId="124" xfId="0" applyFont="true" applyBorder="true" applyAlignment="true" applyProtection="true">
      <alignment horizontal="right" vertical="bottom" textRotation="0" wrapText="false" indent="0" shrinkToFit="false"/>
      <protection locked="false" hidden="false"/>
    </xf>
    <xf numFmtId="164" fontId="76" fillId="22" borderId="95" xfId="0" applyFont="true" applyBorder="true" applyAlignment="false" applyProtection="false">
      <alignment horizontal="general" vertical="bottom" textRotation="0" wrapText="false" indent="0" shrinkToFit="false"/>
      <protection locked="true" hidden="false"/>
    </xf>
    <xf numFmtId="164" fontId="24" fillId="15" borderId="95" xfId="0" applyFont="true" applyBorder="true" applyAlignment="true" applyProtection="true">
      <alignment horizontal="left" vertical="bottom" textRotation="0" wrapText="false" indent="0" shrinkToFit="false"/>
      <protection locked="false" hidden="false"/>
    </xf>
    <xf numFmtId="165" fontId="24" fillId="15" borderId="95" xfId="0" applyFont="true" applyBorder="true" applyAlignment="false" applyProtection="true">
      <alignment horizontal="general" vertical="bottom" textRotation="0" wrapText="false" indent="0" shrinkToFit="false"/>
      <protection locked="false" hidden="false"/>
    </xf>
    <xf numFmtId="180" fontId="41" fillId="21" borderId="54" xfId="0" applyFont="true" applyBorder="true" applyAlignment="false" applyProtection="true">
      <alignment horizontal="general" vertical="bottom" textRotation="0" wrapText="false" indent="0" shrinkToFit="false"/>
      <protection locked="false" hidden="false"/>
    </xf>
    <xf numFmtId="173" fontId="24" fillId="15" borderId="122" xfId="0" applyFont="true" applyBorder="true" applyAlignment="false" applyProtection="true">
      <alignment horizontal="general" vertical="bottom" textRotation="0" wrapText="false" indent="0" shrinkToFit="false"/>
      <protection locked="false" hidden="false"/>
    </xf>
    <xf numFmtId="173" fontId="41" fillId="0" borderId="124" xfId="0" applyFont="true" applyBorder="true" applyAlignment="false" applyProtection="false">
      <alignment horizontal="general" vertical="bottom" textRotation="0" wrapText="false" indent="0" shrinkToFit="false"/>
      <protection locked="true" hidden="false"/>
    </xf>
    <xf numFmtId="173" fontId="41" fillId="0" borderId="95" xfId="0" applyFont="true" applyBorder="true" applyAlignment="false" applyProtection="false">
      <alignment horizontal="general" vertical="bottom" textRotation="0" wrapText="false" indent="0" shrinkToFit="false"/>
      <protection locked="true" hidden="false"/>
    </xf>
    <xf numFmtId="173" fontId="41" fillId="0" borderId="62" xfId="0" applyFont="true" applyBorder="true" applyAlignment="false" applyProtection="false">
      <alignment horizontal="general" vertical="bottom" textRotation="0" wrapText="false" indent="0" shrinkToFit="false"/>
      <protection locked="true" hidden="false"/>
    </xf>
    <xf numFmtId="173" fontId="41" fillId="0" borderId="15" xfId="0" applyFont="true" applyBorder="true" applyAlignment="false" applyProtection="false">
      <alignment horizontal="general" vertical="bottom" textRotation="0" wrapText="false" indent="0" shrinkToFit="false"/>
      <protection locked="true" hidden="false"/>
    </xf>
    <xf numFmtId="179" fontId="41" fillId="15" borderId="122" xfId="0" applyFont="true" applyBorder="true" applyAlignment="false" applyProtection="true">
      <alignment horizontal="general" vertical="bottom" textRotation="0" wrapText="false" indent="0" shrinkToFit="false"/>
      <protection locked="false" hidden="false"/>
    </xf>
    <xf numFmtId="173" fontId="41" fillId="15" borderId="122" xfId="0" applyFont="true" applyBorder="true" applyAlignment="false" applyProtection="true">
      <alignment horizontal="general" vertical="bottom" textRotation="0" wrapText="false" indent="0" shrinkToFit="false"/>
      <protection locked="false" hidden="false"/>
    </xf>
    <xf numFmtId="179" fontId="41" fillId="15" borderId="95" xfId="0" applyFont="true" applyBorder="true" applyAlignment="false" applyProtection="true">
      <alignment horizontal="general" vertical="bottom" textRotation="0" wrapText="false" indent="0" shrinkToFit="false"/>
      <protection locked="false" hidden="false"/>
    </xf>
    <xf numFmtId="173" fontId="41" fillId="15" borderId="95" xfId="0" applyFont="true" applyBorder="true" applyAlignment="false" applyProtection="true">
      <alignment horizontal="general" vertical="bottom" textRotation="0" wrapText="false" indent="0" shrinkToFit="false"/>
      <protection locked="false" hidden="false"/>
    </xf>
    <xf numFmtId="164" fontId="41" fillId="15" borderId="122" xfId="0" applyFont="true" applyBorder="true" applyAlignment="false" applyProtection="true">
      <alignment horizontal="general" vertical="bottom" textRotation="0" wrapText="false" indent="0" shrinkToFit="false"/>
      <protection locked="false" hidden="false"/>
    </xf>
    <xf numFmtId="173" fontId="41" fillId="14" borderId="122" xfId="0" applyFont="true" applyBorder="true" applyAlignment="false" applyProtection="false">
      <alignment horizontal="general" vertical="bottom" textRotation="0" wrapText="false" indent="0" shrinkToFit="false"/>
      <protection locked="true" hidden="false"/>
    </xf>
    <xf numFmtId="164" fontId="41" fillId="15" borderId="124" xfId="0" applyFont="true" applyBorder="true" applyAlignment="false" applyProtection="true">
      <alignment horizontal="general" vertical="bottom" textRotation="0" wrapText="false" indent="0" shrinkToFit="false"/>
      <protection locked="false" hidden="false"/>
    </xf>
    <xf numFmtId="173" fontId="41" fillId="15" borderId="124" xfId="0" applyFont="true" applyBorder="true" applyAlignment="false" applyProtection="true">
      <alignment horizontal="general" vertical="bottom" textRotation="0" wrapText="false" indent="0" shrinkToFit="false"/>
      <protection locked="false" hidden="false"/>
    </xf>
    <xf numFmtId="173" fontId="41" fillId="14" borderId="124" xfId="0" applyFont="true" applyBorder="true" applyAlignment="false" applyProtection="false">
      <alignment horizontal="general" vertical="bottom" textRotation="0" wrapText="false" indent="0" shrinkToFit="false"/>
      <protection locked="true" hidden="false"/>
    </xf>
    <xf numFmtId="164" fontId="41" fillId="15" borderId="95" xfId="0" applyFont="true" applyBorder="true" applyAlignment="false" applyProtection="true">
      <alignment horizontal="general" vertical="bottom" textRotation="0" wrapText="false" indent="0" shrinkToFit="false"/>
      <protection locked="false" hidden="false"/>
    </xf>
    <xf numFmtId="173" fontId="41" fillId="0" borderId="109"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right" vertical="bottom" textRotation="0" wrapText="false" indent="0" shrinkToFit="false"/>
      <protection locked="true" hidden="false"/>
    </xf>
    <xf numFmtId="196" fontId="41" fillId="0" borderId="40" xfId="0" applyFont="true" applyBorder="true" applyAlignment="false" applyProtection="false">
      <alignment horizontal="general" vertical="bottom" textRotation="0" wrapText="false" indent="0" shrinkToFit="false"/>
      <protection locked="true" hidden="false"/>
    </xf>
    <xf numFmtId="173" fontId="41" fillId="14" borderId="95" xfId="0" applyFont="true" applyBorder="true" applyAlignment="false" applyProtection="false">
      <alignment horizontal="general" vertical="bottom" textRotation="0" wrapText="false" indent="0" shrinkToFit="false"/>
      <protection locked="true" hidden="false"/>
    </xf>
    <xf numFmtId="173" fontId="41" fillId="14" borderId="54" xfId="0" applyFont="true" applyBorder="true" applyAlignment="false" applyProtection="false">
      <alignment horizontal="general" vertical="bottom" textRotation="0" wrapText="false" indent="0" shrinkToFit="false"/>
      <protection locked="true" hidden="false"/>
    </xf>
    <xf numFmtId="164" fontId="76" fillId="22" borderId="54" xfId="0" applyFont="true" applyBorder="true" applyAlignment="true" applyProtection="false">
      <alignment horizontal="left" vertical="bottom" textRotation="0" wrapText="false" indent="0" shrinkToFit="false"/>
      <protection locked="true" hidden="false"/>
    </xf>
    <xf numFmtId="164" fontId="76" fillId="22" borderId="54" xfId="0" applyFont="true" applyBorder="true" applyAlignment="true" applyProtection="false">
      <alignment horizontal="center" vertical="bottom" textRotation="0" wrapText="false" indent="0" shrinkToFit="false"/>
      <protection locked="true" hidden="false"/>
    </xf>
    <xf numFmtId="197" fontId="24" fillId="0" borderId="61" xfId="0" applyFont="true" applyBorder="true" applyAlignment="true" applyProtection="false">
      <alignment horizontal="left" vertical="bottom" textRotation="0" wrapText="false" indent="0" shrinkToFit="false"/>
      <protection locked="true" hidden="false"/>
    </xf>
    <xf numFmtId="173" fontId="41" fillId="14" borderId="44" xfId="0" applyFont="true" applyBorder="true" applyAlignment="false" applyProtection="false">
      <alignment horizontal="general" vertical="bottom" textRotation="0" wrapText="false" indent="0" shrinkToFit="false"/>
      <protection locked="true" hidden="false"/>
    </xf>
    <xf numFmtId="173" fontId="41" fillId="14" borderId="87" xfId="0" applyFont="true" applyBorder="true" applyAlignment="false" applyProtection="false">
      <alignment horizontal="general" vertical="bottom" textRotation="0" wrapText="false" indent="0" shrinkToFit="false"/>
      <protection locked="true" hidden="false"/>
    </xf>
    <xf numFmtId="197" fontId="24" fillId="0" borderId="57" xfId="0" applyFont="true" applyBorder="true" applyAlignment="true" applyProtection="false">
      <alignment horizontal="left" vertical="bottom" textRotation="0" wrapText="false" indent="0" shrinkToFit="false"/>
      <protection locked="true" hidden="false"/>
    </xf>
    <xf numFmtId="173" fontId="41" fillId="14" borderId="58" xfId="0" applyFont="true" applyBorder="true" applyAlignment="false" applyProtection="false">
      <alignment horizontal="general" vertical="bottom" textRotation="0" wrapText="false" indent="0" shrinkToFit="false"/>
      <protection locked="true" hidden="false"/>
    </xf>
    <xf numFmtId="173" fontId="41" fillId="14" borderId="59" xfId="0" applyFont="true" applyBorder="true" applyAlignment="false" applyProtection="false">
      <alignment horizontal="general" vertical="bottom" textRotation="0" wrapText="false" indent="0" shrinkToFit="false"/>
      <protection locked="true" hidden="false"/>
    </xf>
    <xf numFmtId="197" fontId="75" fillId="0" borderId="54" xfId="0" applyFont="true" applyBorder="true" applyAlignment="true" applyProtection="false">
      <alignment horizontal="left" vertical="bottom" textRotation="0" wrapText="false" indent="0" shrinkToFit="false"/>
      <protection locked="true" hidden="false"/>
    </xf>
    <xf numFmtId="164" fontId="75"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true" applyAlignment="false" applyProtection="false">
      <alignment horizontal="general" vertical="bottom" textRotation="0" wrapText="false" indent="0" shrinkToFit="false"/>
      <protection locked="true" hidden="false"/>
    </xf>
    <xf numFmtId="198" fontId="41" fillId="15" borderId="122" xfId="0" applyFont="true" applyBorder="true" applyAlignment="false" applyProtection="true">
      <alignment horizontal="general" vertical="bottom" textRotation="0" wrapText="false" indent="0" shrinkToFit="false"/>
      <protection locked="false" hidden="false"/>
    </xf>
    <xf numFmtId="166" fontId="41" fillId="15" borderId="124" xfId="0" applyFont="true" applyBorder="true" applyAlignment="false" applyProtection="true">
      <alignment horizontal="general" vertical="bottom" textRotation="0" wrapText="false" indent="0" shrinkToFit="false"/>
      <protection locked="false" hidden="false"/>
    </xf>
    <xf numFmtId="164" fontId="83" fillId="0" borderId="0" xfId="124" applyFont="true" applyBorder="false" applyAlignment="false" applyProtection="false">
      <alignment horizontal="general" vertical="bottom" textRotation="0" wrapText="false" indent="0" shrinkToFit="false"/>
      <protection locked="true" hidden="false"/>
    </xf>
    <xf numFmtId="172" fontId="41" fillId="15" borderId="124" xfId="0" applyFont="true" applyBorder="true" applyAlignment="false" applyProtection="true">
      <alignment horizontal="general" vertical="bottom" textRotation="0" wrapText="false" indent="0" shrinkToFit="false"/>
      <protection locked="false" hidden="false"/>
    </xf>
    <xf numFmtId="183" fontId="41" fillId="15" borderId="124" xfId="0" applyFont="true" applyBorder="true" applyAlignment="false" applyProtection="true">
      <alignment horizontal="general" vertical="bottom" textRotation="0" wrapText="false" indent="0" shrinkToFit="false"/>
      <protection locked="false" hidden="false"/>
    </xf>
    <xf numFmtId="198" fontId="41" fillId="14" borderId="95" xfId="0" applyFont="true" applyBorder="true" applyAlignment="false" applyProtection="false">
      <alignment horizontal="general" vertical="bottom" textRotation="0" wrapText="false" indent="0" shrinkToFit="false"/>
      <protection locked="true" hidden="false"/>
    </xf>
    <xf numFmtId="199" fontId="41" fillId="0" borderId="86" xfId="0" applyFont="true" applyBorder="true" applyAlignment="true" applyProtection="false">
      <alignment horizontal="center" vertical="bottom" textRotation="0" wrapText="false" indent="0" shrinkToFit="false"/>
      <protection locked="true" hidden="false"/>
    </xf>
    <xf numFmtId="172" fontId="41" fillId="14" borderId="44" xfId="0" applyFont="true" applyBorder="true" applyAlignment="false" applyProtection="false">
      <alignment horizontal="general" vertical="bottom" textRotation="0" wrapText="false" indent="0" shrinkToFit="false"/>
      <protection locked="true" hidden="false"/>
    </xf>
    <xf numFmtId="172" fontId="41" fillId="14" borderId="87" xfId="0" applyFont="true" applyBorder="true" applyAlignment="false" applyProtection="false">
      <alignment horizontal="general" vertical="bottom" textRotation="0" wrapText="false" indent="0" shrinkToFit="false"/>
      <protection locked="true" hidden="false"/>
    </xf>
    <xf numFmtId="199" fontId="41" fillId="0" borderId="0" xfId="0" applyFont="true" applyBorder="true" applyAlignment="true" applyProtection="false">
      <alignment horizontal="center" vertical="bottom" textRotation="0" wrapText="false" indent="0" shrinkToFit="false"/>
      <protection locked="true" hidden="false"/>
    </xf>
    <xf numFmtId="199" fontId="41" fillId="0" borderId="90" xfId="0" applyFont="true" applyBorder="true" applyAlignment="true" applyProtection="false">
      <alignment horizontal="center" vertical="bottom" textRotation="0" wrapText="false" indent="0" shrinkToFit="false"/>
      <protection locked="true" hidden="false"/>
    </xf>
    <xf numFmtId="172" fontId="41" fillId="14" borderId="40" xfId="0" applyFont="true" applyBorder="true" applyAlignment="false" applyProtection="false">
      <alignment horizontal="general" vertical="bottom" textRotation="0" wrapText="false" indent="0" shrinkToFit="false"/>
      <protection locked="true" hidden="false"/>
    </xf>
    <xf numFmtId="172" fontId="41" fillId="14" borderId="56" xfId="0" applyFont="true" applyBorder="true" applyAlignment="false" applyProtection="false">
      <alignment horizontal="general" vertical="bottom" textRotation="0" wrapText="false" indent="0" shrinkToFit="false"/>
      <protection locked="true" hidden="false"/>
    </xf>
    <xf numFmtId="199" fontId="41" fillId="0" borderId="0" xfId="0" applyFont="true" applyBorder="false" applyAlignment="false" applyProtection="false">
      <alignment horizontal="general" vertical="bottom" textRotation="0" wrapText="false" indent="0" shrinkToFit="false"/>
      <protection locked="true" hidden="false"/>
    </xf>
    <xf numFmtId="199" fontId="41" fillId="0" borderId="94" xfId="0" applyFont="true" applyBorder="true" applyAlignment="true" applyProtection="false">
      <alignment horizontal="center" vertical="bottom" textRotation="0" wrapText="false" indent="0" shrinkToFit="false"/>
      <protection locked="true" hidden="false"/>
    </xf>
    <xf numFmtId="172" fontId="41" fillId="14" borderId="58" xfId="0" applyFont="true" applyBorder="true" applyAlignment="false" applyProtection="false">
      <alignment horizontal="general" vertical="bottom" textRotation="0" wrapText="false" indent="0" shrinkToFit="false"/>
      <protection locked="true" hidden="false"/>
    </xf>
    <xf numFmtId="172" fontId="41" fillId="14" borderId="59" xfId="0" applyFont="true" applyBorder="true" applyAlignment="false" applyProtection="false">
      <alignment horizontal="general" vertical="bottom" textRotation="0" wrapText="false" indent="0" shrinkToFit="false"/>
      <protection locked="true" hidden="false"/>
    </xf>
    <xf numFmtId="197" fontId="75" fillId="0" borderId="126" xfId="0" applyFont="true" applyBorder="true" applyAlignment="true" applyProtection="false">
      <alignment horizontal="center" vertical="bottom" textRotation="0" wrapText="false" indent="0" shrinkToFit="false"/>
      <protection locked="true" hidden="false"/>
    </xf>
    <xf numFmtId="172" fontId="41" fillId="14" borderId="127" xfId="0" applyFont="true" applyBorder="true" applyAlignment="false" applyProtection="false">
      <alignment horizontal="general" vertical="bottom" textRotation="0" wrapText="false" indent="0" shrinkToFit="false"/>
      <protection locked="true" hidden="false"/>
    </xf>
    <xf numFmtId="172" fontId="41" fillId="14" borderId="128" xfId="0" applyFont="true" applyBorder="true" applyAlignment="false" applyProtection="false">
      <alignment horizontal="general" vertical="bottom" textRotation="0" wrapText="false" indent="0" shrinkToFit="false"/>
      <protection locked="true" hidden="false"/>
    </xf>
    <xf numFmtId="172" fontId="41" fillId="0" borderId="54" xfId="0" applyFont="true" applyBorder="true" applyAlignment="false" applyProtection="false">
      <alignment horizontal="general" vertical="bottom" textRotation="0" wrapText="false" indent="0" shrinkToFit="false"/>
      <protection locked="true" hidden="false"/>
    </xf>
    <xf numFmtId="197" fontId="84" fillId="0" borderId="0" xfId="0" applyFont="true" applyBorder="false" applyAlignment="true" applyProtection="false">
      <alignment horizontal="center" vertical="bottom" textRotation="0" wrapText="false" indent="0" shrinkToFit="false"/>
      <protection locked="true" hidden="false"/>
    </xf>
    <xf numFmtId="172" fontId="41" fillId="0" borderId="0" xfId="0" applyFont="true" applyBorder="false" applyAlignment="false" applyProtection="false">
      <alignment horizontal="general" vertical="bottom" textRotation="0" wrapText="false" indent="0" shrinkToFit="false"/>
      <protection locked="true" hidden="false"/>
    </xf>
    <xf numFmtId="164" fontId="57" fillId="0" borderId="0" xfId="0" applyFont="true" applyBorder="false" applyAlignment="true" applyProtection="false">
      <alignment horizontal="left" vertical="bottom" textRotation="0" wrapText="false" indent="0" shrinkToFit="false"/>
      <protection locked="true" hidden="false"/>
    </xf>
    <xf numFmtId="172" fontId="57" fillId="14" borderId="0" xfId="0" applyFont="true" applyBorder="true" applyAlignment="false" applyProtection="false">
      <alignment horizontal="general" vertical="bottom" textRotation="0" wrapText="false" indent="0" shrinkToFit="false"/>
      <protection locked="true" hidden="false"/>
    </xf>
    <xf numFmtId="164" fontId="57" fillId="0" borderId="64" xfId="0" applyFont="true" applyBorder="true" applyAlignment="false" applyProtection="false">
      <alignment horizontal="general" vertical="bottom" textRotation="0" wrapText="false" indent="0" shrinkToFit="false"/>
      <protection locked="true" hidden="false"/>
    </xf>
    <xf numFmtId="164" fontId="41" fillId="0" borderId="65" xfId="0" applyFont="true" applyBorder="true" applyAlignment="false" applyProtection="false">
      <alignment horizontal="general" vertical="bottom" textRotation="0" wrapText="false" indent="0" shrinkToFit="false"/>
      <protection locked="true" hidden="false"/>
    </xf>
    <xf numFmtId="173" fontId="41" fillId="14" borderId="66" xfId="0" applyFont="true" applyBorder="true" applyAlignment="false" applyProtection="false">
      <alignment horizontal="general" vertical="bottom" textRotation="0" wrapText="false" indent="0" shrinkToFit="false"/>
      <protection locked="true" hidden="false"/>
    </xf>
    <xf numFmtId="172" fontId="57" fillId="14" borderId="15" xfId="0" applyFont="true" applyBorder="true" applyAlignment="false" applyProtection="false">
      <alignment horizontal="general" vertical="bottom" textRotation="0" wrapText="false" indent="0" shrinkToFit="false"/>
      <protection locked="true" hidden="false"/>
    </xf>
    <xf numFmtId="164" fontId="57" fillId="0" borderId="67" xfId="0" applyFont="true" applyBorder="true" applyAlignment="false" applyProtection="false">
      <alignment horizontal="general" vertical="bottom" textRotation="0" wrapText="false" indent="0" shrinkToFit="false"/>
      <protection locked="true" hidden="false"/>
    </xf>
    <xf numFmtId="164" fontId="41" fillId="0" borderId="68" xfId="0" applyFont="true" applyBorder="true" applyAlignment="false" applyProtection="false">
      <alignment horizontal="general" vertical="bottom" textRotation="0" wrapText="false" indent="0" shrinkToFit="false"/>
      <protection locked="true" hidden="false"/>
    </xf>
    <xf numFmtId="173" fontId="41" fillId="0" borderId="69" xfId="0" applyFont="true" applyBorder="true" applyAlignment="false" applyProtection="false">
      <alignment horizontal="general" vertical="bottom" textRotation="0" wrapText="false" indent="0" shrinkToFit="false"/>
      <protection locked="true" hidden="false"/>
    </xf>
    <xf numFmtId="172" fontId="57" fillId="14" borderId="129" xfId="0" applyFont="true" applyBorder="true" applyAlignment="false" applyProtection="false">
      <alignment horizontal="general" vertical="bottom" textRotation="0" wrapText="false" indent="0" shrinkToFit="false"/>
      <protection locked="true" hidden="false"/>
    </xf>
    <xf numFmtId="164" fontId="57" fillId="0" borderId="70" xfId="0" applyFont="true" applyBorder="true" applyAlignment="false" applyProtection="false">
      <alignment horizontal="general" vertical="bottom" textRotation="0" wrapText="false" indent="0" shrinkToFit="false"/>
      <protection locked="true" hidden="false"/>
    </xf>
    <xf numFmtId="164" fontId="41" fillId="0" borderId="71" xfId="0" applyFont="true" applyBorder="true" applyAlignment="false" applyProtection="false">
      <alignment horizontal="general" vertical="bottom" textRotation="0" wrapText="false" indent="0" shrinkToFit="false"/>
      <protection locked="true" hidden="false"/>
    </xf>
    <xf numFmtId="173" fontId="41" fillId="14" borderId="72" xfId="0" applyFont="true" applyBorder="true" applyAlignment="false" applyProtection="false">
      <alignment horizontal="general" vertical="bottom" textRotation="0" wrapText="false" indent="0" shrinkToFit="false"/>
      <protection locked="true" hidden="false"/>
    </xf>
    <xf numFmtId="174" fontId="41" fillId="14" borderId="72" xfId="15" applyFont="true" applyBorder="true" applyAlignment="false" applyProtection="false">
      <alignment horizontal="general" vertical="bottom" textRotation="0" wrapText="false" indent="0" shrinkToFit="false"/>
      <protection locked="true" hidden="false"/>
    </xf>
    <xf numFmtId="164" fontId="85" fillId="0" borderId="0" xfId="159" applyFont="true" applyBorder="false" applyAlignment="false" applyProtection="false">
      <alignment horizontal="general" vertical="bottom" textRotation="0" wrapText="false" indent="0" shrinkToFit="false"/>
      <protection locked="true" hidden="false"/>
    </xf>
    <xf numFmtId="164" fontId="85" fillId="0" borderId="0" xfId="159" applyFont="true" applyBorder="false" applyAlignment="true" applyProtection="false">
      <alignment horizontal="left" vertical="bottom" textRotation="0" wrapText="false" indent="0" shrinkToFit="false"/>
      <protection locked="true" hidden="false"/>
    </xf>
    <xf numFmtId="180" fontId="85" fillId="0" borderId="0" xfId="159" applyFont="true" applyBorder="false" applyAlignment="false" applyProtection="false">
      <alignment horizontal="general" vertical="bottom" textRotation="0" wrapText="false" indent="0" shrinkToFit="false"/>
      <protection locked="true" hidden="false"/>
    </xf>
    <xf numFmtId="164" fontId="63" fillId="0" borderId="0" xfId="0" applyFont="true" applyBorder="false" applyAlignment="true" applyProtection="false">
      <alignment horizontal="center" vertical="center" textRotation="0" wrapText="false" indent="0" shrinkToFit="false"/>
      <protection locked="true" hidden="false"/>
    </xf>
    <xf numFmtId="164" fontId="48" fillId="0" borderId="0" xfId="159" applyFont="true" applyBorder="true" applyAlignment="false" applyProtection="false">
      <alignment horizontal="general" vertical="bottom" textRotation="0" wrapText="false" indent="0" shrinkToFit="false"/>
      <protection locked="true" hidden="false"/>
    </xf>
    <xf numFmtId="164" fontId="75" fillId="0" borderId="0" xfId="0" applyFont="true" applyBorder="true" applyAlignment="false" applyProtection="false">
      <alignment horizontal="general" vertical="bottom" textRotation="0" wrapText="fals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4" fontId="24" fillId="15" borderId="123" xfId="0" applyFont="true" applyBorder="true" applyAlignment="false" applyProtection="true">
      <alignment horizontal="general" vertical="bottom" textRotation="0" wrapText="false" indent="0" shrinkToFit="false"/>
      <protection locked="false" hidden="false"/>
    </xf>
    <xf numFmtId="200" fontId="57" fillId="0" borderId="0" xfId="0" applyFont="true" applyBorder="false" applyAlignment="false" applyProtection="false">
      <alignment horizontal="general" vertical="bottom" textRotation="0" wrapText="false" indent="0" shrinkToFit="false"/>
      <protection locked="true" hidden="false"/>
    </xf>
    <xf numFmtId="164" fontId="24" fillId="15" borderId="89" xfId="0" applyFont="true" applyBorder="true" applyAlignment="false" applyProtection="true">
      <alignment horizontal="general" vertical="bottom" textRotation="0" wrapText="false" indent="0" shrinkToFit="false"/>
      <protection locked="false" hidden="false"/>
    </xf>
    <xf numFmtId="173" fontId="24" fillId="15" borderId="124" xfId="0" applyFont="true" applyBorder="true" applyAlignment="false" applyProtection="true">
      <alignment horizontal="general" vertical="bottom" textRotation="0" wrapText="false" indent="0" shrinkToFit="false"/>
      <protection locked="false" hidden="false"/>
    </xf>
    <xf numFmtId="182" fontId="24" fillId="15" borderId="89" xfId="0" applyFont="true" applyBorder="true" applyAlignment="true" applyProtection="true">
      <alignment horizontal="left" vertical="bottom" textRotation="0" wrapText="false" indent="0" shrinkToFit="false"/>
      <protection locked="false" hidden="false"/>
    </xf>
    <xf numFmtId="182" fontId="24" fillId="15" borderId="124" xfId="0" applyFont="true" applyBorder="true" applyAlignment="true" applyProtection="true">
      <alignment horizontal="left" vertical="bottom" textRotation="0" wrapText="false" indent="0" shrinkToFit="false"/>
      <protection locked="false" hidden="false"/>
    </xf>
    <xf numFmtId="200" fontId="24" fillId="15" borderId="124" xfId="0" applyFont="true" applyBorder="true" applyAlignment="false" applyProtection="true">
      <alignment horizontal="general" vertical="bottom" textRotation="0" wrapText="false" indent="0" shrinkToFit="false"/>
      <protection locked="false" hidden="false"/>
    </xf>
    <xf numFmtId="198" fontId="24" fillId="15" borderId="130" xfId="0" applyFont="true" applyBorder="true" applyAlignment="true" applyProtection="true">
      <alignment horizontal="left" vertical="bottom" textRotation="0" wrapText="false" indent="0" shrinkToFit="false"/>
      <protection locked="false" hidden="false"/>
    </xf>
    <xf numFmtId="164" fontId="24" fillId="15" borderId="93" xfId="0" applyFont="true" applyBorder="true" applyAlignment="false" applyProtection="true">
      <alignment horizontal="general" vertical="bottom" textRotation="0" wrapText="false" indent="0" shrinkToFit="false"/>
      <protection locked="false" hidden="false"/>
    </xf>
    <xf numFmtId="200" fontId="24" fillId="14" borderId="95" xfId="0" applyFont="true" applyBorder="true" applyAlignment="false" applyProtection="false">
      <alignment horizontal="general" vertical="bottom" textRotation="0" wrapText="false" indent="0" shrinkToFit="false"/>
      <protection locked="true" hidden="false"/>
    </xf>
    <xf numFmtId="164" fontId="76" fillId="22" borderId="54" xfId="0" applyFont="true" applyBorder="true" applyAlignment="true" applyProtection="false">
      <alignment horizontal="center" vertical="top" textRotation="0" wrapText="false" indent="0" shrinkToFit="false"/>
      <protection locked="true" hidden="false"/>
    </xf>
    <xf numFmtId="164" fontId="76" fillId="22" borderId="54" xfId="0" applyFont="true" applyBorder="true" applyAlignment="true" applyProtection="false">
      <alignment horizontal="center" vertical="top" textRotation="0" wrapText="true" indent="0" shrinkToFit="false"/>
      <protection locked="true" hidden="false"/>
    </xf>
    <xf numFmtId="164" fontId="86" fillId="0" borderId="0" xfId="0" applyFont="true" applyBorder="false" applyAlignment="true" applyProtection="false">
      <alignment horizontal="center" vertical="top" textRotation="0" wrapText="true" indent="0" shrinkToFit="false"/>
      <protection locked="true" hidden="false"/>
    </xf>
    <xf numFmtId="182" fontId="41" fillId="14" borderId="61" xfId="0" applyFont="true" applyBorder="true" applyAlignment="false" applyProtection="false">
      <alignment horizontal="general" vertical="bottom" textRotation="0" wrapText="false" indent="0" shrinkToFit="false"/>
      <protection locked="true" hidden="false"/>
    </xf>
    <xf numFmtId="198" fontId="41" fillId="14" borderId="44" xfId="0" applyFont="true" applyBorder="true" applyAlignment="false" applyProtection="false">
      <alignment horizontal="general" vertical="bottom" textRotation="0" wrapText="false" indent="0" shrinkToFit="false"/>
      <protection locked="true" hidden="false"/>
    </xf>
    <xf numFmtId="200" fontId="41" fillId="14" borderId="44" xfId="0" applyFont="true" applyBorder="true" applyAlignment="false" applyProtection="false">
      <alignment horizontal="general" vertical="bottom" textRotation="0" wrapText="false" indent="0" shrinkToFit="false"/>
      <protection locked="true" hidden="false"/>
    </xf>
    <xf numFmtId="172" fontId="41" fillId="14" borderId="44" xfId="0" applyFont="true" applyBorder="true" applyAlignment="false" applyProtection="true">
      <alignment horizontal="general" vertical="bottom" textRotation="0" wrapText="false" indent="0" shrinkToFit="false"/>
      <protection locked="false" hidden="false"/>
    </xf>
    <xf numFmtId="182" fontId="41" fillId="14" borderId="55" xfId="0" applyFont="true" applyBorder="true" applyAlignment="false" applyProtection="false">
      <alignment horizontal="general" vertical="bottom" textRotation="0" wrapText="false" indent="0" shrinkToFit="false"/>
      <protection locked="true" hidden="false"/>
    </xf>
    <xf numFmtId="198" fontId="41" fillId="14" borderId="40" xfId="0" applyFont="true" applyBorder="true" applyAlignment="false" applyProtection="false">
      <alignment horizontal="general" vertical="bottom" textRotation="0" wrapText="false" indent="0" shrinkToFit="false"/>
      <protection locked="true" hidden="false"/>
    </xf>
    <xf numFmtId="200" fontId="41" fillId="14" borderId="40" xfId="0" applyFont="true" applyBorder="true" applyAlignment="false" applyProtection="false">
      <alignment horizontal="general" vertical="bottom" textRotation="0" wrapText="false" indent="0" shrinkToFit="false"/>
      <protection locked="true" hidden="false"/>
    </xf>
    <xf numFmtId="172" fontId="41" fillId="14" borderId="40" xfId="0" applyFont="true" applyBorder="true" applyAlignment="false" applyProtection="true">
      <alignment horizontal="general" vertical="bottom" textRotation="0" wrapText="false" indent="0" shrinkToFit="false"/>
      <protection locked="false" hidden="false"/>
    </xf>
    <xf numFmtId="182" fontId="41" fillId="14" borderId="57" xfId="0" applyFont="true" applyBorder="true" applyAlignment="false" applyProtection="false">
      <alignment horizontal="general" vertical="bottom" textRotation="0" wrapText="false" indent="0" shrinkToFit="false"/>
      <protection locked="true" hidden="false"/>
    </xf>
    <xf numFmtId="198" fontId="41" fillId="14" borderId="58" xfId="0" applyFont="true" applyBorder="true" applyAlignment="false" applyProtection="false">
      <alignment horizontal="general" vertical="bottom" textRotation="0" wrapText="false" indent="0" shrinkToFit="false"/>
      <protection locked="true" hidden="false"/>
    </xf>
    <xf numFmtId="200" fontId="41" fillId="14" borderId="58" xfId="0" applyFont="true" applyBorder="true" applyAlignment="false" applyProtection="false">
      <alignment horizontal="general" vertical="bottom" textRotation="0" wrapText="false" indent="0" shrinkToFit="false"/>
      <protection locked="true" hidden="false"/>
    </xf>
    <xf numFmtId="172" fontId="41" fillId="14" borderId="58" xfId="0" applyFont="true" applyBorder="true" applyAlignment="false" applyProtection="true">
      <alignment horizontal="general" vertical="bottom" textRotation="0" wrapText="false" indent="0" shrinkToFit="false"/>
      <protection locked="false" hidden="false"/>
    </xf>
    <xf numFmtId="198" fontId="41" fillId="14" borderId="60" xfId="0" applyFont="true" applyBorder="true" applyAlignment="false" applyProtection="false">
      <alignment horizontal="general" vertical="bottom" textRotation="0" wrapText="false" indent="0" shrinkToFit="false"/>
      <protection locked="true" hidden="false"/>
    </xf>
    <xf numFmtId="200" fontId="41" fillId="14" borderId="60" xfId="0" applyFont="true" applyBorder="true" applyAlignment="false" applyProtection="false">
      <alignment horizontal="general" vertical="bottom" textRotation="0" wrapText="false" indent="0" shrinkToFit="false"/>
      <protection locked="true" hidden="false"/>
    </xf>
    <xf numFmtId="172" fontId="41" fillId="14" borderId="60" xfId="0" applyFont="true" applyBorder="true" applyAlignment="false" applyProtection="false">
      <alignment horizontal="general" vertical="bottom" textRotation="0" wrapText="false" indent="0" shrinkToFit="false"/>
      <protection locked="true" hidden="false"/>
    </xf>
    <xf numFmtId="179" fontId="86" fillId="0" borderId="0" xfId="0" applyFont="true" applyBorder="false" applyAlignment="false" applyProtection="false">
      <alignment horizontal="general" vertical="bottom" textRotation="0" wrapText="false" indent="0" shrinkToFit="false"/>
      <protection locked="true" hidden="false"/>
    </xf>
    <xf numFmtId="164" fontId="71" fillId="0" borderId="0" xfId="0" applyFont="true" applyBorder="false" applyAlignment="false" applyProtection="false">
      <alignment horizontal="general" vertical="bottom" textRotation="0" wrapText="false" indent="0" shrinkToFit="false"/>
      <protection locked="true" hidden="false"/>
    </xf>
    <xf numFmtId="172" fontId="41" fillId="15" borderId="54" xfId="0" applyFont="true" applyBorder="true" applyAlignment="false" applyProtection="true">
      <alignment horizontal="general" vertical="bottom" textRotation="0" wrapText="false" indent="0" shrinkToFit="false"/>
      <protection locked="false" hidden="false"/>
    </xf>
    <xf numFmtId="164" fontId="41" fillId="14" borderId="54" xfId="0" applyFont="true" applyBorder="true" applyAlignment="false" applyProtection="false">
      <alignment horizontal="general" vertical="bottom" textRotation="0" wrapText="false" indent="0" shrinkToFit="false"/>
      <protection locked="true" hidden="false"/>
    </xf>
    <xf numFmtId="172" fontId="41" fillId="14" borderId="54" xfId="0" applyFont="true" applyBorder="true" applyAlignment="false" applyProtection="false">
      <alignment horizontal="general" vertical="bottom" textRotation="0" wrapText="false" indent="0" shrinkToFit="false"/>
      <protection locked="true" hidden="false"/>
    </xf>
    <xf numFmtId="164" fontId="41" fillId="15" borderId="54" xfId="0" applyFont="true" applyBorder="true" applyAlignment="false" applyProtection="true">
      <alignment horizontal="general" vertical="bottom" textRotation="0" wrapText="false" indent="0" shrinkToFit="false"/>
      <protection locked="false" hidden="false"/>
    </xf>
    <xf numFmtId="164" fontId="71" fillId="0" borderId="0" xfId="0" applyFont="true" applyBorder="false" applyAlignment="true" applyProtection="false">
      <alignment horizontal="center" vertical="bottom" textRotation="0" wrapText="false" indent="0" shrinkToFit="false"/>
      <protection locked="true" hidden="false"/>
    </xf>
    <xf numFmtId="172" fontId="41" fillId="14" borderId="63" xfId="0" applyFont="true" applyBorder="true" applyAlignment="false" applyProtection="false">
      <alignment horizontal="general" vertical="bottom" textRotation="0" wrapText="false" indent="0" shrinkToFit="false"/>
      <protection locked="true" hidden="false"/>
    </xf>
    <xf numFmtId="164" fontId="87" fillId="0" borderId="0" xfId="0" applyFont="true" applyBorder="false" applyAlignment="false" applyProtection="false">
      <alignment horizontal="general" vertical="bottom" textRotation="0" wrapText="false" indent="0" shrinkToFit="false"/>
      <protection locked="true" hidden="false"/>
    </xf>
    <xf numFmtId="172" fontId="71" fillId="0" borderId="0" xfId="0" applyFont="true" applyBorder="false" applyAlignment="false" applyProtection="false">
      <alignment horizontal="general" vertical="bottom" textRotation="0" wrapText="false" indent="0" shrinkToFit="false"/>
      <protection locked="true" hidden="false"/>
    </xf>
    <xf numFmtId="164" fontId="24" fillId="14" borderId="58" xfId="0" applyFont="true" applyBorder="true" applyAlignment="true" applyProtection="true">
      <alignment horizontal="center" vertical="bottom" textRotation="0" wrapText="false" indent="0" shrinkToFit="false"/>
      <protection locked="false" hidden="false"/>
    </xf>
    <xf numFmtId="164" fontId="41" fillId="14" borderId="54" xfId="0" applyFont="true" applyBorder="true" applyAlignment="true" applyProtection="false">
      <alignment horizontal="center" vertical="bottom" textRotation="0" wrapText="false" indent="0" shrinkToFit="false"/>
      <protection locked="true" hidden="false"/>
    </xf>
    <xf numFmtId="164" fontId="75" fillId="0" borderId="0" xfId="0" applyFont="true" applyBorder="false" applyAlignment="true" applyProtection="false">
      <alignment horizontal="left" vertical="bottom" textRotation="0" wrapText="false" indent="0" shrinkToFit="false"/>
      <protection locked="true" hidden="false"/>
    </xf>
    <xf numFmtId="164" fontId="57" fillId="0" borderId="131" xfId="0" applyFont="true" applyBorder="true" applyAlignment="false" applyProtection="false">
      <alignment horizontal="general" vertical="bottom" textRotation="0" wrapText="false" indent="0" shrinkToFit="false"/>
      <protection locked="true" hidden="false"/>
    </xf>
    <xf numFmtId="164" fontId="41" fillId="0" borderId="62" xfId="0" applyFont="true" applyBorder="true" applyAlignment="false" applyProtection="false">
      <alignment horizontal="general" vertical="bottom" textRotation="0" wrapText="false" indent="0" shrinkToFit="false"/>
      <protection locked="true" hidden="false"/>
    </xf>
    <xf numFmtId="172" fontId="41" fillId="14" borderId="132" xfId="0" applyFont="true" applyBorder="true" applyAlignment="false" applyProtection="false">
      <alignment horizontal="general" vertical="bottom" textRotation="0" wrapText="false" indent="0" shrinkToFit="false"/>
      <protection locked="true" hidden="false"/>
    </xf>
    <xf numFmtId="164" fontId="57" fillId="0" borderId="121" xfId="0" applyFont="true" applyBorder="true" applyAlignment="false" applyProtection="false">
      <alignment horizontal="general" vertical="bottom" textRotation="0" wrapText="false" indent="0" shrinkToFit="false"/>
      <protection locked="true" hidden="false"/>
    </xf>
    <xf numFmtId="172" fontId="41" fillId="14" borderId="133" xfId="0" applyFont="true" applyBorder="true" applyAlignment="false" applyProtection="false">
      <alignment horizontal="general" vertical="bottom" textRotation="0" wrapText="false" indent="0" shrinkToFit="false"/>
      <protection locked="true" hidden="false"/>
    </xf>
    <xf numFmtId="172" fontId="41" fillId="14" borderId="134" xfId="0" applyFont="true" applyBorder="true" applyAlignment="false" applyProtection="false">
      <alignment horizontal="general" vertical="bottom" textRotation="0" wrapText="false" indent="0" shrinkToFit="false"/>
      <protection locked="true" hidden="false"/>
    </xf>
    <xf numFmtId="164" fontId="41" fillId="0" borderId="118" xfId="0" applyFont="true" applyBorder="true" applyAlignment="false" applyProtection="false">
      <alignment horizontal="general" vertical="bottom" textRotation="0" wrapText="false" indent="0" shrinkToFit="false"/>
      <protection locked="true" hidden="false"/>
    </xf>
    <xf numFmtId="164" fontId="41" fillId="0" borderId="15" xfId="0" applyFont="true" applyBorder="true" applyAlignment="false" applyProtection="false">
      <alignment horizontal="general" vertical="bottom" textRotation="0" wrapText="false" indent="0" shrinkToFit="false"/>
      <protection locked="true" hidden="false"/>
    </xf>
    <xf numFmtId="164" fontId="41" fillId="0" borderId="135" xfId="0" applyFont="true" applyBorder="true" applyAlignment="false" applyProtection="false">
      <alignment horizontal="general" vertical="bottom" textRotation="0" wrapText="false" indent="0" shrinkToFit="false"/>
      <protection locked="true" hidden="false"/>
    </xf>
    <xf numFmtId="164" fontId="41" fillId="0" borderId="107" xfId="0" applyFont="true" applyBorder="true" applyAlignment="false" applyProtection="false">
      <alignment horizontal="general" vertical="bottom" textRotation="0" wrapText="false" indent="0" shrinkToFit="false"/>
      <protection locked="true" hidden="false"/>
    </xf>
    <xf numFmtId="164" fontId="41" fillId="0" borderId="109" xfId="0" applyFont="true" applyBorder="true" applyAlignment="false" applyProtection="false">
      <alignment horizontal="general" vertical="bottom" textRotation="0" wrapText="false" indent="0" shrinkToFit="false"/>
      <protection locked="true" hidden="false"/>
    </xf>
    <xf numFmtId="164" fontId="41" fillId="0" borderId="110" xfId="0" applyFont="true" applyBorder="true" applyAlignment="fals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center" vertical="center" textRotation="0" wrapText="false" indent="0" shrinkToFit="false"/>
      <protection locked="true" hidden="false"/>
    </xf>
    <xf numFmtId="164" fontId="57" fillId="0" borderId="0" xfId="159" applyFont="true" applyBorder="false" applyAlignment="false" applyProtection="false">
      <alignment horizontal="general" vertical="bottom" textRotation="0" wrapText="false" indent="0" shrinkToFit="false"/>
      <protection locked="true" hidden="false"/>
    </xf>
    <xf numFmtId="164" fontId="57" fillId="0" borderId="0" xfId="159" applyFont="true" applyBorder="false" applyAlignment="true" applyProtection="false">
      <alignment horizontal="center" vertical="bottom" textRotation="0" wrapText="false" indent="0" shrinkToFit="false"/>
      <protection locked="true" hidden="false"/>
    </xf>
    <xf numFmtId="173" fontId="24" fillId="14" borderId="54" xfId="159" applyFont="true" applyBorder="true" applyAlignment="false" applyProtection="true">
      <alignment horizontal="general" vertical="bottom" textRotation="0" wrapText="false" indent="0" shrinkToFit="false"/>
      <protection locked="false" hidden="false"/>
    </xf>
    <xf numFmtId="173" fontId="57" fillId="0" borderId="0" xfId="159" applyFont="true" applyBorder="true" applyAlignment="false" applyProtection="false">
      <alignment horizontal="general" vertical="bottom" textRotation="0" wrapText="false" indent="0" shrinkToFit="false"/>
      <protection locked="true" hidden="false"/>
    </xf>
    <xf numFmtId="173" fontId="24" fillId="17" borderId="54" xfId="159" applyFont="true" applyBorder="true" applyAlignment="true" applyProtection="true">
      <alignment horizontal="center" vertical="bottom" textRotation="0" wrapText="false" indent="0" shrinkToFit="false"/>
      <protection locked="false" hidden="false"/>
    </xf>
    <xf numFmtId="164" fontId="24" fillId="0" borderId="0" xfId="159" applyFont="true" applyBorder="true" applyAlignment="true" applyProtection="false">
      <alignment horizontal="general" vertical="bottom" textRotation="0" wrapText="true" indent="0" shrinkToFit="false"/>
      <protection locked="true" hidden="false"/>
    </xf>
    <xf numFmtId="173" fontId="57" fillId="0" borderId="0" xfId="159" applyFont="true" applyBorder="false" applyAlignment="false" applyProtection="false">
      <alignment horizontal="general" vertical="bottom" textRotation="0" wrapText="false" indent="0" shrinkToFit="false"/>
      <protection locked="true" hidden="false"/>
    </xf>
    <xf numFmtId="173" fontId="24" fillId="15" borderId="54" xfId="159" applyFont="true" applyBorder="true" applyAlignment="false" applyProtection="true">
      <alignment horizontal="general" vertical="bottom" textRotation="0" wrapText="false" indent="0" shrinkToFit="false"/>
      <protection locked="false" hidden="false"/>
    </xf>
    <xf numFmtId="164" fontId="24" fillId="0" borderId="61" xfId="159" applyFont="true" applyBorder="true" applyAlignment="false" applyProtection="false">
      <alignment horizontal="general" vertical="bottom" textRotation="0" wrapText="false" indent="0" shrinkToFit="false"/>
      <protection locked="true" hidden="false"/>
    </xf>
    <xf numFmtId="164" fontId="24" fillId="0" borderId="44" xfId="159" applyFont="true" applyBorder="true" applyAlignment="true" applyProtection="false">
      <alignment horizontal="center" vertical="bottom" textRotation="0" wrapText="false" indent="0" shrinkToFit="false"/>
      <protection locked="true" hidden="false"/>
    </xf>
    <xf numFmtId="173" fontId="24" fillId="14" borderId="87" xfId="159" applyFont="true" applyBorder="true" applyAlignment="false" applyProtection="false">
      <alignment horizontal="general" vertical="bottom" textRotation="0" wrapText="false" indent="0" shrinkToFit="false"/>
      <protection locked="true" hidden="false"/>
    </xf>
    <xf numFmtId="164" fontId="24" fillId="0" borderId="55" xfId="159" applyFont="true" applyBorder="true" applyAlignment="false" applyProtection="false">
      <alignment horizontal="general" vertical="bottom" textRotation="0" wrapText="false" indent="0" shrinkToFit="false"/>
      <protection locked="true" hidden="false"/>
    </xf>
    <xf numFmtId="164" fontId="24" fillId="0" borderId="40" xfId="159" applyFont="true" applyBorder="true" applyAlignment="true" applyProtection="false">
      <alignment horizontal="center" vertical="bottom" textRotation="0" wrapText="false" indent="0" shrinkToFit="false"/>
      <protection locked="true" hidden="false"/>
    </xf>
    <xf numFmtId="173" fontId="24" fillId="14" borderId="56" xfId="159" applyFont="true" applyBorder="true" applyAlignment="false" applyProtection="true">
      <alignment horizontal="general" vertical="bottom" textRotation="0" wrapText="false" indent="0" shrinkToFit="false"/>
      <protection locked="false" hidden="false"/>
    </xf>
    <xf numFmtId="173" fontId="24" fillId="14" borderId="56" xfId="159" applyFont="true" applyBorder="true" applyAlignment="false" applyProtection="false">
      <alignment horizontal="general" vertical="bottom" textRotation="0" wrapText="false" indent="0" shrinkToFit="false"/>
      <protection locked="true" hidden="false"/>
    </xf>
    <xf numFmtId="173" fontId="24" fillId="15" borderId="56" xfId="159" applyFont="true" applyBorder="true" applyAlignment="false" applyProtection="true">
      <alignment horizontal="general" vertical="bottom" textRotation="0" wrapText="false" indent="0" shrinkToFit="false"/>
      <protection locked="false" hidden="false"/>
    </xf>
    <xf numFmtId="164" fontId="24" fillId="15" borderId="40" xfId="159" applyFont="true" applyBorder="true" applyAlignment="true" applyProtection="true">
      <alignment horizontal="center" vertical="bottom" textRotation="0" wrapText="false" indent="0" shrinkToFit="false"/>
      <protection locked="false" hidden="false"/>
    </xf>
    <xf numFmtId="194" fontId="24" fillId="15" borderId="56" xfId="159" applyFont="true" applyBorder="true" applyAlignment="false" applyProtection="true">
      <alignment horizontal="general" vertical="bottom" textRotation="0" wrapText="false" indent="0" shrinkToFit="false"/>
      <protection locked="false" hidden="false"/>
    </xf>
    <xf numFmtId="164" fontId="24" fillId="0" borderId="57" xfId="159" applyFont="true" applyBorder="true" applyAlignment="false" applyProtection="false">
      <alignment horizontal="general" vertical="bottom" textRotation="0" wrapText="false" indent="0" shrinkToFit="false"/>
      <protection locked="true" hidden="false"/>
    </xf>
    <xf numFmtId="164" fontId="24" fillId="15" borderId="58" xfId="159" applyFont="true" applyBorder="true" applyAlignment="true" applyProtection="true">
      <alignment horizontal="center" vertical="bottom" textRotation="0" wrapText="false" indent="0" shrinkToFit="false"/>
      <protection locked="false" hidden="false"/>
    </xf>
    <xf numFmtId="173" fontId="24" fillId="15" borderId="59" xfId="159" applyFont="true" applyBorder="true" applyAlignment="false" applyProtection="true">
      <alignment horizontal="general" vertical="bottom" textRotation="0" wrapText="false" indent="0" shrinkToFit="false"/>
      <protection locked="false" hidden="false"/>
    </xf>
    <xf numFmtId="173" fontId="24" fillId="14" borderId="119" xfId="159" applyFont="true" applyBorder="true" applyAlignment="false" applyProtection="false">
      <alignment horizontal="general" vertical="bottom" textRotation="0" wrapText="false" indent="0" shrinkToFit="false"/>
      <protection locked="true" hidden="false"/>
    </xf>
    <xf numFmtId="173" fontId="24" fillId="14" borderId="54" xfId="159" applyFont="true" applyBorder="true" applyAlignment="false" applyProtection="false">
      <alignment horizontal="general" vertical="bottom" textRotation="0" wrapText="false" indent="0" shrinkToFit="false"/>
      <protection locked="true" hidden="false"/>
    </xf>
    <xf numFmtId="164" fontId="88" fillId="0" borderId="0" xfId="159" applyFont="true" applyBorder="false" applyAlignment="false" applyProtection="false">
      <alignment horizontal="general" vertical="bottom" textRotation="0" wrapText="false" indent="0" shrinkToFit="false"/>
      <protection locked="true" hidden="false"/>
    </xf>
    <xf numFmtId="179" fontId="24" fillId="15" borderId="44" xfId="159" applyFont="true" applyBorder="true" applyAlignment="false" applyProtection="true">
      <alignment horizontal="general" vertical="bottom" textRotation="0" wrapText="false" indent="0" shrinkToFit="false"/>
      <protection locked="false" hidden="false"/>
    </xf>
    <xf numFmtId="164" fontId="24" fillId="15" borderId="44" xfId="159" applyFont="true" applyBorder="true" applyAlignment="true" applyProtection="true">
      <alignment horizontal="center" vertical="bottom" textRotation="0" wrapText="false" indent="0" shrinkToFit="false"/>
      <protection locked="false" hidden="false"/>
    </xf>
    <xf numFmtId="180" fontId="24" fillId="15" borderId="87" xfId="159" applyFont="true" applyBorder="true" applyAlignment="false" applyProtection="true">
      <alignment horizontal="general" vertical="bottom" textRotation="0" wrapText="false" indent="0" shrinkToFit="false"/>
      <protection locked="false" hidden="false"/>
    </xf>
    <xf numFmtId="179" fontId="24" fillId="15" borderId="40" xfId="159" applyFont="true" applyBorder="true" applyAlignment="false" applyProtection="true">
      <alignment horizontal="general" vertical="bottom" textRotation="0" wrapText="false" indent="0" shrinkToFit="false"/>
      <protection locked="false" hidden="false"/>
    </xf>
    <xf numFmtId="180" fontId="24" fillId="15" borderId="56" xfId="159" applyFont="true" applyBorder="true" applyAlignment="false" applyProtection="true">
      <alignment horizontal="general" vertical="bottom" textRotation="0" wrapText="false" indent="0" shrinkToFit="false"/>
      <protection locked="false" hidden="false"/>
    </xf>
    <xf numFmtId="201" fontId="24" fillId="0" borderId="0" xfId="159" applyFont="true" applyBorder="false" applyAlignment="false" applyProtection="false">
      <alignment horizontal="general" vertical="bottom" textRotation="0" wrapText="false" indent="0" shrinkToFit="false"/>
      <protection locked="true" hidden="false"/>
    </xf>
    <xf numFmtId="164" fontId="24" fillId="15" borderId="55" xfId="159" applyFont="true" applyBorder="true" applyAlignment="false" applyProtection="true">
      <alignment horizontal="general" vertical="bottom" textRotation="0" wrapText="false" indent="0" shrinkToFit="false"/>
      <protection locked="false" hidden="false"/>
    </xf>
    <xf numFmtId="179" fontId="24" fillId="15" borderId="58" xfId="159" applyFont="true" applyBorder="true" applyAlignment="false" applyProtection="true">
      <alignment horizontal="general" vertical="bottom" textRotation="0" wrapText="false" indent="0" shrinkToFit="false"/>
      <protection locked="false" hidden="false"/>
    </xf>
    <xf numFmtId="173" fontId="24" fillId="14" borderId="122" xfId="159" applyFont="true" applyBorder="true" applyAlignment="false" applyProtection="false">
      <alignment horizontal="general" vertical="bottom" textRotation="0" wrapText="false" indent="0" shrinkToFit="false"/>
      <protection locked="true" hidden="false"/>
    </xf>
    <xf numFmtId="173" fontId="24" fillId="15" borderId="95" xfId="159" applyFont="true" applyBorder="true" applyAlignment="false" applyProtection="true">
      <alignment horizontal="general" vertical="bottom" textRotation="0" wrapText="false" indent="0" shrinkToFit="false"/>
      <protection locked="false" hidden="false"/>
    </xf>
    <xf numFmtId="164" fontId="24" fillId="15" borderId="61" xfId="159" applyFont="true" applyBorder="true" applyAlignment="false" applyProtection="true">
      <alignment horizontal="general" vertical="bottom" textRotation="0" wrapText="false" indent="0" shrinkToFit="false"/>
      <protection locked="false" hidden="false"/>
    </xf>
    <xf numFmtId="173" fontId="24" fillId="15" borderId="87" xfId="159" applyFont="true" applyBorder="true" applyAlignment="false" applyProtection="true">
      <alignment horizontal="general" vertical="bottom" textRotation="0" wrapText="false" indent="0" shrinkToFit="false"/>
      <protection locked="false" hidden="false"/>
    </xf>
    <xf numFmtId="164" fontId="24" fillId="15" borderId="57" xfId="159" applyFont="true" applyBorder="true" applyAlignment="false" applyProtection="true">
      <alignment horizontal="general" vertical="bottom" textRotation="0" wrapText="false" indent="0" shrinkToFit="false"/>
      <protection locked="false" hidden="false"/>
    </xf>
    <xf numFmtId="173" fontId="24" fillId="14" borderId="95" xfId="159" applyFont="true" applyBorder="true" applyAlignment="false" applyProtection="false">
      <alignment horizontal="general" vertical="bottom" textRotation="0" wrapText="false" indent="0" shrinkToFit="false"/>
      <protection locked="true" hidden="false"/>
    </xf>
    <xf numFmtId="172" fontId="57" fillId="0" borderId="0" xfId="159" applyFont="true" applyBorder="true" applyAlignment="false" applyProtection="false">
      <alignment horizontal="general" vertical="bottom" textRotation="0" wrapText="false" indent="0" shrinkToFit="false"/>
      <protection locked="true" hidden="false"/>
    </xf>
    <xf numFmtId="164" fontId="57" fillId="0" borderId="65" xfId="159" applyFont="true" applyBorder="true" applyAlignment="false" applyProtection="false">
      <alignment horizontal="general" vertical="bottom" textRotation="0" wrapText="false" indent="0" shrinkToFit="false"/>
      <protection locked="true" hidden="false"/>
    </xf>
    <xf numFmtId="173" fontId="24" fillId="14" borderId="66" xfId="159" applyFont="true" applyBorder="true" applyAlignment="false" applyProtection="false">
      <alignment horizontal="general" vertical="bottom" textRotation="0" wrapText="false" indent="0" shrinkToFit="false"/>
      <protection locked="true" hidden="false"/>
    </xf>
    <xf numFmtId="164" fontId="57" fillId="0" borderId="68" xfId="159" applyFont="true" applyBorder="true" applyAlignment="false" applyProtection="false">
      <alignment horizontal="general" vertical="bottom" textRotation="0" wrapText="false" indent="0" shrinkToFit="false"/>
      <protection locked="true" hidden="false"/>
    </xf>
    <xf numFmtId="173" fontId="24" fillId="0" borderId="69" xfId="159" applyFont="true" applyBorder="true" applyAlignment="false" applyProtection="false">
      <alignment horizontal="general" vertical="bottom" textRotation="0" wrapText="false" indent="0" shrinkToFit="false"/>
      <protection locked="true" hidden="false"/>
    </xf>
    <xf numFmtId="164" fontId="57" fillId="0" borderId="71" xfId="159" applyFont="true" applyBorder="true" applyAlignment="false" applyProtection="false">
      <alignment horizontal="general" vertical="bottom" textRotation="0" wrapText="false" indent="0" shrinkToFit="false"/>
      <protection locked="true" hidden="false"/>
    </xf>
    <xf numFmtId="173" fontId="24" fillId="14" borderId="72" xfId="159" applyFont="true" applyBorder="true" applyAlignment="false" applyProtection="false">
      <alignment horizontal="general" vertical="bottom" textRotation="0" wrapText="false" indent="0" shrinkToFit="false"/>
      <protection locked="true" hidden="false"/>
    </xf>
    <xf numFmtId="172" fontId="57" fillId="0" borderId="0" xfId="159" applyFont="true" applyBorder="false" applyAlignment="false" applyProtection="false">
      <alignment horizontal="general" vertical="bottom" textRotation="0" wrapText="false" indent="0" shrinkToFit="false"/>
      <protection locked="true" hidden="false"/>
    </xf>
    <xf numFmtId="164" fontId="53" fillId="0" borderId="0" xfId="166" applyFont="true" applyBorder="false" applyAlignment="true" applyProtection="false">
      <alignment horizontal="general" vertical="center" textRotation="0" wrapText="false" indent="0" shrinkToFit="false"/>
      <protection locked="true" hidden="false"/>
    </xf>
    <xf numFmtId="164" fontId="24" fillId="0" borderId="0" xfId="166" applyFont="true" applyBorder="false" applyAlignment="true" applyProtection="false">
      <alignment horizontal="general" vertical="center" textRotation="0" wrapText="false" indent="0" shrinkToFit="false"/>
      <protection locked="true" hidden="false"/>
    </xf>
    <xf numFmtId="164" fontId="89" fillId="0" borderId="0" xfId="212" applyFont="true" applyBorder="true" applyAlignment="true" applyProtection="false">
      <alignment horizontal="center" vertical="center" textRotation="0" wrapText="false" indent="0" shrinkToFit="false"/>
      <protection locked="true" hidden="false"/>
    </xf>
    <xf numFmtId="177" fontId="90" fillId="13" borderId="54" xfId="104" applyFont="true" applyBorder="true" applyAlignment="true" applyProtection="true">
      <alignment horizontal="center" vertical="center" textRotation="0" wrapText="false" indent="0" shrinkToFit="false"/>
      <protection locked="false" hidden="false"/>
    </xf>
    <xf numFmtId="164" fontId="46" fillId="0" borderId="54" xfId="166" applyFont="true" applyBorder="true" applyAlignment="true" applyProtection="false">
      <alignment horizontal="center" vertical="center" textRotation="0" wrapText="false" indent="0" shrinkToFit="false"/>
      <protection locked="true" hidden="false"/>
    </xf>
    <xf numFmtId="164" fontId="46" fillId="0" borderId="54" xfId="166" applyFont="true" applyBorder="true" applyAlignment="true" applyProtection="false">
      <alignment horizontal="right" vertical="center" textRotation="0" wrapText="false" indent="0" shrinkToFit="false"/>
      <protection locked="true" hidden="false"/>
    </xf>
    <xf numFmtId="164" fontId="53" fillId="0" borderId="54" xfId="166" applyFont="true" applyBorder="true" applyAlignment="true" applyProtection="false">
      <alignment horizontal="center" vertical="center" textRotation="0" wrapText="false" indent="0" shrinkToFit="false"/>
      <protection locked="true" hidden="false"/>
    </xf>
    <xf numFmtId="175" fontId="53" fillId="23" borderId="54" xfId="94" applyFont="true" applyBorder="true" applyAlignment="true" applyProtection="true">
      <alignment horizontal="general" vertical="center" textRotation="0" wrapText="false" indent="0" shrinkToFit="false"/>
      <protection locked="true" hidden="false"/>
    </xf>
    <xf numFmtId="164" fontId="46" fillId="0" borderId="54" xfId="166" applyFont="true" applyBorder="true" applyAlignment="true" applyProtection="false">
      <alignment horizontal="left" vertical="center" textRotation="0" wrapText="false" indent="0" shrinkToFit="false"/>
      <protection locked="true" hidden="false"/>
    </xf>
    <xf numFmtId="164" fontId="53" fillId="0" borderId="54" xfId="166" applyFont="true" applyBorder="true" applyAlignment="true" applyProtection="false">
      <alignment horizontal="general" vertical="center" textRotation="0" wrapText="false" indent="0" shrinkToFit="false"/>
      <protection locked="true" hidden="false"/>
    </xf>
    <xf numFmtId="184" fontId="53" fillId="14" borderId="54" xfId="166" applyFont="true" applyBorder="true" applyAlignment="true" applyProtection="false">
      <alignment horizontal="center" vertical="center" textRotation="0" wrapText="false" indent="0" shrinkToFit="false"/>
      <protection locked="true" hidden="false"/>
    </xf>
    <xf numFmtId="164" fontId="53" fillId="0" borderId="54" xfId="166" applyFont="true" applyBorder="true" applyAlignment="true" applyProtection="false">
      <alignment horizontal="left" vertical="center" textRotation="0" wrapText="false" indent="0" shrinkToFit="false"/>
      <protection locked="true" hidden="false"/>
    </xf>
    <xf numFmtId="175" fontId="53" fillId="14" borderId="54" xfId="94" applyFont="true" applyBorder="true" applyAlignment="true" applyProtection="true">
      <alignment horizontal="center" vertical="center" textRotation="0" wrapText="false" indent="0" shrinkToFit="false"/>
      <protection locked="true" hidden="false"/>
    </xf>
    <xf numFmtId="175" fontId="53" fillId="14" borderId="54" xfId="166" applyFont="true" applyBorder="true" applyAlignment="true" applyProtection="false">
      <alignment horizontal="general" vertical="center" textRotation="0" wrapText="false" indent="0" shrinkToFit="false"/>
      <protection locked="true" hidden="false"/>
    </xf>
    <xf numFmtId="175" fontId="53" fillId="14" borderId="54" xfId="94" applyFont="true" applyBorder="true" applyAlignment="true" applyProtection="true">
      <alignment horizontal="general" vertical="center" textRotation="0" wrapText="false" indent="0" shrinkToFit="false"/>
      <protection locked="true" hidden="false"/>
    </xf>
    <xf numFmtId="164" fontId="53" fillId="0" borderId="73" xfId="166" applyFont="true" applyBorder="true" applyAlignment="true" applyProtection="false">
      <alignment horizontal="left" vertical="center" textRotation="0" wrapText="false" indent="0" shrinkToFit="false"/>
      <protection locked="true" hidden="false"/>
    </xf>
    <xf numFmtId="164" fontId="53" fillId="0" borderId="109" xfId="166" applyFont="true" applyBorder="true" applyAlignment="true" applyProtection="false">
      <alignment horizontal="left" vertical="center" textRotation="0" wrapText="false" indent="0" shrinkToFit="false"/>
      <protection locked="true" hidden="false"/>
    </xf>
    <xf numFmtId="164" fontId="53" fillId="0" borderId="68" xfId="166" applyFont="true" applyBorder="true" applyAlignment="true" applyProtection="false">
      <alignment horizontal="left" vertical="center" textRotation="0" wrapText="false" indent="0" shrinkToFit="false"/>
      <protection locked="true" hidden="false"/>
    </xf>
    <xf numFmtId="164" fontId="53" fillId="23" borderId="54" xfId="166" applyFont="true" applyBorder="true" applyAlignment="true" applyProtection="false">
      <alignment horizontal="left" vertical="center" textRotation="0" wrapText="false" indent="0" shrinkToFit="false"/>
      <protection locked="true" hidden="false"/>
    </xf>
    <xf numFmtId="179" fontId="53" fillId="0" borderId="0" xfId="166" applyFont="true" applyBorder="false" applyAlignment="true" applyProtection="false">
      <alignment horizontal="general" vertical="center" textRotation="0" wrapText="false" indent="0" shrinkToFit="false"/>
      <protection locked="true" hidden="false"/>
    </xf>
    <xf numFmtId="202" fontId="53" fillId="23" borderId="54" xfId="94" applyFont="true" applyBorder="true" applyAlignment="true" applyProtection="true">
      <alignment horizontal="general" vertical="center" textRotation="0" wrapText="false" indent="0" shrinkToFit="false"/>
      <protection locked="true" hidden="false"/>
    </xf>
    <xf numFmtId="175" fontId="46" fillId="14" borderId="54" xfId="166" applyFont="true" applyBorder="true" applyAlignment="true" applyProtection="false">
      <alignment horizontal="general" vertical="center" textRotation="0" wrapText="false" indent="0" shrinkToFit="false"/>
      <protection locked="true" hidden="false"/>
    </xf>
    <xf numFmtId="164" fontId="46" fillId="0" borderId="54" xfId="166" applyFont="true" applyBorder="true" applyAlignment="true" applyProtection="false">
      <alignment horizontal="general" vertical="center" textRotation="0" wrapText="false" indent="0" shrinkToFit="false"/>
      <protection locked="true" hidden="false"/>
    </xf>
    <xf numFmtId="164" fontId="46" fillId="0" borderId="54" xfId="166" applyFont="true" applyBorder="true" applyAlignment="true" applyProtection="false">
      <alignment horizontal="center" vertical="center" textRotation="0" wrapText="true" indent="0" shrinkToFit="false"/>
      <protection locked="true" hidden="false"/>
    </xf>
    <xf numFmtId="167" fontId="53" fillId="0" borderId="54" xfId="220" applyFont="true" applyBorder="true" applyAlignment="true" applyProtection="true">
      <alignment horizontal="center" vertical="center" textRotation="0" wrapText="false" indent="0" shrinkToFit="false"/>
      <protection locked="true" hidden="false"/>
    </xf>
    <xf numFmtId="175" fontId="53" fillId="0" borderId="54" xfId="94" applyFont="true" applyBorder="true" applyAlignment="true" applyProtection="true">
      <alignment horizontal="center" vertical="center" textRotation="0" wrapText="false" indent="0" shrinkToFit="false"/>
      <protection locked="true" hidden="false"/>
    </xf>
    <xf numFmtId="202" fontId="53" fillId="0" borderId="54" xfId="94" applyFont="true" applyBorder="true" applyAlignment="true" applyProtection="true">
      <alignment horizontal="center" vertical="center" textRotation="0" wrapText="true" indent="0" shrinkToFit="false"/>
      <protection locked="true" hidden="false"/>
    </xf>
    <xf numFmtId="175" fontId="53" fillId="0" borderId="54" xfId="94" applyFont="true" applyBorder="true" applyAlignment="true" applyProtection="true">
      <alignment horizontal="center" vertical="center" textRotation="0" wrapText="true" indent="0" shrinkToFit="false"/>
      <protection locked="true" hidden="false"/>
    </xf>
    <xf numFmtId="164" fontId="46" fillId="0" borderId="0" xfId="166" applyFont="true" applyBorder="true" applyAlignment="true" applyProtection="false">
      <alignment horizontal="center" vertical="center" textRotation="0" wrapText="false" indent="0" shrinkToFit="false"/>
      <protection locked="true" hidden="false"/>
    </xf>
    <xf numFmtId="175" fontId="46" fillId="14" borderId="0" xfId="166" applyFont="true" applyBorder="false" applyAlignment="true" applyProtection="false">
      <alignment horizontal="general" vertical="center" textRotation="0" wrapText="false" indent="0" shrinkToFit="false"/>
      <protection locked="true" hidden="false"/>
    </xf>
    <xf numFmtId="175" fontId="53" fillId="24" borderId="54" xfId="94" applyFont="true" applyBorder="true" applyAlignment="true" applyProtection="true">
      <alignment horizontal="general" vertical="center" textRotation="0" wrapText="false" indent="0" shrinkToFit="false"/>
      <protection locked="true" hidden="false"/>
    </xf>
    <xf numFmtId="175" fontId="53" fillId="0" borderId="54" xfId="94" applyFont="true" applyBorder="true" applyAlignment="true" applyProtection="true">
      <alignment horizontal="general" vertical="center" textRotation="0" wrapText="false" indent="0" shrinkToFit="false"/>
      <protection locked="true" hidden="false"/>
    </xf>
    <xf numFmtId="164" fontId="46" fillId="0" borderId="0" xfId="166" applyFont="true" applyBorder="false" applyAlignment="true" applyProtection="false">
      <alignment horizontal="general" vertical="center" textRotation="0" wrapText="false" indent="0" shrinkToFit="false"/>
      <protection locked="true" hidden="false"/>
    </xf>
    <xf numFmtId="164" fontId="91" fillId="0" borderId="0" xfId="166" applyFont="true" applyBorder="false" applyAlignment="false" applyProtection="false">
      <alignment horizontal="general" vertical="bottom" textRotation="0" wrapText="false" indent="0" shrinkToFit="false"/>
      <protection locked="true" hidden="false"/>
    </xf>
    <xf numFmtId="177" fontId="92" fillId="13" borderId="54" xfId="104" applyFont="true" applyBorder="true" applyAlignment="true" applyProtection="true">
      <alignment horizontal="center" vertical="center" textRotation="0" wrapText="false" indent="0" shrinkToFit="false"/>
      <protection locked="false" hidden="false"/>
    </xf>
    <xf numFmtId="175" fontId="92" fillId="13" borderId="54" xfId="94" applyFont="true" applyBorder="true" applyAlignment="true" applyProtection="true">
      <alignment horizontal="center" vertical="center" textRotation="0" wrapText="false" indent="0" shrinkToFit="false"/>
      <protection locked="false" hidden="false"/>
    </xf>
    <xf numFmtId="164" fontId="53" fillId="0" borderId="73" xfId="166" applyFont="true" applyBorder="true" applyAlignment="true" applyProtection="false">
      <alignment horizontal="general" vertical="center" textRotation="0" wrapText="false" indent="0" shrinkToFit="false"/>
      <protection locked="true" hidden="false"/>
    </xf>
    <xf numFmtId="164" fontId="53" fillId="0" borderId="109" xfId="166" applyFont="true" applyBorder="true" applyAlignment="true" applyProtection="false">
      <alignment horizontal="general" vertical="center" textRotation="0" wrapText="false" indent="0" shrinkToFit="false"/>
      <protection locked="true" hidden="false"/>
    </xf>
    <xf numFmtId="174" fontId="0" fillId="23" borderId="0" xfId="15" applyFont="true" applyBorder="false" applyAlignment="false" applyProtection="false">
      <alignment horizontal="general" vertical="bottom" textRotation="0" wrapText="false" indent="0" shrinkToFit="false"/>
      <protection locked="true" hidden="false"/>
    </xf>
    <xf numFmtId="175" fontId="53" fillId="0" borderId="0" xfId="166" applyFont="true" applyBorder="false" applyAlignment="true" applyProtection="false">
      <alignment horizontal="general" vertical="center" textRotation="0" wrapText="false" indent="0" shrinkToFit="false"/>
      <protection locked="true" hidden="false"/>
    </xf>
    <xf numFmtId="174" fontId="0" fillId="23" borderId="54" xfId="15" applyFont="true" applyBorder="true" applyAlignment="false" applyProtection="false">
      <alignment horizontal="general" vertical="bottom" textRotation="0" wrapText="false" indent="0" shrinkToFit="false"/>
      <protection locked="true" hidden="false"/>
    </xf>
    <xf numFmtId="175" fontId="46" fillId="14" borderId="54" xfId="94" applyFont="true" applyBorder="true" applyAlignment="true" applyProtection="true">
      <alignment horizontal="general" vertical="center" textRotation="0" wrapText="false" indent="0" shrinkToFit="false"/>
      <protection locked="true" hidden="false"/>
    </xf>
    <xf numFmtId="175" fontId="53" fillId="0" borderId="0" xfId="94" applyFont="true" applyBorder="true" applyAlignment="true" applyProtection="true">
      <alignment horizontal="general" vertical="center" textRotation="0" wrapText="false" indent="0" shrinkToFit="false"/>
      <protection locked="true" hidden="false"/>
    </xf>
    <xf numFmtId="166" fontId="24" fillId="0" borderId="0" xfId="159" applyFont="true" applyBorder="false" applyAlignment="false" applyProtection="false">
      <alignment horizontal="general" vertical="bottom" textRotation="0" wrapText="false" indent="0" shrinkToFit="false"/>
      <protection locked="true" hidden="false"/>
    </xf>
    <xf numFmtId="164" fontId="63" fillId="0" borderId="0" xfId="159" applyFont="true" applyBorder="false" applyAlignment="true" applyProtection="false">
      <alignment horizontal="general" vertical="center" textRotation="0" wrapText="false" indent="0" shrinkToFit="false"/>
      <protection locked="true" hidden="false"/>
    </xf>
    <xf numFmtId="164" fontId="43" fillId="0" borderId="0" xfId="159" applyFont="true" applyBorder="false" applyAlignment="true" applyProtection="false">
      <alignment horizontal="general" vertical="center" textRotation="0" wrapText="false" indent="0" shrinkToFit="false"/>
      <protection locked="true" hidden="false"/>
    </xf>
    <xf numFmtId="164" fontId="59" fillId="0" borderId="0" xfId="212" applyFont="true" applyBorder="true" applyAlignment="true" applyProtection="false">
      <alignment horizontal="center" vertical="center" textRotation="0" wrapText="false" indent="0" shrinkToFit="false"/>
      <protection locked="true" hidden="false"/>
    </xf>
    <xf numFmtId="166" fontId="93" fillId="0" borderId="0" xfId="159" applyFont="true" applyBorder="false" applyAlignment="true" applyProtection="false">
      <alignment horizontal="right" vertical="bottom" textRotation="0" wrapText="false" indent="0" shrinkToFit="false"/>
      <protection locked="true" hidden="false"/>
    </xf>
    <xf numFmtId="166" fontId="82" fillId="0" borderId="0" xfId="159" applyFont="true" applyBorder="false" applyAlignment="false" applyProtection="false">
      <alignment horizontal="general" vertical="bottom" textRotation="0" wrapText="false" indent="0" shrinkToFit="false"/>
      <protection locked="true" hidden="false"/>
    </xf>
    <xf numFmtId="164" fontId="57" fillId="13" borderId="122" xfId="159" applyFont="true" applyBorder="true" applyAlignment="true" applyProtection="false">
      <alignment horizontal="left" vertical="center" textRotation="0" wrapText="true" indent="0" shrinkToFit="false"/>
      <protection locked="true" hidden="false"/>
    </xf>
    <xf numFmtId="164" fontId="57" fillId="13" borderId="122" xfId="159" applyFont="true" applyBorder="true" applyAlignment="true" applyProtection="false">
      <alignment horizontal="center" vertical="center" textRotation="0" wrapText="true" indent="0" shrinkToFit="false"/>
      <protection locked="true" hidden="false"/>
    </xf>
    <xf numFmtId="164" fontId="24" fillId="15" borderId="55" xfId="159" applyFont="true" applyBorder="true" applyAlignment="true" applyProtection="false">
      <alignment horizontal="general" vertical="center" textRotation="0" wrapText="false" indent="0" shrinkToFit="false"/>
      <protection locked="true" hidden="false"/>
    </xf>
    <xf numFmtId="186" fontId="24" fillId="15" borderId="40" xfId="159" applyFont="true" applyBorder="true" applyAlignment="true" applyProtection="false">
      <alignment horizontal="center" vertical="bottom" textRotation="0" wrapText="false" indent="0" shrinkToFit="false"/>
      <protection locked="true" hidden="false"/>
    </xf>
    <xf numFmtId="166" fontId="24" fillId="14" borderId="40" xfId="159" applyFont="true" applyBorder="true" applyAlignment="false" applyProtection="false">
      <alignment horizontal="general" vertical="bottom" textRotation="0" wrapText="false" indent="0" shrinkToFit="false"/>
      <protection locked="true" hidden="false"/>
    </xf>
    <xf numFmtId="166" fontId="57" fillId="14" borderId="40" xfId="159" applyFont="true" applyBorder="true" applyAlignment="false" applyProtection="false">
      <alignment horizontal="general" vertical="bottom" textRotation="0" wrapText="false" indent="0" shrinkToFit="false"/>
      <protection locked="true" hidden="false"/>
    </xf>
    <xf numFmtId="166" fontId="57" fillId="14" borderId="56" xfId="159" applyFont="true" applyBorder="true" applyAlignment="false" applyProtection="false">
      <alignment horizontal="general" vertical="bottom" textRotation="0" wrapText="false" indent="0" shrinkToFit="false"/>
      <protection locked="true" hidden="false"/>
    </xf>
    <xf numFmtId="164" fontId="24" fillId="0" borderId="40" xfId="159" applyFont="true" applyBorder="true" applyAlignment="false" applyProtection="false">
      <alignment horizontal="general" vertical="bottom" textRotation="0" wrapText="false" indent="0" shrinkToFit="false"/>
      <protection locked="true" hidden="false"/>
    </xf>
    <xf numFmtId="186" fontId="24" fillId="25" borderId="40" xfId="159" applyFont="true" applyBorder="true" applyAlignment="false" applyProtection="false">
      <alignment horizontal="general" vertical="bottom" textRotation="0" wrapText="false" indent="0" shrinkToFit="false"/>
      <protection locked="true" hidden="false"/>
    </xf>
    <xf numFmtId="186" fontId="24" fillId="25" borderId="40" xfId="159" applyFont="true" applyBorder="true" applyAlignment="true" applyProtection="false">
      <alignment horizontal="center" vertical="bottom" textRotation="0" wrapText="false" indent="0" shrinkToFit="false"/>
      <protection locked="true" hidden="false"/>
    </xf>
    <xf numFmtId="166" fontId="57" fillId="0" borderId="40" xfId="159" applyFont="true" applyBorder="true" applyAlignment="false" applyProtection="false">
      <alignment horizontal="general" vertical="bottom" textRotation="0" wrapText="false" indent="0" shrinkToFit="false"/>
      <protection locked="true" hidden="false"/>
    </xf>
    <xf numFmtId="166" fontId="57" fillId="0" borderId="56" xfId="159" applyFont="true" applyBorder="true" applyAlignment="false" applyProtection="false">
      <alignment horizontal="general" vertical="bottom" textRotation="0" wrapText="false" indent="0" shrinkToFit="false"/>
      <protection locked="true" hidden="false"/>
    </xf>
    <xf numFmtId="186" fontId="48" fillId="25" borderId="40" xfId="159" applyFont="true" applyBorder="true" applyAlignment="false" applyProtection="false">
      <alignment horizontal="general" vertical="bottom" textRotation="0" wrapText="false" indent="0" shrinkToFit="false"/>
      <protection locked="true" hidden="false"/>
    </xf>
    <xf numFmtId="186" fontId="41" fillId="25" borderId="40" xfId="159" applyFont="true" applyBorder="true" applyAlignment="true" applyProtection="false">
      <alignment horizontal="center" vertical="bottom" textRotation="0" wrapText="false" indent="0" shrinkToFit="false"/>
      <protection locked="true" hidden="false"/>
    </xf>
    <xf numFmtId="164" fontId="24" fillId="13" borderId="57" xfId="159" applyFont="true" applyBorder="true" applyAlignment="true" applyProtection="false">
      <alignment horizontal="center" vertical="bottom" textRotation="0" wrapText="false" indent="0" shrinkToFit="false"/>
      <protection locked="true" hidden="false"/>
    </xf>
    <xf numFmtId="186" fontId="24" fillId="14" borderId="58" xfId="159" applyFont="true" applyBorder="true" applyAlignment="true" applyProtection="false">
      <alignment horizontal="center" vertical="bottom" textRotation="0" wrapText="false" indent="0" shrinkToFit="false"/>
      <protection locked="true" hidden="false"/>
    </xf>
    <xf numFmtId="166" fontId="24" fillId="14" borderId="58" xfId="159" applyFont="true" applyBorder="true" applyAlignment="false" applyProtection="false">
      <alignment horizontal="general" vertical="bottom" textRotation="0" wrapText="false" indent="0" shrinkToFit="false"/>
      <protection locked="true" hidden="false"/>
    </xf>
    <xf numFmtId="186" fontId="24" fillId="14" borderId="58" xfId="159" applyFont="true" applyBorder="true" applyAlignment="false" applyProtection="false">
      <alignment horizontal="general" vertical="bottom" textRotation="0" wrapText="false" indent="0" shrinkToFit="false"/>
      <protection locked="true" hidden="false"/>
    </xf>
    <xf numFmtId="166" fontId="57" fillId="14" borderId="59" xfId="159" applyFont="true" applyBorder="true" applyAlignment="false" applyProtection="false">
      <alignment horizontal="general" vertical="bottom" textRotation="0" wrapText="false" indent="0" shrinkToFit="false"/>
      <protection locked="true" hidden="false"/>
    </xf>
    <xf numFmtId="164" fontId="59" fillId="0" borderId="0" xfId="159" applyFont="true" applyBorder="false" applyAlignment="true" applyProtection="false">
      <alignment horizontal="left" vertical="bottom" textRotation="0" wrapText="false" indent="0" shrinkToFit="false"/>
      <protection locked="true" hidden="false"/>
    </xf>
    <xf numFmtId="181" fontId="57" fillId="0" borderId="0" xfId="159" applyFont="true" applyBorder="false" applyAlignment="false" applyProtection="false">
      <alignment horizontal="general" vertical="bottom" textRotation="0" wrapText="false" indent="0" shrinkToFit="false"/>
      <protection locked="true" hidden="false"/>
    </xf>
    <xf numFmtId="166" fontId="57" fillId="0" borderId="0" xfId="159" applyFont="true" applyBorder="false" applyAlignment="false" applyProtection="false">
      <alignment horizontal="general" vertical="bottom" textRotation="0" wrapText="false" indent="0" shrinkToFit="false"/>
      <protection locked="true" hidden="false"/>
    </xf>
    <xf numFmtId="164" fontId="57" fillId="0" borderId="0" xfId="159" applyFont="true" applyBorder="false" applyAlignment="true" applyProtection="false">
      <alignment horizontal="right" vertical="bottom" textRotation="0" wrapText="false" indent="0" shrinkToFit="false"/>
      <protection locked="true" hidden="false"/>
    </xf>
    <xf numFmtId="181" fontId="57" fillId="14" borderId="0" xfId="159" applyFont="true" applyBorder="false" applyAlignment="true" applyProtection="false">
      <alignment horizontal="center" vertical="bottom" textRotation="0" wrapText="false" indent="0" shrinkToFit="false"/>
      <protection locked="true" hidden="false"/>
    </xf>
    <xf numFmtId="164" fontId="57" fillId="0" borderId="0" xfId="159" applyFont="true" applyBorder="false" applyAlignment="true" applyProtection="false">
      <alignment horizontal="left" vertical="bottom" textRotation="0" wrapText="false" indent="0" shrinkToFit="false"/>
      <protection locked="true" hidden="false"/>
    </xf>
    <xf numFmtId="166" fontId="57" fillId="0" borderId="0" xfId="105" applyFont="true" applyBorder="false" applyAlignment="false" applyProtection="false">
      <alignment horizontal="general" vertical="bottom" textRotation="0" wrapText="false" indent="0" shrinkToFit="false"/>
      <protection locked="true" hidden="false"/>
    </xf>
    <xf numFmtId="164" fontId="24" fillId="0" borderId="0" xfId="159" applyFont="true" applyBorder="false" applyAlignment="true" applyProtection="false">
      <alignment horizontal="right" vertical="bottom" textRotation="0" wrapText="false" indent="0" shrinkToFit="false"/>
      <protection locked="true" hidden="false"/>
    </xf>
    <xf numFmtId="179" fontId="24" fillId="0" borderId="0" xfId="159" applyFont="true" applyBorder="false" applyAlignment="false" applyProtection="false">
      <alignment horizontal="general" vertical="bottom" textRotation="0" wrapText="false" indent="0" shrinkToFit="false"/>
      <protection locked="true" hidden="false"/>
    </xf>
    <xf numFmtId="164" fontId="57" fillId="13" borderId="54" xfId="0" applyFont="true" applyBorder="true" applyAlignment="true" applyProtection="false">
      <alignment horizontal="left" vertical="center" textRotation="0" wrapText="false" indent="0" shrinkToFit="false"/>
      <protection locked="true" hidden="false"/>
    </xf>
    <xf numFmtId="203" fontId="57" fillId="13" borderId="54" xfId="0" applyFont="true" applyBorder="true" applyAlignment="true" applyProtection="false">
      <alignment horizontal="center" vertical="center" textRotation="0" wrapText="false" indent="0" shrinkToFit="false"/>
      <protection locked="true" hidden="false"/>
    </xf>
    <xf numFmtId="164" fontId="57" fillId="13" borderId="54" xfId="0" applyFont="true" applyBorder="true" applyAlignment="true" applyProtection="false">
      <alignment horizontal="center" vertical="center" textRotation="0" wrapText="false" indent="0" shrinkToFit="false"/>
      <protection locked="true" hidden="false"/>
    </xf>
    <xf numFmtId="172" fontId="24" fillId="14" borderId="87" xfId="0" applyFont="true" applyBorder="true" applyAlignment="false" applyProtection="false">
      <alignment horizontal="general" vertical="bottom" textRotation="0" wrapText="false" indent="0" shrinkToFit="false"/>
      <protection locked="true" hidden="false"/>
    </xf>
    <xf numFmtId="164" fontId="45" fillId="6" borderId="0" xfId="20" applyFont="true" applyBorder="false" applyAlignment="false" applyProtection="false">
      <alignment horizontal="general" vertical="bottom" textRotation="0" wrapText="false" indent="0" shrinkToFit="false"/>
      <protection locked="true" hidden="false"/>
    </xf>
    <xf numFmtId="164" fontId="24" fillId="6" borderId="0" xfId="159" applyFont="true" applyBorder="false" applyAlignment="false" applyProtection="false">
      <alignment horizontal="general" vertical="bottom" textRotation="0" wrapText="false" indent="0" shrinkToFit="false"/>
      <protection locked="true" hidden="false"/>
    </xf>
    <xf numFmtId="172" fontId="24" fillId="14" borderId="56" xfId="0" applyFont="true" applyBorder="true" applyAlignment="false" applyProtection="false">
      <alignment horizontal="general" vertical="bottom" textRotation="0" wrapText="false" indent="0" shrinkToFit="false"/>
      <protection locked="true" hidden="false"/>
    </xf>
    <xf numFmtId="172" fontId="24" fillId="14" borderId="59" xfId="0" applyFont="true" applyBorder="true" applyAlignment="false" applyProtection="false">
      <alignment horizontal="general" vertical="bottom" textRotation="0" wrapText="false" indent="0" shrinkToFit="false"/>
      <protection locked="true" hidden="false"/>
    </xf>
    <xf numFmtId="164" fontId="57" fillId="0" borderId="54" xfId="0" applyFont="true" applyBorder="true" applyAlignment="false" applyProtection="false">
      <alignment horizontal="general" vertical="bottom" textRotation="0" wrapText="false" indent="0" shrinkToFit="false"/>
      <protection locked="true" hidden="false"/>
    </xf>
    <xf numFmtId="172" fontId="57" fillId="14" borderId="54" xfId="0" applyFont="true" applyBorder="true" applyAlignment="false" applyProtection="false">
      <alignment horizontal="general" vertical="bottom" textRotation="0" wrapText="false" indent="0" shrinkToFit="false"/>
      <protection locked="true" hidden="false"/>
    </xf>
    <xf numFmtId="203" fontId="57" fillId="13" borderId="54" xfId="0" applyFont="true" applyBorder="true" applyAlignment="true" applyProtection="false">
      <alignment horizontal="center" vertical="bottom" textRotation="0" wrapText="false" indent="0" shrinkToFit="false"/>
      <protection locked="true" hidden="false"/>
    </xf>
    <xf numFmtId="164" fontId="57" fillId="0" borderId="61" xfId="0" applyFont="true" applyBorder="true" applyAlignment="true" applyProtection="false">
      <alignment horizontal="left" vertical="bottom" textRotation="0" wrapText="false" indent="0" shrinkToFit="false"/>
      <protection locked="true" hidden="false"/>
    </xf>
    <xf numFmtId="173" fontId="57" fillId="14" borderId="0" xfId="0" applyFont="true" applyBorder="false" applyAlignment="false" applyProtection="false">
      <alignment horizontal="general" vertical="bottom" textRotation="0" wrapText="false" indent="0" shrinkToFit="false"/>
      <protection locked="true" hidden="false"/>
    </xf>
    <xf numFmtId="173" fontId="57" fillId="14" borderId="0" xfId="0" applyFont="true" applyBorder="true" applyAlignment="false" applyProtection="false">
      <alignment horizontal="general" vertical="bottom" textRotation="0" wrapText="false" indent="0" shrinkToFit="false"/>
      <protection locked="true" hidden="false"/>
    </xf>
    <xf numFmtId="180" fontId="24" fillId="0" borderId="0" xfId="159" applyFont="true" applyBorder="false" applyAlignment="false" applyProtection="false">
      <alignment horizontal="general" vertical="bottom" textRotation="0" wrapText="false" indent="0" shrinkToFit="false"/>
      <protection locked="true" hidden="false"/>
    </xf>
    <xf numFmtId="180" fontId="57" fillId="0" borderId="0" xfId="159" applyFont="true" applyBorder="false" applyAlignment="false" applyProtection="false">
      <alignment horizontal="general" vertical="bottom" textRotation="0" wrapText="false" indent="0" shrinkToFit="false"/>
      <protection locked="true" hidden="false"/>
    </xf>
    <xf numFmtId="164" fontId="57" fillId="0" borderId="0" xfId="0" applyFont="true" applyBorder="false" applyAlignment="true" applyProtection="false">
      <alignment horizontal="center" vertical="bottom" textRotation="0" wrapText="false" indent="0" shrinkToFit="false"/>
      <protection locked="true" hidden="false"/>
    </xf>
    <xf numFmtId="171" fontId="57" fillId="14" borderId="136" xfId="44" applyFont="true" applyBorder="true" applyAlignment="true" applyProtection="false">
      <alignment horizontal="center" vertical="center" textRotation="0" wrapText="false" indent="0" shrinkToFit="false"/>
      <protection locked="true" hidden="false"/>
    </xf>
    <xf numFmtId="168" fontId="57" fillId="14" borderId="112" xfId="52" applyFont="true" applyBorder="true" applyAlignment="true" applyProtection="false">
      <alignment horizontal="general" vertical="center" textRotation="0" wrapText="false" indent="0" shrinkToFit="false"/>
      <protection locked="true" hidden="false"/>
    </xf>
    <xf numFmtId="168" fontId="57" fillId="7" borderId="137" xfId="35" applyFont="true" applyBorder="true" applyAlignment="true" applyProtection="true">
      <alignment horizontal="general" vertical="center" textRotation="0" wrapText="false" indent="0" shrinkToFit="false"/>
      <protection locked="false" hidden="false"/>
    </xf>
    <xf numFmtId="179" fontId="57" fillId="0" borderId="0" xfId="0" applyFont="true" applyBorder="false" applyAlignment="false" applyProtection="false">
      <alignment horizontal="general" vertical="bottom" textRotation="0" wrapText="false" indent="0" shrinkToFit="false"/>
      <protection locked="true" hidden="false"/>
    </xf>
    <xf numFmtId="171" fontId="57" fillId="14" borderId="138" xfId="44" applyFont="true" applyBorder="true" applyAlignment="true" applyProtection="false">
      <alignment horizontal="center" vertical="center" textRotation="0" wrapText="false" indent="0" shrinkToFit="false"/>
      <protection locked="true" hidden="false"/>
    </xf>
    <xf numFmtId="168" fontId="57" fillId="14" borderId="27" xfId="52" applyFont="true" applyBorder="true" applyAlignment="true" applyProtection="false">
      <alignment horizontal="general" vertical="center" textRotation="0" wrapText="false" indent="0" shrinkToFit="false"/>
      <protection locked="true" hidden="false"/>
    </xf>
    <xf numFmtId="168" fontId="57" fillId="7" borderId="139" xfId="35" applyFont="true" applyBorder="true" applyAlignment="true" applyProtection="true">
      <alignment horizontal="general" vertical="center" textRotation="0" wrapText="false" indent="0" shrinkToFit="false"/>
      <protection locked="false" hidden="false"/>
    </xf>
    <xf numFmtId="171" fontId="57" fillId="14" borderId="140" xfId="44" applyFont="true" applyBorder="true" applyAlignment="true" applyProtection="false">
      <alignment horizontal="center" vertical="center" textRotation="0" wrapText="false" indent="0" shrinkToFit="false"/>
      <protection locked="true" hidden="false"/>
    </xf>
    <xf numFmtId="168" fontId="57" fillId="14" borderId="141" xfId="52" applyFont="true" applyBorder="true" applyAlignment="true" applyProtection="false">
      <alignment horizontal="general" vertical="center" textRotation="0" wrapText="false" indent="0" shrinkToFit="false"/>
      <protection locked="true" hidden="false"/>
    </xf>
    <xf numFmtId="168" fontId="57" fillId="7" borderId="142" xfId="35" applyFont="true" applyBorder="true" applyAlignment="true" applyProtection="true">
      <alignment horizontal="general" vertical="center" textRotation="0" wrapText="false" indent="0" shrinkToFit="false"/>
      <protection locked="false" hidden="false"/>
    </xf>
    <xf numFmtId="165" fontId="57" fillId="0" borderId="0" xfId="26" applyFont="true" applyBorder="false" applyAlignment="true" applyProtection="false">
      <alignment horizontal="right" vertical="center" textRotation="0" wrapText="false" indent="1" shrinkToFit="false"/>
      <protection locked="true" hidden="false"/>
    </xf>
    <xf numFmtId="168" fontId="57" fillId="14" borderId="143" xfId="250" applyFont="true" applyBorder="true" applyAlignment="true" applyProtection="false">
      <alignment horizontal="general" vertical="center" textRotation="0" wrapText="false" indent="0" shrinkToFit="false"/>
      <protection locked="true" hidden="false"/>
    </xf>
    <xf numFmtId="168" fontId="57" fillId="14" borderId="144" xfId="250" applyFont="true" applyBorder="true" applyAlignment="true" applyProtection="false">
      <alignment horizontal="general" vertical="center" textRotation="0" wrapText="false" indent="0" shrinkToFit="false"/>
      <protection locked="true" hidden="false"/>
    </xf>
    <xf numFmtId="164" fontId="57" fillId="0" borderId="113" xfId="0" applyFont="true" applyBorder="true" applyAlignment="false" applyProtection="false">
      <alignment horizontal="general" vertical="bottom" textRotation="0" wrapText="false" indent="0" shrinkToFit="false"/>
      <protection locked="true" hidden="false"/>
    </xf>
    <xf numFmtId="164" fontId="48" fillId="13" borderId="54" xfId="236" applyFont="true" applyBorder="true" applyAlignment="true" applyProtection="false">
      <alignment horizontal="left" vertical="center" textRotation="0" wrapText="false" indent="1" shrinkToFit="false"/>
      <protection locked="true" hidden="false"/>
    </xf>
    <xf numFmtId="172" fontId="57" fillId="0" borderId="0" xfId="0" applyFont="true" applyBorder="false" applyAlignment="false" applyProtection="false">
      <alignment horizontal="general" vertical="bottom" textRotation="0" wrapText="false" indent="0" shrinkToFit="false"/>
      <protection locked="true" hidden="false"/>
    </xf>
    <xf numFmtId="165" fontId="57" fillId="6" borderId="0" xfId="26" applyFont="true" applyBorder="true" applyAlignment="true" applyProtection="false">
      <alignment horizontal="left" vertical="center" textRotation="0" wrapText="false" indent="0" shrinkToFit="false"/>
      <protection locked="true" hidden="false"/>
    </xf>
    <xf numFmtId="165" fontId="57" fillId="0" borderId="0" xfId="26" applyFont="true" applyBorder="false" applyAlignment="true" applyProtection="false">
      <alignment horizontal="left" vertical="center" textRotation="0" wrapText="false" indent="0" shrinkToFit="false"/>
      <protection locked="true" hidden="false"/>
    </xf>
    <xf numFmtId="172" fontId="57" fillId="0" borderId="21" xfId="0" applyFont="true" applyBorder="true" applyAlignment="false" applyProtection="false">
      <alignment horizontal="general" vertical="bottom" textRotation="0" wrapText="false" indent="0" shrinkToFit="false"/>
      <protection locked="true" hidden="false"/>
    </xf>
    <xf numFmtId="168" fontId="57" fillId="14" borderId="27" xfId="35" applyFont="true" applyBorder="true" applyAlignment="true" applyProtection="true">
      <alignment horizontal="general" vertical="center" textRotation="0" wrapText="false" indent="0" shrinkToFit="false"/>
      <protection locked="false" hidden="false"/>
    </xf>
    <xf numFmtId="168" fontId="57" fillId="0" borderId="27" xfId="35" applyFont="true" applyBorder="true" applyAlignment="true" applyProtection="true">
      <alignment horizontal="general" vertical="center" textRotation="0" wrapText="false" indent="0" shrinkToFit="false"/>
      <protection locked="false" hidden="false"/>
    </xf>
    <xf numFmtId="168" fontId="57" fillId="14" borderId="31" xfId="250" applyFont="true" applyBorder="true" applyAlignment="true" applyProtection="false">
      <alignment horizontal="general" vertical="center" textRotation="0" wrapText="false" indent="0" shrinkToFit="false"/>
      <protection locked="true" hidden="false"/>
    </xf>
    <xf numFmtId="164" fontId="57" fillId="0" borderId="32" xfId="0" applyFont="true" applyBorder="true" applyAlignment="false" applyProtection="false">
      <alignment horizontal="general" vertical="bottom" textRotation="0" wrapText="false" indent="0" shrinkToFit="false"/>
      <protection locked="true" hidden="false"/>
    </xf>
    <xf numFmtId="165" fontId="57" fillId="0" borderId="0" xfId="26" applyFont="true" applyBorder="true" applyAlignment="true" applyProtection="false">
      <alignment horizontal="right" vertical="center" textRotation="0" wrapText="false" indent="1" shrinkToFit="false"/>
      <protection locked="true" hidden="false"/>
    </xf>
    <xf numFmtId="172" fontId="57" fillId="0" borderId="0" xfId="0" applyFont="true" applyBorder="false" applyAlignment="true" applyProtection="false">
      <alignment horizontal="center" vertical="bottom" textRotation="0" wrapText="false" indent="0" shrinkToFit="false"/>
      <protection locked="true" hidden="false"/>
    </xf>
    <xf numFmtId="168" fontId="57" fillId="7" borderId="33" xfId="35" applyFont="true" applyBorder="true" applyAlignment="true" applyProtection="true">
      <alignment horizontal="general" vertical="center" textRotation="0" wrapText="false" indent="0" shrinkToFit="false"/>
      <protection locked="false" hidden="false"/>
    </xf>
    <xf numFmtId="168" fontId="57" fillId="14" borderId="33" xfId="52" applyFont="true" applyBorder="true" applyAlignment="true" applyProtection="false">
      <alignment horizontal="general" vertical="center" textRotation="0" wrapText="false" indent="0" shrinkToFit="false"/>
      <protection locked="true" hidden="false"/>
    </xf>
    <xf numFmtId="165" fontId="57" fillId="6" borderId="0" xfId="26" applyFont="true" applyBorder="false" applyAlignment="true" applyProtection="false">
      <alignment horizontal="left" vertical="center" textRotation="0" wrapText="false" indent="0" shrinkToFit="false"/>
      <protection locked="true" hidden="false"/>
    </xf>
    <xf numFmtId="166" fontId="57" fillId="14" borderId="4" xfId="49" applyFont="true" applyBorder="true" applyAlignment="true" applyProtection="false">
      <alignment horizontal="right" vertical="center" textRotation="0" wrapText="false" indent="1" shrinkToFit="false"/>
      <protection locked="true" hidden="false"/>
    </xf>
    <xf numFmtId="164" fontId="49" fillId="6" borderId="0" xfId="0" applyFont="true" applyBorder="false" applyAlignment="true" applyProtection="false">
      <alignment horizontal="general" vertical="center" textRotation="0" wrapText="false" indent="0" shrinkToFit="false"/>
      <protection locked="true" hidden="false"/>
    </xf>
    <xf numFmtId="164" fontId="48" fillId="6" borderId="0" xfId="0" applyFont="true" applyBorder="false" applyAlignment="true" applyProtection="false">
      <alignment horizontal="general" vertical="center" textRotation="0" wrapText="false" indent="0" shrinkToFit="false"/>
      <protection locked="true" hidden="false"/>
    </xf>
    <xf numFmtId="164" fontId="48" fillId="6" borderId="0" xfId="0" applyFont="true" applyBorder="false" applyAlignment="true" applyProtection="false">
      <alignment horizontal="right" vertical="center" textRotation="0" wrapText="false" indent="0" shrinkToFit="false"/>
      <protection locked="true" hidden="false"/>
    </xf>
    <xf numFmtId="164" fontId="49" fillId="6" borderId="0" xfId="212" applyFont="true" applyBorder="true" applyAlignment="true" applyProtection="false">
      <alignment horizontal="center" vertical="center" textRotation="0" wrapText="false" indent="0" shrinkToFit="false"/>
      <protection locked="true" hidden="false"/>
    </xf>
    <xf numFmtId="184" fontId="24" fillId="6" borderId="0" xfId="0" applyFont="true" applyBorder="false" applyAlignment="true" applyProtection="false">
      <alignment horizontal="right" vertical="center" textRotation="0" wrapText="false" indent="0" shrinkToFit="false"/>
      <protection locked="true" hidden="false"/>
    </xf>
    <xf numFmtId="164" fontId="57" fillId="13" borderId="73" xfId="0" applyFont="true" applyBorder="true" applyAlignment="true" applyProtection="false">
      <alignment horizontal="general" vertical="center" textRotation="0" wrapText="false" indent="0" shrinkToFit="false"/>
      <protection locked="true" hidden="false"/>
    </xf>
    <xf numFmtId="164" fontId="57" fillId="13" borderId="54" xfId="0" applyFont="true" applyBorder="true" applyAlignment="true" applyProtection="false">
      <alignment horizontal="general" vertical="center" textRotation="0" wrapText="false" indent="0" shrinkToFit="false"/>
      <protection locked="true" hidden="false"/>
    </xf>
    <xf numFmtId="164" fontId="24" fillId="6" borderId="0" xfId="0" applyFont="true" applyBorder="false" applyAlignment="true" applyProtection="false">
      <alignment horizontal="center" vertical="center" textRotation="0" wrapText="false" indent="0" shrinkToFit="false"/>
      <protection locked="true" hidden="false"/>
    </xf>
    <xf numFmtId="164" fontId="12" fillId="6" borderId="0" xfId="124" applyFont="true" applyBorder="false" applyAlignment="true" applyProtection="true">
      <alignment horizontal="right" vertical="center" textRotation="0" wrapText="false" indent="0" shrinkToFit="false"/>
      <protection locked="false" hidden="false"/>
    </xf>
    <xf numFmtId="164" fontId="57" fillId="13" borderId="73" xfId="0" applyFont="true" applyBorder="true" applyAlignment="true" applyProtection="false">
      <alignment horizontal="center" vertical="center" textRotation="0" wrapText="true" indent="0" shrinkToFit="false"/>
      <protection locked="true" hidden="false"/>
    </xf>
    <xf numFmtId="204" fontId="57" fillId="13" borderId="54" xfId="0" applyFont="true" applyBorder="true" applyAlignment="true" applyProtection="false">
      <alignment horizontal="center" vertical="center" textRotation="0" wrapText="true" indent="0" shrinkToFit="false"/>
      <protection locked="true" hidden="false"/>
    </xf>
    <xf numFmtId="164" fontId="24" fillId="15" borderId="61" xfId="0" applyFont="true" applyBorder="true" applyAlignment="true" applyProtection="true">
      <alignment horizontal="general" vertical="center" textRotation="0" wrapText="true" indent="0" shrinkToFit="false"/>
      <protection locked="false" hidden="false"/>
    </xf>
    <xf numFmtId="172" fontId="57" fillId="15" borderId="145" xfId="0" applyFont="true" applyBorder="true" applyAlignment="true" applyProtection="true">
      <alignment horizontal="general" vertical="center" textRotation="0" wrapText="false" indent="0" shrinkToFit="false"/>
      <protection locked="false" hidden="false"/>
    </xf>
    <xf numFmtId="164" fontId="57" fillId="15" borderId="145" xfId="0" applyFont="true" applyBorder="true" applyAlignment="true" applyProtection="true">
      <alignment horizontal="general" vertical="center" textRotation="0" wrapText="false" indent="0" shrinkToFit="false"/>
      <protection locked="false" hidden="false"/>
    </xf>
    <xf numFmtId="184" fontId="57" fillId="14" borderId="44" xfId="0" applyFont="true" applyBorder="true" applyAlignment="true" applyProtection="false">
      <alignment horizontal="general" vertical="center" textRotation="0" wrapText="false" indent="0" shrinkToFit="false"/>
      <protection locked="true" hidden="false"/>
    </xf>
    <xf numFmtId="173" fontId="57" fillId="14" borderId="87" xfId="0" applyFont="true" applyBorder="true" applyAlignment="false" applyProtection="false">
      <alignment horizontal="general" vertical="bottom" textRotation="0" wrapText="false" indent="0" shrinkToFit="false"/>
      <protection locked="true" hidden="false"/>
    </xf>
    <xf numFmtId="164" fontId="24" fillId="15" borderId="55" xfId="0" applyFont="true" applyBorder="true" applyAlignment="true" applyProtection="true">
      <alignment horizontal="general" vertical="center" textRotation="0" wrapText="true" indent="0" shrinkToFit="false"/>
      <protection locked="false" hidden="false"/>
    </xf>
    <xf numFmtId="172" fontId="57" fillId="15" borderId="40" xfId="0" applyFont="true" applyBorder="true" applyAlignment="true" applyProtection="true">
      <alignment horizontal="general" vertical="center" textRotation="0" wrapText="false" indent="0" shrinkToFit="false"/>
      <protection locked="false" hidden="false"/>
    </xf>
    <xf numFmtId="164" fontId="57" fillId="15" borderId="40" xfId="0" applyFont="true" applyBorder="true" applyAlignment="true" applyProtection="true">
      <alignment horizontal="general" vertical="center" textRotation="0" wrapText="false" indent="0" shrinkToFit="false"/>
      <protection locked="false" hidden="false"/>
    </xf>
    <xf numFmtId="164" fontId="57" fillId="15" borderId="55" xfId="0" applyFont="true" applyBorder="true" applyAlignment="true" applyProtection="true">
      <alignment horizontal="general" vertical="center" textRotation="0" wrapText="true" indent="0" shrinkToFit="false"/>
      <protection locked="false" hidden="false"/>
    </xf>
    <xf numFmtId="164" fontId="57" fillId="15" borderId="57" xfId="0" applyFont="true" applyBorder="true" applyAlignment="true" applyProtection="true">
      <alignment horizontal="general" vertical="center" textRotation="0" wrapText="true" indent="0" shrinkToFit="false"/>
      <protection locked="false" hidden="false"/>
    </xf>
    <xf numFmtId="172" fontId="57" fillId="15" borderId="45" xfId="0" applyFont="true" applyBorder="true" applyAlignment="true" applyProtection="true">
      <alignment horizontal="general" vertical="center" textRotation="0" wrapText="false" indent="0" shrinkToFit="false"/>
      <protection locked="false" hidden="false"/>
    </xf>
    <xf numFmtId="164" fontId="57" fillId="15" borderId="45" xfId="0" applyFont="true" applyBorder="true" applyAlignment="true" applyProtection="true">
      <alignment horizontal="general" vertical="center" textRotation="0" wrapText="false" indent="0" shrinkToFit="false"/>
      <protection locked="false" hidden="false"/>
    </xf>
    <xf numFmtId="164" fontId="57" fillId="6" borderId="62" xfId="0" applyFont="true" applyBorder="true" applyAlignment="true" applyProtection="false">
      <alignment horizontal="general" vertical="center" textRotation="0" wrapText="false" indent="0" shrinkToFit="false"/>
      <protection locked="true" hidden="false"/>
    </xf>
    <xf numFmtId="172" fontId="57" fillId="14" borderId="122" xfId="0" applyFont="true" applyBorder="true" applyAlignment="true" applyProtection="false">
      <alignment horizontal="general" vertical="center" textRotation="0" wrapText="false" indent="0" shrinkToFit="false"/>
      <protection locked="true" hidden="false"/>
    </xf>
    <xf numFmtId="172" fontId="57" fillId="14" borderId="95" xfId="0" applyFont="true" applyBorder="true" applyAlignment="true" applyProtection="false">
      <alignment horizontal="general" vertical="center" textRotation="0" wrapText="false" indent="0" shrinkToFit="false"/>
      <protection locked="true" hidden="false"/>
    </xf>
    <xf numFmtId="172" fontId="57" fillId="14" borderId="146" xfId="0" applyFont="true" applyBorder="true" applyAlignment="true" applyProtection="false">
      <alignment horizontal="general" vertical="center" textRotation="0" wrapText="false" indent="0" shrinkToFit="false"/>
      <protection locked="true" hidden="false"/>
    </xf>
    <xf numFmtId="164" fontId="57" fillId="6" borderId="64" xfId="0" applyFont="true" applyBorder="true" applyAlignment="true" applyProtection="false">
      <alignment horizontal="general" vertical="center" textRotation="0" wrapText="false" indent="0" shrinkToFit="false"/>
      <protection locked="true" hidden="false"/>
    </xf>
    <xf numFmtId="164" fontId="57" fillId="6" borderId="65" xfId="0" applyFont="true" applyBorder="true" applyAlignment="true" applyProtection="false">
      <alignment horizontal="general" vertical="center" textRotation="0" wrapText="false" indent="0" shrinkToFit="false"/>
      <protection locked="true" hidden="false"/>
    </xf>
    <xf numFmtId="173" fontId="57" fillId="14" borderId="66" xfId="0" applyFont="true" applyBorder="true" applyAlignment="true" applyProtection="false">
      <alignment horizontal="general" vertical="center" textRotation="0" wrapText="false" indent="0" shrinkToFit="false"/>
      <protection locked="true" hidden="false"/>
    </xf>
    <xf numFmtId="164" fontId="57" fillId="6" borderId="67" xfId="0" applyFont="true" applyBorder="true" applyAlignment="true" applyProtection="false">
      <alignment horizontal="general" vertical="center" textRotation="0" wrapText="false" indent="0" shrinkToFit="false"/>
      <protection locked="true" hidden="false"/>
    </xf>
    <xf numFmtId="164" fontId="57" fillId="6" borderId="68" xfId="0" applyFont="true" applyBorder="true" applyAlignment="true" applyProtection="false">
      <alignment horizontal="general" vertical="center" textRotation="0" wrapText="false" indent="0" shrinkToFit="false"/>
      <protection locked="true" hidden="false"/>
    </xf>
    <xf numFmtId="173" fontId="57" fillId="6" borderId="147" xfId="0" applyFont="true" applyBorder="true" applyAlignment="true" applyProtection="false">
      <alignment horizontal="general" vertical="center" textRotation="0" wrapText="false" indent="0" shrinkToFit="false"/>
      <protection locked="true" hidden="false"/>
    </xf>
    <xf numFmtId="164" fontId="57" fillId="6" borderId="70" xfId="0" applyFont="true" applyBorder="true" applyAlignment="true" applyProtection="false">
      <alignment horizontal="general" vertical="center" textRotation="0" wrapText="false" indent="0" shrinkToFit="false"/>
      <protection locked="true" hidden="false"/>
    </xf>
    <xf numFmtId="164" fontId="57" fillId="6" borderId="71" xfId="0" applyFont="true" applyBorder="true" applyAlignment="true" applyProtection="false">
      <alignment horizontal="general" vertical="center" textRotation="0" wrapText="false" indent="0" shrinkToFit="false"/>
      <protection locked="true" hidden="false"/>
    </xf>
    <xf numFmtId="164" fontId="57" fillId="21" borderId="54" xfId="0" applyFont="true" applyBorder="true" applyAlignment="true" applyProtection="true">
      <alignment horizontal="general" vertical="center" textRotation="0" wrapText="false" indent="0" shrinkToFit="false"/>
      <protection locked="false" hidden="false"/>
    </xf>
    <xf numFmtId="164" fontId="57" fillId="15" borderId="61" xfId="0" applyFont="true" applyBorder="true" applyAlignment="true" applyProtection="true">
      <alignment horizontal="center" vertical="center" textRotation="0" wrapText="false" indent="0" shrinkToFit="false"/>
      <protection locked="false" hidden="false"/>
    </xf>
    <xf numFmtId="172" fontId="57" fillId="15" borderId="87" xfId="0" applyFont="true" applyBorder="true" applyAlignment="true" applyProtection="true">
      <alignment horizontal="general" vertical="center" textRotation="0" wrapText="false" indent="0" shrinkToFit="false"/>
      <protection locked="false" hidden="false"/>
    </xf>
    <xf numFmtId="164" fontId="57" fillId="15" borderId="55" xfId="0" applyFont="true" applyBorder="true" applyAlignment="true" applyProtection="true">
      <alignment horizontal="center" vertical="center" textRotation="0" wrapText="false" indent="0" shrinkToFit="false"/>
      <protection locked="false" hidden="false"/>
    </xf>
    <xf numFmtId="172" fontId="57" fillId="15" borderId="56" xfId="0" applyFont="true" applyBorder="true" applyAlignment="true" applyProtection="true">
      <alignment horizontal="general" vertical="center" textRotation="0" wrapText="false" indent="0" shrinkToFit="false"/>
      <protection locked="false" hidden="false"/>
    </xf>
    <xf numFmtId="164" fontId="57" fillId="0" borderId="57" xfId="0" applyFont="true" applyBorder="true" applyAlignment="true" applyProtection="false">
      <alignment horizontal="left" vertical="center" textRotation="0" wrapText="false" indent="0" shrinkToFit="false"/>
      <protection locked="true" hidden="false"/>
    </xf>
    <xf numFmtId="172" fontId="57" fillId="14" borderId="59" xfId="0" applyFont="true" applyBorder="true" applyAlignment="true" applyProtection="false">
      <alignment horizontal="general" vertical="center" textRotation="0" wrapText="false" indent="0" shrinkToFit="false"/>
      <protection locked="true" hidden="false"/>
    </xf>
    <xf numFmtId="164" fontId="48" fillId="0" borderId="0" xfId="235" applyFont="true" applyBorder="true" applyAlignment="true" applyProtection="false">
      <alignment horizontal="general" vertical="center" textRotation="0" wrapText="false" indent="0" shrinkToFit="false"/>
      <protection locked="true" hidden="false"/>
    </xf>
    <xf numFmtId="165" fontId="48" fillId="13" borderId="54" xfId="242" applyFont="true" applyBorder="true" applyAlignment="true" applyProtection="false">
      <alignment horizontal="left" vertical="center" textRotation="0" wrapText="false" indent="0" shrinkToFit="false"/>
      <protection locked="true" hidden="false"/>
    </xf>
    <xf numFmtId="165" fontId="48" fillId="13" borderId="54" xfId="242" applyFont="true" applyBorder="true" applyAlignment="true" applyProtection="false">
      <alignment horizontal="center" vertical="center" textRotation="0" wrapText="true" indent="0" shrinkToFit="false"/>
      <protection locked="true" hidden="false"/>
    </xf>
    <xf numFmtId="164" fontId="48" fillId="15" borderId="44" xfId="66" applyFont="true" applyBorder="true" applyAlignment="true" applyProtection="true">
      <alignment horizontal="left" vertical="center" textRotation="0" wrapText="false" indent="0" shrinkToFit="false"/>
      <protection locked="false" hidden="false"/>
    </xf>
    <xf numFmtId="168" fontId="48" fillId="14" borderId="148" xfId="35" applyFont="true" applyBorder="true" applyAlignment="true" applyProtection="true">
      <alignment horizontal="general" vertical="center" textRotation="0" wrapText="false" indent="0" shrinkToFit="false"/>
      <protection locked="false" hidden="false"/>
    </xf>
    <xf numFmtId="168" fontId="48" fillId="14" borderId="45" xfId="35" applyFont="true" applyBorder="true" applyAlignment="true" applyProtection="true">
      <alignment horizontal="general" vertical="center" textRotation="0" wrapText="false" indent="0" shrinkToFit="false"/>
      <protection locked="false" hidden="false"/>
    </xf>
    <xf numFmtId="168" fontId="48" fillId="14" borderId="45" xfId="47" applyFont="true" applyBorder="true" applyAlignment="true" applyProtection="false">
      <alignment horizontal="general" vertical="center" textRotation="0" wrapText="false" indent="0" shrinkToFit="false"/>
      <protection locked="true" hidden="false"/>
    </xf>
    <xf numFmtId="168" fontId="48" fillId="15" borderId="45" xfId="35" applyFont="true" applyBorder="true" applyAlignment="true" applyProtection="true">
      <alignment horizontal="general" vertical="center" textRotation="0" wrapText="false" indent="0" shrinkToFit="false"/>
      <protection locked="false" hidden="false"/>
    </xf>
    <xf numFmtId="168" fontId="48" fillId="14" borderId="77" xfId="47" applyFont="true" applyBorder="true" applyAlignment="true" applyProtection="false">
      <alignment horizontal="general" vertical="center" textRotation="0" wrapText="false" indent="0" shrinkToFit="false"/>
      <protection locked="true" hidden="false"/>
    </xf>
    <xf numFmtId="164" fontId="48" fillId="15" borderId="40" xfId="66" applyFont="true" applyBorder="true" applyAlignment="true" applyProtection="true">
      <alignment horizontal="left" vertical="center" textRotation="0" wrapText="false" indent="0" shrinkToFit="false"/>
      <protection locked="false" hidden="false"/>
    </xf>
    <xf numFmtId="168" fontId="48" fillId="15" borderId="90" xfId="35" applyFont="true" applyBorder="true" applyAlignment="true" applyProtection="true">
      <alignment horizontal="general" vertical="center" textRotation="0" wrapText="false" indent="0" shrinkToFit="false"/>
      <protection locked="false" hidden="false"/>
    </xf>
    <xf numFmtId="168" fontId="48" fillId="15" borderId="40" xfId="35" applyFont="true" applyBorder="true" applyAlignment="true" applyProtection="true">
      <alignment horizontal="general" vertical="center" textRotation="0" wrapText="false" indent="0" shrinkToFit="false"/>
      <protection locked="false" hidden="false"/>
    </xf>
    <xf numFmtId="168" fontId="48" fillId="14" borderId="40" xfId="47" applyFont="true" applyBorder="true" applyAlignment="true" applyProtection="false">
      <alignment horizontal="general" vertical="center" textRotation="0" wrapText="false" indent="0" shrinkToFit="false"/>
      <protection locked="true" hidden="false"/>
    </xf>
    <xf numFmtId="168" fontId="48" fillId="14" borderId="56" xfId="47" applyFont="true" applyBorder="true" applyAlignment="true" applyProtection="false">
      <alignment horizontal="general" vertical="center" textRotation="0" wrapText="false" indent="0" shrinkToFit="false"/>
      <protection locked="true" hidden="false"/>
    </xf>
    <xf numFmtId="164" fontId="48" fillId="15" borderId="58" xfId="66" applyFont="true" applyBorder="true" applyAlignment="true" applyProtection="true">
      <alignment horizontal="center" vertical="center" textRotation="0" wrapText="true" indent="0" shrinkToFit="false"/>
      <protection locked="false" hidden="false"/>
    </xf>
    <xf numFmtId="168" fontId="48" fillId="15" borderId="94" xfId="35" applyFont="true" applyBorder="true" applyAlignment="true" applyProtection="true">
      <alignment horizontal="general" vertical="center" textRotation="0" wrapText="false" indent="0" shrinkToFit="false"/>
      <protection locked="false" hidden="false"/>
    </xf>
    <xf numFmtId="168" fontId="57" fillId="15" borderId="58" xfId="35" applyFont="true" applyBorder="true" applyAlignment="true" applyProtection="true">
      <alignment horizontal="general" vertical="center" textRotation="0" wrapText="false" indent="0" shrinkToFit="false"/>
      <protection locked="false" hidden="false"/>
    </xf>
    <xf numFmtId="168" fontId="48" fillId="14" borderId="58" xfId="47" applyFont="true" applyBorder="true" applyAlignment="true" applyProtection="false">
      <alignment horizontal="general" vertical="center" textRotation="0" wrapText="false" indent="0" shrinkToFit="false"/>
      <protection locked="true" hidden="false"/>
    </xf>
    <xf numFmtId="168" fontId="48" fillId="15" borderId="58" xfId="35" applyFont="true" applyBorder="true" applyAlignment="true" applyProtection="true">
      <alignment horizontal="general" vertical="center" textRotation="0" wrapText="false" indent="0" shrinkToFit="false"/>
      <protection locked="false" hidden="false"/>
    </xf>
    <xf numFmtId="168" fontId="48" fillId="14" borderId="59" xfId="47" applyFont="true" applyBorder="true" applyAlignment="true" applyProtection="false">
      <alignment horizontal="general" vertical="center" textRotation="0" wrapText="false" indent="0" shrinkToFit="false"/>
      <protection locked="true" hidden="false"/>
    </xf>
    <xf numFmtId="165" fontId="48" fillId="0" borderId="0" xfId="26" applyFont="true" applyBorder="false" applyAlignment="true" applyProtection="false">
      <alignment horizontal="general" vertical="center" textRotation="0" wrapText="false" indent="0" shrinkToFit="false"/>
      <protection locked="true" hidden="false"/>
    </xf>
    <xf numFmtId="168" fontId="48" fillId="14" borderId="149" xfId="251" applyFont="true" applyBorder="true" applyAlignment="true" applyProtection="false">
      <alignment horizontal="general" vertical="center" textRotation="0" wrapText="false" indent="0" shrinkToFit="false"/>
      <protection locked="true" hidden="false"/>
    </xf>
    <xf numFmtId="172" fontId="48" fillId="0" borderId="0" xfId="0" applyFont="true" applyBorder="false" applyAlignment="true" applyProtection="false">
      <alignment horizontal="general" vertical="center" textRotation="0" wrapText="false" indent="0" shrinkToFit="false"/>
      <protection locked="true" hidden="false"/>
    </xf>
    <xf numFmtId="164" fontId="48" fillId="6" borderId="78" xfId="59" applyFont="true" applyBorder="true" applyAlignment="true" applyProtection="false">
      <alignment horizontal="left" vertical="center" textRotation="0" wrapText="false" indent="0" shrinkToFit="false"/>
      <protection locked="true" hidden="false"/>
    </xf>
    <xf numFmtId="168" fontId="48" fillId="14" borderId="79" xfId="47" applyFont="true" applyBorder="true" applyAlignment="true" applyProtection="false">
      <alignment horizontal="general" vertical="center" textRotation="0" wrapText="false" indent="0" shrinkToFit="false"/>
      <protection locked="true" hidden="false"/>
    </xf>
    <xf numFmtId="164" fontId="48" fillId="6" borderId="80" xfId="59" applyFont="true" applyBorder="true" applyAlignment="true" applyProtection="false">
      <alignment horizontal="left" vertical="center" textRotation="0" wrapText="false" indent="0" shrinkToFit="false"/>
      <protection locked="true" hidden="false"/>
    </xf>
    <xf numFmtId="168" fontId="48" fillId="6" borderId="81" xfId="47" applyFont="true" applyBorder="true" applyAlignment="true" applyProtection="false">
      <alignment horizontal="general" vertical="center" textRotation="0" wrapText="false" indent="0" shrinkToFit="false"/>
      <protection locked="true" hidden="false"/>
    </xf>
    <xf numFmtId="164" fontId="48" fillId="6" borderId="82" xfId="59" applyFont="true" applyBorder="true" applyAlignment="true" applyProtection="false">
      <alignment horizontal="left" vertical="center" textRotation="0" wrapText="false" indent="0" shrinkToFit="false"/>
      <protection locked="true" hidden="false"/>
    </xf>
    <xf numFmtId="165" fontId="48" fillId="13" borderId="61" xfId="242" applyFont="true" applyBorder="true" applyAlignment="true" applyProtection="false">
      <alignment horizontal="center" vertical="center" textRotation="0" wrapText="true" indent="0" shrinkToFit="false"/>
      <protection locked="true" hidden="false"/>
    </xf>
    <xf numFmtId="165" fontId="48" fillId="13" borderId="150" xfId="242" applyFont="true" applyBorder="true" applyAlignment="true" applyProtection="false">
      <alignment horizontal="general" vertical="center" textRotation="0" wrapText="false" indent="0" shrinkToFit="false"/>
      <protection locked="true" hidden="false"/>
    </xf>
    <xf numFmtId="165" fontId="48" fillId="13" borderId="123" xfId="242" applyFont="true" applyBorder="true" applyAlignment="true" applyProtection="false">
      <alignment horizontal="general" vertical="center" textRotation="0" wrapText="false" indent="0" shrinkToFit="false"/>
      <protection locked="true" hidden="false"/>
    </xf>
    <xf numFmtId="165" fontId="48" fillId="13" borderId="44" xfId="242" applyFont="true" applyBorder="true" applyAlignment="true" applyProtection="false">
      <alignment horizontal="center" vertical="center" textRotation="0" wrapText="true" indent="0" shrinkToFit="false"/>
      <protection locked="true" hidden="false"/>
    </xf>
    <xf numFmtId="165" fontId="48" fillId="13" borderId="87" xfId="242" applyFont="true" applyBorder="true" applyAlignment="true" applyProtection="false">
      <alignment horizontal="center" vertical="center" textRotation="0" wrapText="true" indent="0" shrinkToFit="false"/>
      <protection locked="true" hidden="false"/>
    </xf>
    <xf numFmtId="179" fontId="48" fillId="15" borderId="55" xfId="66" applyFont="true" applyBorder="true" applyAlignment="true" applyProtection="true">
      <alignment horizontal="left" vertical="center" textRotation="0" wrapText="false" indent="0" shrinkToFit="false"/>
      <protection locked="false" hidden="false"/>
    </xf>
    <xf numFmtId="164" fontId="48" fillId="15" borderId="151" xfId="66" applyFont="true" applyBorder="true" applyAlignment="true" applyProtection="true">
      <alignment horizontal="left" vertical="center" textRotation="0" wrapText="false" indent="0" shrinkToFit="false"/>
      <protection locked="false" hidden="false"/>
    </xf>
    <xf numFmtId="166" fontId="48" fillId="14" borderId="40" xfId="48" applyFont="true" applyBorder="true" applyAlignment="true" applyProtection="false">
      <alignment horizontal="right" vertical="center" textRotation="0" wrapText="false" indent="0" shrinkToFit="false"/>
      <protection locked="true" hidden="false"/>
    </xf>
    <xf numFmtId="166" fontId="48" fillId="14" borderId="40" xfId="47" applyFont="true" applyBorder="true" applyAlignment="true" applyProtection="false">
      <alignment horizontal="general" vertical="center" textRotation="0" wrapText="false" indent="0" shrinkToFit="false"/>
      <protection locked="true" hidden="false"/>
    </xf>
    <xf numFmtId="168" fontId="57" fillId="14" borderId="152" xfId="47" applyFont="true" applyBorder="true" applyAlignment="true" applyProtection="false">
      <alignment horizontal="general" vertical="center" textRotation="0" wrapText="false" indent="0" shrinkToFit="false"/>
      <protection locked="true" hidden="false"/>
    </xf>
    <xf numFmtId="179" fontId="48" fillId="15" borderId="57" xfId="66" applyFont="true" applyBorder="true" applyAlignment="true" applyProtection="true">
      <alignment horizontal="left" vertical="center" textRotation="0" wrapText="false" indent="0" shrinkToFit="false"/>
      <protection locked="false" hidden="false"/>
    </xf>
    <xf numFmtId="164" fontId="48" fillId="15" borderId="153" xfId="66" applyFont="true" applyBorder="true" applyAlignment="true" applyProtection="true">
      <alignment horizontal="left" vertical="center" textRotation="0" wrapText="false" indent="0" shrinkToFit="false"/>
      <protection locked="false" hidden="false"/>
    </xf>
    <xf numFmtId="168" fontId="57" fillId="14" borderId="142" xfId="47" applyFont="true" applyBorder="true" applyAlignment="true" applyProtection="false">
      <alignment horizontal="general" vertical="center" textRotation="0" wrapText="false" indent="0" shrinkToFit="false"/>
      <protection locked="true" hidden="false"/>
    </xf>
    <xf numFmtId="165" fontId="48" fillId="0" borderId="0" xfId="26" applyFont="true" applyBorder="false" applyAlignment="true" applyProtection="false">
      <alignment horizontal="right" vertical="center" textRotation="0" wrapText="false" indent="0" shrinkToFit="false"/>
      <protection locked="true" hidden="false"/>
    </xf>
    <xf numFmtId="164" fontId="48" fillId="15" borderId="76" xfId="66" applyFont="true" applyBorder="true" applyAlignment="true" applyProtection="true">
      <alignment horizontal="left" vertical="center" textRotation="0" wrapText="false" indent="0" shrinkToFit="false"/>
      <protection locked="false" hidden="false"/>
    </xf>
    <xf numFmtId="164" fontId="48" fillId="15" borderId="55" xfId="66" applyFont="true" applyBorder="true" applyAlignment="true" applyProtection="true">
      <alignment horizontal="left" vertical="center" textRotation="0" wrapText="false" indent="0" shrinkToFit="false"/>
      <protection locked="false" hidden="false"/>
    </xf>
    <xf numFmtId="164" fontId="48" fillId="15" borderId="57" xfId="66" applyFont="true" applyBorder="true" applyAlignment="true" applyProtection="true">
      <alignment horizontal="left" vertical="center" textRotation="0" wrapText="false" indent="0" shrinkToFit="false"/>
      <protection locked="false" hidden="false"/>
    </xf>
    <xf numFmtId="168" fontId="48" fillId="15" borderId="77" xfId="35" applyFont="true" applyBorder="true" applyAlignment="true" applyProtection="true">
      <alignment horizontal="general" vertical="center" textRotation="0" wrapText="false" indent="0" shrinkToFit="false"/>
      <protection locked="false" hidden="false"/>
    </xf>
    <xf numFmtId="168" fontId="48" fillId="15" borderId="56" xfId="35" applyFont="true" applyBorder="true" applyAlignment="true" applyProtection="true">
      <alignment horizontal="general" vertical="center" textRotation="0" wrapText="false" indent="0" shrinkToFit="false"/>
      <protection locked="false" hidden="false"/>
    </xf>
    <xf numFmtId="168" fontId="48" fillId="15" borderId="59" xfId="35" applyFont="true" applyBorder="true" applyAlignment="true" applyProtection="true">
      <alignment horizontal="general" vertical="center" textRotation="0" wrapText="false" indent="0" shrinkToFit="false"/>
      <protection locked="false" hidden="false"/>
    </xf>
    <xf numFmtId="168" fontId="48" fillId="14" borderId="129" xfId="251" applyFont="true" applyBorder="true" applyAlignment="true" applyProtection="false">
      <alignment horizontal="general" vertical="center" textRotation="0" wrapText="false" indent="0" shrinkToFit="false"/>
      <protection locked="true" hidden="false"/>
    </xf>
    <xf numFmtId="164" fontId="48" fillId="6" borderId="0" xfId="59" applyFont="true" applyBorder="true" applyAlignment="true" applyProtection="false">
      <alignment horizontal="left" vertical="center" textRotation="0" wrapText="false" indent="0" shrinkToFit="false"/>
      <protection locked="true" hidden="false"/>
    </xf>
    <xf numFmtId="168" fontId="48" fillId="6" borderId="0" xfId="47" applyFont="true" applyBorder="true" applyAlignment="true" applyProtection="false">
      <alignment horizontal="general" vertical="center" textRotation="0" wrapText="false" indent="0" shrinkToFit="false"/>
      <protection locked="true" hidden="false"/>
    </xf>
    <xf numFmtId="168" fontId="48" fillId="14" borderId="154" xfId="251" applyFont="true" applyBorder="true" applyAlignment="true" applyProtection="false">
      <alignment horizontal="general" vertical="center" textRotation="0" wrapText="false" indent="0" shrinkToFit="false"/>
      <protection locked="true" hidden="false"/>
    </xf>
    <xf numFmtId="164" fontId="64" fillId="0" borderId="0" xfId="0" applyFont="true" applyBorder="true" applyAlignment="true" applyProtection="false">
      <alignment horizontal="left" vertical="center" textRotation="0" wrapText="true" indent="0" shrinkToFit="false"/>
      <protection locked="true" hidden="false"/>
    </xf>
    <xf numFmtId="164" fontId="24" fillId="0" borderId="0" xfId="159" applyFont="true" applyBorder="false" applyAlignment="true" applyProtection="false">
      <alignment horizontal="general" vertical="center" textRotation="0" wrapText="false" indent="0" shrinkToFit="false"/>
      <protection locked="true" hidden="false"/>
    </xf>
    <xf numFmtId="164" fontId="57" fillId="0" borderId="0" xfId="159" applyFont="true" applyBorder="false" applyAlignment="true" applyProtection="false">
      <alignment horizontal="general" vertical="center" textRotation="0" wrapText="false" indent="0" shrinkToFit="false"/>
      <protection locked="true" hidden="false"/>
    </xf>
    <xf numFmtId="164" fontId="57" fillId="6" borderId="27" xfId="59" applyFont="true" applyBorder="true" applyAlignment="true" applyProtection="false">
      <alignment horizontal="center" vertical="center" textRotation="0" wrapText="false" indent="0" shrinkToFit="false"/>
      <protection locked="true" hidden="false"/>
    </xf>
    <xf numFmtId="164" fontId="57" fillId="6" borderId="33" xfId="59" applyFont="true" applyBorder="true" applyAlignment="true" applyProtection="false">
      <alignment horizontal="center" vertical="center" textRotation="0" wrapText="false" indent="0" shrinkToFit="false"/>
      <protection locked="true" hidden="false"/>
    </xf>
    <xf numFmtId="165" fontId="48" fillId="0" borderId="27" xfId="242" applyFont="true" applyBorder="true" applyAlignment="true" applyProtection="false">
      <alignment horizontal="center" vertical="center" textRotation="0" wrapText="true" indent="0" shrinkToFit="false"/>
      <protection locked="true" hidden="false"/>
    </xf>
    <xf numFmtId="165" fontId="48" fillId="0" borderId="33" xfId="242" applyFont="true" applyBorder="true" applyAlignment="true" applyProtection="false">
      <alignment horizontal="center" vertical="center" textRotation="0" wrapText="true" indent="0" shrinkToFit="false"/>
      <protection locked="true" hidden="false"/>
    </xf>
    <xf numFmtId="205" fontId="57" fillId="6" borderId="27" xfId="43" applyFont="true" applyBorder="true" applyAlignment="true" applyProtection="false">
      <alignment horizontal="left" vertical="center" textRotation="0" wrapText="false" indent="0" shrinkToFit="false"/>
      <protection locked="true" hidden="false"/>
    </xf>
    <xf numFmtId="168" fontId="57" fillId="15" borderId="112" xfId="37" applyFont="true" applyBorder="true" applyAlignment="true" applyProtection="true">
      <alignment horizontal="general" vertical="center" textRotation="0" wrapText="false" indent="0" shrinkToFit="false"/>
      <protection locked="false" hidden="false"/>
    </xf>
    <xf numFmtId="168" fontId="57" fillId="7" borderId="112" xfId="37" applyFont="true" applyBorder="true" applyAlignment="true" applyProtection="true">
      <alignment horizontal="general" vertical="center" textRotation="0" wrapText="false" indent="0" shrinkToFit="false"/>
      <protection locked="false" hidden="false"/>
    </xf>
    <xf numFmtId="168" fontId="57" fillId="14" borderId="112" xfId="47" applyFont="true" applyBorder="true" applyAlignment="true" applyProtection="false">
      <alignment horizontal="general" vertical="center" textRotation="0" wrapText="false" indent="0" shrinkToFit="false"/>
      <protection locked="true" hidden="false"/>
    </xf>
    <xf numFmtId="168" fontId="57" fillId="14" borderId="112" xfId="37" applyFont="true" applyBorder="true" applyAlignment="true" applyProtection="true">
      <alignment horizontal="general" vertical="center" textRotation="0" wrapText="false" indent="0" shrinkToFit="false"/>
      <protection locked="false" hidden="false"/>
    </xf>
    <xf numFmtId="168" fontId="57" fillId="7" borderId="115" xfId="37" applyFont="true" applyBorder="true" applyAlignment="true" applyProtection="true">
      <alignment horizontal="general" vertical="center" textRotation="0" wrapText="false" indent="0" shrinkToFit="false"/>
      <protection locked="false" hidden="false"/>
    </xf>
    <xf numFmtId="168" fontId="57" fillId="7" borderId="27" xfId="37" applyFont="true" applyBorder="true" applyAlignment="true" applyProtection="true">
      <alignment horizontal="general" vertical="center" textRotation="0" wrapText="false" indent="0" shrinkToFit="false"/>
      <protection locked="false" hidden="false"/>
    </xf>
    <xf numFmtId="168" fontId="57" fillId="14" borderId="27" xfId="47" applyFont="true" applyBorder="true" applyAlignment="true" applyProtection="false">
      <alignment horizontal="general" vertical="center" textRotation="0" wrapText="false" indent="0" shrinkToFit="false"/>
      <protection locked="true" hidden="false"/>
    </xf>
    <xf numFmtId="168" fontId="57" fillId="14" borderId="27" xfId="37" applyFont="true" applyBorder="true" applyAlignment="true" applyProtection="true">
      <alignment horizontal="general" vertical="center" textRotation="0" wrapText="false" indent="0" shrinkToFit="false"/>
      <protection locked="false" hidden="false"/>
    </xf>
    <xf numFmtId="168" fontId="57" fillId="7" borderId="33" xfId="37" applyFont="true" applyBorder="true" applyAlignment="true" applyProtection="true">
      <alignment horizontal="general" vertical="center" textRotation="0" wrapText="false" indent="0" shrinkToFit="false"/>
      <protection locked="false" hidden="false"/>
    </xf>
    <xf numFmtId="164" fontId="24" fillId="0" borderId="21" xfId="159" applyFont="true" applyBorder="true" applyAlignment="true" applyProtection="false">
      <alignment horizontal="general" vertical="center" textRotation="0" wrapText="false" indent="0" shrinkToFit="false"/>
      <protection locked="true" hidden="false"/>
    </xf>
    <xf numFmtId="165" fontId="57" fillId="0" borderId="0" xfId="26" applyFont="true" applyBorder="true" applyAlignment="true" applyProtection="false">
      <alignment horizontal="right" vertical="center" textRotation="0" wrapText="false" indent="0" shrinkToFit="false"/>
      <protection locked="true" hidden="false"/>
    </xf>
    <xf numFmtId="168" fontId="57" fillId="14" borderId="112" xfId="249" applyFont="true" applyBorder="true" applyAlignment="true" applyProtection="false">
      <alignment horizontal="general" vertical="center" textRotation="0" wrapText="false" indent="0" shrinkToFit="false"/>
      <protection locked="true" hidden="false"/>
    </xf>
    <xf numFmtId="168" fontId="57" fillId="14" borderId="115" xfId="249" applyFont="true" applyBorder="true" applyAlignment="true" applyProtection="false">
      <alignment horizontal="general" vertical="center" textRotation="0" wrapText="false" indent="0" shrinkToFit="false"/>
      <protection locked="true" hidden="false"/>
    </xf>
    <xf numFmtId="164" fontId="24" fillId="0" borderId="32" xfId="159" applyFont="true" applyBorder="true" applyAlignment="true" applyProtection="false">
      <alignment horizontal="general" vertical="center" textRotation="0" wrapText="false" indent="0" shrinkToFit="false"/>
      <protection locked="true" hidden="false"/>
    </xf>
    <xf numFmtId="165" fontId="72" fillId="0" borderId="0" xfId="26" applyFont="true" applyBorder="false" applyAlignment="true" applyProtection="false">
      <alignment horizontal="left" vertical="center" textRotation="0" wrapText="false" indent="0" shrinkToFit="false"/>
      <protection locked="true" hidden="false"/>
    </xf>
    <xf numFmtId="168" fontId="72" fillId="14" borderId="27" xfId="37" applyFont="true" applyBorder="true" applyAlignment="true" applyProtection="true">
      <alignment horizontal="general" vertical="center" textRotation="0" wrapText="false" indent="0" shrinkToFit="false"/>
      <protection locked="false" hidden="false"/>
    </xf>
    <xf numFmtId="164" fontId="57" fillId="0" borderId="113" xfId="159" applyFont="true" applyBorder="true" applyAlignment="false" applyProtection="false">
      <alignment horizontal="general" vertical="bottom" textRotation="0" wrapText="false" indent="0" shrinkToFit="false"/>
      <protection locked="true" hidden="false"/>
    </xf>
    <xf numFmtId="164" fontId="75" fillId="0" borderId="113" xfId="159" applyFont="true" applyBorder="true" applyAlignment="false" applyProtection="false">
      <alignment horizontal="general" vertical="bottom" textRotation="0" wrapText="false" indent="0" shrinkToFit="false"/>
      <protection locked="true" hidden="false"/>
    </xf>
    <xf numFmtId="164" fontId="86" fillId="0" borderId="0" xfId="159" applyFont="true" applyBorder="false" applyAlignment="false" applyProtection="false">
      <alignment horizontal="general" vertical="bottom" textRotation="0" wrapText="false" indent="0" shrinkToFit="false"/>
      <protection locked="true" hidden="false"/>
    </xf>
    <xf numFmtId="164" fontId="72" fillId="7" borderId="112" xfId="66" applyFont="true" applyBorder="true" applyAlignment="true" applyProtection="true">
      <alignment horizontal="left" vertical="center" textRotation="0" wrapText="false" indent="1" shrinkToFit="false"/>
      <protection locked="false" hidden="false"/>
    </xf>
    <xf numFmtId="168" fontId="72" fillId="7" borderId="115" xfId="37" applyFont="true" applyBorder="true" applyAlignment="true" applyProtection="true">
      <alignment horizontal="general" vertical="center" textRotation="0" wrapText="false" indent="0" shrinkToFit="false"/>
      <protection locked="false" hidden="false"/>
    </xf>
    <xf numFmtId="164" fontId="72" fillId="7" borderId="27" xfId="66" applyFont="true" applyBorder="true" applyAlignment="true" applyProtection="true">
      <alignment horizontal="left" vertical="center" textRotation="0" wrapText="false" indent="1" shrinkToFit="false"/>
      <protection locked="false" hidden="false"/>
    </xf>
    <xf numFmtId="168" fontId="72" fillId="7" borderId="33" xfId="37" applyFont="true" applyBorder="true" applyAlignment="true" applyProtection="true">
      <alignment horizontal="general" vertical="center" textRotation="0" wrapText="false" indent="0" shrinkToFit="false"/>
      <protection locked="false" hidden="false"/>
    </xf>
    <xf numFmtId="168" fontId="72" fillId="7" borderId="4" xfId="37" applyFont="true" applyBorder="true" applyAlignment="true" applyProtection="true">
      <alignment horizontal="general" vertical="center" textRotation="0" wrapText="false" indent="0" shrinkToFit="false"/>
      <protection locked="false" hidden="false"/>
    </xf>
    <xf numFmtId="164" fontId="41" fillId="0" borderId="21" xfId="159" applyFont="true" applyBorder="true" applyAlignment="false" applyProtection="false">
      <alignment horizontal="general" vertical="bottom" textRotation="0" wrapText="false" indent="0" shrinkToFit="false"/>
      <protection locked="true" hidden="false"/>
    </xf>
    <xf numFmtId="164" fontId="72" fillId="6" borderId="115" xfId="59" applyFont="true" applyBorder="true" applyAlignment="true" applyProtection="false">
      <alignment horizontal="left" vertical="center" textRotation="0" wrapText="false" indent="1" shrinkToFit="false"/>
      <protection locked="true" hidden="false"/>
    </xf>
    <xf numFmtId="168" fontId="72" fillId="14" borderId="115" xfId="37" applyFont="true" applyBorder="true" applyAlignment="true" applyProtection="true">
      <alignment horizontal="general" vertical="center" textRotation="0" wrapText="false" indent="0" shrinkToFit="false"/>
      <protection locked="false" hidden="false"/>
    </xf>
    <xf numFmtId="164" fontId="72" fillId="7" borderId="33" xfId="66" applyFont="true" applyBorder="true" applyAlignment="true" applyProtection="true">
      <alignment horizontal="left" vertical="center" textRotation="0" wrapText="false" indent="1" shrinkToFit="false"/>
      <protection locked="false" hidden="false"/>
    </xf>
    <xf numFmtId="164" fontId="72" fillId="7" borderId="4" xfId="66" applyFont="true" applyBorder="true" applyAlignment="true" applyProtection="true">
      <alignment horizontal="left" vertical="center" textRotation="0" wrapText="false" indent="1" shrinkToFit="false"/>
      <protection locked="false" hidden="false"/>
    </xf>
    <xf numFmtId="164" fontId="57" fillId="0" borderId="32" xfId="159" applyFont="true" applyBorder="true" applyAlignment="false" applyProtection="false">
      <alignment horizontal="general" vertical="bottom" textRotation="0" wrapText="false" indent="0" shrinkToFit="false"/>
      <protection locked="true" hidden="false"/>
    </xf>
    <xf numFmtId="165" fontId="72" fillId="0" borderId="0" xfId="26" applyFont="true" applyBorder="true" applyAlignment="true" applyProtection="false">
      <alignment horizontal="right" vertical="center" textRotation="0" wrapText="false" indent="1" shrinkToFit="false"/>
      <protection locked="true" hidden="false"/>
    </xf>
    <xf numFmtId="164" fontId="75" fillId="0" borderId="0" xfId="159" applyFont="true" applyBorder="false" applyAlignment="false" applyProtection="false">
      <alignment horizontal="general" vertical="bottom" textRotation="0" wrapText="false" indent="0" shrinkToFit="false"/>
      <protection locked="true" hidden="false"/>
    </xf>
    <xf numFmtId="164" fontId="72" fillId="6" borderId="155" xfId="59" applyFont="true" applyBorder="true" applyAlignment="true" applyProtection="false">
      <alignment horizontal="left" vertical="center" textRotation="0" wrapText="false" indent="1" shrinkToFit="false"/>
      <protection locked="true" hidden="false"/>
    </xf>
    <xf numFmtId="164" fontId="72" fillId="6" borderId="156" xfId="59" applyFont="true" applyBorder="true" applyAlignment="true" applyProtection="false">
      <alignment horizontal="left" vertical="center" textRotation="0" wrapText="false" indent="1" shrinkToFit="false"/>
      <protection locked="true" hidden="false"/>
    </xf>
    <xf numFmtId="168" fontId="72" fillId="0" borderId="112" xfId="47" applyFont="true" applyBorder="true" applyAlignment="true" applyProtection="false">
      <alignment horizontal="general" vertical="center" textRotation="0" wrapText="false" indent="0" shrinkToFit="false"/>
      <protection locked="true" hidden="false"/>
    </xf>
    <xf numFmtId="164" fontId="57" fillId="0" borderId="157" xfId="159" applyFont="true" applyBorder="true" applyAlignment="false" applyProtection="false">
      <alignment horizontal="general" vertical="bottom" textRotation="0" wrapText="false" indent="0" shrinkToFit="false"/>
      <protection locked="true" hidden="false"/>
    </xf>
    <xf numFmtId="164" fontId="72" fillId="6" borderId="28" xfId="59" applyFont="true" applyBorder="true" applyAlignment="true" applyProtection="false">
      <alignment horizontal="left" vertical="center" textRotation="0" wrapText="false" indent="1" shrinkToFit="false"/>
      <protection locked="true" hidden="false"/>
    </xf>
    <xf numFmtId="168" fontId="72" fillId="14" borderId="27" xfId="47" applyFont="true" applyBorder="true" applyAlignment="true" applyProtection="false">
      <alignment horizontal="general" vertical="center" textRotation="0" wrapText="false" indent="0" shrinkToFit="false"/>
      <protection locked="true" hidden="false"/>
    </xf>
    <xf numFmtId="167" fontId="72" fillId="14" borderId="112" xfId="48" applyFont="true" applyBorder="true" applyAlignment="true" applyProtection="false">
      <alignment horizontal="right" vertical="center" textRotation="0" wrapText="false" indent="1" shrinkToFit="false"/>
      <protection locked="true" hidden="false"/>
    </xf>
    <xf numFmtId="166" fontId="57" fillId="0" borderId="113" xfId="159" applyFont="true" applyBorder="true" applyAlignment="false" applyProtection="false">
      <alignment horizontal="general" vertical="bottom" textRotation="0" wrapText="false" indent="0" shrinkToFit="false"/>
      <protection locked="true" hidden="false"/>
    </xf>
    <xf numFmtId="164" fontId="60" fillId="0" borderId="113" xfId="159" applyFont="true" applyBorder="true" applyAlignment="true" applyProtection="false">
      <alignment horizontal="center" vertical="center" textRotation="0" wrapText="false" indent="0" shrinkToFit="false"/>
      <protection locked="true" hidden="false"/>
    </xf>
    <xf numFmtId="164" fontId="48" fillId="13" borderId="54" xfId="0" applyFont="true" applyBorder="true" applyAlignment="true" applyProtection="false">
      <alignment horizontal="center" vertical="center" textRotation="0" wrapText="true" indent="0" shrinkToFit="false"/>
      <protection locked="true" hidden="false"/>
    </xf>
    <xf numFmtId="164" fontId="48" fillId="0" borderId="73" xfId="0" applyFont="true" applyBorder="true" applyAlignment="true" applyProtection="false">
      <alignment horizontal="center" vertical="center" textRotation="0" wrapText="true" indent="0" shrinkToFit="false"/>
      <protection locked="true" hidden="false"/>
    </xf>
    <xf numFmtId="164" fontId="48" fillId="0" borderId="109" xfId="0" applyFont="true" applyBorder="true" applyAlignment="true" applyProtection="false">
      <alignment horizontal="center" vertical="center" textRotation="0" wrapText="true" indent="0" shrinkToFit="false"/>
      <protection locked="true" hidden="false"/>
    </xf>
    <xf numFmtId="164" fontId="48" fillId="0" borderId="68" xfId="0" applyFont="true" applyBorder="true" applyAlignment="true" applyProtection="false">
      <alignment horizontal="center" vertical="center" textRotation="0" wrapText="true" indent="0" shrinkToFit="false"/>
      <protection locked="true" hidden="false"/>
    </xf>
    <xf numFmtId="164" fontId="57" fillId="13" borderId="54" xfId="0" applyFont="true" applyBorder="true" applyAlignment="true" applyProtection="false">
      <alignment horizontal="left" vertical="center" textRotation="0" wrapText="true" indent="0" shrinkToFit="false"/>
      <protection locked="true" hidden="false"/>
    </xf>
    <xf numFmtId="187" fontId="57" fillId="13" borderId="73" xfId="0" applyFont="true" applyBorder="true" applyAlignment="true" applyProtection="false">
      <alignment horizontal="center" vertical="center" textRotation="0" wrapText="false" indent="0" shrinkToFit="false"/>
      <protection locked="true" hidden="false"/>
    </xf>
    <xf numFmtId="164" fontId="57" fillId="15" borderId="122" xfId="0" applyFont="true" applyBorder="true" applyAlignment="true" applyProtection="true">
      <alignment horizontal="left" vertical="bottom" textRotation="0" wrapText="false" indent="0" shrinkToFit="false"/>
      <protection locked="false" hidden="false"/>
    </xf>
    <xf numFmtId="164" fontId="57" fillId="17" borderId="124" xfId="0" applyFont="true" applyBorder="true" applyAlignment="true" applyProtection="true">
      <alignment horizontal="center" vertical="bottom" textRotation="0" wrapText="false" indent="0" shrinkToFit="false"/>
      <protection locked="false" hidden="false"/>
    </xf>
    <xf numFmtId="173" fontId="57" fillId="15" borderId="122" xfId="0" applyFont="true" applyBorder="true" applyAlignment="true" applyProtection="true">
      <alignment horizontal="right" vertical="bottom" textRotation="0" wrapText="false" indent="0" shrinkToFit="false"/>
      <protection locked="false" hidden="false"/>
    </xf>
    <xf numFmtId="173" fontId="57" fillId="14" borderId="158" xfId="0" applyFont="true" applyBorder="true" applyAlignment="true" applyProtection="true">
      <alignment horizontal="right" vertical="bottom" textRotation="0" wrapText="false" indent="0" shrinkToFit="false"/>
      <protection locked="false" hidden="false"/>
    </xf>
    <xf numFmtId="164" fontId="57" fillId="15" borderId="124" xfId="0" applyFont="true" applyBorder="true" applyAlignment="true" applyProtection="true">
      <alignment horizontal="left" vertical="bottom" textRotation="0" wrapText="false" indent="0" shrinkToFit="false"/>
      <protection locked="false" hidden="false"/>
    </xf>
    <xf numFmtId="173" fontId="57" fillId="15" borderId="124" xfId="0" applyFont="true" applyBorder="true" applyAlignment="true" applyProtection="true">
      <alignment horizontal="right" vertical="bottom" textRotation="0" wrapText="false" indent="0" shrinkToFit="false"/>
      <protection locked="false" hidden="false"/>
    </xf>
    <xf numFmtId="173" fontId="57" fillId="14" borderId="124" xfId="0" applyFont="true" applyBorder="true" applyAlignment="true" applyProtection="true">
      <alignment horizontal="right" vertical="bottom" textRotation="0" wrapText="false" indent="0" shrinkToFit="false"/>
      <protection locked="false" hidden="false"/>
    </xf>
    <xf numFmtId="164" fontId="57" fillId="15" borderId="95" xfId="0" applyFont="true" applyBorder="true" applyAlignment="true" applyProtection="true">
      <alignment horizontal="left" vertical="bottom" textRotation="0" wrapText="false" indent="0" shrinkToFit="false"/>
      <protection locked="false" hidden="false"/>
    </xf>
    <xf numFmtId="164" fontId="57" fillId="17" borderId="95" xfId="0" applyFont="true" applyBorder="true" applyAlignment="true" applyProtection="true">
      <alignment horizontal="center" vertical="bottom" textRotation="0" wrapText="false" indent="0" shrinkToFit="false"/>
      <protection locked="false" hidden="false"/>
    </xf>
    <xf numFmtId="173" fontId="57" fillId="15" borderId="95" xfId="0" applyFont="true" applyBorder="true" applyAlignment="true" applyProtection="true">
      <alignment horizontal="right" vertical="bottom" textRotation="0" wrapText="false" indent="0" shrinkToFit="false"/>
      <protection locked="false" hidden="false"/>
    </xf>
    <xf numFmtId="173" fontId="57" fillId="14" borderId="95" xfId="0" applyFont="true" applyBorder="true" applyAlignment="true" applyProtection="true">
      <alignment horizontal="right" vertical="bottom" textRotation="0" wrapText="false" indent="0" shrinkToFit="false"/>
      <protection locked="false" hidden="false"/>
    </xf>
    <xf numFmtId="206" fontId="57" fillId="0" borderId="0" xfId="0" applyFont="true" applyBorder="false" applyAlignment="false" applyProtection="false">
      <alignment horizontal="general" vertical="bottom" textRotation="0" wrapText="false" indent="0" shrinkToFit="false"/>
      <protection locked="true" hidden="false"/>
    </xf>
    <xf numFmtId="174" fontId="48" fillId="14" borderId="96" xfId="95" applyFont="true" applyBorder="true" applyAlignment="false" applyProtection="false">
      <alignment horizontal="general" vertical="bottom" textRotation="0" wrapText="false" indent="0" shrinkToFit="false"/>
      <protection locked="true" hidden="false"/>
    </xf>
    <xf numFmtId="176" fontId="57" fillId="0" borderId="0" xfId="95" applyFont="true" applyBorder="false" applyAlignment="false" applyProtection="false">
      <alignment horizontal="general" vertical="bottom" textRotation="0" wrapText="false" indent="0" shrinkToFit="false"/>
      <protection locked="true" hidden="false"/>
    </xf>
    <xf numFmtId="189" fontId="44" fillId="0" borderId="74" xfId="15" applyFont="true" applyBorder="true" applyAlignment="true" applyProtection="true">
      <alignment horizontal="left" vertical="bottom" textRotation="0" wrapText="false" indent="0" shrinkToFit="false"/>
      <protection locked="false" hidden="false"/>
    </xf>
    <xf numFmtId="164" fontId="57" fillId="15" borderId="122" xfId="0" applyFont="true" applyBorder="true" applyAlignment="true" applyProtection="true">
      <alignment horizontal="center" vertical="bottom" textRotation="0" wrapText="false" indent="0" shrinkToFit="false"/>
      <protection locked="false" hidden="false"/>
    </xf>
    <xf numFmtId="164" fontId="57" fillId="15" borderId="124" xfId="0" applyFont="true" applyBorder="true" applyAlignment="true" applyProtection="true">
      <alignment horizontal="center" vertical="bottom" textRotation="0" wrapText="false" indent="0" shrinkToFit="false"/>
      <protection locked="false" hidden="false"/>
    </xf>
    <xf numFmtId="164" fontId="57" fillId="15" borderId="95" xfId="0" applyFont="true" applyBorder="true" applyAlignment="true" applyProtection="true">
      <alignment horizontal="center" vertical="bottom" textRotation="0" wrapText="false" indent="0" shrinkToFit="false"/>
      <protection locked="false" hidden="false"/>
    </xf>
    <xf numFmtId="168" fontId="57" fillId="14" borderId="54" xfId="95" applyFont="true" applyBorder="true" applyAlignment="false" applyProtection="false">
      <alignment horizontal="general" vertical="bottom" textRotation="0" wrapText="false" indent="0" shrinkToFit="false"/>
      <protection locked="true" hidden="false"/>
    </xf>
    <xf numFmtId="174" fontId="24" fillId="0" borderId="66" xfId="159" applyFont="true" applyBorder="true" applyAlignment="false" applyProtection="false">
      <alignment horizontal="general" vertical="bottom" textRotation="0" wrapText="false" indent="0" shrinkToFit="false"/>
      <protection locked="true" hidden="false"/>
    </xf>
    <xf numFmtId="174" fontId="24" fillId="0" borderId="72" xfId="159" applyFont="true" applyBorder="true" applyAlignment="false" applyProtection="false">
      <alignment horizontal="general" vertical="bottom" textRotation="0" wrapText="false" indent="0" shrinkToFit="false"/>
      <protection locked="true" hidden="false"/>
    </xf>
    <xf numFmtId="164" fontId="48" fillId="0" borderId="61" xfId="0" applyFont="true" applyBorder="true" applyAlignment="true" applyProtection="false">
      <alignment horizontal="left" vertical="bottom" textRotation="0" wrapText="false" indent="0" shrinkToFit="false"/>
      <protection locked="true" hidden="false"/>
    </xf>
    <xf numFmtId="164" fontId="48" fillId="0" borderId="44" xfId="0" applyFont="true" applyBorder="true" applyAlignment="false" applyProtection="false">
      <alignment horizontal="general" vertical="bottom" textRotation="0" wrapText="false" indent="0" shrinkToFit="false"/>
      <protection locked="true" hidden="false"/>
    </xf>
    <xf numFmtId="188" fontId="48" fillId="0" borderId="44" xfId="0" applyFont="true" applyBorder="true" applyAlignment="true" applyProtection="false">
      <alignment horizontal="center" vertical="bottom" textRotation="0" wrapText="false" indent="0" shrinkToFit="false"/>
      <protection locked="true" hidden="false"/>
    </xf>
    <xf numFmtId="188" fontId="48" fillId="0" borderId="87" xfId="0" applyFont="true" applyBorder="true" applyAlignment="true" applyProtection="false">
      <alignment horizontal="center" vertical="bottom" textRotation="0" wrapText="false" indent="0" shrinkToFit="false"/>
      <protection locked="true" hidden="false"/>
    </xf>
    <xf numFmtId="164" fontId="48" fillId="0" borderId="55" xfId="0" applyFont="true" applyBorder="true" applyAlignment="true" applyProtection="false">
      <alignment horizontal="left" vertical="bottom" textRotation="0" wrapText="false" indent="0" shrinkToFit="false"/>
      <protection locked="true" hidden="false"/>
    </xf>
    <xf numFmtId="164" fontId="48" fillId="0" borderId="40" xfId="0" applyFont="true" applyBorder="true" applyAlignment="false" applyProtection="false">
      <alignment horizontal="general" vertical="bottom" textRotation="0" wrapText="false" indent="0" shrinkToFit="false"/>
      <protection locked="true" hidden="false"/>
    </xf>
    <xf numFmtId="188" fontId="48" fillId="15" borderId="40" xfId="0" applyFont="true" applyBorder="true" applyAlignment="false" applyProtection="false">
      <alignment horizontal="general" vertical="bottom" textRotation="0" wrapText="false" indent="0" shrinkToFit="false"/>
      <protection locked="true" hidden="false"/>
    </xf>
    <xf numFmtId="188" fontId="48" fillId="0" borderId="56" xfId="0" applyFont="true" applyBorder="true" applyAlignment="true" applyProtection="false">
      <alignment horizontal="center" vertical="bottom" textRotation="0" wrapText="false" indent="0" shrinkToFit="false"/>
      <protection locked="true" hidden="false"/>
    </xf>
    <xf numFmtId="188" fontId="48" fillId="0" borderId="40" xfId="0" applyFont="true" applyBorder="true" applyAlignment="false" applyProtection="false">
      <alignment horizontal="general" vertical="bottom" textRotation="0" wrapText="false" indent="0" shrinkToFit="false"/>
      <protection locked="true" hidden="false"/>
    </xf>
    <xf numFmtId="173" fontId="48" fillId="0" borderId="56" xfId="0" applyFont="true" applyBorder="true" applyAlignment="true" applyProtection="false">
      <alignment horizontal="center" vertical="bottom" textRotation="0" wrapText="false" indent="0" shrinkToFit="false"/>
      <protection locked="true" hidden="false"/>
    </xf>
    <xf numFmtId="173" fontId="48" fillId="0" borderId="40" xfId="0" applyFont="true" applyBorder="true" applyAlignment="false" applyProtection="false">
      <alignment horizontal="general" vertical="bottom" textRotation="0" wrapText="false" indent="0" shrinkToFit="false"/>
      <protection locked="true" hidden="false"/>
    </xf>
    <xf numFmtId="173" fontId="48" fillId="14" borderId="40" xfId="0" applyFont="true" applyBorder="true" applyAlignment="false" applyProtection="false">
      <alignment horizontal="general" vertical="bottom" textRotation="0" wrapText="false" indent="0" shrinkToFit="false"/>
      <protection locked="true" hidden="false"/>
    </xf>
    <xf numFmtId="167" fontId="48" fillId="14" borderId="40" xfId="213" applyFont="true" applyBorder="true" applyAlignment="true" applyProtection="false">
      <alignment horizontal="center" vertical="bottom" textRotation="0" wrapText="false" indent="0" shrinkToFit="false"/>
      <protection locked="true" hidden="false"/>
    </xf>
    <xf numFmtId="167" fontId="48" fillId="0" borderId="40" xfId="213" applyFont="true" applyBorder="true" applyAlignment="false" applyProtection="false">
      <alignment horizontal="general" vertical="bottom" textRotation="0" wrapText="false" indent="0" shrinkToFit="false"/>
      <protection locked="true" hidden="false"/>
    </xf>
    <xf numFmtId="173" fontId="41" fillId="0" borderId="56" xfId="0" applyFont="true" applyBorder="true" applyAlignment="true" applyProtection="false">
      <alignment horizontal="center" vertical="bottom" textRotation="0" wrapText="false" indent="0" shrinkToFit="false"/>
      <protection locked="true" hidden="false"/>
    </xf>
    <xf numFmtId="173" fontId="48" fillId="0" borderId="56" xfId="0" applyFont="true" applyBorder="true" applyAlignment="false" applyProtection="false">
      <alignment horizontal="general" vertical="bottom" textRotation="0" wrapText="false" indent="0" shrinkToFit="false"/>
      <protection locked="true" hidden="false"/>
    </xf>
    <xf numFmtId="173" fontId="48" fillId="0" borderId="40" xfId="0" applyFont="true" applyBorder="true" applyAlignment="true" applyProtection="false">
      <alignment horizontal="center" vertical="bottom" textRotation="0" wrapText="false" indent="0" shrinkToFit="false"/>
      <protection locked="true" hidden="false"/>
    </xf>
    <xf numFmtId="164" fontId="48" fillId="0" borderId="40" xfId="0" applyFont="true" applyBorder="true" applyAlignment="true" applyProtection="false">
      <alignment horizontal="center" vertical="bottom" textRotation="0" wrapText="false" indent="0" shrinkToFit="false"/>
      <protection locked="true" hidden="false"/>
    </xf>
    <xf numFmtId="173" fontId="48" fillId="14" borderId="56" xfId="0" applyFont="true" applyBorder="true" applyAlignment="false" applyProtection="false">
      <alignment horizontal="general" vertical="bottom" textRotation="0" wrapText="false" indent="0" shrinkToFit="false"/>
      <protection locked="true" hidden="false"/>
    </xf>
    <xf numFmtId="164" fontId="48" fillId="0" borderId="57" xfId="0" applyFont="true" applyBorder="true" applyAlignment="true" applyProtection="false">
      <alignment horizontal="left" vertical="bottom" textRotation="0" wrapText="false" indent="0" shrinkToFit="false"/>
      <protection locked="true" hidden="false"/>
    </xf>
    <xf numFmtId="164" fontId="48" fillId="0" borderId="58" xfId="0" applyFont="true" applyBorder="true" applyAlignment="false" applyProtection="false">
      <alignment horizontal="general" vertical="bottom" textRotation="0" wrapText="false" indent="0" shrinkToFit="false"/>
      <protection locked="true" hidden="false"/>
    </xf>
    <xf numFmtId="164" fontId="48" fillId="0" borderId="59" xfId="0" applyFont="true" applyBorder="true" applyAlignment="false" applyProtection="false">
      <alignment horizontal="general" vertical="bottom" textRotation="0" wrapText="false" indent="0" shrinkToFit="false"/>
      <protection locked="true" hidden="false"/>
    </xf>
    <xf numFmtId="164" fontId="48" fillId="0" borderId="159" xfId="159" applyFont="true" applyBorder="true" applyAlignment="false" applyProtection="false">
      <alignment horizontal="general" vertical="bottom" textRotation="0" wrapText="false" indent="0" shrinkToFit="false"/>
      <protection locked="true" hidden="false"/>
    </xf>
    <xf numFmtId="164" fontId="48" fillId="0" borderId="160" xfId="159" applyFont="true" applyBorder="true" applyAlignment="false" applyProtection="false">
      <alignment horizontal="general" vertical="bottom" textRotation="0" wrapText="false" indent="0" shrinkToFit="false"/>
      <protection locked="true" hidden="false"/>
    </xf>
    <xf numFmtId="174" fontId="48" fillId="14" borderId="66" xfId="159" applyFont="true" applyBorder="true" applyAlignment="false" applyProtection="false">
      <alignment horizontal="general" vertical="bottom" textRotation="0" wrapText="false" indent="0" shrinkToFit="false"/>
      <protection locked="true" hidden="false"/>
    </xf>
    <xf numFmtId="164" fontId="48" fillId="0" borderId="161" xfId="159" applyFont="true" applyBorder="true" applyAlignment="false" applyProtection="false">
      <alignment horizontal="general" vertical="bottom" textRotation="0" wrapText="false" indent="0" shrinkToFit="false"/>
      <protection locked="true" hidden="false"/>
    </xf>
    <xf numFmtId="164" fontId="48" fillId="0" borderId="54" xfId="159" applyFont="true" applyBorder="true" applyAlignment="false" applyProtection="false">
      <alignment horizontal="general" vertical="bottom" textRotation="0" wrapText="false" indent="0" shrinkToFit="false"/>
      <protection locked="true" hidden="false"/>
    </xf>
    <xf numFmtId="174" fontId="43" fillId="6" borderId="69" xfId="159" applyFont="true" applyBorder="true" applyAlignment="false" applyProtection="false">
      <alignment horizontal="general" vertical="bottom" textRotation="0" wrapText="false" indent="0" shrinkToFit="false"/>
      <protection locked="true" hidden="false"/>
    </xf>
    <xf numFmtId="164" fontId="48" fillId="0" borderId="162" xfId="159" applyFont="true" applyBorder="true" applyAlignment="false" applyProtection="false">
      <alignment horizontal="general" vertical="bottom" textRotation="0" wrapText="false" indent="0" shrinkToFit="false"/>
      <protection locked="true" hidden="false"/>
    </xf>
    <xf numFmtId="164" fontId="48" fillId="0" borderId="163" xfId="159" applyFont="true" applyBorder="true" applyAlignment="false" applyProtection="false">
      <alignment horizontal="general" vertical="bottom" textRotation="0" wrapText="false" indent="0" shrinkToFit="false"/>
      <protection locked="true" hidden="false"/>
    </xf>
    <xf numFmtId="164" fontId="57" fillId="6" borderId="164" xfId="59" applyFont="true" applyBorder="true" applyAlignment="true" applyProtection="false">
      <alignment horizontal="left" vertical="center" textRotation="0" wrapText="false" indent="0" shrinkToFit="false"/>
      <protection locked="true" hidden="false"/>
    </xf>
    <xf numFmtId="180" fontId="57" fillId="15" borderId="165" xfId="66" applyFont="true" applyBorder="true" applyAlignment="true" applyProtection="true">
      <alignment horizontal="right" vertical="center" textRotation="0" wrapText="false" indent="0" shrinkToFit="false"/>
      <protection locked="false" hidden="false"/>
    </xf>
    <xf numFmtId="164" fontId="57" fillId="0" borderId="166" xfId="59" applyFont="true" applyBorder="true" applyAlignment="true" applyProtection="false">
      <alignment horizontal="left" vertical="center" textRotation="0" wrapText="false" indent="0" shrinkToFit="false"/>
      <protection locked="true" hidden="false"/>
    </xf>
    <xf numFmtId="180" fontId="57" fillId="15" borderId="139" xfId="66" applyFont="true" applyBorder="true" applyAlignment="true" applyProtection="true">
      <alignment horizontal="right" vertical="center" textRotation="0" wrapText="false" indent="0" shrinkToFit="false"/>
      <protection locked="false" hidden="false"/>
    </xf>
    <xf numFmtId="164" fontId="57" fillId="0" borderId="167" xfId="59" applyFont="true" applyBorder="true" applyAlignment="true" applyProtection="false">
      <alignment horizontal="left" vertical="center" textRotation="0" wrapText="false" indent="0" shrinkToFit="false"/>
      <protection locked="true" hidden="false"/>
    </xf>
    <xf numFmtId="166" fontId="57" fillId="14" borderId="142" xfId="64" applyFont="true" applyBorder="true" applyAlignment="true" applyProtection="true">
      <alignment horizontal="right" vertical="center" textRotation="0" wrapText="false" indent="0" shrinkToFit="false"/>
      <protection locked="false" hidden="false"/>
    </xf>
    <xf numFmtId="164" fontId="48" fillId="13" borderId="54" xfId="233" applyFont="true" applyBorder="true" applyAlignment="true" applyProtection="false">
      <alignment horizontal="center" vertical="center" textRotation="0" wrapText="false" indent="0" shrinkToFit="false"/>
      <protection locked="true" hidden="false"/>
    </xf>
    <xf numFmtId="164" fontId="75" fillId="0" borderId="0" xfId="0" applyFont="true" applyBorder="false" applyAlignment="true" applyProtection="false">
      <alignment horizontal="left" vertical="center" textRotation="0" wrapText="false" indent="0" shrinkToFit="false"/>
      <protection locked="true" hidden="false"/>
    </xf>
    <xf numFmtId="164" fontId="51" fillId="0" borderId="0" xfId="0" applyFont="true" applyBorder="false" applyAlignment="true" applyProtection="false">
      <alignment horizontal="center" vertical="center" textRotation="0" wrapText="false" indent="0" shrinkToFit="false"/>
      <protection locked="true" hidden="false"/>
    </xf>
    <xf numFmtId="165" fontId="59" fillId="13" borderId="54" xfId="242" applyFont="true" applyBorder="true" applyAlignment="true" applyProtection="false">
      <alignment horizontal="left" vertical="center" textRotation="0" wrapText="false" indent="0" shrinkToFit="false"/>
      <protection locked="true" hidden="false"/>
    </xf>
    <xf numFmtId="165" fontId="24" fillId="13" borderId="54" xfId="242" applyFont="true" applyBorder="true" applyAlignment="true" applyProtection="false">
      <alignment horizontal="left" vertical="center" textRotation="0" wrapText="false" indent="0" shrinkToFit="false"/>
      <protection locked="true" hidden="false"/>
    </xf>
    <xf numFmtId="165" fontId="24" fillId="13" borderId="54" xfId="242" applyFont="true" applyBorder="true" applyAlignment="true" applyProtection="false">
      <alignment horizontal="right" vertical="center" textRotation="0" wrapText="false" indent="0" shrinkToFit="false"/>
      <protection locked="true" hidden="false"/>
    </xf>
    <xf numFmtId="164" fontId="57" fillId="6" borderId="168" xfId="59" applyFont="true" applyBorder="true" applyAlignment="true" applyProtection="false">
      <alignment horizontal="left" vertical="center" textRotation="0" wrapText="false" indent="0" shrinkToFit="false"/>
      <protection locked="true" hidden="false"/>
    </xf>
    <xf numFmtId="166" fontId="57" fillId="14" borderId="169" xfId="48" applyFont="true" applyBorder="true" applyAlignment="true" applyProtection="false">
      <alignment horizontal="right" vertical="center" textRotation="0" wrapText="false" indent="0" shrinkToFit="false"/>
      <protection locked="true" hidden="false"/>
    </xf>
    <xf numFmtId="164" fontId="57" fillId="7" borderId="169" xfId="66" applyFont="true" applyBorder="true" applyAlignment="true" applyProtection="true">
      <alignment horizontal="left" vertical="center" textRotation="0" wrapText="false" indent="0" shrinkToFit="false"/>
      <protection locked="false" hidden="false"/>
    </xf>
    <xf numFmtId="168" fontId="57" fillId="15" borderId="169" xfId="35" applyFont="true" applyBorder="true" applyAlignment="true" applyProtection="true">
      <alignment horizontal="general" vertical="center" textRotation="0" wrapText="false" indent="0" shrinkToFit="false"/>
      <protection locked="false" hidden="false"/>
    </xf>
    <xf numFmtId="168" fontId="57" fillId="14" borderId="169" xfId="47" applyFont="true" applyBorder="true" applyAlignment="true" applyProtection="false">
      <alignment horizontal="general" vertical="center" textRotation="0" wrapText="false" indent="0" shrinkToFit="false"/>
      <protection locked="true" hidden="false"/>
    </xf>
    <xf numFmtId="168" fontId="57" fillId="15" borderId="170" xfId="47" applyFont="true" applyBorder="true" applyAlignment="true" applyProtection="false">
      <alignment horizontal="general" vertical="center" textRotation="0" wrapText="false" indent="0" shrinkToFit="false"/>
      <protection locked="true" hidden="false"/>
    </xf>
    <xf numFmtId="164" fontId="57" fillId="6" borderId="171" xfId="59" applyFont="true" applyBorder="true" applyAlignment="true" applyProtection="false">
      <alignment horizontal="left" vertical="center" textRotation="0" wrapText="false" indent="0" shrinkToFit="false"/>
      <protection locked="true" hidden="false"/>
    </xf>
    <xf numFmtId="166" fontId="57" fillId="14" borderId="172" xfId="48" applyFont="true" applyBorder="true" applyAlignment="true" applyProtection="false">
      <alignment horizontal="right" vertical="center" textRotation="0" wrapText="false" indent="0" shrinkToFit="false"/>
      <protection locked="true" hidden="false"/>
    </xf>
    <xf numFmtId="164" fontId="57" fillId="7" borderId="172" xfId="66" applyFont="true" applyBorder="true" applyAlignment="true" applyProtection="true">
      <alignment horizontal="left" vertical="center" textRotation="0" wrapText="false" indent="0" shrinkToFit="false"/>
      <protection locked="false" hidden="false"/>
    </xf>
    <xf numFmtId="168" fontId="57" fillId="15" borderId="172" xfId="35" applyFont="true" applyBorder="true" applyAlignment="true" applyProtection="true">
      <alignment horizontal="general" vertical="center" textRotation="0" wrapText="false" indent="0" shrinkToFit="false"/>
      <protection locked="false" hidden="false"/>
    </xf>
    <xf numFmtId="168" fontId="57" fillId="14" borderId="172" xfId="47" applyFont="true" applyBorder="true" applyAlignment="true" applyProtection="false">
      <alignment horizontal="general" vertical="center" textRotation="0" wrapText="false" indent="0" shrinkToFit="false"/>
      <protection locked="true" hidden="false"/>
    </xf>
    <xf numFmtId="168" fontId="57" fillId="15" borderId="173" xfId="47" applyFont="true" applyBorder="true" applyAlignment="true" applyProtection="false">
      <alignment horizontal="general" vertical="center" textRotation="0" wrapText="false" indent="0" shrinkToFit="false"/>
      <protection locked="true" hidden="false"/>
    </xf>
    <xf numFmtId="168" fontId="57" fillId="14" borderId="173" xfId="47" applyFont="true" applyBorder="true" applyAlignment="true" applyProtection="false">
      <alignment horizontal="general" vertical="center" textRotation="0" wrapText="false" indent="0" shrinkToFit="false"/>
      <protection locked="true" hidden="false"/>
    </xf>
    <xf numFmtId="166" fontId="57" fillId="17" borderId="172" xfId="48" applyFont="true" applyBorder="true" applyAlignment="true" applyProtection="false">
      <alignment horizontal="right" vertical="center" textRotation="0" wrapText="false" indent="0" shrinkToFit="false"/>
      <protection locked="true" hidden="false"/>
    </xf>
    <xf numFmtId="164" fontId="57" fillId="15" borderId="171" xfId="66" applyFont="true" applyBorder="true" applyAlignment="true" applyProtection="true">
      <alignment horizontal="left" vertical="center" textRotation="0" wrapText="false" indent="0" shrinkToFit="false"/>
      <protection locked="false" hidden="false"/>
    </xf>
    <xf numFmtId="164" fontId="57" fillId="7" borderId="171" xfId="66" applyFont="true" applyBorder="true" applyAlignment="true" applyProtection="true">
      <alignment horizontal="left" vertical="center" textRotation="0" wrapText="false" indent="0" shrinkToFit="false"/>
      <protection locked="false" hidden="false"/>
    </xf>
    <xf numFmtId="164" fontId="57" fillId="7" borderId="174" xfId="66" applyFont="true" applyBorder="true" applyAlignment="true" applyProtection="true">
      <alignment horizontal="left" vertical="center" textRotation="0" wrapText="false" indent="0" shrinkToFit="false"/>
      <protection locked="false" hidden="false"/>
    </xf>
    <xf numFmtId="166" fontId="57" fillId="14" borderId="175" xfId="48" applyFont="true" applyBorder="true" applyAlignment="true" applyProtection="false">
      <alignment horizontal="right" vertical="center" textRotation="0" wrapText="false" indent="0" shrinkToFit="false"/>
      <protection locked="true" hidden="false"/>
    </xf>
    <xf numFmtId="164" fontId="57" fillId="7" borderId="175" xfId="66" applyFont="true" applyBorder="true" applyAlignment="true" applyProtection="true">
      <alignment horizontal="left" vertical="center" textRotation="0" wrapText="false" indent="0" shrinkToFit="false"/>
      <protection locked="false" hidden="false"/>
    </xf>
    <xf numFmtId="168" fontId="57" fillId="15" borderId="175" xfId="35" applyFont="true" applyBorder="true" applyAlignment="true" applyProtection="true">
      <alignment horizontal="general" vertical="center" textRotation="0" wrapText="false" indent="0" shrinkToFit="false"/>
      <protection locked="false" hidden="false"/>
    </xf>
    <xf numFmtId="168" fontId="57" fillId="14" borderId="175" xfId="47" applyFont="true" applyBorder="true" applyAlignment="true" applyProtection="false">
      <alignment horizontal="general" vertical="center" textRotation="0" wrapText="false" indent="0" shrinkToFit="false"/>
      <protection locked="true" hidden="false"/>
    </xf>
    <xf numFmtId="168" fontId="57" fillId="14" borderId="176" xfId="47" applyFont="true" applyBorder="true" applyAlignment="true" applyProtection="false">
      <alignment horizontal="general" vertical="center" textRotation="0" wrapText="false" indent="0" shrinkToFit="false"/>
      <protection locked="true" hidden="false"/>
    </xf>
    <xf numFmtId="168" fontId="57" fillId="14" borderId="96" xfId="249" applyFont="true" applyBorder="true" applyAlignment="true" applyProtection="false">
      <alignment horizontal="general" vertical="center" textRotation="0" wrapText="false" indent="0" shrinkToFit="false"/>
      <protection locked="true" hidden="false"/>
    </xf>
    <xf numFmtId="164" fontId="57" fillId="6" borderId="54" xfId="59" applyFont="true" applyBorder="true" applyAlignment="true" applyProtection="false">
      <alignment horizontal="left" vertical="center" textRotation="0" wrapText="false" indent="0" shrinkToFit="false"/>
      <protection locked="true" hidden="false"/>
    </xf>
    <xf numFmtId="166" fontId="57" fillId="6" borderId="54" xfId="48" applyFont="true" applyBorder="true" applyAlignment="true" applyProtection="false">
      <alignment horizontal="right" vertical="center" textRotation="0" wrapText="false" indent="0" shrinkToFit="false"/>
      <protection locked="true" hidden="false"/>
    </xf>
    <xf numFmtId="207" fontId="57" fillId="23" borderId="54" xfId="66" applyFont="true" applyBorder="true" applyAlignment="true" applyProtection="true">
      <alignment horizontal="left" vertical="center" textRotation="0" wrapText="false" indent="0" shrinkToFit="false"/>
      <protection locked="false" hidden="false"/>
    </xf>
    <xf numFmtId="208" fontId="57" fillId="14" borderId="54" xfId="15" applyFont="true" applyBorder="true" applyAlignment="true" applyProtection="true">
      <alignment horizontal="center" vertical="center" textRotation="0" wrapText="false" indent="0" shrinkToFit="false"/>
      <protection locked="false" hidden="false"/>
    </xf>
    <xf numFmtId="168" fontId="57" fillId="14" borderId="54" xfId="47" applyFont="true" applyBorder="true" applyAlignment="true" applyProtection="false">
      <alignment horizontal="general" vertical="center" textRotation="0" wrapText="false" indent="0" shrinkToFit="false"/>
      <protection locked="true" hidden="false"/>
    </xf>
    <xf numFmtId="165" fontId="59" fillId="13" borderId="131" xfId="242" applyFont="true" applyBorder="true" applyAlignment="true" applyProtection="false">
      <alignment horizontal="left" vertical="center" textRotation="0" wrapText="false" indent="0" shrinkToFit="false"/>
      <protection locked="true" hidden="false"/>
    </xf>
    <xf numFmtId="165" fontId="24" fillId="13" borderId="177" xfId="242" applyFont="true" applyBorder="true" applyAlignment="true" applyProtection="false">
      <alignment horizontal="left" vertical="center" textRotation="0" wrapText="false" indent="0" shrinkToFit="false"/>
      <protection locked="true" hidden="false"/>
    </xf>
    <xf numFmtId="165" fontId="24" fillId="13" borderId="178" xfId="242" applyFont="true" applyBorder="true" applyAlignment="true" applyProtection="false">
      <alignment horizontal="left" vertical="center" textRotation="0" wrapText="false" indent="0" shrinkToFit="false"/>
      <protection locked="true" hidden="false"/>
    </xf>
    <xf numFmtId="165" fontId="24" fillId="13" borderId="165" xfId="242" applyFont="true" applyBorder="true" applyAlignment="true" applyProtection="false">
      <alignment horizontal="left" vertical="center" textRotation="0" wrapText="false" indent="0" shrinkToFit="false"/>
      <protection locked="true" hidden="false"/>
    </xf>
    <xf numFmtId="164" fontId="57" fillId="6" borderId="179" xfId="59" applyFont="true" applyBorder="true" applyAlignment="true" applyProtection="false">
      <alignment horizontal="left" vertical="center" textRotation="0" wrapText="false" indent="0" shrinkToFit="false"/>
      <protection locked="true" hidden="false"/>
    </xf>
    <xf numFmtId="166" fontId="57" fillId="14" borderId="180" xfId="48" applyFont="true" applyBorder="true" applyAlignment="true" applyProtection="false">
      <alignment horizontal="right" vertical="center" textRotation="0" wrapText="false" indent="0" shrinkToFit="false"/>
      <protection locked="true" hidden="false"/>
    </xf>
    <xf numFmtId="164" fontId="57" fillId="7" borderId="181" xfId="66" applyFont="true" applyBorder="true" applyAlignment="true" applyProtection="true">
      <alignment horizontal="left" vertical="center" textRotation="0" wrapText="false" indent="0" shrinkToFit="false"/>
      <protection locked="false" hidden="false"/>
    </xf>
    <xf numFmtId="168" fontId="57" fillId="15" borderId="181" xfId="35" applyFont="true" applyBorder="true" applyAlignment="true" applyProtection="true">
      <alignment horizontal="general" vertical="center" textRotation="0" wrapText="false" indent="0" shrinkToFit="false"/>
      <protection locked="false" hidden="false"/>
    </xf>
    <xf numFmtId="168" fontId="57" fillId="14" borderId="181" xfId="47" applyFont="true" applyBorder="true" applyAlignment="true" applyProtection="false">
      <alignment horizontal="general" vertical="center" textRotation="0" wrapText="false" indent="0" shrinkToFit="false"/>
      <protection locked="true" hidden="false"/>
    </xf>
    <xf numFmtId="168" fontId="57" fillId="14" borderId="182" xfId="47" applyFont="true" applyBorder="true" applyAlignment="true" applyProtection="false">
      <alignment horizontal="general" vertical="center" textRotation="0" wrapText="false" indent="0" shrinkToFit="false"/>
      <protection locked="true" hidden="false"/>
    </xf>
    <xf numFmtId="168" fontId="57" fillId="15" borderId="176" xfId="35" applyFont="true" applyBorder="true" applyAlignment="true" applyProtection="true">
      <alignment horizontal="general" vertical="center" textRotation="0" wrapText="false" indent="0" shrinkToFit="false"/>
      <protection locked="false" hidden="false"/>
    </xf>
    <xf numFmtId="172" fontId="57" fillId="0" borderId="0" xfId="0" applyFont="true" applyBorder="false" applyAlignment="true" applyProtection="false">
      <alignment horizontal="general" vertical="center" textRotation="0" wrapText="false" indent="0" shrinkToFit="false"/>
      <protection locked="true" hidden="false"/>
    </xf>
    <xf numFmtId="168" fontId="57" fillId="14" borderId="183" xfId="249" applyFont="true" applyBorder="true" applyAlignment="true" applyProtection="false">
      <alignment horizontal="general" vertical="center" textRotation="0" wrapText="false" indent="0" shrinkToFit="false"/>
      <protection locked="true" hidden="false"/>
    </xf>
    <xf numFmtId="165" fontId="57" fillId="0" borderId="0" xfId="26" applyFont="true" applyBorder="false" applyAlignment="true" applyProtection="false">
      <alignment horizontal="right" vertical="center" textRotation="0" wrapText="false" indent="0" shrinkToFit="false"/>
      <protection locked="true" hidden="false"/>
    </xf>
    <xf numFmtId="168" fontId="57" fillId="0" borderId="0" xfId="249" applyFont="true" applyBorder="true" applyAlignment="true" applyProtection="false">
      <alignment horizontal="general" vertical="center" textRotation="0" wrapText="false" indent="0" shrinkToFit="false"/>
      <protection locked="true" hidden="false"/>
    </xf>
    <xf numFmtId="165" fontId="57" fillId="0" borderId="116" xfId="26" applyFont="true" applyBorder="true" applyAlignment="true" applyProtection="false">
      <alignment horizontal="right" vertical="center" textRotation="0" wrapText="false" indent="0" shrinkToFit="false"/>
      <protection locked="true" hidden="false"/>
    </xf>
    <xf numFmtId="164" fontId="57" fillId="0" borderId="32" xfId="0" applyFont="true" applyBorder="true" applyAlignment="true" applyProtection="false">
      <alignment horizontal="general" vertical="center" textRotation="0" wrapText="false" indent="0" shrinkToFit="false"/>
      <protection locked="true" hidden="false"/>
    </xf>
    <xf numFmtId="164" fontId="9" fillId="0" borderId="131" xfId="0" applyFont="true" applyBorder="true" applyAlignment="true" applyProtection="false">
      <alignment horizontal="general" vertical="center" textRotation="0" wrapText="false" indent="0" shrinkToFit="false"/>
      <protection locked="true" hidden="false"/>
    </xf>
    <xf numFmtId="164" fontId="9" fillId="0" borderId="62" xfId="0" applyFont="true" applyBorder="true" applyAlignment="true" applyProtection="false">
      <alignment horizontal="right" vertical="center" textRotation="0" wrapText="false" indent="0" shrinkToFit="false"/>
      <protection locked="true" hidden="false"/>
    </xf>
    <xf numFmtId="164" fontId="9" fillId="0" borderId="132" xfId="0" applyFont="true" applyBorder="true" applyAlignment="true" applyProtection="false">
      <alignment horizontal="right" vertical="center" textRotation="0" wrapText="false" indent="0" shrinkToFit="false"/>
      <protection locked="true" hidden="false"/>
    </xf>
    <xf numFmtId="164" fontId="57" fillId="0" borderId="121" xfId="0" applyFont="true" applyBorder="true" applyAlignment="true" applyProtection="false">
      <alignment horizontal="general" vertical="center" textRotation="0" wrapText="false" indent="0" shrinkToFit="false"/>
      <protection locked="true" hidden="false"/>
    </xf>
    <xf numFmtId="168" fontId="57" fillId="0" borderId="0" xfId="0" applyFont="true" applyBorder="false" applyAlignment="true" applyProtection="false">
      <alignment horizontal="general" vertical="center" textRotation="0" wrapText="false" indent="0" shrinkToFit="false"/>
      <protection locked="true" hidden="false"/>
    </xf>
    <xf numFmtId="164" fontId="57" fillId="0" borderId="134" xfId="0" applyFont="true" applyBorder="true" applyAlignment="true" applyProtection="false">
      <alignment horizontal="general" vertical="center" textRotation="0" wrapText="false" indent="0" shrinkToFit="false"/>
      <protection locked="true" hidden="false"/>
    </xf>
    <xf numFmtId="168" fontId="57" fillId="0" borderId="134" xfId="0" applyFont="true" applyBorder="true" applyAlignment="true" applyProtection="false">
      <alignment horizontal="general" vertical="center" textRotation="0" wrapText="false" indent="0" shrinkToFit="false"/>
      <protection locked="true" hidden="false"/>
    </xf>
    <xf numFmtId="164" fontId="57" fillId="0" borderId="118" xfId="0" applyFont="true" applyBorder="true" applyAlignment="true" applyProtection="false">
      <alignment horizontal="general" vertical="center" textRotation="0" wrapText="false" indent="0" shrinkToFit="false"/>
      <protection locked="true" hidden="false"/>
    </xf>
    <xf numFmtId="164" fontId="57" fillId="0" borderId="15" xfId="0" applyFont="true" applyBorder="true" applyAlignment="true" applyProtection="false">
      <alignment horizontal="general" vertical="center" textRotation="0" wrapText="false" indent="0" shrinkToFit="false"/>
      <protection locked="true" hidden="false"/>
    </xf>
    <xf numFmtId="164" fontId="57" fillId="0" borderId="135"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4" fontId="57" fillId="13" borderId="73" xfId="159" applyFont="true" applyBorder="true" applyAlignment="true" applyProtection="false">
      <alignment horizontal="left" vertical="bottom" textRotation="0" wrapText="true" indent="0" shrinkToFit="false"/>
      <protection locked="true" hidden="false"/>
    </xf>
    <xf numFmtId="184" fontId="24" fillId="15" borderId="54" xfId="159" applyFont="true" applyBorder="true" applyAlignment="false" applyProtection="true">
      <alignment horizontal="general" vertical="bottom" textRotation="0" wrapText="false" indent="0" shrinkToFit="false"/>
      <protection locked="false" hidden="false"/>
    </xf>
    <xf numFmtId="164" fontId="57" fillId="13" borderId="73" xfId="159" applyFont="true" applyBorder="true" applyAlignment="true" applyProtection="false">
      <alignment horizontal="center" vertical="bottom" textRotation="0" wrapText="false" indent="0" shrinkToFit="false"/>
      <protection locked="true" hidden="false"/>
    </xf>
    <xf numFmtId="164" fontId="57" fillId="13" borderId="54" xfId="159" applyFont="true" applyBorder="true" applyAlignment="true" applyProtection="false">
      <alignment horizontal="left" vertical="bottom" textRotation="0" wrapText="true" indent="0" shrinkToFit="false"/>
      <protection locked="true" hidden="false"/>
    </xf>
    <xf numFmtId="164" fontId="24" fillId="15" borderId="54" xfId="159" applyFont="true" applyBorder="true" applyAlignment="true" applyProtection="true">
      <alignment horizontal="center" vertical="bottom" textRotation="0" wrapText="false" indent="0" shrinkToFit="false"/>
      <protection locked="false" hidden="false"/>
    </xf>
    <xf numFmtId="164" fontId="57" fillId="13" borderId="54" xfId="159" applyFont="true" applyBorder="true" applyAlignment="true" applyProtection="false">
      <alignment horizontal="center" vertical="bottom" textRotation="0" wrapText="false" indent="0" shrinkToFit="false"/>
      <protection locked="true" hidden="false"/>
    </xf>
    <xf numFmtId="204" fontId="24" fillId="15" borderId="54" xfId="159" applyFont="true" applyBorder="true" applyAlignment="false" applyProtection="true">
      <alignment horizontal="general" vertical="bottom" textRotation="0" wrapText="false" indent="0" shrinkToFit="false"/>
      <protection locked="false" hidden="false"/>
    </xf>
    <xf numFmtId="164" fontId="76" fillId="0" borderId="0" xfId="159" applyFont="true" applyBorder="false" applyAlignment="true" applyProtection="false">
      <alignment horizontal="center" vertical="bottom" textRotation="0" wrapText="true" indent="0" shrinkToFit="false"/>
      <protection locked="true" hidden="false"/>
    </xf>
    <xf numFmtId="164" fontId="24" fillId="14" borderId="0" xfId="159" applyFont="true" applyBorder="false" applyAlignment="true" applyProtection="true">
      <alignment horizontal="center" vertical="bottom" textRotation="0" wrapText="false" indent="0" shrinkToFit="false"/>
      <protection locked="false" hidden="false"/>
    </xf>
    <xf numFmtId="164" fontId="57" fillId="13" borderId="73" xfId="159" applyFont="true" applyBorder="true" applyAlignment="true" applyProtection="false">
      <alignment horizontal="center" vertical="top" textRotation="0" wrapText="true" indent="0" shrinkToFit="false"/>
      <protection locked="true" hidden="false"/>
    </xf>
    <xf numFmtId="164" fontId="57" fillId="13" borderId="54" xfId="159" applyFont="true" applyBorder="true" applyAlignment="true" applyProtection="false">
      <alignment horizontal="center" vertical="top" textRotation="0" wrapText="true" indent="0" shrinkToFit="false"/>
      <protection locked="true" hidden="false"/>
    </xf>
    <xf numFmtId="164" fontId="57" fillId="13" borderId="68" xfId="159" applyFont="true" applyBorder="true" applyAlignment="true" applyProtection="false">
      <alignment horizontal="center" vertical="top" textRotation="0" wrapText="true" indent="0" shrinkToFit="false"/>
      <protection locked="true" hidden="false"/>
    </xf>
    <xf numFmtId="206" fontId="57" fillId="0" borderId="184" xfId="159" applyFont="true" applyBorder="true" applyAlignment="false" applyProtection="false">
      <alignment horizontal="general" vertical="bottom" textRotation="0" wrapText="false" indent="0" shrinkToFit="false"/>
      <protection locked="true" hidden="false"/>
    </xf>
    <xf numFmtId="206" fontId="24" fillId="0" borderId="61" xfId="159" applyFont="true" applyBorder="true" applyAlignment="false" applyProtection="false">
      <alignment horizontal="general" vertical="bottom" textRotation="0" wrapText="false" indent="0" shrinkToFit="false"/>
      <protection locked="true" hidden="false"/>
    </xf>
    <xf numFmtId="188" fontId="24" fillId="15" borderId="44" xfId="159" applyFont="true" applyBorder="true" applyAlignment="false" applyProtection="true">
      <alignment horizontal="general" vertical="bottom" textRotation="0" wrapText="false" indent="0" shrinkToFit="false"/>
      <protection locked="false" hidden="false"/>
    </xf>
    <xf numFmtId="173" fontId="24" fillId="14" borderId="44" xfId="159" applyFont="true" applyBorder="true" applyAlignment="false" applyProtection="false">
      <alignment horizontal="general" vertical="bottom" textRotation="0" wrapText="false" indent="0" shrinkToFit="false"/>
      <protection locked="true" hidden="false"/>
    </xf>
    <xf numFmtId="166" fontId="24" fillId="17" borderId="44" xfId="159" applyFont="true" applyBorder="true" applyAlignment="false" applyProtection="false">
      <alignment horizontal="general" vertical="bottom" textRotation="0" wrapText="false" indent="0" shrinkToFit="false"/>
      <protection locked="true" hidden="false"/>
    </xf>
    <xf numFmtId="173" fontId="24" fillId="15" borderId="44" xfId="159" applyFont="true" applyBorder="true" applyAlignment="false" applyProtection="true">
      <alignment horizontal="general" vertical="bottom" textRotation="0" wrapText="false" indent="0" shrinkToFit="false"/>
      <protection locked="false" hidden="false"/>
    </xf>
    <xf numFmtId="206" fontId="24" fillId="0" borderId="55" xfId="159" applyFont="true" applyBorder="true" applyAlignment="false" applyProtection="false">
      <alignment horizontal="general" vertical="bottom" textRotation="0" wrapText="false" indent="0" shrinkToFit="false"/>
      <protection locked="true" hidden="false"/>
    </xf>
    <xf numFmtId="188" fontId="24" fillId="15" borderId="40" xfId="159" applyFont="true" applyBorder="true" applyAlignment="false" applyProtection="true">
      <alignment horizontal="general" vertical="bottom" textRotation="0" wrapText="false" indent="0" shrinkToFit="false"/>
      <protection locked="false" hidden="false"/>
    </xf>
    <xf numFmtId="173" fontId="24" fillId="14" borderId="40" xfId="159" applyFont="true" applyBorder="true" applyAlignment="false" applyProtection="false">
      <alignment horizontal="general" vertical="bottom" textRotation="0" wrapText="false" indent="0" shrinkToFit="false"/>
      <protection locked="true" hidden="false"/>
    </xf>
    <xf numFmtId="166" fontId="24" fillId="17" borderId="40" xfId="159" applyFont="true" applyBorder="true" applyAlignment="false" applyProtection="false">
      <alignment horizontal="general" vertical="bottom" textRotation="0" wrapText="false" indent="0" shrinkToFit="false"/>
      <protection locked="true" hidden="false"/>
    </xf>
    <xf numFmtId="173" fontId="24" fillId="0" borderId="40" xfId="159" applyFont="true" applyBorder="true" applyAlignment="false" applyProtection="false">
      <alignment horizontal="general" vertical="bottom" textRotation="0" wrapText="false" indent="0" shrinkToFit="false"/>
      <protection locked="true" hidden="false"/>
    </xf>
    <xf numFmtId="173" fontId="24" fillId="0" borderId="58" xfId="159" applyFont="true" applyBorder="true" applyAlignment="false" applyProtection="false">
      <alignment horizontal="general" vertical="bottom" textRotation="0" wrapText="false" indent="0" shrinkToFit="false"/>
      <protection locked="true" hidden="false"/>
    </xf>
    <xf numFmtId="173" fontId="24" fillId="14" borderId="58" xfId="159" applyFont="true" applyBorder="true" applyAlignment="false" applyProtection="false">
      <alignment horizontal="general" vertical="bottom" textRotation="0" wrapText="false" indent="0" shrinkToFit="false"/>
      <protection locked="true" hidden="false"/>
    </xf>
    <xf numFmtId="173" fontId="24" fillId="0" borderId="59" xfId="159" applyFont="true" applyBorder="true" applyAlignment="false" applyProtection="false">
      <alignment horizontal="general" vertical="bottom" textRotation="0" wrapText="false" indent="0" shrinkToFit="false"/>
      <protection locked="true" hidden="false"/>
    </xf>
    <xf numFmtId="173" fontId="24" fillId="15" borderId="0" xfId="159" applyFont="true" applyBorder="false" applyAlignment="false" applyProtection="true">
      <alignment horizontal="general" vertical="bottom" textRotation="0" wrapText="false" indent="0" shrinkToFit="false"/>
      <protection locked="false" hidden="false"/>
    </xf>
    <xf numFmtId="164" fontId="75" fillId="0" borderId="0" xfId="159" applyFont="true" applyBorder="true" applyAlignment="false" applyProtection="false">
      <alignment horizontal="general" vertical="bottom" textRotation="0" wrapText="false" indent="0" shrinkToFit="false"/>
      <protection locked="true" hidden="false"/>
    </xf>
    <xf numFmtId="164" fontId="57" fillId="0" borderId="0" xfId="159" applyFont="true" applyBorder="true" applyAlignment="false" applyProtection="false">
      <alignment horizontal="general" vertical="bottom" textRotation="0" wrapText="false" indent="0" shrinkToFit="false"/>
      <protection locked="true" hidden="false"/>
    </xf>
    <xf numFmtId="173" fontId="24" fillId="14" borderId="0" xfId="159" applyFont="true" applyBorder="false" applyAlignment="false" applyProtection="false">
      <alignment horizontal="general" vertical="bottom" textRotation="0" wrapText="false" indent="0" shrinkToFit="false"/>
      <protection locked="true" hidden="false"/>
    </xf>
    <xf numFmtId="173" fontId="24" fillId="0" borderId="0" xfId="159" applyFont="true" applyBorder="false" applyAlignment="false" applyProtection="false">
      <alignment horizontal="general" vertical="bottom" textRotation="0" wrapText="false" indent="0" shrinkToFit="false"/>
      <protection locked="true" hidden="false"/>
    </xf>
    <xf numFmtId="173" fontId="24" fillId="14" borderId="62" xfId="159" applyFont="true" applyBorder="true" applyAlignment="false" applyProtection="false">
      <alignment horizontal="general" vertical="bottom" textRotation="0" wrapText="false" indent="0" shrinkToFit="false"/>
      <protection locked="true" hidden="false"/>
    </xf>
    <xf numFmtId="206" fontId="24" fillId="0" borderId="0" xfId="159" applyFont="true" applyBorder="false" applyAlignment="false" applyProtection="false">
      <alignment horizontal="general" vertical="bottom" textRotation="0" wrapText="false" indent="0" shrinkToFit="false"/>
      <protection locked="true" hidden="false"/>
    </xf>
    <xf numFmtId="165" fontId="57" fillId="21" borderId="89" xfId="159" applyFont="true" applyBorder="true" applyAlignment="true" applyProtection="true">
      <alignment horizontal="center" vertical="bottom" textRotation="0" wrapText="false" indent="0" shrinkToFit="false"/>
      <protection locked="false" hidden="false"/>
    </xf>
    <xf numFmtId="173" fontId="24" fillId="14" borderId="15" xfId="159" applyFont="true" applyBorder="true" applyAlignment="false" applyProtection="false">
      <alignment horizontal="general" vertical="bottom" textRotation="0" wrapText="false" indent="0" shrinkToFit="false"/>
      <protection locked="true" hidden="false"/>
    </xf>
    <xf numFmtId="165" fontId="57" fillId="21" borderId="49" xfId="159" applyFont="true" applyBorder="true" applyAlignment="true" applyProtection="true">
      <alignment horizontal="center" vertical="bottom" textRotation="0" wrapText="false" indent="0" shrinkToFit="false"/>
      <protection locked="false" hidden="false"/>
    </xf>
    <xf numFmtId="164" fontId="24" fillId="0" borderId="54" xfId="159" applyFont="true" applyBorder="true" applyAlignment="false" applyProtection="false">
      <alignment horizontal="general" vertical="bottom" textRotation="0" wrapText="false" indent="0" shrinkToFit="false"/>
      <protection locked="true" hidden="false"/>
    </xf>
    <xf numFmtId="206" fontId="72" fillId="6" borderId="54" xfId="44" applyFont="true" applyBorder="true" applyAlignment="true" applyProtection="false">
      <alignment horizontal="left" vertical="center" textRotation="0" wrapText="false" indent="1" shrinkToFit="false"/>
      <protection locked="true" hidden="false"/>
    </xf>
    <xf numFmtId="166" fontId="72" fillId="6" borderId="54" xfId="49" applyFont="true" applyBorder="true" applyAlignment="true" applyProtection="false">
      <alignment horizontal="right" vertical="center" textRotation="0" wrapText="false" indent="1" shrinkToFit="false"/>
      <protection locked="true" hidden="false"/>
    </xf>
    <xf numFmtId="165" fontId="48" fillId="0" borderId="34" xfId="26" applyFont="true" applyBorder="true" applyAlignment="true" applyProtection="false">
      <alignment horizontal="left" vertical="center" textRotation="0" wrapText="false" indent="0" shrinkToFit="false"/>
      <protection locked="true" hidden="false"/>
    </xf>
    <xf numFmtId="165" fontId="48" fillId="0" borderId="185" xfId="26" applyFont="true" applyBorder="true" applyAlignment="true" applyProtection="false">
      <alignment horizontal="left" vertical="center" textRotation="0" wrapText="false" indent="0" shrinkToFit="false"/>
      <protection locked="true" hidden="false"/>
    </xf>
    <xf numFmtId="164" fontId="48" fillId="0" borderId="35" xfId="0" applyFont="true" applyBorder="true" applyAlignment="false" applyProtection="false">
      <alignment horizontal="general" vertical="bottom" textRotation="0" wrapText="false" indent="0" shrinkToFit="false"/>
      <protection locked="true" hidden="false"/>
    </xf>
    <xf numFmtId="168" fontId="48" fillId="0" borderId="37" xfId="35" applyFont="true" applyBorder="true" applyAlignment="true" applyProtection="true">
      <alignment horizontal="general" vertical="center" textRotation="0" wrapText="false" indent="0" shrinkToFit="false"/>
      <protection locked="false" hidden="false"/>
    </xf>
    <xf numFmtId="164" fontId="48" fillId="0" borderId="39" xfId="0" applyFont="true" applyBorder="true" applyAlignment="true" applyProtection="false">
      <alignment horizontal="left" vertical="bottom" textRotation="0" wrapText="false" indent="0" shrinkToFit="false"/>
      <protection locked="true" hidden="false"/>
    </xf>
    <xf numFmtId="164" fontId="48" fillId="0" borderId="90" xfId="0" applyFont="true" applyBorder="true" applyAlignment="true" applyProtection="false">
      <alignment horizontal="left" vertical="bottom" textRotation="0" wrapText="false" indent="0" shrinkToFit="false"/>
      <protection locked="true" hidden="false"/>
    </xf>
    <xf numFmtId="164" fontId="48" fillId="0" borderId="40" xfId="0" applyFont="true" applyBorder="true" applyAlignment="true" applyProtection="false">
      <alignment horizontal="left" vertical="bottom" textRotation="0" wrapText="false" indent="0" shrinkToFit="false"/>
      <protection locked="true" hidden="false"/>
    </xf>
    <xf numFmtId="173" fontId="48" fillId="0" borderId="41" xfId="104" applyFont="true" applyBorder="true" applyAlignment="false" applyProtection="false">
      <alignment horizontal="general" vertical="bottom" textRotation="0" wrapText="false" indent="0" shrinkToFit="false"/>
      <protection locked="true" hidden="false"/>
    </xf>
    <xf numFmtId="188" fontId="48" fillId="0" borderId="40" xfId="0" applyFont="true" applyBorder="true" applyAlignment="true" applyProtection="false">
      <alignment horizontal="center" vertical="bottom" textRotation="0" wrapText="false" indent="0" shrinkToFit="false"/>
      <protection locked="true" hidden="false"/>
    </xf>
    <xf numFmtId="173" fontId="48" fillId="0" borderId="41" xfId="17" applyFont="true" applyBorder="true" applyAlignment="false" applyProtection="false">
      <alignment horizontal="general" vertical="bottom" textRotation="0" wrapText="false" indent="0" shrinkToFit="false"/>
      <protection locked="true" hidden="false"/>
    </xf>
    <xf numFmtId="174" fontId="48" fillId="0" borderId="40" xfId="15" applyFont="true" applyBorder="true" applyAlignment="false" applyProtection="false">
      <alignment horizontal="general" vertical="bottom" textRotation="0" wrapText="false" indent="0" shrinkToFit="false"/>
      <protection locked="true" hidden="false"/>
    </xf>
    <xf numFmtId="164" fontId="48" fillId="15" borderId="100" xfId="0" applyFont="true" applyBorder="true" applyAlignment="true" applyProtection="false">
      <alignment horizontal="left" vertical="center" textRotation="0" wrapText="false" indent="0" shrinkToFit="false"/>
      <protection locked="true" hidden="false"/>
    </xf>
    <xf numFmtId="174" fontId="48" fillId="14" borderId="40" xfId="15" applyFont="true" applyBorder="true" applyAlignment="false" applyProtection="false">
      <alignment horizontal="general" vertical="bottom" textRotation="0" wrapText="false" indent="0" shrinkToFit="false"/>
      <protection locked="true" hidden="false"/>
    </xf>
    <xf numFmtId="173" fontId="48" fillId="15" borderId="40" xfId="0" applyFont="true" applyBorder="true" applyAlignment="false" applyProtection="false">
      <alignment horizontal="general" vertical="bottom" textRotation="0" wrapText="false" indent="0" shrinkToFit="false"/>
      <protection locked="true" hidden="false"/>
    </xf>
    <xf numFmtId="174" fontId="57" fillId="14" borderId="40" xfId="15" applyFont="true" applyBorder="true" applyAlignment="false" applyProtection="false">
      <alignment horizontal="general" vertical="bottom" textRotation="0" wrapText="false" indent="0" shrinkToFit="false"/>
      <protection locked="true" hidden="false"/>
    </xf>
    <xf numFmtId="164" fontId="48" fillId="0" borderId="39" xfId="0" applyFont="true" applyBorder="true" applyAlignment="true" applyProtection="false">
      <alignment horizontal="left" vertical="bottom" textRotation="0" wrapText="true" indent="0" shrinkToFit="false"/>
      <protection locked="true" hidden="false"/>
    </xf>
    <xf numFmtId="164" fontId="48" fillId="15" borderId="39" xfId="0" applyFont="true" applyBorder="true" applyAlignment="true" applyProtection="false">
      <alignment horizontal="left" vertical="center" textRotation="0" wrapText="false" indent="0" shrinkToFit="false"/>
      <protection locked="true" hidden="false"/>
    </xf>
    <xf numFmtId="174" fontId="48" fillId="14" borderId="58" xfId="15" applyFont="true" applyBorder="true" applyAlignment="false" applyProtection="false">
      <alignment horizontal="general" vertical="bottom" textRotation="0" wrapText="false" indent="0" shrinkToFit="false"/>
      <protection locked="true" hidden="false"/>
    </xf>
    <xf numFmtId="173" fontId="48" fillId="14" borderId="58" xfId="0" applyFont="true" applyBorder="true" applyAlignment="false" applyProtection="false">
      <alignment horizontal="general" vertical="bottom" textRotation="0" wrapText="false" indent="0" shrinkToFit="false"/>
      <protection locked="true" hidden="false"/>
    </xf>
    <xf numFmtId="165" fontId="48" fillId="0" borderId="39" xfId="26" applyFont="true" applyBorder="true" applyAlignment="true" applyProtection="false">
      <alignment horizontal="left" vertical="center" textRotation="0" wrapText="false" indent="0" shrinkToFit="false"/>
      <protection locked="true" hidden="false"/>
    </xf>
    <xf numFmtId="165" fontId="48" fillId="0" borderId="90" xfId="26" applyFont="true" applyBorder="true" applyAlignment="true" applyProtection="false">
      <alignment horizontal="left" vertical="center" textRotation="0" wrapText="false" indent="0" shrinkToFit="false"/>
      <protection locked="true" hidden="false"/>
    </xf>
    <xf numFmtId="173" fontId="48" fillId="14" borderId="45" xfId="0" applyFont="true" applyBorder="true" applyAlignment="false" applyProtection="false">
      <alignment horizontal="general" vertical="bottom" textRotation="0" wrapText="false" indent="0" shrinkToFit="false"/>
      <protection locked="true" hidden="false"/>
    </xf>
    <xf numFmtId="164" fontId="67" fillId="0" borderId="39" xfId="0" applyFont="true" applyBorder="true" applyAlignment="true" applyProtection="false">
      <alignment horizontal="left" vertical="bottom" textRotation="0" wrapText="false" indent="0" shrinkToFit="false"/>
      <protection locked="true" hidden="false"/>
    </xf>
    <xf numFmtId="164" fontId="67" fillId="0" borderId="90" xfId="0" applyFont="true" applyBorder="true" applyAlignment="true" applyProtection="false">
      <alignment horizontal="left" vertical="bottom" textRotation="0" wrapText="false" indent="0" shrinkToFit="false"/>
      <protection locked="true" hidden="false"/>
    </xf>
    <xf numFmtId="173" fontId="48" fillId="14" borderId="41" xfId="17" applyFont="true" applyBorder="true" applyAlignment="false" applyProtection="false">
      <alignment horizontal="general" vertical="bottom" textRotation="0" wrapText="false" indent="0" shrinkToFit="false"/>
      <protection locked="true" hidden="false"/>
    </xf>
    <xf numFmtId="164" fontId="48" fillId="0" borderId="51" xfId="0" applyFont="true" applyBorder="true" applyAlignment="true" applyProtection="false">
      <alignment horizontal="left" vertical="bottom" textRotation="0" wrapText="false" indent="0" shrinkToFit="false"/>
      <protection locked="true" hidden="false"/>
    </xf>
    <xf numFmtId="164" fontId="48" fillId="0" borderId="104" xfId="0" applyFont="true" applyBorder="true" applyAlignment="true" applyProtection="false">
      <alignment horizontal="left" vertical="bottom" textRotation="0" wrapText="false" indent="0" shrinkToFit="false"/>
      <protection locked="true" hidden="false"/>
    </xf>
    <xf numFmtId="164" fontId="48" fillId="0" borderId="52" xfId="0" applyFont="true" applyBorder="true" applyAlignment="true" applyProtection="false">
      <alignment horizontal="left" vertical="bottom" textRotation="0" wrapText="false" indent="0" shrinkToFit="false"/>
      <protection locked="true" hidden="false"/>
    </xf>
    <xf numFmtId="173" fontId="48" fillId="0" borderId="52" xfId="0" applyFont="true" applyBorder="true" applyAlignment="false" applyProtection="false">
      <alignment horizontal="general" vertical="bottom" textRotation="0" wrapText="false" indent="0" shrinkToFit="false"/>
      <protection locked="true" hidden="false"/>
    </xf>
    <xf numFmtId="173" fontId="48" fillId="0" borderId="186" xfId="0" applyFont="true" applyBorder="true" applyAlignment="false" applyProtection="false">
      <alignment horizontal="general" vertical="bottom" textRotation="0" wrapText="false" indent="0" shrinkToFit="false"/>
      <protection locked="true" hidden="false"/>
    </xf>
    <xf numFmtId="174" fontId="24" fillId="14" borderId="53" xfId="159" applyFont="true" applyBorder="true" applyAlignment="false" applyProtection="false">
      <alignment horizontal="general" vertical="bottom" textRotation="0" wrapText="false" indent="0" shrinkToFit="false"/>
      <protection locked="true" hidden="false"/>
    </xf>
    <xf numFmtId="164" fontId="41" fillId="6" borderId="0" xfId="0" applyFont="true" applyBorder="false" applyAlignment="false" applyProtection="false">
      <alignment horizontal="general" vertical="bottom" textRotation="0" wrapText="false" indent="0" shrinkToFit="false"/>
      <protection locked="true" hidden="false"/>
    </xf>
    <xf numFmtId="164" fontId="63" fillId="6" borderId="0" xfId="0" applyFont="true" applyBorder="false" applyAlignment="true" applyProtection="false">
      <alignment horizontal="general" vertical="center" textRotation="0" wrapText="false" indent="0" shrinkToFit="false"/>
      <protection locked="true" hidden="false"/>
    </xf>
    <xf numFmtId="164" fontId="43" fillId="6" borderId="0" xfId="0" applyFont="true" applyBorder="false" applyAlignment="true" applyProtection="false">
      <alignment horizontal="general" vertical="center" textRotation="0" wrapText="false" indent="0" shrinkToFit="false"/>
      <protection locked="true" hidden="false"/>
    </xf>
    <xf numFmtId="164" fontId="57" fillId="13" borderId="54" xfId="0" applyFont="true" applyBorder="true" applyAlignment="true" applyProtection="false">
      <alignment horizontal="center" vertical="bottom" textRotation="0" wrapText="true" indent="0" shrinkToFit="false"/>
      <protection locked="true" hidden="false"/>
    </xf>
    <xf numFmtId="164" fontId="41" fillId="15" borderId="61" xfId="0" applyFont="true" applyBorder="true" applyAlignment="false" applyProtection="true">
      <alignment horizontal="general" vertical="bottom" textRotation="0" wrapText="false" indent="0" shrinkToFit="false"/>
      <protection locked="false" hidden="false"/>
    </xf>
    <xf numFmtId="164" fontId="41" fillId="15" borderId="44" xfId="0" applyFont="true" applyBorder="true" applyAlignment="false" applyProtection="true">
      <alignment horizontal="general" vertical="bottom" textRotation="0" wrapText="false" indent="0" shrinkToFit="false"/>
      <protection locked="false" hidden="false"/>
    </xf>
    <xf numFmtId="172" fontId="41" fillId="15" borderId="44" xfId="0" applyFont="true" applyBorder="true" applyAlignment="false" applyProtection="true">
      <alignment horizontal="general" vertical="bottom" textRotation="0" wrapText="false" indent="0" shrinkToFit="false"/>
      <protection locked="false" hidden="false"/>
    </xf>
    <xf numFmtId="164" fontId="41" fillId="15" borderId="55" xfId="0" applyFont="true" applyBorder="true" applyAlignment="false" applyProtection="true">
      <alignment horizontal="general" vertical="bottom" textRotation="0" wrapText="false" indent="0" shrinkToFit="false"/>
      <protection locked="false" hidden="false"/>
    </xf>
    <xf numFmtId="164" fontId="41" fillId="15" borderId="40" xfId="0" applyFont="true" applyBorder="true" applyAlignment="false" applyProtection="true">
      <alignment horizontal="general" vertical="bottom" textRotation="0" wrapText="false" indent="0" shrinkToFit="false"/>
      <protection locked="false" hidden="false"/>
    </xf>
    <xf numFmtId="172" fontId="41" fillId="15" borderId="40" xfId="0" applyFont="true" applyBorder="true" applyAlignment="false" applyProtection="true">
      <alignment horizontal="general" vertical="bottom" textRotation="0" wrapText="false" indent="0" shrinkToFit="false"/>
      <protection locked="false" hidden="false"/>
    </xf>
    <xf numFmtId="164" fontId="41" fillId="15" borderId="57" xfId="0" applyFont="true" applyBorder="true" applyAlignment="false" applyProtection="true">
      <alignment horizontal="general" vertical="bottom" textRotation="0" wrapText="false" indent="0" shrinkToFit="false"/>
      <protection locked="false" hidden="false"/>
    </xf>
    <xf numFmtId="164" fontId="41" fillId="15" borderId="58" xfId="0" applyFont="true" applyBorder="true" applyAlignment="false" applyProtection="true">
      <alignment horizontal="general" vertical="bottom" textRotation="0" wrapText="false" indent="0" shrinkToFit="false"/>
      <protection locked="false" hidden="false"/>
    </xf>
    <xf numFmtId="172" fontId="41" fillId="15" borderId="58" xfId="0" applyFont="true" applyBorder="true" applyAlignment="false" applyProtection="true">
      <alignment horizontal="general" vertical="bottom" textRotation="0" wrapText="false" indent="0" shrinkToFit="false"/>
      <protection locked="false" hidden="false"/>
    </xf>
  </cellXfs>
  <cellStyles count="249">
    <cellStyle name="Normal" xfId="0" builtinId="0"/>
    <cellStyle name="Comma" xfId="15" builtinId="3"/>
    <cellStyle name="Comma [0]" xfId="16" builtinId="6"/>
    <cellStyle name="Currency" xfId="17" builtinId="4"/>
    <cellStyle name="Currency [0]" xfId="18" builtinId="7"/>
    <cellStyle name="Percent" xfId="19" builtinId="5"/>
    <cellStyle name="Alert - info" xfId="21"/>
    <cellStyle name="Alert - info 2" xfId="22"/>
    <cellStyle name="Alert - info 3" xfId="23"/>
    <cellStyle name="Alert - info 4" xfId="24"/>
    <cellStyle name="Alert - Warning" xfId="25"/>
    <cellStyle name="Body" xfId="26"/>
    <cellStyle name="Body 2" xfId="27"/>
    <cellStyle name="Body 2 2" xfId="28"/>
    <cellStyle name="Body 3" xfId="29"/>
    <cellStyle name="Body low" xfId="30"/>
    <cellStyle name="Button blue" xfId="31"/>
    <cellStyle name="Button Orange" xfId="32"/>
    <cellStyle name="Cell - %" xfId="33"/>
    <cellStyle name="Cell - % 2" xfId="34"/>
    <cellStyle name="Cell - currency" xfId="35"/>
    <cellStyle name="Cell - currency 2" xfId="36"/>
    <cellStyle name="Cell - currency 3" xfId="37"/>
    <cellStyle name="Cell - currency 3 2" xfId="38"/>
    <cellStyle name="Cell - currency 4" xfId="39"/>
    <cellStyle name="Cell - date" xfId="40"/>
    <cellStyle name="Cell - date 2" xfId="41"/>
    <cellStyle name="Cell - date 3" xfId="42"/>
    <cellStyle name="Cell - date lock" xfId="43"/>
    <cellStyle name="Cell - date lock 2" xfId="44"/>
    <cellStyle name="Cell - date lock 3" xfId="45"/>
    <cellStyle name="Cell - date lock 4" xfId="46"/>
    <cellStyle name="Cell - locked" xfId="47"/>
    <cellStyle name="Cell - locked %" xfId="48"/>
    <cellStyle name="Cell - locked % 2" xfId="49"/>
    <cellStyle name="Cell - locked % 3" xfId="50"/>
    <cellStyle name="Cell - locked % 4" xfId="51"/>
    <cellStyle name="Cell - locked 2" xfId="52"/>
    <cellStyle name="Cell - locked 3" xfId="53"/>
    <cellStyle name="Cell - locked 4" xfId="54"/>
    <cellStyle name="Cell - locked 5" xfId="55"/>
    <cellStyle name="Cell - locked G" xfId="56"/>
    <cellStyle name="Cell - locked G 2" xfId="57"/>
    <cellStyle name="Cell - locked G 3" xfId="58"/>
    <cellStyle name="Cell - locked Text" xfId="59"/>
    <cellStyle name="Cell - locked text 2" xfId="60"/>
    <cellStyle name="Cell - locked text 3" xfId="61"/>
    <cellStyle name="Cell - locked Text 4" xfId="62"/>
    <cellStyle name="Cell - locked text 5" xfId="63"/>
    <cellStyle name="Cell - percentage" xfId="64"/>
    <cellStyle name="Cell - percentage 2" xfId="65"/>
    <cellStyle name="Cell - text" xfId="66"/>
    <cellStyle name="Cell - text 2" xfId="67"/>
    <cellStyle name="Cell - text 2 2" xfId="68"/>
    <cellStyle name="Cell - text 2 3" xfId="69"/>
    <cellStyle name="Cell - text 3" xfId="70"/>
    <cellStyle name="Cell - text 4" xfId="71"/>
    <cellStyle name="Cell - text 5" xfId="72"/>
    <cellStyle name="Cell - text 8" xfId="73"/>
    <cellStyle name="Cell unlocked" xfId="74"/>
    <cellStyle name="Cell unlocked 2" xfId="75"/>
    <cellStyle name="Cell unlocked 3" xfId="76"/>
    <cellStyle name="Cell unlocked 5" xfId="77"/>
    <cellStyle name="Client Name" xfId="78"/>
    <cellStyle name="Client Name 2" xfId="79"/>
    <cellStyle name="Client Name 2 2" xfId="80"/>
    <cellStyle name="Client Name 4" xfId="81"/>
    <cellStyle name="Comma 2" xfId="82"/>
    <cellStyle name="Comma 3" xfId="83"/>
    <cellStyle name="Comma 4" xfId="84"/>
    <cellStyle name="Comma 4 2" xfId="85"/>
    <cellStyle name="Comma 4 2 2" xfId="86"/>
    <cellStyle name="Comma 4 2 3" xfId="87"/>
    <cellStyle name="Comma 5" xfId="88"/>
    <cellStyle name="Comma 5 2" xfId="89"/>
    <cellStyle name="Comma 5 3" xfId="90"/>
    <cellStyle name="Comma 6" xfId="91"/>
    <cellStyle name="Comma 7" xfId="92"/>
    <cellStyle name="Comma 8" xfId="93"/>
    <cellStyle name="Comma 8 2" xfId="94"/>
    <cellStyle name="Currency 2" xfId="95"/>
    <cellStyle name="Currency 2 2" xfId="96"/>
    <cellStyle name="Currency 3" xfId="97"/>
    <cellStyle name="Currency 4" xfId="98"/>
    <cellStyle name="Currency 5" xfId="99"/>
    <cellStyle name="Currency 5 2" xfId="100"/>
    <cellStyle name="Currency 5 3" xfId="101"/>
    <cellStyle name="Currency 6" xfId="102"/>
    <cellStyle name="Currency 7" xfId="103"/>
    <cellStyle name="Currency_2007workpapers" xfId="104"/>
    <cellStyle name="Currency_2007workpapers 2" xfId="105"/>
    <cellStyle name="Firm Name" xfId="106"/>
    <cellStyle name="Firm Name 2" xfId="107"/>
    <cellStyle name="Firm Name 2 2" xfId="108"/>
    <cellStyle name="Followed Hyperlink 2" xfId="109"/>
    <cellStyle name="Followed Hyperlink 2 2" xfId="110"/>
    <cellStyle name="Followed Hyperlink 3" xfId="111"/>
    <cellStyle name="Followed Hyperlink 4" xfId="112"/>
    <cellStyle name="Followed Hyperlink 5" xfId="113"/>
    <cellStyle name="Hyperlink 11" xfId="114"/>
    <cellStyle name="Hyperlink 2" xfId="115"/>
    <cellStyle name="Hyperlink 2 2" xfId="116"/>
    <cellStyle name="Hyperlink 2 2 2" xfId="117"/>
    <cellStyle name="Hyperlink 2 2 3" xfId="118"/>
    <cellStyle name="Hyperlink 2 3" xfId="119"/>
    <cellStyle name="Hyperlink 3" xfId="120"/>
    <cellStyle name="Hyperlink 3 2" xfId="121"/>
    <cellStyle name="Hyperlink 3 3" xfId="122"/>
    <cellStyle name="Hyperlink 4" xfId="123"/>
    <cellStyle name="Hyperlink 5" xfId="124"/>
    <cellStyle name="Hyperlink 5 2" xfId="125"/>
    <cellStyle name="Hyperlink 6" xfId="126"/>
    <cellStyle name="Hyperlink 6 2" xfId="127"/>
    <cellStyle name="Hyperlink 7" xfId="128"/>
    <cellStyle name="Hyperlink 8" xfId="129"/>
    <cellStyle name="Hyperlink 9" xfId="130"/>
    <cellStyle name="info icon" xfId="131"/>
    <cellStyle name="Label" xfId="132"/>
    <cellStyle name="Link sml" xfId="133"/>
    <cellStyle name="Link sml 2" xfId="134"/>
    <cellStyle name="Link sml 2 2" xfId="135"/>
    <cellStyle name="Link sml 3" xfId="136"/>
    <cellStyle name="Link sml 3 2" xfId="137"/>
    <cellStyle name="Link sml 4" xfId="138"/>
    <cellStyle name="Neutral 2" xfId="139"/>
    <cellStyle name="Neutral 3" xfId="140"/>
    <cellStyle name="Neutral 4" xfId="141"/>
    <cellStyle name="Normal 10" xfId="142"/>
    <cellStyle name="Normal 10 2" xfId="143"/>
    <cellStyle name="Normal 11" xfId="144"/>
    <cellStyle name="Normal 11 2" xfId="145"/>
    <cellStyle name="Normal 12" xfId="146"/>
    <cellStyle name="Normal 12 2" xfId="147"/>
    <cellStyle name="Normal 13" xfId="148"/>
    <cellStyle name="Normal 13 2" xfId="149"/>
    <cellStyle name="Normal 14" xfId="150"/>
    <cellStyle name="Normal 14 2" xfId="151"/>
    <cellStyle name="Normal 15" xfId="152"/>
    <cellStyle name="Normal 16" xfId="153"/>
    <cellStyle name="Normal 16 2" xfId="154"/>
    <cellStyle name="Normal 17" xfId="155"/>
    <cellStyle name="Normal 18" xfId="156"/>
    <cellStyle name="Normal 19" xfId="157"/>
    <cellStyle name="Normal 19 2" xfId="158"/>
    <cellStyle name="Normal 2" xfId="159"/>
    <cellStyle name="Normal 2 2" xfId="160"/>
    <cellStyle name="Normal 2 3" xfId="161"/>
    <cellStyle name="Normal 2 4" xfId="162"/>
    <cellStyle name="Normal 20" xfId="163"/>
    <cellStyle name="Normal 21" xfId="164"/>
    <cellStyle name="Normal 22" xfId="165"/>
    <cellStyle name="Normal 22 2" xfId="166"/>
    <cellStyle name="Normal 23" xfId="167"/>
    <cellStyle name="Normal 25" xfId="168"/>
    <cellStyle name="Normal 3" xfId="169"/>
    <cellStyle name="Normal 3 2" xfId="170"/>
    <cellStyle name="Normal 3 2 10" xfId="171"/>
    <cellStyle name="Normal 3 2 10 2" xfId="172"/>
    <cellStyle name="Normal 3 2 11" xfId="173"/>
    <cellStyle name="Normal 3 2 11 2" xfId="174"/>
    <cellStyle name="Normal 3 2 12" xfId="175"/>
    <cellStyle name="Normal 3 2 12 2" xfId="176"/>
    <cellStyle name="Normal 3 2 13" xfId="177"/>
    <cellStyle name="Normal 3 2 13 2" xfId="178"/>
    <cellStyle name="Normal 3 2 14" xfId="179"/>
    <cellStyle name="Normal 3 2 14 2" xfId="180"/>
    <cellStyle name="Normal 3 2 15" xfId="181"/>
    <cellStyle name="Normal 3 2 2" xfId="182"/>
    <cellStyle name="Normal 3 2 2 2" xfId="183"/>
    <cellStyle name="Normal 3 2 3" xfId="184"/>
    <cellStyle name="Normal 3 2 3 2" xfId="185"/>
    <cellStyle name="Normal 3 2 4" xfId="186"/>
    <cellStyle name="Normal 3 2 4 2" xfId="187"/>
    <cellStyle name="Normal 3 2 5" xfId="188"/>
    <cellStyle name="Normal 3 2 5 2" xfId="189"/>
    <cellStyle name="Normal 3 2 6" xfId="190"/>
    <cellStyle name="Normal 3 2 6 2" xfId="191"/>
    <cellStyle name="Normal 3 2 7" xfId="192"/>
    <cellStyle name="Normal 3 2 7 2" xfId="193"/>
    <cellStyle name="Normal 3 2 8" xfId="194"/>
    <cellStyle name="Normal 3 2 8 2" xfId="195"/>
    <cellStyle name="Normal 3 2 9" xfId="196"/>
    <cellStyle name="Normal 3 2 9 2" xfId="197"/>
    <cellStyle name="Normal 4" xfId="198"/>
    <cellStyle name="Normal 4 2" xfId="199"/>
    <cellStyle name="Normal 4 3" xfId="200"/>
    <cellStyle name="Normal 5" xfId="201"/>
    <cellStyle name="Normal 5 2" xfId="202"/>
    <cellStyle name="Normal 5 3" xfId="203"/>
    <cellStyle name="Normal 6" xfId="204"/>
    <cellStyle name="Normal 6 2" xfId="205"/>
    <cellStyle name="Normal 7" xfId="206"/>
    <cellStyle name="Normal 7 2" xfId="207"/>
    <cellStyle name="Normal 8" xfId="208"/>
    <cellStyle name="Normal 8 2" xfId="209"/>
    <cellStyle name="Normal 9" xfId="210"/>
    <cellStyle name="Normal 9 2" xfId="211"/>
    <cellStyle name="Normal_JNLFORM" xfId="212"/>
    <cellStyle name="Percent 2" xfId="213"/>
    <cellStyle name="Percent 2 2" xfId="214"/>
    <cellStyle name="Percent 2 2 2" xfId="215"/>
    <cellStyle name="Percent 2 3" xfId="216"/>
    <cellStyle name="Percent 3" xfId="217"/>
    <cellStyle name="Percent 4" xfId="218"/>
    <cellStyle name="Percent 5" xfId="219"/>
    <cellStyle name="Percent 5 2" xfId="220"/>
    <cellStyle name="Prep Date" xfId="221"/>
    <cellStyle name="Prep Date 2" xfId="222"/>
    <cellStyle name="Prep Date 2 2" xfId="223"/>
    <cellStyle name="Prep Date 4" xfId="224"/>
    <cellStyle name="Prep Heading" xfId="225"/>
    <cellStyle name="Prep Heading 2" xfId="226"/>
    <cellStyle name="Prep Heading 2 2" xfId="227"/>
    <cellStyle name="SD #" xfId="228"/>
    <cellStyle name="SD # 2" xfId="229"/>
    <cellStyle name="SD button" xfId="230"/>
    <cellStyle name="SD button 2" xfId="231"/>
    <cellStyle name="SD button 3" xfId="232"/>
    <cellStyle name="SD title" xfId="233"/>
    <cellStyle name="SD title 2" xfId="234"/>
    <cellStyle name="Section Header" xfId="235"/>
    <cellStyle name="Section Header 2" xfId="236"/>
    <cellStyle name="Section Header 4" xfId="237"/>
    <cellStyle name="SetupLabel" xfId="238"/>
    <cellStyle name="Status Alert" xfId="239"/>
    <cellStyle name="Status Alert 2" xfId="240"/>
    <cellStyle name="Status Alert 3" xfId="241"/>
    <cellStyle name="Table Header" xfId="242"/>
    <cellStyle name="Table Header 2" xfId="243"/>
    <cellStyle name="Table Header 2 2" xfId="244"/>
    <cellStyle name="Table Header 3" xfId="245"/>
    <cellStyle name="Table Header 4" xfId="246"/>
    <cellStyle name="Table Header 5" xfId="247"/>
    <cellStyle name="Total Bal" xfId="248"/>
    <cellStyle name="Totals" xfId="249"/>
    <cellStyle name="Totals 2" xfId="250"/>
    <cellStyle name="Totals 3" xfId="251"/>
    <cellStyle name="Totals 4" xfId="252"/>
    <cellStyle name="Totals 5" xfId="253"/>
    <cellStyle name="Workbook Header" xfId="254"/>
    <cellStyle name="Workpaper Header Input" xfId="255"/>
    <cellStyle name="Workpaper Header Label" xfId="256"/>
    <cellStyle name="WP Code" xfId="257"/>
    <cellStyle name="WP Code 2" xfId="258"/>
    <cellStyle name="WP Code 2 2" xfId="259"/>
    <cellStyle name="WP Title" xfId="260"/>
    <cellStyle name="WP Title 2" xfId="261"/>
    <cellStyle name="WP Title 2 2" xfId="262"/>
    <cellStyle name="*unknown*" xfId="20" builtinId="8"/>
  </cellStyles>
  <dxfs count="36">
    <dxf>
      <fill>
        <patternFill patternType="solid">
          <bgColor rgb="FF000000"/>
        </patternFill>
      </fill>
    </dxf>
    <dxf>
      <fill>
        <patternFill patternType="solid">
          <fgColor rgb="FF000000"/>
          <bgColor rgb="FF000000"/>
        </patternFill>
      </fill>
    </dxf>
    <dxf>
      <fill>
        <patternFill patternType="solid">
          <fgColor rgb="FFF5F5F5"/>
          <bgColor rgb="FF000000"/>
        </patternFill>
      </fill>
    </dxf>
    <dxf>
      <fill>
        <patternFill patternType="solid">
          <fgColor rgb="FF00B0F0"/>
          <bgColor rgb="FF000000"/>
        </patternFill>
      </fill>
    </dxf>
    <dxf>
      <fill>
        <patternFill patternType="solid">
          <fgColor rgb="FF3B7D23"/>
          <bgColor rgb="FF000000"/>
        </patternFill>
      </fill>
    </dxf>
    <dxf>
      <fill>
        <patternFill patternType="solid">
          <fgColor rgb="FFFF0000"/>
          <bgColor rgb="FF000000"/>
        </patternFill>
      </fill>
    </dxf>
    <dxf>
      <fill>
        <patternFill patternType="solid">
          <fgColor rgb="FF474747"/>
          <bgColor rgb="FF000000"/>
        </patternFill>
      </fill>
    </dxf>
    <dxf>
      <fill>
        <patternFill patternType="solid">
          <fgColor rgb="FFEA8F00"/>
          <bgColor rgb="FF000000"/>
        </patternFill>
      </fill>
    </dxf>
    <dxf>
      <fill>
        <patternFill patternType="solid">
          <fgColor rgb="FF969696"/>
          <bgColor rgb="FF000000"/>
        </patternFill>
      </fill>
    </dxf>
    <dxf>
      <fill>
        <patternFill patternType="solid">
          <fgColor rgb="FFFFFFFF"/>
          <bgColor rgb="FF000000"/>
        </patternFill>
      </fill>
    </dxf>
    <dxf>
      <font>
        <color rgb="FF007AC3"/>
      </font>
    </dxf>
    <dxf>
      <font>
        <b val="1"/>
        <color rgb="FFFF0000"/>
      </font>
    </dxf>
    <dxf>
      <font>
        <b val="1"/>
        <color rgb="FF3B7D23"/>
      </font>
    </dxf>
    <dxf>
      <font>
        <color rgb="FF007AC3"/>
      </font>
    </dxf>
    <dxf>
      <font>
        <b val="1"/>
        <color rgb="FFFF0000"/>
      </font>
    </dxf>
    <dxf>
      <font>
        <b val="1"/>
        <color rgb="FFFF0000"/>
      </font>
    </dxf>
    <dxf>
      <font>
        <b val="1"/>
        <color rgb="FF3B7D23"/>
      </font>
    </dxf>
    <dxf>
      <font>
        <color rgb="FF007AC3"/>
      </font>
    </dxf>
    <dxf>
      <font>
        <color rgb="FF009881"/>
      </font>
    </dxf>
    <dxf>
      <font>
        <color rgb="FF85BC20"/>
      </font>
    </dxf>
    <dxf>
      <font>
        <color rgb="FFEA8F00"/>
      </font>
    </dxf>
    <dxf>
      <font>
        <color rgb="FFE5202E"/>
      </font>
    </dxf>
    <dxf>
      <font>
        <color rgb="FF940C72"/>
      </font>
    </dxf>
    <dxf>
      <font>
        <color rgb="FF474747"/>
      </font>
    </dxf>
    <dxf>
      <font>
        <color rgb="FF969696"/>
      </font>
    </dxf>
    <dxf>
      <font>
        <color rgb="FF474747"/>
      </font>
    </dxf>
    <dxf>
      <font>
        <color rgb="FFEA8F00"/>
      </font>
    </dxf>
    <dxf>
      <font>
        <color rgb="FF007AC3"/>
      </font>
    </dxf>
    <dxf>
      <font>
        <color rgb="FF969696"/>
      </font>
    </dxf>
    <dxf>
      <font>
        <color rgb="FF7AC043"/>
      </font>
    </dxf>
    <dxf>
      <font>
        <color rgb="FF007AC3"/>
      </font>
    </dxf>
    <dxf>
      <font>
        <color rgb="FF007AC3"/>
      </font>
    </dxf>
    <dxf>
      <font>
        <color rgb="FF007AC3"/>
      </font>
    </dxf>
    <dxf>
      <font>
        <color rgb="FF7AC043"/>
      </font>
    </dxf>
    <dxf>
      <font>
        <color rgb="FF7AC043"/>
      </font>
    </dxf>
    <dxf>
      <font>
        <color rgb="FF9C0006"/>
      </font>
      <fill>
        <patternFill>
          <bgColor rgb="FFFFC7CE"/>
        </patternFill>
      </fill>
    </dxf>
  </dxfs>
  <colors>
    <indexedColors>
      <rgbColor rgb="FF000000"/>
      <rgbColor rgb="FFFFFFFF"/>
      <rgbColor rgb="FFFF0000"/>
      <rgbColor rgb="FF92D050"/>
      <rgbColor rgb="FF0000FF"/>
      <rgbColor rgb="FFFFFF00"/>
      <rgbColor rgb="FFFF00FF"/>
      <rgbColor rgb="FFD9D9D9"/>
      <rgbColor rgb="FF9C0006"/>
      <rgbColor rgb="FFF5F5F5"/>
      <rgbColor rgb="FF000080"/>
      <rgbColor rgb="FF9C6500"/>
      <rgbColor rgb="FF940C72"/>
      <rgbColor rgb="FF009881"/>
      <rgbColor rgb="FFC0C0C0"/>
      <rgbColor rgb="FF7AC043"/>
      <rgbColor rgb="FFA6A6A6"/>
      <rgbColor rgb="FFCC6600"/>
      <rgbColor rgb="FFFFFFCC"/>
      <rgbColor rgb="FFCAEEFB"/>
      <rgbColor rgb="FF660066"/>
      <rgbColor rgb="FFEA8F00"/>
      <rgbColor rgb="FF007AC3"/>
      <rgbColor rgb="FFD1D1D1"/>
      <rgbColor rgb="FF000080"/>
      <rgbColor rgb="FFFF00FF"/>
      <rgbColor rgb="FFFFE6BD"/>
      <rgbColor rgb="FFDCDCDC"/>
      <rgbColor rgb="FF800080"/>
      <rgbColor rgb="FFED0000"/>
      <rgbColor rgb="FFF2F2F2"/>
      <rgbColor rgb="FF0000FF"/>
      <rgbColor rgb="FF00B0F0"/>
      <rgbColor rgb="FFC1E5F5"/>
      <rgbColor rgb="FFDCE6F1"/>
      <rgbColor rgb="FFFFEB9C"/>
      <rgbColor rgb="FFBFBFBF"/>
      <rgbColor rgb="FFFBDDDF"/>
      <rgbColor rgb="FFBCBCBC"/>
      <rgbColor rgb="FFFFC7CE"/>
      <rgbColor rgb="FFE4E4E4"/>
      <rgbColor rgb="FF45B1E1"/>
      <rgbColor rgb="FF85BC20"/>
      <rgbColor rgb="FFFFE4B9"/>
      <rgbColor rgb="FFFF9900"/>
      <rgbColor rgb="FFE97132"/>
      <rgbColor rgb="FF467886"/>
      <rgbColor rgb="FF969696"/>
      <rgbColor rgb="FF003366"/>
      <rgbColor rgb="FF3B7D23"/>
      <rgbColor rgb="FF003300"/>
      <rgbColor rgb="FF474747"/>
      <rgbColor rgb="FFE5202E"/>
      <rgbColor rgb="FFEBEBEB"/>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externalLink" Target="externalLinks/externalLink1.xml"/><Relationship Id="rId44"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47520</xdr:colOff>
      <xdr:row>15</xdr:row>
      <xdr:rowOff>158760</xdr:rowOff>
    </xdr:from>
    <xdr:to>
      <xdr:col>13</xdr:col>
      <xdr:colOff>400320</xdr:colOff>
      <xdr:row>20</xdr:row>
      <xdr:rowOff>59040</xdr:rowOff>
    </xdr:to>
    <xdr:pic>
      <xdr:nvPicPr>
        <xdr:cNvPr id="0" name="Picture 1" descr=""/>
        <xdr:cNvPicPr/>
      </xdr:nvPicPr>
      <xdr:blipFill>
        <a:blip r:embed="rId1"/>
        <a:stretch/>
      </xdr:blipFill>
      <xdr:spPr>
        <a:xfrm>
          <a:off x="8277120" y="4524480"/>
          <a:ext cx="8616600" cy="804960"/>
        </a:xfrm>
        <a:prstGeom prst="rect">
          <a:avLst/>
        </a:prstGeom>
        <a:ln w="0">
          <a:noFill/>
        </a:ln>
      </xdr:spPr>
    </xdr:pic>
    <xdr:clientData/>
  </xdr:twoCellAnchor>
  <xdr:twoCellAnchor editAs="oneCell">
    <xdr:from>
      <xdr:col>12</xdr:col>
      <xdr:colOff>47520</xdr:colOff>
      <xdr:row>74</xdr:row>
      <xdr:rowOff>105840</xdr:rowOff>
    </xdr:from>
    <xdr:to>
      <xdr:col>12</xdr:col>
      <xdr:colOff>6346080</xdr:colOff>
      <xdr:row>77</xdr:row>
      <xdr:rowOff>49680</xdr:rowOff>
    </xdr:to>
    <xdr:pic>
      <xdr:nvPicPr>
        <xdr:cNvPr id="1" name="Picture 2" descr=""/>
        <xdr:cNvPicPr/>
      </xdr:nvPicPr>
      <xdr:blipFill>
        <a:blip r:embed="rId2"/>
        <a:stretch/>
      </xdr:blipFill>
      <xdr:spPr>
        <a:xfrm>
          <a:off x="8277120" y="17126280"/>
          <a:ext cx="6298560" cy="486720"/>
        </a:xfrm>
        <a:prstGeom prst="rect">
          <a:avLst/>
        </a:prstGeom>
        <a:ln w="0">
          <a:noFill/>
        </a:ln>
      </xdr:spPr>
    </xdr:pic>
    <xdr:clientData/>
  </xdr:twoCellAnchor>
  <xdr:twoCellAnchor editAs="oneCell">
    <xdr:from>
      <xdr:col>20</xdr:col>
      <xdr:colOff>190440</xdr:colOff>
      <xdr:row>102</xdr:row>
      <xdr:rowOff>720</xdr:rowOff>
    </xdr:from>
    <xdr:to>
      <xdr:col>23</xdr:col>
      <xdr:colOff>567720</xdr:colOff>
      <xdr:row>113</xdr:row>
      <xdr:rowOff>99360</xdr:rowOff>
    </xdr:to>
    <xdr:pic>
      <xdr:nvPicPr>
        <xdr:cNvPr id="2" name="Picture 3" descr=""/>
        <xdr:cNvPicPr/>
      </xdr:nvPicPr>
      <xdr:blipFill>
        <a:blip r:embed="rId3"/>
        <a:stretch/>
      </xdr:blipFill>
      <xdr:spPr>
        <a:xfrm>
          <a:off x="25565040" y="22755240"/>
          <a:ext cx="2571840" cy="2089440"/>
        </a:xfrm>
        <a:prstGeom prst="rect">
          <a:avLst/>
        </a:prstGeom>
        <a:ln w="0">
          <a:noFill/>
        </a:ln>
      </xdr:spPr>
    </xdr:pic>
    <xdr:clientData/>
  </xdr:twoCellAnchor>
  <xdr:twoCellAnchor editAs="oneCell">
    <xdr:from>
      <xdr:col>12</xdr:col>
      <xdr:colOff>9360</xdr:colOff>
      <xdr:row>34</xdr:row>
      <xdr:rowOff>6120</xdr:rowOff>
    </xdr:from>
    <xdr:to>
      <xdr:col>12</xdr:col>
      <xdr:colOff>5439960</xdr:colOff>
      <xdr:row>35</xdr:row>
      <xdr:rowOff>127440</xdr:rowOff>
    </xdr:to>
    <xdr:pic>
      <xdr:nvPicPr>
        <xdr:cNvPr id="3" name="Picture 4" descr=""/>
        <xdr:cNvPicPr/>
      </xdr:nvPicPr>
      <xdr:blipFill>
        <a:blip r:embed="rId4"/>
        <a:stretch/>
      </xdr:blipFill>
      <xdr:spPr>
        <a:xfrm>
          <a:off x="8238960" y="8505720"/>
          <a:ext cx="5430600" cy="302040"/>
        </a:xfrm>
        <a:prstGeom prst="rect">
          <a:avLst/>
        </a:prstGeom>
        <a:ln w="0">
          <a:noFill/>
        </a:ln>
      </xdr:spPr>
    </xdr:pic>
    <xdr:clientData/>
  </xdr:twoCellAnchor>
  <xdr:twoCellAnchor editAs="oneCell">
    <xdr:from>
      <xdr:col>12</xdr:col>
      <xdr:colOff>95400</xdr:colOff>
      <xdr:row>119</xdr:row>
      <xdr:rowOff>80640</xdr:rowOff>
    </xdr:from>
    <xdr:to>
      <xdr:col>12</xdr:col>
      <xdr:colOff>4279680</xdr:colOff>
      <xdr:row>123</xdr:row>
      <xdr:rowOff>182160</xdr:rowOff>
    </xdr:to>
    <xdr:pic>
      <xdr:nvPicPr>
        <xdr:cNvPr id="4" name="Picture 7" descr=""/>
        <xdr:cNvPicPr/>
      </xdr:nvPicPr>
      <xdr:blipFill>
        <a:blip r:embed="rId5"/>
        <a:stretch/>
      </xdr:blipFill>
      <xdr:spPr>
        <a:xfrm>
          <a:off x="8325000" y="26231760"/>
          <a:ext cx="4184280" cy="825480"/>
        </a:xfrm>
        <a:prstGeom prst="rect">
          <a:avLst/>
        </a:prstGeom>
        <a:ln w="0">
          <a:noFill/>
        </a:ln>
      </xdr:spPr>
    </xdr:pic>
    <xdr:clientData/>
  </xdr:twoCellAnchor>
  <xdr:twoCellAnchor editAs="oneCell">
    <xdr:from>
      <xdr:col>12</xdr:col>
      <xdr:colOff>1818000</xdr:colOff>
      <xdr:row>40</xdr:row>
      <xdr:rowOff>105120</xdr:rowOff>
    </xdr:from>
    <xdr:to>
      <xdr:col>12</xdr:col>
      <xdr:colOff>5998320</xdr:colOff>
      <xdr:row>44</xdr:row>
      <xdr:rowOff>40320</xdr:rowOff>
    </xdr:to>
    <xdr:pic>
      <xdr:nvPicPr>
        <xdr:cNvPr id="5" name="Picture 8" descr=""/>
        <xdr:cNvPicPr/>
      </xdr:nvPicPr>
      <xdr:blipFill>
        <a:blip r:embed="rId6"/>
        <a:stretch/>
      </xdr:blipFill>
      <xdr:spPr>
        <a:xfrm>
          <a:off x="10047600" y="9690480"/>
          <a:ext cx="4180320" cy="819000"/>
        </a:xfrm>
        <a:prstGeom prst="rect">
          <a:avLst/>
        </a:prstGeom>
        <a:ln w="0">
          <a:noFill/>
        </a:ln>
      </xdr:spPr>
    </xdr:pic>
    <xdr:clientData/>
  </xdr:twoCellAnchor>
  <xdr:twoCellAnchor editAs="oneCell">
    <xdr:from>
      <xdr:col>11</xdr:col>
      <xdr:colOff>645840</xdr:colOff>
      <xdr:row>153</xdr:row>
      <xdr:rowOff>136080</xdr:rowOff>
    </xdr:from>
    <xdr:to>
      <xdr:col>12</xdr:col>
      <xdr:colOff>6194880</xdr:colOff>
      <xdr:row>168</xdr:row>
      <xdr:rowOff>106560</xdr:rowOff>
    </xdr:to>
    <xdr:pic>
      <xdr:nvPicPr>
        <xdr:cNvPr id="6" name="Picture 5" descr=""/>
        <xdr:cNvPicPr/>
      </xdr:nvPicPr>
      <xdr:blipFill>
        <a:blip r:embed="rId7"/>
        <a:stretch/>
      </xdr:blipFill>
      <xdr:spPr>
        <a:xfrm>
          <a:off x="8166960" y="33242400"/>
          <a:ext cx="6257520" cy="2685240"/>
        </a:xfrm>
        <a:prstGeom prst="rect">
          <a:avLst/>
        </a:prstGeom>
        <a:ln w="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C:/Users/KFT1/Downloads/CP%20Workpaper_Template%20Bible%20V_KFT%2027.02.2025%20....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COA"/><sheetName val="ChartOfAccounts"/><sheetName val="Trial Balance "/><sheetName val="Index"/><sheetName val="DSH"/><sheetName val="TCP"/><sheetName val="RNS"/><sheetName val="BRC"/><sheetName val="ACR"/><sheetName val="OCA"/><sheetName val="FIA"/><sheetName val="POP"/><sheetName val="SOP"/><sheetName val="OIN"/><sheetName val="IIS"/><sheetName val="OAS"/><sheetName val="GRC"/><sheetName val="GPV"/><sheetName val="ACP"/><sheetName val="OCL"/><sheetName val="CAC"/><sheetName val="RLP"/><sheetName val="TLN"/><sheetName val="HPL"/><sheetName val="ITD"/><sheetName val="ICA"/><sheetName val="IRE"/><sheetName val="SHC"/><sheetName val="RES"/><sheetName val="SRC"/><sheetName val="OIC"/><sheetName val="IIC"/><sheetName val="WRC"/><sheetName val="EXP"/><sheetName val="ENT"/><sheetName val="HOM"/><sheetName val="IOA"/><sheetName val="ACT"/><sheetName val="AWP"/></sheetNames><sheetDataSet><sheetData sheetId="0"></sheetData><sheetData sheetId="1"></sheetData><sheetData sheetId="2"><row r="5"><cell r="A5" t="str"><v>Account Code</v></cell><cell r="B5" t="str"><v>Account</v></cell><cell r="C5" t="str"><v>Account Type</v></cell><cell r="D5" t="str"><v>Account Class</v></cell><cell r="E5" t="str"><v>Debit - Year to date</v></cell><cell r="F5" t="str"><v>Credit - Year to date</v></cell><cell r="G5" t="str"><v>31 Mar 2023</v></cell></row><row r="6"><cell r="A6"><v>200</v></cell><cell r="B6" t="str"><v>Sales</v></cell><cell r="C6" t="str"><v>Revenue</v></cell><cell r="D6" t="str"><v>Revenue</v></cell></row><row r="6"><cell r="F6"><v>2097178.87</v></cell><cell r="G6"><v>-182182.89</v></cell></row><row r="7"><cell r="A7"><v>272</v></cell><cell r="B7" t="str"><v>Dividends Received</v></cell><cell r="C7" t="str"><v>Other Income</v></cell><cell r="D7" t="str"><v>Revenue</v></cell></row><row r="7"><cell r="F7"><v>187529.8</v></cell><cell r="G7"><v>0</v></cell></row><row r="8"><cell r="A8"><v>274</v></cell><cell r="B8" t="str"><v>Interest Received</v></cell><cell r="C8" t="str"><v>Other Income</v></cell><cell r="D8" t="str"><v>Revenue</v></cell></row><row r="8"><cell r="F8"><v>180912.51</v></cell><cell r="G8"><v>0</v></cell></row><row r="9"><cell r="A9"><v>278</v></cell><cell r="B9" t="str"><v>Rent Received-Residential</v></cell><cell r="C9" t="str"><v>Other Income</v></cell><cell r="D9" t="str"><v>Revenue</v></cell></row><row r="9"><cell r="F9"><v>5700</v></cell><cell r="G9"><v>0</v></cell></row><row r="10"><cell r="A10"><v>279</v></cell><cell r="B10" t="str"><v>Sundry Income</v></cell><cell r="C10" t="str"><v>Other Income</v></cell><cell r="D10" t="str"><v>Revenue</v></cell></row><row r="10"><cell r="F10"><v>0</v></cell><cell r="G10"><v>-21.09</v></cell></row><row r="11"><cell r="A11"><v>210</v></cell><cell r="B11" t="str"><v>Purchases</v></cell><cell r="C11" t="str"><v>Direct Costs</v></cell><cell r="D11" t="str"><v>Revenue</v></cell><cell r="E11"><v>2028.68</v></cell></row><row r="11"><cell r="G11"><v>-191.69</v></cell></row><row r="12"><cell r="A12"><v>232</v></cell><cell r="B12" t="str"><v>Direct Packing, Management & Freight</v></cell><cell r="C12" t="str"><v>Direct Costs</v></cell><cell r="D12" t="str"><v>Revenue</v></cell><cell r="E12"><v>473725.73</v></cell></row><row r="12"><cell r="G12"><v>-11478.26</v></cell></row><row r="13"><cell r="A13"><v>234</v></cell><cell r="B13" t="str"><v>Direct Fuel & Vehicle Costs</v></cell><cell r="C13" t="str"><v>Direct Costs</v></cell><cell r="D13" t="str"><v>Expense</v></cell><cell r="E13"><v>78728.56</v></cell></row><row r="13"><cell r="G13"><v>0</v></cell></row><row r="14"><cell r="A14"><v>244</v></cell><cell r="B14" t="str"><v>Direct Fertiliser& Spraying Costs</v></cell><cell r="C14" t="str"><v>Direct Costs</v></cell><cell r="D14" t="str"><v>Expense</v></cell><cell r="E14"><v>127566.57</v></cell></row><row r="14"><cell r="G14"><v>0</v></cell></row><row r="15"><cell r="A15"><v>245</v></cell><cell r="B15" t="str"><v>Direct  Pollination / Bees costs</v></cell><cell r="C15" t="str"><v>Direct Costs</v></cell><cell r="D15" t="str"><v>Expense</v></cell><cell r="E15"><v>8882.75</v></cell></row><row r="15"><cell r="G15"><v>0</v></cell></row><row r="16"><cell r="A16"><v>246</v></cell><cell r="B16" t="str"><v>Direct Subcontractors with W/H tax</v></cell><cell r="C16" t="str"><v>Direct Costs</v></cell><cell r="D16" t="str"><v>Expense</v></cell><cell r="E16"><v>75738.5</v></cell></row><row r="16"><cell r="G16"><v>0</v></cell></row><row r="17"><cell r="A17"><v>247</v></cell><cell r="B17" t="str"><v>Direct expense  - subcontractors no W/T tax</v></cell><cell r="C17" t="str"><v>Direct Costs</v></cell><cell r="D17" t="str"><v>Expense</v></cell><cell r="E17"><v>146890</v></cell></row><row r="17"><cell r="G17"><v>0</v></cell></row><row r="18"><cell r="A18"><v>285</v></cell><cell r="B18" t="str"><v>Accident Compensation Levy</v></cell><cell r="C18" t="str"><v>Expense</v></cell><cell r="D18" t="str"><v>Expense</v></cell><cell r="E18"><v>353.17</v></cell></row><row r="18"><cell r="G18"><v>0</v></cell></row><row r="19"><cell r="A19"><v>287</v></cell><cell r="B19" t="str"><v>Accountancy Fees</v></cell><cell r="C19" t="str"><v>Expense</v></cell><cell r="D19" t="str"><v>Expense</v></cell><cell r="E19"><v>20900</v></cell></row><row r="19"><cell r="G19"><v>0</v></cell></row><row r="20"><cell r="A20"><v>302</v></cell><cell r="B20" t="str"><v>Bank Charges</v></cell><cell r="C20" t="str"><v>Expense</v></cell><cell r="D20" t="str"><v>Expense</v></cell><cell r="E20"><v>2820.55</v></cell></row><row r="20"><cell r="G20"><v>196.44</v></cell></row><row r="21"><cell r="A21"><v>317</v></cell><cell r="B21" t="str"><v>Consultancy</v></cell><cell r="C21" t="str"><v>Expense</v></cell><cell r="D21" t="str"><v>Expense</v></cell><cell r="E21"><v>1773.72</v></cell></row><row r="21"><cell r="G21"><v>161.94</v></cell></row><row r="22"><cell r="A22"><v>329</v></cell><cell r="B22" t="str"><v>Freight & Courier</v></cell><cell r="C22" t="str"><v>Expense</v></cell><cell r="D22" t="str"><v>Expense</v></cell><cell r="E22"><v>181.32</v></cell></row><row r="22"><cell r="G22"><v>7718.98</v></cell></row><row r="23"><cell r="A23"><v>335</v></cell><cell r="B23" t="str"><v>General Expenses</v></cell><cell r="C23" t="str"><v>Expense</v></cell><cell r="D23" t="str"><v>Expense</v></cell><cell r="E23"><v>786.53</v></cell></row><row r="23"><cell r="G23"><v>1895</v></cell></row><row r="24"><cell r="A24"><v>340</v></cell><cell r="B24" t="str"><v>Insurance</v></cell><cell r="C24" t="str"><v>Expense</v></cell><cell r="D24" t="str"><v>Expense</v></cell><cell r="E24"><v>26558.94</v></cell></row><row r="24"><cell r="G24"><v>7371.22</v></cell></row><row r="25"><cell r="A25"><v>351</v></cell><cell r="B25" t="str"><v>Interest on Loans</v></cell><cell r="C25" t="str"><v>Expense</v></cell><cell r="D25" t="str"><v>Expense</v></cell><cell r="E25"><v>982999.38</v></cell></row><row r="25"><cell r="G25"><v>5764.84</v></cell></row><row r="26"><cell r="A26"><v>353</v></cell><cell r="B26" t="str"><v>Interest on Overdraft</v></cell><cell r="C26" t="str"><v>Expense</v></cell><cell r="D26" t="str"><v>Expense</v></cell><cell r="E26"><v>108780.91</v></cell></row><row r="26"><cell r="G26"><v>6629.58</v></cell></row><row r="27"><cell r="A27"><v>359</v></cell><cell r="B27" t="str"><v>Interest Other</v></cell><cell r="C27" t="str"><v>Expense</v></cell><cell r="D27" t="str"><v>Expense</v></cell><cell r="E27"><v>1364.1</v></cell></row><row r="27"><cell r="G27"><v>0</v></cell></row><row r="28"><cell r="A28"><v>382</v></cell><cell r="B28" t="str"><v>Licences & Registrations</v></cell><cell r="C28" t="str"><v>Expense</v></cell><cell r="D28" t="str"><v>Expense</v></cell><cell r="E28"><v>3669</v></cell></row><row r="28"><cell r="G28"><v>340.33</v></cell></row><row r="29"><cell r="A29"><v>384</v></cell><cell r="B29" t="str"><v>Light Power & Heating</v></cell><cell r="C29" t="str"><v>Expense</v></cell><cell r="D29" t="str"><v>Expense</v></cell><cell r="E29"><v>15156.22</v></cell></row><row r="29"><cell r="G29"><v>1275.08</v></cell></row><row r="30"><cell r="A30"><v>386</v></cell><cell r="B30" t="str"><v>Loan Fees</v></cell><cell r="C30" t="str"><v>Expense</v></cell><cell r="D30" t="str"><v>Expense</v></cell><cell r="E30"><v>37900</v></cell></row><row r="30"><cell r="G30"><v>440.67</v></cell></row><row r="31"><cell r="A31"><v>406</v></cell><cell r="B31" t="str"><v>Minor Assets</v></cell><cell r="C31" t="str"><v>Expense</v></cell><cell r="D31" t="str"><v>Expense</v></cell><cell r="E31"><v>11769.19</v></cell></row><row r="31"><cell r="G31"><v>0</v></cell></row><row r="32"><cell r="A32"><v>424</v></cell><cell r="B32" t="str"><v>Pest control</v></cell><cell r="C32" t="str"><v>Expense</v></cell><cell r="D32" t="str"><v>Expense</v></cell><cell r="E32"><v>0</v></cell></row><row r="32"><cell r="G32"><v>2821.27</v></cell></row><row r="33"><cell r="A33"><v>427</v></cell><cell r="B33" t="str"><v>Picking expense - Orchard</v></cell><cell r="C33" t="str"><v>Expense</v></cell><cell r="D33" t="str"><v>Expense</v></cell><cell r="E33"><v>0</v></cell></row><row r="33"><cell r="G33"><v>0</v></cell></row><row r="34"><cell r="A34"><v>428</v></cell><cell r="B34" t="str"><v>Plant & Equipment Hire</v></cell><cell r="C34" t="str"><v>Expense</v></cell><cell r="D34" t="str"><v>Expense</v></cell><cell r="E34"><v>384.35</v></cell></row><row r="34"><cell r="G34"><v>0</v></cell></row><row r="35"><cell r="A35"><v>431</v></cell><cell r="B35" t="str"><v>Printing & Stationery</v></cell><cell r="C35" t="str"><v>Expense</v></cell><cell r="D35" t="str"><v>Expense</v></cell><cell r="E35"><v>0</v></cell></row><row r="35"><cell r="G35"><v>0</v></cell></row><row r="36"><cell r="A36"><v>433</v></cell><cell r="B36" t="str"><v>Protective Clothing</v></cell><cell r="C36" t="str"><v>Expense</v></cell><cell r="D36" t="str"><v>Expense</v></cell><cell r="E36"><v>2136.45</v></cell></row><row r="36"><cell r="G36"><v>0</v></cell></row><row r="37"><cell r="A37"><v>435</v></cell><cell r="B37" t="str"><v>Pruning Expense</v></cell><cell r="C37" t="str"><v>Expense</v></cell><cell r="D37" t="str"><v>Expense</v></cell><cell r="E37"><v>932.8</v></cell></row><row r="37"><cell r="G37"><v>0</v></cell></row><row r="38"><cell r="A38"><v>440</v></cell><cell r="B38" t="str"><v>Rates</v></cell><cell r="C38" t="str"><v>Expense</v></cell><cell r="D38" t="str"><v>Expense</v></cell><cell r="E38"><v>30779.26</v></cell></row><row r="38"><cell r="G38"><v>0</v></cell></row><row r="39"><cell r="A39"><v>450</v></cell><cell r="B39" t="str"><v>Repairs & Maintenance</v></cell><cell r="C39" t="str"><v>Expense</v></cell><cell r="D39" t="str"><v>Expense</v></cell><cell r="E39"><v>45957.8</v></cell></row><row r="39"><cell r="G39"><v>0</v></cell></row><row r="40"><cell r="A40"><v>452</v></cell><cell r="B40" t="str"><v>Soil Test and Other Orchard expenses</v></cell><cell r="C40" t="str"><v>Expense</v></cell><cell r="D40" t="str"><v>Expense</v></cell><cell r="E40"><v>2364.62</v></cell></row><row r="40"><cell r="G40"><v>0</v></cell></row><row r="41"><cell r="A41"><v>473</v></cell><cell r="B41" t="str"><v>Valuation Fees</v></cell><cell r="C41" t="str"><v>Expense</v></cell><cell r="D41" t="str"><v>Expense</v></cell><cell r="E41"><v>11435</v></cell></row><row r="41"><cell r="G41"><v>0</v></cell></row><row r="42"><cell r="A42"><v>477</v></cell><cell r="B42" t="str"><v>Depreciation</v></cell><cell r="C42" t="str"><v>Expense</v></cell><cell r="D42" t="str"><v>Expense</v></cell><cell r="E42"><v>431634.38</v></cell></row><row r="42"><cell r="G42"><v>0</v></cell></row><row r="43"><cell r="A43"><v>480</v></cell><cell r="B43" t="str"><v>Tax Expense</v></cell><cell r="C43" t="str"><v>Expense</v></cell><cell r="D43" t="str"><v>Expense</v></cell><cell r="E43"><v>0</v></cell></row><row r="43"><cell r="G43"><v>0</v></cell></row><row r="44"><cell r="A44"><v>481</v></cell><cell r="B44" t="str"><v>Imputation Credits Converted to a Loss</v></cell><cell r="C44" t="str"><v>Expense</v></cell><cell r="D44" t="str"><v>Expense</v></cell><cell r="E44"><v>41109.7</v></cell></row><row r="44"><cell r="G44"><v>0</v></cell></row><row r="45"><cell r="A45"><v>485</v></cell><cell r="B45" t="str"><v>Non Deductible Expenses</v></cell><cell r="C45" t="str"><v>Expense</v></cell><cell r="D45" t="str"><v>Expense</v></cell><cell r="E45"><v>11.34</v></cell></row><row r="45"><cell r="G45"><v>650.88</v></cell></row><row r="46"><cell r="A46"><v>600</v></cell><cell r="B46" t="str"><v>BNZ Cheque Account</v></cell><cell r="C46" t="str"><v>Bank</v></cell><cell r="D46" t="str"><v>Asset</v></cell></row><row r="46"><cell r="F46"><v>128759.93</v></cell><cell r="G46"><v>26362.79</v></cell></row><row r="47"><cell r="A47"><v>603</v></cell><cell r="B47" t="str"><v>S & J Samra Ltd - 02 Account</v></cell><cell r="C47" t="str"><v>Bank</v></cell><cell r="D47" t="str"><v>Asset</v></cell><cell r="E47"><v>748.58</v></cell></row><row r="47"><cell r="G47"><v>1918.98</v></cell></row><row r="48"><cell r="A48"><v>604</v></cell><cell r="B48" t="str"><v>Farmlands</v></cell><cell r="C48" t="str"><v>Bank</v></cell><cell r="D48" t="str"><v>Asset</v></cell></row><row r="48"><cell r="F48"><v>42525.65</v></cell><cell r="G48"><v>541.84</v></cell></row><row r="49"><cell r="A49"><v>605</v></cell><cell r="B49" t="str"><v>BNZ Cheque account  - 05</v></cell><cell r="C49" t="str"><v>Bank</v></cell><cell r="D49" t="str"><v>Asset</v></cell><cell r="E49"><v>0.78</v></cell></row><row r="49"><cell r="G49"><v>694.39</v></cell></row><row r="50"><cell r="A50"><v>621</v></cell><cell r="B50" t="str"><v>Bank Guarantee Fee re Ministry of Labour</v></cell><cell r="C50" t="str"><v>Current Asset</v></cell><cell r="D50" t="str"><v>Asset</v></cell><cell r="E50"><v>0</v></cell></row><row r="50"><cell r="G50"><v>-9872.17</v></cell></row><row r="51"><cell r="A51"><v>636</v></cell><cell r="B51" t="str"><v>Accounts Receivable</v></cell><cell r="C51" t="str"><v>Current Asset</v></cell><cell r="D51" t="str"><v>Asset</v></cell><cell r="E51"><v>14135.23</v></cell></row><row r="51"><cell r="G51"><v>2852.18</v></cell></row><row r="52"><cell r="A52"><v>731</v></cell><cell r="B52" t="str"><v>Land & Buildings</v></cell><cell r="C52" t="str"><v>Fixed Asset</v></cell><cell r="D52" t="str"><v>Asset</v></cell><cell r="E52"><v>8098281.55</v></cell></row><row r="52"><cell r="G52"><v>715.9</v></cell></row><row r="53"><cell r="A53"><v>732</v></cell><cell r="B53" t="str"><v>Less Accumulated Depreciation on Land & Buildings</v></cell><cell r="C53" t="str"><v>Fixed Asset</v></cell><cell r="D53" t="str"><v>Asset</v></cell></row><row r="53"><cell r="F53"><v>435210.52</v></cell><cell r="G53"><v>48912.5</v></cell></row><row r="54"><cell r="A54"><v>741</v></cell><cell r="B54" t="str"><v>Motor Vehicles</v></cell><cell r="C54" t="str"><v>Fixed Asset</v></cell><cell r="D54" t="str"><v>Asset</v></cell><cell r="E54"><v>265709.6</v></cell></row><row r="54"><cell r="G54"><v>1467.39</v></cell></row><row r="55"><cell r="A55"><v>742</v></cell><cell r="B55" t="str"><v>Less Accumulated Depreciation on Motor Vehicles</v></cell><cell r="C55" t="str"><v>Fixed Asset</v></cell><cell r="D55" t="str"><v>Asset</v></cell></row><row r="55"><cell r="F55"><v>153373.14</v></cell><cell r="G55"><v>840.5</v></cell></row><row r="56"><cell r="A56"><v>751</v></cell><cell r="B56" t="str"><v>Plant Variety Rights</v></cell><cell r="C56" t="str"><v>Fixed Asset</v></cell><cell r="D56" t="str"><v>Asset</v></cell><cell r="E56"><v>4028028.91</v></cell></row><row r="56"><cell r="G56"><v>4037.82</v></cell></row><row r="57"><cell r="A57"><v>752</v></cell><cell r="B57" t="str"><v>Less Accumulated Depreciation on Plant Variety Rights</v></cell><cell r="C57" t="str"><v>Fixed Asset</v></cell><cell r="D57" t="str"><v>Asset</v></cell></row><row r="57"><cell r="F57"><v>803544.52</v></cell><cell r="G57"><v>3294.2</v></cell></row><row r="58"><cell r="A58"><v>761</v></cell><cell r="B58" t="str"><v>Office Equipment</v></cell><cell r="C58" t="str"><v>Fixed Asset</v></cell><cell r="D58" t="str"><v>Asset</v></cell><cell r="E58"><v>1954.43</v></cell></row><row r="59"><cell r="A59"><v>762</v></cell><cell r="B59" t="str"><v>Less Accumulated Depreciation on Office Equipment</v></cell><cell r="C59" t="str"><v>Fixed Asset</v></cell><cell r="D59" t="str"><v>Asset</v></cell></row><row r="59"><cell r="F59"><v>1657.4</v></cell></row><row r="60"><cell r="A60"><v>771</v></cell><cell r="B60" t="str"><v>Plant & Equipment</v></cell><cell r="C60" t="str"><v>Fixed Asset</v></cell><cell r="D60" t="str"><v>Asset</v></cell><cell r="E60"><v>841195.98</v></cell></row><row r="60"><cell r="G60"><v>75000</v></cell></row><row r="61"><cell r="A61"><v>772</v></cell><cell r="B61" t="str"><v>Less Accumulated Depreciation on Plant & Equipment</v></cell><cell r="C61" t="str"><v>Fixed Asset</v></cell><cell r="D61" t="str"><v>Asset</v></cell></row><row r="61"><cell r="F61"><v>408612.2</v></cell><cell r="G61"><v>250</v></cell></row><row r="62"><cell r="A62"><v>780</v></cell><cell r="B62" t="str"><v>Investments shares-Zespri (173,972)</v></cell><cell r="C62" t="str"><v>Non-current Asset</v></cell><cell r="D62" t="str"><v>Asset</v></cell><cell r="E62"><v>756778.2</v></cell></row><row r="62"><cell r="G62"><v>17212.75</v></cell></row><row r="63"><cell r="A63"><v>781</v></cell><cell r="B63" t="str"><v>Investment shares-Seeka (9768)</v></cell><cell r="C63" t="str"><v>Non-current Asset</v></cell><cell r="D63" t="str"><v>Asset</v></cell><cell r="E63"><v>27838.8</v></cell></row><row r="63"><cell r="G63"><v>10.14</v></cell></row><row r="64"><cell r="A64"><v>782</v></cell><cell r="B64" t="str"><v>Investment shares-DMS (3939)</v></cell><cell r="C64" t="str"><v>Non-current Asset</v></cell><cell r="D64" t="str"><v>Asset</v></cell><cell r="E64"><v>6105.45</v></cell></row><row r="64"><cell r="G64"><v>1071.36</v></cell></row><row r="65"><cell r="A65"><v>1901</v></cell><cell r="B65" t="str"><v>BNZ Loan 007-Opening Balance</v></cell><cell r="C65" t="str"><v>Non-current Liability</v></cell><cell r="D65" t="str"><v>Liability</v></cell><cell r="E65"><v>0.03</v></cell></row><row r="65"><cell r="G65"><v>-458.81</v></cell></row><row r="66"><cell r="A66"><v>1902</v></cell><cell r="B66" t="str"><v>BNZ Loan 007 - Advance</v></cell><cell r="C66" t="str"><v>Non-current Liability</v></cell><cell r="D66" t="str"><v>Liability</v></cell></row><row r="66"><cell r="F66"><v>5209314.11</v></cell><cell r="G66"><v>0</v></cell></row><row r="67"><cell r="A67"><v>1903</v></cell><cell r="B67" t="str"><v>BNZ Loan 007 - Interest</v></cell><cell r="C67" t="str"><v>Non-current Liability</v></cell><cell r="D67" t="str"><v>Liability</v></cell></row><row r="67"><cell r="F67"><v>1152424.37</v></cell><cell r="G67"><v>0</v></cell></row><row r="68"><cell r="A68"><v>1904</v></cell><cell r="B68" t="str"><v>BNZ Loan 007 - Payments</v></cell><cell r="C68" t="str"><v>Non-current Liability</v></cell><cell r="D68" t="str"><v>Liability</v></cell><cell r="E68"><v>1936468.45</v></cell></row><row r="68"><cell r="G68"><v>0</v></cell></row><row r="69"><cell r="A69"><v>1907</v></cell><cell r="B69" t="str"><v>BNZ Loan-10 suffix-advance</v></cell><cell r="C69" t="str"><v>Non-current Liability</v></cell><cell r="D69" t="str"><v>Liability</v></cell></row><row r="69"><cell r="F69"><v>2572000</v></cell><cell r="G69"><v>0</v></cell></row><row r="70"><cell r="A70"><v>1908</v></cell><cell r="B70" t="str"><v>BNZ Loan-10 suffix-Interest</v></cell><cell r="C70" t="str"><v>Non-current Liability</v></cell><cell r="D70" t="str"><v>Liability</v></cell></row><row r="70"><cell r="F70"><v>246617.9</v></cell><cell r="G70"><v>0</v></cell></row><row r="71"><cell r="A71"><v>1909</v></cell><cell r="B71" t="str"><v>BNZ Loan-10 suffix-payment</v></cell><cell r="C71" t="str"><v>Non-current Liability</v></cell><cell r="D71" t="str"><v>Liability</v></cell><cell r="E71"><v>1398117.9</v></cell></row><row r="71"><cell r="G71"><v>0</v></cell></row><row r="72"><cell r="A72"><v>1912</v></cell><cell r="B72" t="str"><v>BNZ Loan 12 - Advance</v></cell><cell r="C72" t="str"><v>Non-current Liability</v></cell><cell r="D72" t="str"><v>Liability</v></cell></row><row r="72"><cell r="F72"><v>417600</v></cell><cell r="G72"><v>0</v></cell></row><row r="73"><cell r="A73"><v>1913</v></cell><cell r="B73" t="str"><v>BNZ Loan 12 - Interest</v></cell><cell r="C73" t="str"><v>Non-current Liability</v></cell><cell r="D73" t="str"><v>Liability</v></cell></row><row r="73"><cell r="F73"><v>67667.44</v></cell><cell r="G73"><v>0</v></cell></row><row r="74"><cell r="A74"><v>1914</v></cell><cell r="B74" t="str"><v>BNZ Loan 12 - Payments</v></cell><cell r="C74" t="str"><v>Non-current Liability</v></cell><cell r="D74" t="str"><v>Liability</v></cell><cell r="E74"><v>67667.44</v></cell></row><row r="74"><cell r="G74"><v>0</v></cell></row><row r="75"><cell r="A75"><v>1917</v></cell><cell r="B75" t="str"><v>BNZ Loan  13 -Advance</v></cell><cell r="C75" t="str"><v>Non-current Liability</v></cell><cell r="D75" t="str"><v>Liability</v></cell></row><row r="75"><cell r="F75"><v>610000</v></cell><cell r="G75"><v>0</v></cell></row><row r="76"><cell r="A76"><v>1918</v></cell><cell r="B76" t="str"><v>BNZ Loan 13 - Interest</v></cell><cell r="C76" t="str"><v>Non-current Liability</v></cell><cell r="D76" t="str"><v>Liability</v></cell></row><row r="76"><cell r="F76"><v>80646.33</v></cell><cell r="G76"><v>49360.87</v></cell></row><row r="77"><cell r="A77"><v>1919</v></cell><cell r="B77" t="str"><v>BNZ Loan 13 - Payment</v></cell><cell r="C77" t="str"><v>Non-current Liability</v></cell><cell r="D77" t="str"><v>Liability</v></cell><cell r="E77"><v>80646.33</v></cell></row><row r="77"><cell r="G77"><v>-19875.97</v></cell></row><row r="78"><cell r="A78"><v>1922</v></cell><cell r="B78" t="str"><v>BNZ Loan  14 - Advances</v></cell><cell r="C78" t="str"><v>Non-current Liability</v></cell><cell r="D78" t="str"><v>Liability</v></cell></row><row r="78"><cell r="F78"><v>1645417</v></cell><cell r="G78"><v>0</v></cell></row><row r="79"><cell r="A79"><v>1923</v></cell><cell r="B79" t="str"><v>BNZ Loan 14 - Interest</v></cell><cell r="C79" t="str"><v>Non-current Liability</v></cell><cell r="D79" t="str"><v>Liability</v></cell></row><row r="79"><cell r="F79"><v>83037.21</v></cell><cell r="G79"><v>0</v></cell></row><row r="80"><cell r="A80"><v>1924</v></cell><cell r="B80" t="str"><v>BNZ Loan 14 - Payments</v></cell><cell r="C80" t="str"><v>Non-current Liability</v></cell><cell r="D80" t="str"><v>Liability</v></cell><cell r="E80"><v>1728454.21</v></cell></row><row r="80"><cell r="G80"><v>0</v></cell></row><row r="81"><cell r="A81"><v>510</v></cell><cell r="B81" t="str"><v>Transfer to separate S Singh & J Singh</v></cell><cell r="C81" t="str"><v>Current Liability</v></cell><cell r="D81" t="str"><v>Liability</v></cell><cell r="E81"><v>682494.87</v></cell></row><row r="81"><cell r="G81"><v>0</v></cell></row><row r="82"><cell r="A82"><v>511</v></cell><cell r="B82" t="str"><v>S & J Singh- Cash Deposits</v></cell><cell r="C82" t="str"><v>Current Liability</v></cell><cell r="D82" t="str"><v>Liability</v></cell></row><row r="82"><cell r="F82"><v>650376.39</v></cell><cell r="G82"><v>0</v></cell></row><row r="83"><cell r="A83"><v>512</v></cell><cell r="B83" t="str"><v>S & J Singh- Shareholder Salary</v></cell><cell r="C83" t="str"><v>Current Liability</v></cell><cell r="D83" t="str"><v>Liability</v></cell></row><row r="83"><cell r="F83"><v>104572</v></cell><cell r="G83"><v>0</v></cell></row><row r="84"><cell r="A84"><v>513</v></cell><cell r="B84" t="str"><v>S & J Singh- Dividends Received</v></cell><cell r="C84" t="str"><v>Current Liability</v></cell><cell r="D84" t="str"><v>Liability</v></cell></row><row r="84"><cell r="F84"><v>211720</v></cell><cell r="G84"><v>0</v></cell></row><row r="85"><cell r="A85"><v>516</v></cell><cell r="B85" t="str"><v>S & J Singh - Drawings</v></cell><cell r="C85" t="str"><v>Current Liability</v></cell><cell r="D85" t="str"><v>Liability</v></cell><cell r="E85"><v>284173.52</v></cell></row><row r="85"><cell r="G85"><v>0</v></cell></row><row r="86"><cell r="A86"><v>520</v></cell><cell r="B86" t="str"><v>S Singh -Opening Balance</v></cell><cell r="C86" t="str"><v>Current Liability</v></cell><cell r="D86" t="str"><v>Liability</v></cell></row><row r="86"><cell r="F86"><v>341247.44</v></cell><cell r="G86"><v>0</v></cell></row><row r="87"><cell r="A87"><v>521</v></cell><cell r="B87" t="str"><v>S Singh Cash Deposits</v></cell><cell r="C87" t="str"><v>Current Liability</v></cell><cell r="D87" t="str"><v>Liability</v></cell></row><row r="87"><cell r="F87"><v>157970.48</v></cell><cell r="G87"><v>0</v></cell></row><row r="88"><cell r="A88"><v>523</v></cell><cell r="B88" t="str"><v>S Singh Dividends Received</v></cell><cell r="C88" t="str"><v>Current Liability</v></cell><cell r="D88" t="str"><v>Liability</v></cell></row><row r="88"><cell r="F88"><v>666505.71</v></cell><cell r="G88"><v>0</v></cell></row><row r="89"><cell r="A89"><v>524</v></cell><cell r="B89" t="str"><v>Transfer to Loan - Shareholder Change</v></cell><cell r="C89" t="str"><v>Current Liability</v></cell><cell r="D89" t="str"><v>Liability</v></cell><cell r="E89"><v>655255.42</v></cell></row><row r="89"><cell r="G89"><v>0</v></cell></row><row r="90"><cell r="A90"><v>526</v></cell><cell r="B90" t="str"><v>S Singh Drawings</v></cell><cell r="C90" t="str"><v>Current Liability</v></cell><cell r="D90" t="str"><v>Liability</v></cell><cell r="E90"><v>510468.21</v></cell></row><row r="90"><cell r="G90"><v>0</v></cell></row><row r="91"><cell r="A91"><v>530</v></cell><cell r="B91" t="str"><v>J Singh - Opening Balance</v></cell><cell r="C91" t="str"><v>Current Liability</v></cell><cell r="D91" t="str"><v>Liability</v></cell></row><row r="91"><cell r="F91"><v>341247.43</v></cell><cell r="G91"><v>0</v></cell></row><row r="92"><cell r="A92"><v>531</v></cell><cell r="B92" t="str"><v>J Singh Cash Deposits</v></cell><cell r="C92" t="str"><v>Current Liability</v></cell><cell r="D92" t="str"><v>Liability</v></cell></row><row r="92"><cell r="F92"><v>363126.83</v></cell><cell r="G92"><v>0</v></cell></row><row r="93"><cell r="A93"><v>533</v></cell><cell r="B93" t="str"><v>J Singh - Dividend Received</v></cell><cell r="C93" t="str"><v>Current Liability</v></cell><cell r="D93" t="str"><v>Liability</v></cell></row><row r="93"><cell r="F93"><v>666505.71</v></cell><cell r="G93"><v>0</v></cell></row><row r="94"><cell r="A94"><v>534</v></cell><cell r="B94" t="str"><v>Transfer to Loan- Shareholder Change</v></cell><cell r="C94" t="str"><v>Current Liability</v></cell><cell r="D94" t="str"><v>Liability</v></cell><cell r="E94"><v>1163784.69</v></cell></row><row r="94"><cell r="G94"><v>0</v></cell></row><row r="95"><cell r="A95"><v>536</v></cell><cell r="B95" t="str"><v>J Singh - Drawings</v></cell><cell r="C95" t="str"><v>Current Liability</v></cell><cell r="D95" t="str"><v>Liability</v></cell><cell r="E95"><v>207095.28</v></cell></row><row r="95"><cell r="G95"><v>0</v></cell></row><row r="96"><cell r="A96"><v>606</v></cell><cell r="B96" t="str"><v>BNZ - Overdraft  04</v></cell><cell r="C96" t="str"><v>Current Liability</v></cell><cell r="D96" t="str"><v>Liability</v></cell></row><row r="96"><cell r="F96"><v>457848</v></cell><cell r="G96"><v>0</v></cell></row><row r="97"><cell r="A97"><v>607</v></cell><cell r="B97" t="str"><v>BNZ Overdraft 03</v></cell><cell r="C97" t="str"><v>Current Liability</v></cell><cell r="D97" t="str"><v>Liability</v></cell></row><row r="97"><cell r="F97"><v>1645417</v></cell><cell r="G97"><v>0</v></cell></row><row r="98"><cell r="A98"><v>661</v></cell><cell r="B98" t="str"><v>Kiwifruit Contracting Ltd-Advances</v></cell><cell r="C98" t="str"><v>Current Liability</v></cell><cell r="D98" t="str"><v>Liability</v></cell></row><row r="98"><cell r="F98"><v>732462.6</v></cell><cell r="G98"><v>0</v></cell></row><row r="99"><cell r="A99"><v>662</v></cell><cell r="B99" t="str"><v>Kiwifruit Contracting Ltd-Interest</v></cell><cell r="C99" t="str"><v>Current Liability</v></cell><cell r="D99" t="str"><v>Liability</v></cell></row><row r="99"><cell r="F99"><v>9629.6</v></cell><cell r="G99"><v>0</v></cell></row><row r="100"><cell r="A100"><v>663</v></cell><cell r="B100" t="str"><v>Kiwifruit Contracting Ltd-Payments</v></cell><cell r="C100" t="str"><v>Current Liability</v></cell><cell r="D100" t="str"><v>Liability</v></cell><cell r="E100"><v>742092.2</v></cell></row><row r="100"><cell r="G100"><v>0</v></cell></row><row r="101"><cell r="A101"><v>670</v></cell><cell r="B101" t="str"><v>Samra Holdings Ltd - Opening</v></cell><cell r="C101" t="str"><v>Current Liability</v></cell><cell r="D101" t="str"><v>Liability</v></cell></row><row r="101"><cell r="F101"><v>65000</v></cell><cell r="G101"><v>0</v></cell></row><row r="102"><cell r="A102"><v>671</v></cell><cell r="B102" t="str"><v>Samra Holdings Ltd - Advances</v></cell><cell r="C102" t="str"><v>Current Liability</v></cell><cell r="D102" t="str"><v>Liability</v></cell></row><row r="102"><cell r="F102"><v>1362000</v></cell><cell r="G102"><v>0</v></cell></row><row r="103"><cell r="A103"><v>672</v></cell><cell r="B103" t="str"><v>Samra Holdings Ltd -Interest</v></cell><cell r="C103" t="str"><v>Current Liability</v></cell><cell r="D103" t="str"><v>Liability</v></cell><cell r="E103"><v>69481.51</v></cell></row><row r="103"><cell r="G103"><v>0</v></cell></row><row r="104"><cell r="A104"><v>673</v></cell><cell r="B104" t="str"><v>Samra Holdings Ltd -Payments</v></cell><cell r="C104" t="str"><v>Current Liability</v></cell><cell r="D104" t="str"><v>Liability</v></cell><cell r="E104"><v>2078801.47</v></cell></row><row r="104"><cell r="G104"><v>0</v></cell></row><row r="105"><cell r="A105"><v>681</v></cell><cell r="B105" t="str"><v>Samra Brothers Ltd-Advances</v></cell><cell r="C105" t="str"><v>Current Liability</v></cell><cell r="D105" t="str"><v>Liability</v></cell></row><row r="105"><cell r="F105"><v>261625</v></cell><cell r="G105"><v>0</v></cell></row><row r="106"><cell r="A106"><v>682</v></cell><cell r="B106" t="str"><v>Samra Brothers Ltd-Interest</v></cell><cell r="C106" t="str"><v>Current Liability</v></cell><cell r="D106" t="str"><v>Liability</v></cell><cell r="E106"><v>19674.27</v></cell></row><row r="106"><cell r="G106"><v>0</v></cell></row><row r="107"><cell r="A107"><v>683</v></cell><cell r="B107" t="str"><v>Samra Brothers Ltd-Payments</v></cell><cell r="C107" t="str"><v>Current Liability</v></cell><cell r="D107" t="str"><v>Liability</v></cell><cell r="E107"><v>510712.06</v></cell></row><row r="107"><cell r="G107"><v>0</v></cell></row><row r="108"><cell r="A108"><v>686</v></cell><cell r="B108" t="str"><v>NZ Samra Ltd - Advance</v></cell><cell r="C108" t="str"><v>Current Liability</v></cell><cell r="D108" t="str"><v>Liability</v></cell><cell r="E108"><v>115316.29</v></cell></row><row r="108"><cell r="G108"><v>0</v></cell></row><row r="109"><cell r="A109"><v>687</v></cell><cell r="B109" t="str"><v>NZ Samra  Ltd - Interest</v></cell><cell r="C109" t="str"><v>Current Liability</v></cell><cell r="D109" t="str"><v>Liability</v></cell><cell r="E109"><v>32968.08</v></cell></row><row r="109"><cell r="G109"><v>0</v></cell></row><row r="110"><cell r="A110"><v>688</v></cell><cell r="B110" t="str"><v>NZ Samra Ltd - Payments</v></cell><cell r="C110" t="str"><v>Current Liability</v></cell><cell r="D110" t="str"><v>Liability</v></cell><cell r="E110"><v>21000</v></cell></row><row r="110"><cell r="G110"><v>0</v></cell></row><row r="111"><cell r="A111"><v>691</v></cell><cell r="B111" t="str"><v>S & J 2020 Limited - Advance</v></cell><cell r="C111" t="str"><v>Current Liability</v></cell><cell r="D111" t="str"><v>Liability</v></cell></row><row r="111"><cell r="F111"><v>485557.93</v></cell><cell r="G111"><v>0</v></cell></row><row r="112"><cell r="A112"><v>692</v></cell><cell r="B112" t="str"><v>S & J 2020 Limited - Interest</v></cell><cell r="C112" t="str"><v>Current Liability</v></cell><cell r="D112" t="str"><v>Liability</v></cell><cell r="E112"><v>14365.88</v></cell></row><row r="112"><cell r="G112"><v>0</v></cell></row><row r="113"><cell r="A113"><v>693</v></cell><cell r="B113" t="str"><v>S & J 2020 Limited - Payment</v></cell><cell r="C113" t="str"><v>Current Liability</v></cell><cell r="D113" t="str"><v>Liability</v></cell><cell r="E113"><v>351393.75</v></cell></row><row r="113"><cell r="G113"><v>0</v></cell></row><row r="114"><cell r="A114"><v>6951</v></cell><cell r="B114" t="str"><v>Samra Enterprises Limited - Advances</v></cell><cell r="C114" t="str"><v>Current Liability</v></cell><cell r="D114" t="str"><v>Liability</v></cell></row><row r="114"><cell r="F114"><v>68000</v></cell><cell r="G114"><v>0</v></cell></row><row r="115"><cell r="A115"><v>6952</v></cell><cell r="B115" t="str"><v>Samra Enterprises Limited - Interest</v></cell><cell r="C115" t="str"><v>Current Liability</v></cell><cell r="D115" t="str"><v>Liability</v></cell><cell r="E115"><v>25381.09</v></cell></row><row r="115"><cell r="G115"><v>0</v></cell></row><row r="116"><cell r="A116"><v>6953</v></cell><cell r="B116" t="str"><v>Samra Enterprises Limited - Payments</v></cell><cell r="C116" t="str"><v>Current Liability</v></cell><cell r="D116" t="str"><v>Liability</v></cell><cell r="E116"><v>311115.58</v></cell></row><row r="116"><cell r="G116"><v>0</v></cell></row><row r="117"><cell r="A117"><v>6962</v></cell><cell r="B117" t="str"><v>Akal Holdings Limited - Interest</v></cell><cell r="C117" t="str"><v>Current Liability</v></cell><cell r="D117" t="str"><v>Liability</v></cell><cell r="E117"><v>43404.73</v></cell></row><row r="117"><cell r="G117"><v>0</v></cell></row><row r="118"><cell r="A118"><v>6963</v></cell><cell r="B118" t="str"><v>Akal Holdings Limited - Payments</v></cell><cell r="C118" t="str"><v>Current Liability</v></cell><cell r="D118" t="str"><v>Liability</v></cell><cell r="E118"><v>401483.01</v></cell></row><row r="118"><cell r="G118"><v>0</v></cell></row><row r="119"><cell r="A119"><v>697</v></cell><cell r="B119" t="str"><v>BOP 2021 Limited - Interest</v></cell><cell r="C119" t="str"><v>Current Liability</v></cell><cell r="D119" t="str"><v>Liability</v></cell><cell r="E119"><v>66070.62</v></cell></row><row r="119"><cell r="G119"><v>0</v></cell></row><row r="120"><cell r="A120"><v>698</v></cell><cell r="B120" t="str"><v>BOP 2021 Limited - Payments</v></cell><cell r="C120" t="str"><v>Current Liability</v></cell><cell r="D120" t="str"><v>Liability</v></cell><cell r="E120"><v>417600</v></cell></row><row r="120"><cell r="G120"><v>0</v></cell></row><row r="121"><cell r="A121"><v>6980</v></cell><cell r="B121" t="str"><v>S & J Family Trust - Advances</v></cell><cell r="C121" t="str"><v>Current Liability</v></cell><cell r="D121" t="str"><v>Liability</v></cell><cell r="E121"><v>152335.56</v></cell></row><row r="121"><cell r="G121"><v>0</v></cell></row><row r="122"><cell r="A122"><v>801</v></cell><cell r="B122" t="str"><v>Accounts Payable</v></cell><cell r="C122" t="str"><v>Current Liability</v></cell><cell r="D122" t="str"><v>Liability</v></cell></row><row r="122"><cell r="F122"><v>101299.69</v></cell><cell r="G122"><v>0</v></cell></row><row r="123"><cell r="A123"><v>817</v></cell><cell r="B123" t="str"><v>DWT Payables</v></cell><cell r="C123" t="str"><v>Current Liability</v></cell><cell r="D123" t="str"><v>Liability</v></cell></row><row r="123"><cell r="F123"><v>99317.92</v></cell><cell r="G123"><v>0</v></cell></row><row r="124"><cell r="A124"><v>820</v></cell><cell r="B124" t="str"><v>GST</v></cell><cell r="C124" t="str"><v>Current Liability</v></cell><cell r="D124" t="str"><v>Liability</v></cell></row><row r="124"><cell r="F124"><v>60372.43</v></cell><cell r="G124"><v>0</v></cell></row><row r="125"><cell r="A125"><v>831</v></cell><cell r="B125" t="str"><v>Tax Provision</v></cell><cell r="C125" t="str"><v>Current Liability</v></cell><cell r="D125" t="str"><v>Liability</v></cell></row><row r="125"><cell r="F125"><v>578335.24</v></cell><cell r="G125"><v>0</v></cell></row><row r="126"><cell r="A126"><v>832</v></cell><cell r="B126" t="str"><v>RWT Paid</v></cell><cell r="C126" t="str"><v>Current Liability</v></cell><cell r="D126" t="str"><v>Liability</v></cell><cell r="E126"><v>107231.97</v></cell></row><row r="126"><cell r="G126"><v>0</v></cell></row><row r="127"><cell r="A127"><v>833</v></cell><cell r="B127" t="str"><v>Provisional Tax Paid</v></cell><cell r="C127" t="str"><v>Current Liability</v></cell><cell r="D127" t="str"><v>Liability</v></cell><cell r="E127"><v>77147.68</v></cell></row><row r="127"><cell r="G127"><v>0</v></cell></row><row r="128"><cell r="A128"><v>834</v></cell><cell r="B128" t="str"><v>Imputation Credits Received</v></cell><cell r="C128" t="str"><v>Current Liability</v></cell><cell r="D128" t="str"><v>Liability</v></cell><cell r="E128"><v>266709.24</v></cell></row><row r="128"><cell r="G128"><v>0</v></cell></row><row r="129"><cell r="A129"><v>835</v></cell><cell r="B129" t="str"><v>Terminal Tax Payments/Refunds</v></cell><cell r="C129" t="str"><v>Current Liability</v></cell><cell r="D129" t="str"><v>Liability</v></cell><cell r="E129"><v>157530.82</v></cell></row><row r="129"><cell r="G129"><v>0</v></cell></row><row r="130"><cell r="A130"><v>836</v></cell><cell r="B130" t="str"><v>Loan - J Singh</v></cell><cell r="C130" t="str"><v>Current Liability</v></cell><cell r="D130" t="str"><v>Liability</v></cell></row><row r="130"><cell r="F130"><v>1160447.27</v></cell><cell r="G130"><v>0</v></cell></row><row r="131"><cell r="A131"><v>840</v></cell><cell r="B131" t="str"><v>Loan - S Singh</v></cell><cell r="C131" t="str"><v>Current Liability</v></cell><cell r="D131" t="str"><v>Liability</v></cell></row><row r="131"><cell r="F131"><v>652261.12</v></cell><cell r="G131"><v>0</v></cell></row><row r="132"><cell r="A132"><v>851</v></cell><cell r="B132" t="str"><v>BNZ Loan 006 - Advances</v></cell><cell r="C132" t="str"><v>Non-current Liability</v></cell><cell r="D132" t="str"><v>Liability</v></cell></row><row r="132"><cell r="F132"><v>927848</v></cell><cell r="G132"><v>0</v></cell></row><row r="133"><cell r="A133"><v>852</v></cell><cell r="B133" t="str"><v>BNZ Loan 006 - Interest</v></cell><cell r="C133" t="str"><v>Non-current Liability</v></cell><cell r="D133" t="str"><v>Liability</v></cell></row><row r="133"><cell r="F133"><v>160131.92</v></cell><cell r="G133"><v>0</v></cell></row><row r="134"><cell r="A134"><v>853</v></cell><cell r="B134" t="str"><v>BNZ Loan 006 - Payments</v></cell><cell r="C134" t="str"><v>Non-current Liability</v></cell><cell r="D134" t="str"><v>Liability</v></cell><cell r="E134"><v>1087979.92</v></cell></row><row r="134"><cell r="G134"><v>0</v></cell></row><row r="135"><cell r="A135"><v>861</v></cell><cell r="B135" t="str"><v>BNZ Advances</v></cell><cell r="C135" t="str"><v>Non-current Liability</v></cell><cell r="D135" t="str"><v>Liability</v></cell></row><row r="135"><cell r="F135"><v>800000</v></cell><cell r="G135"><v>0</v></cell></row><row r="136"><cell r="A136"><v>862</v></cell><cell r="B136" t="str"><v>BNZ - Interest</v></cell><cell r="C136" t="str"><v>Non-current Liability</v></cell><cell r="D136" t="str"><v>Liability</v></cell></row><row r="136"><cell r="F136"><v>149668.54</v></cell><cell r="G136"><v>0</v></cell></row><row r="137"><cell r="A137"><v>863</v></cell><cell r="B137" t="str"><v>BNZ - Payments</v></cell><cell r="C137" t="str"><v>Non-current Liability</v></cell><cell r="D137" t="str"><v>Liability</v></cell><cell r="E137"><v>949668.54</v></cell></row><row r="137"><cell r="G137"><v>0</v></cell></row><row r="138"><cell r="A138"><v>871</v></cell><cell r="B138" t="str"><v>BNZ Loan 2- Advances</v></cell><cell r="C138" t="str"><v>Non-current Liability</v></cell><cell r="D138" t="str"><v>Liability</v></cell></row><row r="138"><cell r="F138"><v>1480000</v></cell><cell r="G138"><v>3539.08</v></cell></row><row r="139"><cell r="A139"><v>872</v></cell><cell r="B139" t="str"><v>BNZ Loan 2- Interest</v></cell><cell r="C139" t="str"><v>Non-current Liability</v></cell><cell r="D139" t="str"><v>Liability</v></cell></row><row r="139"><cell r="F139"><v>226903.63</v></cell><cell r="G139"><v>0</v></cell></row><row r="140"><cell r="A140"><v>873</v></cell><cell r="B140" t="str"><v>BNZ Loan 2 - Payments</v></cell><cell r="C140" t="str"><v>Non-current Liability</v></cell><cell r="D140" t="str"><v>Liability</v></cell><cell r="E140"><v>1706903.63</v></cell></row><row r="140"><cell r="G140"><v>0</v></cell></row><row r="141"><cell r="A141"><v>901</v></cell><cell r="B141" t="str"><v>BNZ Loan 003 -  Advances</v></cell><cell r="C141" t="str"><v>Non-current Liability</v></cell><cell r="D141" t="str"><v>Liability</v></cell></row><row r="141"><cell r="F141"><v>200000</v></cell><cell r="G141"><v>-33988.02</v></cell></row><row r="142"><cell r="A142"><v>902</v></cell><cell r="B142" t="str"><v>BNZ Loan - 003   Interest</v></cell><cell r="C142" t="str"><v>Non-current Liability</v></cell><cell r="D142" t="str"><v>Liability</v></cell></row><row r="142"><cell r="F142"><v>10124.94</v></cell><cell r="G142"><v>-13344.25</v></cell></row><row r="143"><cell r="A143"><v>903</v></cell><cell r="B143" t="str"><v>BNZ Loan - 003  Payments</v></cell><cell r="C143" t="str"><v>Non-current Liability</v></cell><cell r="D143" t="str"><v>Liability</v></cell><cell r="E143"><v>210124.94</v></cell></row><row r="143"><cell r="G143"><v>0</v></cell></row><row r="144"><cell r="A144"><v>911</v></cell><cell r="B144" t="str"><v>BNZ - 004 loan - Advances</v></cell><cell r="C144" t="str"><v>Non-current Liability</v></cell><cell r="D144" t="str"><v>Liability</v></cell></row><row r="144"><cell r="F144"><v>4947510</v></cell><cell r="G144"><v>0</v></cell></row><row r="145"><cell r="A145"><v>912</v></cell><cell r="B145" t="str"><v>BNZ 004 Loan - Interest</v></cell><cell r="C145" t="str"><v>Non-current Liability</v></cell><cell r="D145" t="str"><v>Liability</v></cell></row><row r="145"><cell r="F145"><v>1043772.83</v></cell><cell r="G145"><v>0</v></cell></row><row r="146"><cell r="A146"><v>913</v></cell><cell r="B146" t="str"><v>BNZ 004 Loan -  Payments</v></cell><cell r="C146" t="str"><v>Non-current Liability</v></cell><cell r="D146" t="str"><v>Liability</v></cell><cell r="E146"><v>2685412.83</v></cell></row><row r="146"><cell r="G146"><v>0</v></cell></row><row r="147"><cell r="A147"><v>9151</v></cell><cell r="B147" t="str"><v>BNZ Loan 11 - Advances</v></cell><cell r="C147" t="str"><v>Non-current Liability</v></cell><cell r="D147" t="str"><v>Liability</v></cell></row><row r="147"><cell r="F147"><v>516378</v></cell><cell r="G147"><v>0</v></cell></row><row r="148"><cell r="A148"><v>9152</v></cell><cell r="B148" t="str"><v>BNZ Loan 11 - Interest</v></cell><cell r="C148" t="str"><v>Non-current Liability</v></cell><cell r="D148" t="str"><v>Liability</v></cell></row><row r="148"><cell r="F148"><v>86301.32</v></cell><cell r="G148"><v>0</v></cell></row><row r="149"><cell r="A149"><v>9153</v></cell><cell r="B149" t="str"><v>BNZ Loan 11 - Payments</v></cell><cell r="C149" t="str"><v>Non-current Liability</v></cell><cell r="D149" t="str"><v>Liability</v></cell><cell r="E149"><v>108351.32</v></cell></row><row r="149"><cell r="G149"><v>0</v></cell></row><row r="150"><cell r="A150"><v>916</v></cell><cell r="B150" t="str"><v>UDC Finance - Advance</v></cell><cell r="C150" t="str"><v>Non-current Liability</v></cell><cell r="D150" t="str"><v>Liability</v></cell></row><row r="150"><cell r="F150"><v>33470.35</v></cell><cell r="G150"><v>0</v></cell></row><row r="151"><cell r="A151"><v>918</v></cell><cell r="B151" t="str"><v>UDC Finance - Payment</v></cell><cell r="C151" t="str"><v>Non-current Liability</v></cell><cell r="D151" t="str"><v>Liability</v></cell><cell r="E151"><v>33470.35</v></cell></row><row r="151"><cell r="G151"><v>0</v></cell></row><row r="152"><cell r="A152"><v>931</v></cell><cell r="B152" t="str"><v>Realised Capital Reserve</v></cell><cell r="C152" t="str"><v>Equity</v></cell><cell r="D152" t="str"><v>Equity</v></cell></row><row r="152"><cell r="F152"><v>54000</v></cell><cell r="G152"><v>0</v></cell></row><row r="153"><cell r="A153"><v>932</v></cell><cell r="B153" t="str"><v>Unrealised Capital Reserves</v></cell><cell r="C153" t="str"><v>Equity</v></cell><cell r="D153" t="str"><v>Equity</v></cell><cell r="E153"><v>175127.84</v></cell></row><row r="153"><cell r="G153"><v>0</v></cell></row><row r="154"><cell r="A154"><v>950</v></cell><cell r="B154" t="str"><v>Dividends Paid</v></cell><cell r="C154" t="str"><v>Equity</v></cell><cell r="D154" t="str"><v>Equity</v></cell><cell r="E154"><v>1660009.9</v></cell></row><row r="154"><cell r="G154"><v>0</v></cell></row><row r="155"><cell r="A155"><v>960</v></cell><cell r="B155" t="str"><v>Retained Earnings</v></cell><cell r="C155" t="str"><v>Equity</v></cell><cell r="D155" t="str"><v>Equity</v></cell></row><row r="155"><cell r="F155"><v>1640904.24</v></cell><cell r="G155"><v>0</v></cell></row><row r="156"><cell r="A156" t="str"><v>Total</v></cell></row><row r="156"><cell r="E156"><v>40049588.46</v></cell><cell r="F156"><v>40049588.46</v></cell><cell r="G156"><v>0</v></cell></row><row r="158"><cell r="A158" t="str"><v>Total</v></cell></row><row r="158"><cell r="E158"><v>40049588.46</v></cell><cell r="F158"><v>40049588.46</v></cell><cell r="G158"><v>0</v></cell></row></sheetData><sheetData sheetId="3"></sheetData><sheetData sheetId="4"></sheetData><sheetData sheetId="5"></sheetData><sheetData sheetId="6"></sheetData><sheetData sheetId="7"></sheetData><sheetData sheetId="8"></sheetData><sheetData sheetId="9"></sheetData><sheetData sheetId="10"></sheetData><sheetData sheetId="11"></sheetData><sheetData sheetId="12"></sheetData><sheetData sheetId="13"></sheetData><sheetData sheetId="14"></sheetData><sheetData sheetId="15"></sheetData><sheetData sheetId="16"></sheetData><sheetData sheetId="17"></sheetData><sheetData sheetId="18"></sheetData><sheetData sheetId="19"></sheetData><sheetData sheetId="20"></sheetData><sheetData sheetId="21"></sheetData><sheetData sheetId="22"></sheetData><sheetData sheetId="23"></sheetData><sheetData sheetId="24"></sheetData><sheetData sheetId="25"></sheetData><sheetData sheetId="26"></sheetData><sheetData sheetId="27"></sheetData><sheetData sheetId="28"></sheetData><sheetData sheetId="29"></sheetData><sheetData sheetId="30"></sheetData><sheetData sheetId="31"></sheetData><sheetData sheetId="32"></sheetData><sheetData sheetId="33"></sheetData><sheetData sheetId="34"></sheetData><sheetData sheetId="35"></sheetData><sheetData sheetId="36"></sheetData><sheetData sheetId="37"></sheetData><sheetData sheetId="38"></sheetData></sheetDataSet></externalBook></externalLink>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3.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4.v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5.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6.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7.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8.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hyperlink" Target="https://www1.e-services.ird.govt.nz/secure/login.html" TargetMode="External"/><Relationship Id="rId3" Type="http://schemas.openxmlformats.org/officeDocument/2006/relationships/vmlDrawing" Target="../drawings/vmlDrawing9.vml"/>
</Relationships>
</file>

<file path=xl/worksheets/_rels/sheet37.xml.rels><?xml version="1.0" encoding="UTF-8"?>
<Relationships xmlns="http://schemas.openxmlformats.org/package/2006/relationships"><Relationship Id="rId1" Type="http://schemas.openxmlformats.org/officeDocument/2006/relationships/comments" Target="../comments37.xml"/><Relationship Id="rId2" Type="http://schemas.openxmlformats.org/officeDocument/2006/relationships/vmlDrawing" Target="../drawings/vmlDrawing10.vm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7" activeCellId="0" sqref="F7"/>
    </sheetView>
  </sheetViews>
  <sheetFormatPr defaultColWidth="9.14453125" defaultRowHeight="14.25" zeroHeight="false" outlineLevelRow="0" outlineLevelCol="0"/>
  <cols>
    <col collapsed="false" customWidth="false" hidden="false" outlineLevel="0" max="1" min="1" style="1" width="9.14"/>
    <col collapsed="false" customWidth="true" hidden="false" outlineLevel="0" max="2" min="2" style="1" width="49.57"/>
    <col collapsed="false" customWidth="false" hidden="false" outlineLevel="0" max="4" min="3" style="1" width="9.14"/>
    <col collapsed="false" customWidth="true" hidden="false" outlineLevel="0" max="5" min="5" style="1" width="13.14"/>
    <col collapsed="false" customWidth="false" hidden="false" outlineLevel="0" max="16384" min="6" style="1" width="9.14"/>
  </cols>
  <sheetData>
    <row r="1" customFormat="false" ht="14.25" hidden="false" customHeight="false" outlineLevel="0" collapsed="false">
      <c r="C1" s="1" t="s">
        <v>0</v>
      </c>
      <c r="E1" s="1" t="s">
        <v>1</v>
      </c>
      <c r="G1" s="1" t="s">
        <v>2</v>
      </c>
    </row>
    <row r="2" customFormat="false" ht="14.25" hidden="false" customHeight="false" outlineLevel="0" collapsed="false">
      <c r="A2" s="1" t="n">
        <f aca="false">ChartOfAccounts!A2</f>
        <v>200</v>
      </c>
      <c r="B2" s="1" t="str">
        <f aca="false">ChartOfAccounts!C2</f>
        <v>Sales</v>
      </c>
      <c r="C2" s="1" t="n">
        <f aca="false">IFERROR(VLOOKUP(A2,'Trial Balance '!A:H,3,0),0)</f>
        <v>0</v>
      </c>
      <c r="E2" s="1" t="n">
        <f aca="false">IFERROR(VLOOKUP(A2,'Trial Balance '!A:H,4,0),0)</f>
        <v>0</v>
      </c>
      <c r="G2" s="1" t="n">
        <f aca="false">IF(ChartOfAccounts!F2="15% GST on Income", 2, IF(ChartOfAccounts!F2="15% GST on Expenses", 1, IF(ChartOfAccounts!F2="No GST", 0, "")))</f>
        <v>2</v>
      </c>
      <c r="T2" s="1" t="s">
        <v>3</v>
      </c>
    </row>
    <row r="3" customFormat="false" ht="14.25" hidden="false" customHeight="false" outlineLevel="0" collapsed="false">
      <c r="A3" s="1" t="n">
        <f aca="false">ChartOfAccounts!A3</f>
        <v>201</v>
      </c>
      <c r="B3" s="1" t="str">
        <f aca="false">ChartOfAccounts!C3</f>
        <v>Sales 1</v>
      </c>
      <c r="C3" s="1" t="n">
        <f aca="false">IFERROR(VLOOKUP(A3,'Trial Balance '!A:H,3,0),0)</f>
        <v>0</v>
      </c>
      <c r="E3" s="1" t="n">
        <f aca="false">IFERROR(VLOOKUP(A3,'Trial Balance '!A:H,4,0),0)</f>
        <v>0</v>
      </c>
      <c r="G3" s="1" t="n">
        <f aca="false">IF(ChartOfAccounts!F3="15% GST on Income", 2, IF(ChartOfAccounts!F3="15% GST on Expenses", 1, IF(ChartOfAccounts!F3="No GST", 0, "")))</f>
        <v>2</v>
      </c>
      <c r="T3" s="1" t="s">
        <v>4</v>
      </c>
    </row>
    <row r="4" customFormat="false" ht="14.25" hidden="false" customHeight="false" outlineLevel="0" collapsed="false">
      <c r="A4" s="1" t="n">
        <f aca="false">ChartOfAccounts!A4</f>
        <v>202</v>
      </c>
      <c r="B4" s="1" t="str">
        <f aca="false">ChartOfAccounts!C4</f>
        <v>Sales 2</v>
      </c>
      <c r="C4" s="1" t="n">
        <f aca="false">IFERROR(VLOOKUP(A4,'Trial Balance '!A:H,3,0),0)</f>
        <v>0</v>
      </c>
      <c r="E4" s="1" t="n">
        <f aca="false">IFERROR(VLOOKUP(A4,'Trial Balance '!A:H,4,0),0)</f>
        <v>0</v>
      </c>
      <c r="G4" s="1" t="n">
        <f aca="false">IF(ChartOfAccounts!F4="15% GST on Income", 2, IF(ChartOfAccounts!F4="15% GST on Expenses", 1, IF(ChartOfAccounts!F4="No GST", 0, "")))</f>
        <v>2</v>
      </c>
      <c r="T4" s="1" t="s">
        <v>5</v>
      </c>
    </row>
    <row r="5" customFormat="false" ht="14.25" hidden="false" customHeight="false" outlineLevel="0" collapsed="false">
      <c r="A5" s="1" t="n">
        <f aca="false">ChartOfAccounts!A5</f>
        <v>203</v>
      </c>
      <c r="B5" s="1" t="str">
        <f aca="false">ChartOfAccounts!C5</f>
        <v>Sales 3</v>
      </c>
      <c r="C5" s="1" t="n">
        <f aca="false">IFERROR(VLOOKUP(A5,'Trial Balance '!A:H,3,0),0)</f>
        <v>0</v>
      </c>
      <c r="E5" s="1" t="n">
        <f aca="false">IFERROR(VLOOKUP(A5,'Trial Balance '!A:H,4,0),0)</f>
        <v>0</v>
      </c>
      <c r="G5" s="1" t="n">
        <f aca="false">IF(ChartOfAccounts!F5="15% GST on Income", 2, IF(ChartOfAccounts!F5="15% GST on Expenses", 1, IF(ChartOfAccounts!F5="No GST", 0, "")))</f>
        <v>2</v>
      </c>
    </row>
    <row r="6" customFormat="false" ht="14.25" hidden="false" customHeight="false" outlineLevel="0" collapsed="false">
      <c r="A6" s="1" t="n">
        <f aca="false">ChartOfAccounts!A6</f>
        <v>209</v>
      </c>
      <c r="B6" s="1" t="str">
        <f aca="false">ChartOfAccounts!C6</f>
        <v>Expenses Recovered</v>
      </c>
      <c r="C6" s="1" t="n">
        <f aca="false">IFERROR(VLOOKUP(A6,'Trial Balance '!A:H,3,0),0)</f>
        <v>0</v>
      </c>
      <c r="E6" s="1" t="n">
        <f aca="false">IFERROR(VLOOKUP(A6,'Trial Balance '!A:H,4,0),0)</f>
        <v>0</v>
      </c>
      <c r="G6" s="1" t="n">
        <f aca="false">IF(ChartOfAccounts!F6="15% GST on Income", 2, IF(ChartOfAccounts!F6="15% GST on Expenses", 1, IF(ChartOfAccounts!F6="No GST", 0, "")))</f>
        <v>2</v>
      </c>
    </row>
    <row r="7" customFormat="false" ht="14.25" hidden="false" customHeight="false" outlineLevel="0" collapsed="false">
      <c r="A7" s="1" t="n">
        <f aca="false">ChartOfAccounts!A7</f>
        <v>210</v>
      </c>
      <c r="B7" s="1" t="str">
        <f aca="false">ChartOfAccounts!C7</f>
        <v>Dividends Received</v>
      </c>
      <c r="C7" s="1" t="n">
        <f aca="false">IFERROR(VLOOKUP(A7,'Trial Balance '!A:H,3,0),0)</f>
        <v>0</v>
      </c>
      <c r="E7" s="1" t="n">
        <f aca="false">IFERROR(VLOOKUP(A7,'Trial Balance '!A:H,4,0),0)</f>
        <v>0</v>
      </c>
      <c r="G7" s="1" t="n">
        <f aca="false">IF(ChartOfAccounts!F7="15% GST on Income", 2, IF(ChartOfAccounts!F7="15% GST on Expenses", 1, IF(ChartOfAccounts!F7="No GST", 0, "")))</f>
        <v>0</v>
      </c>
    </row>
    <row r="8" customFormat="false" ht="14.25" hidden="false" customHeight="false" outlineLevel="0" collapsed="false">
      <c r="A8" s="1" t="n">
        <f aca="false">ChartOfAccounts!A8</f>
        <v>211</v>
      </c>
      <c r="B8" s="1" t="str">
        <f aca="false">ChartOfAccounts!C8</f>
        <v>Interest Received</v>
      </c>
      <c r="C8" s="1" t="str">
        <f aca="false">IFERROR(VLOOKUP(A8,'Trial Balance '!A:H,3,0),0)</f>
        <v>Other Income</v>
      </c>
      <c r="E8" s="1" t="n">
        <f aca="false">IFERROR(VLOOKUP(A8,'Trial Balance '!A:H,4,0),0)</f>
        <v>0</v>
      </c>
      <c r="G8" s="1" t="n">
        <f aca="false">IF(ChartOfAccounts!F8="15% GST on Income", 2, IF(ChartOfAccounts!F8="15% GST on Expenses", 1, IF(ChartOfAccounts!F8="No GST", 0, "")))</f>
        <v>0</v>
      </c>
    </row>
    <row r="9" customFormat="false" ht="14.25" hidden="false" customHeight="false" outlineLevel="0" collapsed="false">
      <c r="A9" s="1" t="n">
        <f aca="false">ChartOfAccounts!A9</f>
        <v>212</v>
      </c>
      <c r="B9" s="1" t="str">
        <f aca="false">ChartOfAccounts!C9</f>
        <v>Fees Received</v>
      </c>
      <c r="C9" s="1" t="n">
        <f aca="false">IFERROR(VLOOKUP(A9,'Trial Balance '!A:H,3,0),0)</f>
        <v>0</v>
      </c>
      <c r="E9" s="1" t="n">
        <f aca="false">IFERROR(VLOOKUP(A9,'Trial Balance '!A:H,4,0),0)</f>
        <v>0</v>
      </c>
      <c r="G9" s="1" t="n">
        <f aca="false">IF(ChartOfAccounts!F9="15% GST on Income", 2, IF(ChartOfAccounts!F9="15% GST on Expenses", 1, IF(ChartOfAccounts!F9="No GST", 0, "")))</f>
        <v>2</v>
      </c>
    </row>
    <row r="10" customFormat="false" ht="14.25" hidden="false" customHeight="false" outlineLevel="0" collapsed="false">
      <c r="A10" s="1" t="n">
        <f aca="false">ChartOfAccounts!A10</f>
        <v>213</v>
      </c>
      <c r="B10" s="1" t="str">
        <f aca="false">ChartOfAccounts!C10</f>
        <v>Commission Received</v>
      </c>
      <c r="C10" s="1" t="n">
        <f aca="false">IFERROR(VLOOKUP(A10,'Trial Balance '!A:H,3,0),0)</f>
        <v>0</v>
      </c>
      <c r="E10" s="1" t="n">
        <f aca="false">IFERROR(VLOOKUP(A10,'Trial Balance '!A:H,4,0),0)</f>
        <v>0</v>
      </c>
      <c r="G10" s="1" t="n">
        <f aca="false">IF(ChartOfAccounts!F10="15% GST on Income", 2, IF(ChartOfAccounts!F10="15% GST on Expenses", 1, IF(ChartOfAccounts!F10="No GST", 0, "")))</f>
        <v>2</v>
      </c>
    </row>
    <row r="11" customFormat="false" ht="14.25" hidden="false" customHeight="false" outlineLevel="0" collapsed="false">
      <c r="A11" s="1" t="n">
        <f aca="false">ChartOfAccounts!A11</f>
        <v>214</v>
      </c>
      <c r="B11" s="1" t="str">
        <f aca="false">ChartOfAccounts!C11</f>
        <v>Rent Received</v>
      </c>
      <c r="C11" s="1" t="str">
        <f aca="false">IFERROR(VLOOKUP(A11,'Trial Balance '!A:H,3,0),0)</f>
        <v>Revenue</v>
      </c>
      <c r="E11" s="1" t="n">
        <f aca="false">IFERROR(VLOOKUP(A11,'Trial Balance '!A:H,4,0),0)</f>
        <v>0</v>
      </c>
      <c r="G11" s="1" t="n">
        <f aca="false">IF(ChartOfAccounts!F11="15% GST on Income", 2, IF(ChartOfAccounts!F11="15% GST on Expenses", 1, IF(ChartOfAccounts!F11="No GST", 0, "")))</f>
        <v>0</v>
      </c>
    </row>
    <row r="12" customFormat="false" ht="14.25" hidden="false" customHeight="false" outlineLevel="0" collapsed="false">
      <c r="A12" s="1" t="n">
        <f aca="false">ChartOfAccounts!A12</f>
        <v>215</v>
      </c>
      <c r="B12" s="1" t="str">
        <f aca="false">ChartOfAccounts!C12</f>
        <v>Misc Farm Income</v>
      </c>
      <c r="C12" s="1" t="str">
        <f aca="false">IFERROR(VLOOKUP(A12,'Trial Balance '!A:H,3,0),0)</f>
        <v>Other Income</v>
      </c>
      <c r="E12" s="1" t="n">
        <f aca="false">IFERROR(VLOOKUP(A12,'Trial Balance '!A:H,4,0),0)</f>
        <v>0</v>
      </c>
      <c r="G12" s="1" t="n">
        <f aca="false">IF(ChartOfAccounts!F12="15% GST on Income", 2, IF(ChartOfAccounts!F12="15% GST on Expenses", 1, IF(ChartOfAccounts!F12="No GST", 0, "")))</f>
        <v>2</v>
      </c>
    </row>
    <row r="13" customFormat="false" ht="14.25" hidden="false" customHeight="false" outlineLevel="0" collapsed="false">
      <c r="A13" s="1" t="n">
        <f aca="false">ChartOfAccounts!A13</f>
        <v>216</v>
      </c>
      <c r="B13" s="1" t="str">
        <f aca="false">ChartOfAccounts!C13</f>
        <v>Mixed Use Adjustment</v>
      </c>
      <c r="C13" s="1" t="n">
        <f aca="false">IFERROR(VLOOKUP(A13,'Trial Balance '!A:H,3,0),0)</f>
        <v>0</v>
      </c>
      <c r="E13" s="1" t="n">
        <f aca="false">IFERROR(VLOOKUP(A13,'Trial Balance '!A:H,4,0),0)</f>
        <v>0</v>
      </c>
      <c r="G13" s="1" t="n">
        <f aca="false">IF(ChartOfAccounts!F13="15% GST on Income", 2, IF(ChartOfAccounts!F13="15% GST on Expenses", 1, IF(ChartOfAccounts!F13="No GST", 0, "")))</f>
        <v>0</v>
      </c>
    </row>
    <row r="14" customFormat="false" ht="14.25" hidden="false" customHeight="false" outlineLevel="0" collapsed="false">
      <c r="A14" s="1" t="n">
        <f aca="false">ChartOfAccounts!A14</f>
        <v>217</v>
      </c>
      <c r="B14" s="1" t="str">
        <f aca="false">ChartOfAccounts!C14</f>
        <v>Depreciation Recovered</v>
      </c>
      <c r="C14" s="1" t="n">
        <f aca="false">IFERROR(VLOOKUP(A14,'Trial Balance '!A:H,3,0),0)</f>
        <v>0</v>
      </c>
      <c r="E14" s="1" t="n">
        <f aca="false">IFERROR(VLOOKUP(A14,'Trial Balance '!A:H,4,0),0)</f>
        <v>0</v>
      </c>
      <c r="G14" s="1" t="n">
        <f aca="false">IF(ChartOfAccounts!F14="15% GST on Income", 2, IF(ChartOfAccounts!F14="15% GST on Expenses", 1, IF(ChartOfAccounts!F14="No GST", 0, "")))</f>
        <v>0</v>
      </c>
    </row>
    <row r="15" customFormat="false" ht="14.25" hidden="false" customHeight="false" outlineLevel="0" collapsed="false">
      <c r="A15" s="1" t="n">
        <f aca="false">ChartOfAccounts!A15</f>
        <v>219</v>
      </c>
      <c r="B15" s="1" t="str">
        <f aca="false">ChartOfAccounts!C15</f>
        <v>Other Income</v>
      </c>
      <c r="C15" s="1" t="n">
        <f aca="false">IFERROR(VLOOKUP(A15,'Trial Balance '!A:H,3,0),0)</f>
        <v>0</v>
      </c>
      <c r="E15" s="1" t="n">
        <f aca="false">IFERROR(VLOOKUP(A15,'Trial Balance '!A:H,4,0),0)</f>
        <v>0</v>
      </c>
      <c r="G15" s="1" t="n">
        <f aca="false">IF(ChartOfAccounts!F15="15% GST on Income", 2, IF(ChartOfAccounts!F15="15% GST on Expenses", 1, IF(ChartOfAccounts!F15="No GST", 0, "")))</f>
        <v>0</v>
      </c>
    </row>
    <row r="16" customFormat="false" ht="14.25" hidden="false" customHeight="false" outlineLevel="0" collapsed="false">
      <c r="A16" s="1" t="n">
        <f aca="false">ChartOfAccounts!A16</f>
        <v>220</v>
      </c>
      <c r="B16" s="1" t="str">
        <f aca="false">ChartOfAccounts!C16</f>
        <v>Subvention Payment Received</v>
      </c>
      <c r="C16" s="1" t="n">
        <f aca="false">IFERROR(VLOOKUP(A16,'Trial Balance '!A:H,3,0),0)</f>
        <v>0</v>
      </c>
      <c r="E16" s="1" t="n">
        <f aca="false">IFERROR(VLOOKUP(A16,'Trial Balance '!A:H,4,0),0)</f>
        <v>0</v>
      </c>
      <c r="G16" s="1" t="n">
        <f aca="false">IF(ChartOfAccounts!F16="15% GST on Income", 2, IF(ChartOfAccounts!F16="15% GST on Expenses", 1, IF(ChartOfAccounts!F16="No GST", 0, "")))</f>
        <v>0</v>
      </c>
    </row>
    <row r="17" customFormat="false" ht="14.25" hidden="false" customHeight="false" outlineLevel="0" collapsed="false">
      <c r="A17" s="1" t="n">
        <f aca="false">ChartOfAccounts!A17</f>
        <v>221</v>
      </c>
      <c r="B17" s="1" t="str">
        <f aca="false">ChartOfAccounts!C17</f>
        <v>Taxable Gain on Sale</v>
      </c>
      <c r="C17" s="1" t="n">
        <f aca="false">IFERROR(VLOOKUP(A17,'Trial Balance '!A:H,3,0),0)</f>
        <v>0</v>
      </c>
      <c r="E17" s="1" t="n">
        <f aca="false">IFERROR(VLOOKUP(A17,'Trial Balance '!A:H,4,0),0)</f>
        <v>0</v>
      </c>
      <c r="G17" s="1" t="n">
        <f aca="false">IF(ChartOfAccounts!F17="15% GST on Income", 2, IF(ChartOfAccounts!F17="15% GST on Expenses", 1, IF(ChartOfAccounts!F17="No GST", 0, "")))</f>
        <v>0</v>
      </c>
    </row>
    <row r="18" customFormat="false" ht="14.25" hidden="false" customHeight="false" outlineLevel="0" collapsed="false">
      <c r="A18" s="1" t="n">
        <f aca="false">ChartOfAccounts!A18</f>
        <v>222</v>
      </c>
      <c r="B18" s="1" t="str">
        <f aca="false">ChartOfAccounts!C18</f>
        <v>Interest Received - PIE</v>
      </c>
      <c r="C18" s="1" t="n">
        <f aca="false">IFERROR(VLOOKUP(A18,'Trial Balance '!A:H,3,0),0)</f>
        <v>0</v>
      </c>
      <c r="E18" s="1" t="n">
        <f aca="false">IFERROR(VLOOKUP(A18,'Trial Balance '!A:H,4,0),0)</f>
        <v>0</v>
      </c>
      <c r="G18" s="1" t="n">
        <f aca="false">IF(ChartOfAccounts!F18="15% GST on Income", 2, IF(ChartOfAccounts!F18="15% GST on Expenses", 1, IF(ChartOfAccounts!F18="No GST", 0, "")))</f>
        <v>0</v>
      </c>
    </row>
    <row r="19" customFormat="false" ht="14.25" hidden="false" customHeight="false" outlineLevel="0" collapsed="false">
      <c r="A19" s="1" t="n">
        <f aca="false">ChartOfAccounts!A19</f>
        <v>300</v>
      </c>
      <c r="B19" s="1" t="str">
        <f aca="false">ChartOfAccounts!C19</f>
        <v>Opening Inventory</v>
      </c>
      <c r="C19" s="1" t="str">
        <f aca="false">IFERROR(VLOOKUP(A19,'Trial Balance '!A:H,3,0),0)</f>
        <v>Direct Costs</v>
      </c>
      <c r="E19" s="1" t="n">
        <f aca="false">IFERROR(VLOOKUP(A19,'Trial Balance '!A:H,4,0),0)</f>
        <v>0</v>
      </c>
      <c r="G19" s="1" t="n">
        <f aca="false">IF(ChartOfAccounts!F19="15% GST on Income", 2, IF(ChartOfAccounts!F19="15% GST on Expenses", 1, IF(ChartOfAccounts!F19="No GST", 0, "")))</f>
        <v>1</v>
      </c>
    </row>
    <row r="20" customFormat="false" ht="14.25" hidden="false" customHeight="false" outlineLevel="0" collapsed="false">
      <c r="A20" s="1" t="n">
        <f aca="false">ChartOfAccounts!A20</f>
        <v>305</v>
      </c>
      <c r="B20" s="1" t="str">
        <f aca="false">ChartOfAccounts!C20</f>
        <v>Opening Work In Progress</v>
      </c>
      <c r="C20" s="1" t="n">
        <f aca="false">IFERROR(VLOOKUP(A20,'Trial Balance '!A:H,3,0),0)</f>
        <v>0</v>
      </c>
      <c r="E20" s="1" t="n">
        <f aca="false">IFERROR(VLOOKUP(A20,'Trial Balance '!A:H,4,0),0)</f>
        <v>0</v>
      </c>
      <c r="G20" s="1" t="n">
        <f aca="false">IF(ChartOfAccounts!F20="15% GST on Income", 2, IF(ChartOfAccounts!F20="15% GST on Expenses", 1, IF(ChartOfAccounts!F20="No GST", 0, "")))</f>
        <v>1</v>
      </c>
    </row>
    <row r="21" customFormat="false" ht="14.25" hidden="false" customHeight="false" outlineLevel="0" collapsed="false">
      <c r="A21" s="1" t="n">
        <f aca="false">ChartOfAccounts!A21</f>
        <v>320</v>
      </c>
      <c r="B21" s="1" t="str">
        <f aca="false">ChartOfAccounts!C21</f>
        <v>Purchases</v>
      </c>
      <c r="C21" s="1" t="n">
        <f aca="false">IFERROR(VLOOKUP(A21,'Trial Balance '!A:H,3,0),0)</f>
        <v>0</v>
      </c>
      <c r="E21" s="1" t="n">
        <f aca="false">IFERROR(VLOOKUP(A21,'Trial Balance '!A:H,4,0),0)</f>
        <v>0</v>
      </c>
      <c r="G21" s="1" t="n">
        <f aca="false">IF(ChartOfAccounts!F21="15% GST on Income", 2, IF(ChartOfAccounts!F21="15% GST on Expenses", 1, IF(ChartOfAccounts!F21="No GST", 0, "")))</f>
        <v>1</v>
      </c>
    </row>
    <row r="22" customFormat="false" ht="14.25" hidden="false" customHeight="false" outlineLevel="0" collapsed="false">
      <c r="A22" s="1" t="n">
        <f aca="false">ChartOfAccounts!A22</f>
        <v>322</v>
      </c>
      <c r="B22" s="1" t="str">
        <f aca="false">ChartOfAccounts!C22</f>
        <v>Stock Adjustment</v>
      </c>
      <c r="C22" s="1" t="n">
        <f aca="false">IFERROR(VLOOKUP(A22,'Trial Balance '!A:H,3,0),0)</f>
        <v>0</v>
      </c>
      <c r="E22" s="1" t="n">
        <f aca="false">IFERROR(VLOOKUP(A22,'Trial Balance '!A:H,4,0),0)</f>
        <v>0</v>
      </c>
      <c r="G22" s="1" t="n">
        <f aca="false">IF(ChartOfAccounts!F22="15% GST on Income", 2, IF(ChartOfAccounts!F22="15% GST on Expenses", 1, IF(ChartOfAccounts!F22="No GST", 0, "")))</f>
        <v>0</v>
      </c>
    </row>
    <row r="23" customFormat="false" ht="14.25" hidden="false" customHeight="false" outlineLevel="0" collapsed="false">
      <c r="A23" s="1" t="n">
        <f aca="false">ChartOfAccounts!A23</f>
        <v>325</v>
      </c>
      <c r="B23" s="1" t="str">
        <f aca="false">ChartOfAccounts!C23</f>
        <v>Freight Inwards</v>
      </c>
      <c r="C23" s="1" t="n">
        <f aca="false">IFERROR(VLOOKUP(A23,'Trial Balance '!A:H,3,0),0)</f>
        <v>0</v>
      </c>
      <c r="E23" s="1" t="n">
        <f aca="false">IFERROR(VLOOKUP(A23,'Trial Balance '!A:H,4,0),0)</f>
        <v>0</v>
      </c>
      <c r="G23" s="1" t="n">
        <f aca="false">IF(ChartOfAccounts!F23="15% GST on Income", 2, IF(ChartOfAccounts!F23="15% GST on Expenses", 1, IF(ChartOfAccounts!F23="No GST", 0, "")))</f>
        <v>1</v>
      </c>
    </row>
    <row r="24" customFormat="false" ht="14.25" hidden="false" customHeight="false" outlineLevel="0" collapsed="false">
      <c r="A24" s="1" t="n">
        <f aca="false">ChartOfAccounts!A24</f>
        <v>340</v>
      </c>
      <c r="B24" s="1" t="str">
        <f aca="false">ChartOfAccounts!C24</f>
        <v>Closing Inventory</v>
      </c>
      <c r="C24" s="1" t="str">
        <f aca="false">IFERROR(VLOOKUP(A24,'Trial Balance '!A:H,3,0),0)</f>
        <v>Direct Costs</v>
      </c>
      <c r="E24" s="1" t="n">
        <f aca="false">IFERROR(VLOOKUP(A24,'Trial Balance '!A:H,4,0),0)</f>
        <v>0</v>
      </c>
      <c r="G24" s="1" t="n">
        <f aca="false">IF(ChartOfAccounts!F24="15% GST on Income", 2, IF(ChartOfAccounts!F24="15% GST on Expenses", 1, IF(ChartOfAccounts!F24="No GST", 0, "")))</f>
        <v>1</v>
      </c>
    </row>
    <row r="25" customFormat="false" ht="14.25" hidden="false" customHeight="false" outlineLevel="0" collapsed="false">
      <c r="A25" s="1" t="n">
        <f aca="false">ChartOfAccounts!A25</f>
        <v>345</v>
      </c>
      <c r="B25" s="1" t="str">
        <f aca="false">ChartOfAccounts!C25</f>
        <v>Closing Work In Progress</v>
      </c>
      <c r="C25" s="1" t="n">
        <f aca="false">IFERROR(VLOOKUP(A25,'Trial Balance '!A:H,3,0),0)</f>
        <v>0</v>
      </c>
      <c r="E25" s="1" t="n">
        <f aca="false">IFERROR(VLOOKUP(A25,'Trial Balance '!A:H,4,0),0)</f>
        <v>0</v>
      </c>
      <c r="G25" s="1" t="n">
        <f aca="false">IF(ChartOfAccounts!F25="15% GST on Income", 2, IF(ChartOfAccounts!F25="15% GST on Expenses", 1, IF(ChartOfAccounts!F25="No GST", 0, "")))</f>
        <v>1</v>
      </c>
    </row>
    <row r="26" customFormat="false" ht="14.25" hidden="false" customHeight="false" outlineLevel="0" collapsed="false">
      <c r="A26" s="1" t="n">
        <f aca="false">ChartOfAccounts!A26</f>
        <v>379</v>
      </c>
      <c r="B26" s="1" t="str">
        <f aca="false">ChartOfAccounts!C26</f>
        <v>Subcontract</v>
      </c>
      <c r="C26" s="1" t="n">
        <f aca="false">IFERROR(VLOOKUP(A26,'Trial Balance '!A:H,3,0),0)</f>
        <v>0</v>
      </c>
      <c r="E26" s="1" t="n">
        <f aca="false">IFERROR(VLOOKUP(A26,'Trial Balance '!A:H,4,0),0)</f>
        <v>0</v>
      </c>
      <c r="G26" s="1" t="n">
        <f aca="false">IF(ChartOfAccounts!F26="15% GST on Income", 2, IF(ChartOfAccounts!F26="15% GST on Expenses", 1, IF(ChartOfAccounts!F26="No GST", 0, "")))</f>
        <v>1</v>
      </c>
    </row>
    <row r="27" customFormat="false" ht="14.25" hidden="false" customHeight="false" outlineLevel="0" collapsed="false">
      <c r="A27" s="1" t="n">
        <f aca="false">ChartOfAccounts!A27</f>
        <v>398</v>
      </c>
      <c r="B27" s="1" t="str">
        <f aca="false">ChartOfAccounts!C27</f>
        <v>Wages</v>
      </c>
      <c r="C27" s="1" t="n">
        <f aca="false">IFERROR(VLOOKUP(A27,'Trial Balance '!A:H,3,0),0)</f>
        <v>0</v>
      </c>
      <c r="E27" s="1" t="n">
        <f aca="false">IFERROR(VLOOKUP(A27,'Trial Balance '!A:H,4,0),0)</f>
        <v>0</v>
      </c>
      <c r="G27" s="1" t="n">
        <f aca="false">IF(ChartOfAccounts!F27="15% GST on Income", 2, IF(ChartOfAccounts!F27="15% GST on Expenses", 1, IF(ChartOfAccounts!F27="No GST", 0, "")))</f>
        <v>0</v>
      </c>
    </row>
    <row r="28" customFormat="false" ht="14.25" hidden="false" customHeight="false" outlineLevel="0" collapsed="false">
      <c r="A28" s="1" t="n">
        <f aca="false">ChartOfAccounts!A28</f>
        <v>401</v>
      </c>
      <c r="B28" s="1" t="str">
        <f aca="false">ChartOfAccounts!C28</f>
        <v>Accident Compensation</v>
      </c>
      <c r="C28" s="1" t="n">
        <f aca="false">IFERROR(VLOOKUP(A28,'Trial Balance '!A:H,3,0),0)</f>
        <v>0</v>
      </c>
      <c r="E28" s="1" t="n">
        <f aca="false">IFERROR(VLOOKUP(A28,'Trial Balance '!A:H,4,0),0)</f>
        <v>0</v>
      </c>
      <c r="G28" s="1" t="n">
        <f aca="false">IF(ChartOfAccounts!F28="15% GST on Income", 2, IF(ChartOfAccounts!F28="15% GST on Expenses", 1, IF(ChartOfAccounts!F28="No GST", 0, "")))</f>
        <v>1</v>
      </c>
    </row>
    <row r="29" customFormat="false" ht="14.25" hidden="false" customHeight="false" outlineLevel="0" collapsed="false">
      <c r="A29" s="1" t="n">
        <f aca="false">ChartOfAccounts!A29</f>
        <v>403</v>
      </c>
      <c r="B29" s="1" t="str">
        <f aca="false">ChartOfAccounts!C29</f>
        <v>Accountancy</v>
      </c>
      <c r="C29" s="1" t="str">
        <f aca="false">IFERROR(VLOOKUP(A29,'Trial Balance '!A:H,3,0),0)</f>
        <v>Overhead</v>
      </c>
      <c r="E29" s="1" t="n">
        <f aca="false">IFERROR(VLOOKUP(A29,'Trial Balance '!A:H,4,0),0)</f>
        <v>0</v>
      </c>
      <c r="G29" s="1" t="n">
        <f aca="false">IF(ChartOfAccounts!F29="15% GST on Income", 2, IF(ChartOfAccounts!F29="15% GST on Expenses", 1, IF(ChartOfAccounts!F29="No GST", 0, "")))</f>
        <v>1</v>
      </c>
    </row>
    <row r="30" customFormat="false" ht="14.25" hidden="false" customHeight="false" outlineLevel="0" collapsed="false">
      <c r="A30" s="1" t="n">
        <f aca="false">ChartOfAccounts!A30</f>
        <v>406</v>
      </c>
      <c r="B30" s="1" t="str">
        <f aca="false">ChartOfAccounts!C30</f>
        <v>Advertising &amp; Promotion</v>
      </c>
      <c r="C30" s="1" t="n">
        <f aca="false">IFERROR(VLOOKUP(A30,'Trial Balance '!A:H,3,0),0)</f>
        <v>0</v>
      </c>
      <c r="E30" s="1" t="n">
        <f aca="false">IFERROR(VLOOKUP(A30,'Trial Balance '!A:H,4,0),0)</f>
        <v>0</v>
      </c>
      <c r="G30" s="1" t="n">
        <f aca="false">IF(ChartOfAccounts!F30="15% GST on Income", 2, IF(ChartOfAccounts!F30="15% GST on Expenses", 1, IF(ChartOfAccounts!F30="No GST", 0, "")))</f>
        <v>1</v>
      </c>
    </row>
    <row r="31" customFormat="false" ht="14.25" hidden="false" customHeight="false" outlineLevel="0" collapsed="false">
      <c r="A31" s="1" t="n">
        <f aca="false">ChartOfAccounts!A31</f>
        <v>407</v>
      </c>
      <c r="B31" s="1" t="str">
        <f aca="false">ChartOfAccounts!C31</f>
        <v>Amortisation</v>
      </c>
      <c r="C31" s="1" t="n">
        <f aca="false">IFERROR(VLOOKUP(A31,'Trial Balance '!A:H,3,0),0)</f>
        <v>0</v>
      </c>
      <c r="E31" s="1" t="n">
        <f aca="false">IFERROR(VLOOKUP(A31,'Trial Balance '!A:H,4,0),0)</f>
        <v>0</v>
      </c>
      <c r="G31" s="1" t="n">
        <f aca="false">IF(ChartOfAccounts!F31="15% GST on Income", 2, IF(ChartOfAccounts!F31="15% GST on Expenses", 1, IF(ChartOfAccounts!F31="No GST", 0, "")))</f>
        <v>0</v>
      </c>
    </row>
    <row r="32" customFormat="false" ht="14.25" hidden="false" customHeight="false" outlineLevel="0" collapsed="false">
      <c r="A32" s="1" t="n">
        <f aca="false">ChartOfAccounts!A32</f>
        <v>409</v>
      </c>
      <c r="B32" s="1" t="str">
        <f aca="false">ChartOfAccounts!C32</f>
        <v>Bad Debt</v>
      </c>
      <c r="C32" s="1" t="n">
        <f aca="false">IFERROR(VLOOKUP(A32,'Trial Balance '!A:H,3,0),0)</f>
        <v>0</v>
      </c>
      <c r="E32" s="1" t="n">
        <f aca="false">IFERROR(VLOOKUP(A32,'Trial Balance '!A:H,4,0),0)</f>
        <v>0</v>
      </c>
      <c r="G32" s="1" t="n">
        <f aca="false">IF(ChartOfAccounts!F32="15% GST on Income", 2, IF(ChartOfAccounts!F32="15% GST on Expenses", 1, IF(ChartOfAccounts!F32="No GST", 0, "")))</f>
        <v>1</v>
      </c>
    </row>
    <row r="33" customFormat="false" ht="14.25" hidden="false" customHeight="false" outlineLevel="0" collapsed="false">
      <c r="A33" s="1" t="n">
        <f aca="false">ChartOfAccounts!A33</f>
        <v>412</v>
      </c>
      <c r="B33" s="1" t="str">
        <f aca="false">ChartOfAccounts!C33</f>
        <v>Bank Charges</v>
      </c>
      <c r="C33" s="1" t="str">
        <f aca="false">IFERROR(VLOOKUP(A33,'Trial Balance '!A:H,3,0),0)</f>
        <v>Overhead</v>
      </c>
      <c r="E33" s="1" t="n">
        <f aca="false">IFERROR(VLOOKUP(A33,'Trial Balance '!A:H,4,0),0)</f>
        <v>0</v>
      </c>
      <c r="G33" s="1" t="n">
        <f aca="false">IF(ChartOfAccounts!F33="15% GST on Income", 2, IF(ChartOfAccounts!F33="15% GST on Expenses", 1, IF(ChartOfAccounts!F33="No GST", 0, "")))</f>
        <v>0</v>
      </c>
    </row>
    <row r="34" customFormat="false" ht="14.25" hidden="false" customHeight="false" outlineLevel="0" collapsed="false">
      <c r="A34" s="1" t="n">
        <f aca="false">ChartOfAccounts!A34</f>
        <v>414</v>
      </c>
      <c r="B34" s="1" t="str">
        <f aca="false">ChartOfAccounts!C34</f>
        <v>Body Corporate Fees</v>
      </c>
      <c r="C34" s="1" t="n">
        <f aca="false">IFERROR(VLOOKUP(A34,'Trial Balance '!A:H,3,0),0)</f>
        <v>0</v>
      </c>
      <c r="E34" s="1" t="n">
        <f aca="false">IFERROR(VLOOKUP(A34,'Trial Balance '!A:H,4,0),0)</f>
        <v>0</v>
      </c>
      <c r="G34" s="1" t="n">
        <f aca="false">IF(ChartOfAccounts!F34="15% GST on Income", 2, IF(ChartOfAccounts!F34="15% GST on Expenses", 1, IF(ChartOfAccounts!F34="No GST", 0, "")))</f>
        <v>1</v>
      </c>
    </row>
    <row r="35" customFormat="false" ht="14.25" hidden="false" customHeight="false" outlineLevel="0" collapsed="false">
      <c r="A35" s="1" t="n">
        <f aca="false">ChartOfAccounts!A35</f>
        <v>415</v>
      </c>
      <c r="B35" s="1" t="str">
        <f aca="false">ChartOfAccounts!C35</f>
        <v>Cleaning &amp; Laundry</v>
      </c>
      <c r="C35" s="1" t="n">
        <f aca="false">IFERROR(VLOOKUP(A35,'Trial Balance '!A:H,3,0),0)</f>
        <v>0</v>
      </c>
      <c r="E35" s="1" t="n">
        <f aca="false">IFERROR(VLOOKUP(A35,'Trial Balance '!A:H,4,0),0)</f>
        <v>0</v>
      </c>
      <c r="G35" s="1" t="n">
        <f aca="false">IF(ChartOfAccounts!F35="15% GST on Income", 2, IF(ChartOfAccounts!F35="15% GST on Expenses", 1, IF(ChartOfAccounts!F35="No GST", 0, "")))</f>
        <v>1</v>
      </c>
    </row>
    <row r="36" customFormat="false" ht="14.25" hidden="false" customHeight="false" outlineLevel="0" collapsed="false">
      <c r="A36" s="1" t="n">
        <f aca="false">ChartOfAccounts!A36</f>
        <v>416</v>
      </c>
      <c r="B36" s="1" t="str">
        <f aca="false">ChartOfAccounts!C36</f>
        <v>Consulting</v>
      </c>
      <c r="C36" s="1" t="str">
        <f aca="false">IFERROR(VLOOKUP(A36,'Trial Balance '!A:H,3,0),0)</f>
        <v>Overhead</v>
      </c>
      <c r="E36" s="1" t="n">
        <f aca="false">IFERROR(VLOOKUP(A36,'Trial Balance '!A:H,4,0),0)</f>
        <v>0</v>
      </c>
      <c r="G36" s="1" t="n">
        <f aca="false">IF(ChartOfAccounts!F36="15% GST on Income", 2, IF(ChartOfAccounts!F36="15% GST on Expenses", 1, IF(ChartOfAccounts!F36="No GST", 0, "")))</f>
        <v>1</v>
      </c>
    </row>
    <row r="37" customFormat="false" ht="14.25" hidden="false" customHeight="false" outlineLevel="0" collapsed="false">
      <c r="A37" s="1" t="n">
        <f aca="false">ChartOfAccounts!A37</f>
        <v>419</v>
      </c>
      <c r="B37" s="1" t="str">
        <f aca="false">ChartOfAccounts!C37</f>
        <v>Commission</v>
      </c>
      <c r="C37" s="1" t="n">
        <f aca="false">IFERROR(VLOOKUP(A37,'Trial Balance '!A:H,3,0),0)</f>
        <v>0</v>
      </c>
      <c r="E37" s="1" t="n">
        <f aca="false">IFERROR(VLOOKUP(A37,'Trial Balance '!A:H,4,0),0)</f>
        <v>0</v>
      </c>
      <c r="G37" s="1" t="n">
        <f aca="false">IF(ChartOfAccounts!F37="15% GST on Income", 2, IF(ChartOfAccounts!F37="15% GST on Expenses", 1, IF(ChartOfAccounts!F37="No GST", 0, "")))</f>
        <v>1</v>
      </c>
    </row>
    <row r="38" customFormat="false" ht="14.25" hidden="false" customHeight="false" outlineLevel="0" collapsed="false">
      <c r="A38" s="1" t="n">
        <f aca="false">ChartOfAccounts!A38</f>
        <v>420</v>
      </c>
      <c r="B38" s="1" t="str">
        <f aca="false">ChartOfAccounts!C38</f>
        <v>Computer Expenses</v>
      </c>
      <c r="C38" s="1" t="str">
        <f aca="false">IFERROR(VLOOKUP(A38,'Trial Balance '!A:H,3,0),0)</f>
        <v>Overhead</v>
      </c>
      <c r="E38" s="1" t="n">
        <f aca="false">IFERROR(VLOOKUP(A38,'Trial Balance '!A:H,4,0),0)</f>
        <v>0</v>
      </c>
      <c r="G38" s="1" t="n">
        <f aca="false">IF(ChartOfAccounts!F38="15% GST on Income", 2, IF(ChartOfAccounts!F38="15% GST on Expenses", 1, IF(ChartOfAccounts!F38="No GST", 0, "")))</f>
        <v>1</v>
      </c>
    </row>
    <row r="39" customFormat="false" ht="14.25" hidden="false" customHeight="false" outlineLevel="0" collapsed="false">
      <c r="A39" s="1" t="n">
        <f aca="false">ChartOfAccounts!A39</f>
        <v>422</v>
      </c>
      <c r="B39" s="1" t="str">
        <f aca="false">ChartOfAccounts!C39</f>
        <v>Contracting Fee</v>
      </c>
      <c r="C39" s="1" t="n">
        <f aca="false">IFERROR(VLOOKUP(A39,'Trial Balance '!A:H,3,0),0)</f>
        <v>0</v>
      </c>
      <c r="E39" s="1" t="n">
        <f aca="false">IFERROR(VLOOKUP(A39,'Trial Balance '!A:H,4,0),0)</f>
        <v>0</v>
      </c>
      <c r="G39" s="1" t="n">
        <f aca="false">IF(ChartOfAccounts!F39="15% GST on Income", 2, IF(ChartOfAccounts!F39="15% GST on Expenses", 1, IF(ChartOfAccounts!F39="No GST", 0, "")))</f>
        <v>1</v>
      </c>
    </row>
    <row r="40" customFormat="false" ht="14.25" hidden="false" customHeight="false" outlineLevel="0" collapsed="false">
      <c r="A40" s="1" t="n">
        <f aca="false">ChartOfAccounts!A40</f>
        <v>424</v>
      </c>
      <c r="B40" s="1" t="str">
        <f aca="false">ChartOfAccounts!C40</f>
        <v>Debt Collection Cost</v>
      </c>
      <c r="C40" s="1" t="n">
        <f aca="false">IFERROR(VLOOKUP(A40,'Trial Balance '!A:H,3,0),0)</f>
        <v>0</v>
      </c>
      <c r="E40" s="1" t="n">
        <f aca="false">IFERROR(VLOOKUP(A40,'Trial Balance '!A:H,4,0),0)</f>
        <v>0</v>
      </c>
      <c r="G40" s="1" t="n">
        <f aca="false">IF(ChartOfAccounts!F40="15% GST on Income", 2, IF(ChartOfAccounts!F40="15% GST on Expenses", 1, IF(ChartOfAccounts!F40="No GST", 0, "")))</f>
        <v>1</v>
      </c>
    </row>
    <row r="41" customFormat="false" ht="14.25" hidden="false" customHeight="false" outlineLevel="0" collapsed="false">
      <c r="A41" s="1" t="n">
        <f aca="false">ChartOfAccounts!A41</f>
        <v>425</v>
      </c>
      <c r="B41" s="1" t="str">
        <f aca="false">ChartOfAccounts!C41</f>
        <v>Depreciation</v>
      </c>
      <c r="C41" s="1" t="str">
        <f aca="false">IFERROR(VLOOKUP(A41,'Trial Balance '!A:H,3,0),0)</f>
        <v>Overhead</v>
      </c>
      <c r="E41" s="1" t="n">
        <f aca="false">IFERROR(VLOOKUP(A41,'Trial Balance '!A:H,4,0),0)</f>
        <v>0</v>
      </c>
      <c r="G41" s="1" t="n">
        <f aca="false">IF(ChartOfAccounts!F41="15% GST on Income", 2, IF(ChartOfAccounts!F41="15% GST on Expenses", 1, IF(ChartOfAccounts!F41="No GST", 0, "")))</f>
        <v>0</v>
      </c>
    </row>
    <row r="42" customFormat="false" ht="14.25" hidden="false" customHeight="false" outlineLevel="0" collapsed="false">
      <c r="A42" s="1" t="n">
        <f aca="false">ChartOfAccounts!A42</f>
        <v>426</v>
      </c>
      <c r="B42" s="1" t="str">
        <f aca="false">ChartOfAccounts!C42</f>
        <v>Donations</v>
      </c>
      <c r="C42" s="1" t="n">
        <f aca="false">IFERROR(VLOOKUP(A42,'Trial Balance '!A:H,3,0),0)</f>
        <v>0</v>
      </c>
      <c r="E42" s="1" t="n">
        <f aca="false">IFERROR(VLOOKUP(A42,'Trial Balance '!A:H,4,0),0)</f>
        <v>0</v>
      </c>
      <c r="G42" s="1" t="n">
        <f aca="false">IF(ChartOfAccounts!F42="15% GST on Income", 2, IF(ChartOfAccounts!F42="15% GST on Expenses", 1, IF(ChartOfAccounts!F42="No GST", 0, "")))</f>
        <v>0</v>
      </c>
    </row>
    <row r="43" customFormat="false" ht="14.25" hidden="false" customHeight="false" outlineLevel="0" collapsed="false">
      <c r="A43" s="1" t="n">
        <f aca="false">ChartOfAccounts!A43</f>
        <v>428</v>
      </c>
      <c r="B43" s="1" t="str">
        <f aca="false">ChartOfAccounts!C43</f>
        <v>Electricity &amp; Gas</v>
      </c>
      <c r="C43" s="1" t="n">
        <f aca="false">IFERROR(VLOOKUP(A43,'Trial Balance '!A:H,3,0),0)</f>
        <v>0</v>
      </c>
      <c r="E43" s="1" t="n">
        <f aca="false">IFERROR(VLOOKUP(A43,'Trial Balance '!A:H,4,0),0)</f>
        <v>0</v>
      </c>
      <c r="G43" s="1" t="n">
        <f aca="false">IF(ChartOfAccounts!F43="15% GST on Income", 2, IF(ChartOfAccounts!F43="15% GST on Expenses", 1, IF(ChartOfAccounts!F43="No GST", 0, "")))</f>
        <v>1</v>
      </c>
    </row>
    <row r="44" customFormat="false" ht="14.25" hidden="false" customHeight="false" outlineLevel="0" collapsed="false">
      <c r="A44" s="1" t="n">
        <f aca="false">ChartOfAccounts!A44</f>
        <v>429</v>
      </c>
      <c r="B44" s="1" t="str">
        <f aca="false">ChartOfAccounts!C44</f>
        <v>Entertainment</v>
      </c>
      <c r="C44" s="1" t="n">
        <f aca="false">IFERROR(VLOOKUP(A44,'Trial Balance '!A:H,3,0),0)</f>
        <v>0</v>
      </c>
      <c r="E44" s="1" t="n">
        <f aca="false">IFERROR(VLOOKUP(A44,'Trial Balance '!A:H,4,0),0)</f>
        <v>0</v>
      </c>
      <c r="G44" s="1" t="n">
        <f aca="false">IF(ChartOfAccounts!F44="15% GST on Income", 2, IF(ChartOfAccounts!F44="15% GST on Expenses", 1, IF(ChartOfAccounts!F44="No GST", 0, "")))</f>
        <v>1</v>
      </c>
    </row>
    <row r="45" customFormat="false" ht="14.25" hidden="false" customHeight="false" outlineLevel="0" collapsed="false">
      <c r="A45" s="1" t="n">
        <f aca="false">ChartOfAccounts!A45</f>
        <v>430</v>
      </c>
      <c r="B45" s="1" t="str">
        <f aca="false">ChartOfAccounts!C45</f>
        <v>Entertainment N.D.</v>
      </c>
      <c r="C45" s="1" t="n">
        <f aca="false">IFERROR(VLOOKUP(A45,'Trial Balance '!A:H,3,0),0)</f>
        <v>0</v>
      </c>
      <c r="E45" s="1" t="n">
        <f aca="false">IFERROR(VLOOKUP(A45,'Trial Balance '!A:H,4,0),0)</f>
        <v>0</v>
      </c>
      <c r="G45" s="1" t="n">
        <f aca="false">IF(ChartOfAccounts!F45="15% GST on Income", 2, IF(ChartOfAccounts!F45="15% GST on Expenses", 1, IF(ChartOfAccounts!F45="No GST", 0, "")))</f>
        <v>0</v>
      </c>
    </row>
    <row r="46" customFormat="false" ht="14.25" hidden="false" customHeight="false" outlineLevel="0" collapsed="false">
      <c r="A46" s="1" t="n">
        <f aca="false">ChartOfAccounts!A46</f>
        <v>432</v>
      </c>
      <c r="B46" s="1" t="str">
        <f aca="false">ChartOfAccounts!C46</f>
        <v>Equipment Lease</v>
      </c>
      <c r="C46" s="1" t="n">
        <f aca="false">IFERROR(VLOOKUP(A46,'Trial Balance '!A:H,3,0),0)</f>
        <v>0</v>
      </c>
      <c r="E46" s="1" t="n">
        <f aca="false">IFERROR(VLOOKUP(A46,'Trial Balance '!A:H,4,0),0)</f>
        <v>0</v>
      </c>
      <c r="G46" s="1" t="n">
        <f aca="false">IF(ChartOfAccounts!F46="15% GST on Income", 2, IF(ChartOfAccounts!F46="15% GST on Expenses", 1, IF(ChartOfAccounts!F46="No GST", 0, "")))</f>
        <v>1</v>
      </c>
    </row>
    <row r="47" customFormat="false" ht="14.25" hidden="false" customHeight="false" outlineLevel="0" collapsed="false">
      <c r="A47" s="1" t="n">
        <f aca="false">ChartOfAccounts!A47</f>
        <v>436</v>
      </c>
      <c r="B47" s="1" t="str">
        <f aca="false">ChartOfAccounts!C47</f>
        <v>Foreign Exchange Variation</v>
      </c>
      <c r="C47" s="1" t="n">
        <f aca="false">IFERROR(VLOOKUP(A47,'Trial Balance '!A:H,3,0),0)</f>
        <v>0</v>
      </c>
      <c r="E47" s="1" t="n">
        <f aca="false">IFERROR(VLOOKUP(A47,'Trial Balance '!A:H,4,0),0)</f>
        <v>0</v>
      </c>
      <c r="G47" s="1" t="n">
        <f aca="false">IF(ChartOfAccounts!F47="15% GST on Income", 2, IF(ChartOfAccounts!F47="15% GST on Expenses", 1, IF(ChartOfAccounts!F47="No GST", 0, "")))</f>
        <v>0</v>
      </c>
    </row>
    <row r="48" customFormat="false" ht="14.25" hidden="false" customHeight="false" outlineLevel="0" collapsed="false">
      <c r="A48" s="1" t="n">
        <f aca="false">ChartOfAccounts!A48</f>
        <v>437</v>
      </c>
      <c r="B48" s="1" t="str">
        <f aca="false">ChartOfAccounts!C48</f>
        <v>Freight &amp; Cartage</v>
      </c>
      <c r="C48" s="1" t="n">
        <f aca="false">IFERROR(VLOOKUP(A48,'Trial Balance '!A:H,3,0),0)</f>
        <v>0</v>
      </c>
      <c r="E48" s="1" t="n">
        <f aca="false">IFERROR(VLOOKUP(A48,'Trial Balance '!A:H,4,0),0)</f>
        <v>0</v>
      </c>
      <c r="G48" s="1" t="n">
        <f aca="false">IF(ChartOfAccounts!F48="15% GST on Income", 2, IF(ChartOfAccounts!F48="15% GST on Expenses", 1, IF(ChartOfAccounts!F48="No GST", 0, "")))</f>
        <v>1</v>
      </c>
    </row>
    <row r="49" customFormat="false" ht="14.25" hidden="false" customHeight="false" outlineLevel="0" collapsed="false">
      <c r="A49" s="1" t="n">
        <f aca="false">ChartOfAccounts!A49</f>
        <v>438</v>
      </c>
      <c r="B49" s="1" t="str">
        <f aca="false">ChartOfAccounts!C49</f>
        <v>Fringe Benefit Tax</v>
      </c>
      <c r="C49" s="1" t="n">
        <f aca="false">IFERROR(VLOOKUP(A49,'Trial Balance '!A:H,3,0),0)</f>
        <v>0</v>
      </c>
      <c r="E49" s="1" t="n">
        <f aca="false">IFERROR(VLOOKUP(A49,'Trial Balance '!A:H,4,0),0)</f>
        <v>0</v>
      </c>
      <c r="G49" s="1" t="n">
        <f aca="false">IF(ChartOfAccounts!F49="15% GST on Income", 2, IF(ChartOfAccounts!F49="15% GST on Expenses", 1, IF(ChartOfAccounts!F49="No GST", 0, "")))</f>
        <v>0</v>
      </c>
    </row>
    <row r="50" customFormat="false" ht="14.25" hidden="false" customHeight="false" outlineLevel="0" collapsed="false">
      <c r="A50" s="1" t="n">
        <f aca="false">ChartOfAccounts!A50</f>
        <v>439</v>
      </c>
      <c r="B50" s="1" t="str">
        <f aca="false">ChartOfAccounts!C50</f>
        <v>Fuel</v>
      </c>
      <c r="C50" s="1" t="n">
        <f aca="false">IFERROR(VLOOKUP(A50,'Trial Balance '!A:H,3,0),0)</f>
        <v>0</v>
      </c>
      <c r="E50" s="1" t="n">
        <f aca="false">IFERROR(VLOOKUP(A50,'Trial Balance '!A:H,4,0),0)</f>
        <v>0</v>
      </c>
      <c r="G50" s="1" t="n">
        <f aca="false">IF(ChartOfAccounts!F50="15% GST on Income", 2, IF(ChartOfAccounts!F50="15% GST on Expenses", 1, IF(ChartOfAccounts!F50="No GST", 0, "")))</f>
        <v>1</v>
      </c>
    </row>
    <row r="51" customFormat="false" ht="14.25" hidden="false" customHeight="false" outlineLevel="0" collapsed="false">
      <c r="A51" s="1" t="n">
        <f aca="false">ChartOfAccounts!A51</f>
        <v>441</v>
      </c>
      <c r="B51" s="1" t="str">
        <f aca="false">ChartOfAccounts!C51</f>
        <v>General Expenses</v>
      </c>
      <c r="C51" s="1" t="str">
        <f aca="false">IFERROR(VLOOKUP(A51,'Trial Balance '!A:H,3,0),0)</f>
        <v>Overhead</v>
      </c>
      <c r="E51" s="1" t="n">
        <f aca="false">IFERROR(VLOOKUP(A51,'Trial Balance '!A:H,4,0),0)</f>
        <v>0</v>
      </c>
      <c r="G51" s="1" t="n">
        <f aca="false">IF(ChartOfAccounts!F51="15% GST on Income", 2, IF(ChartOfAccounts!F51="15% GST on Expenses", 1, IF(ChartOfAccounts!F51="No GST", 0, "")))</f>
        <v>1</v>
      </c>
    </row>
    <row r="52" customFormat="false" ht="14.25" hidden="false" customHeight="false" outlineLevel="0" collapsed="false">
      <c r="A52" s="1" t="n">
        <f aca="false">ChartOfAccounts!A52</f>
        <v>443</v>
      </c>
      <c r="B52" s="1" t="str">
        <f aca="false">ChartOfAccounts!C52</f>
        <v>Home Office Expenses</v>
      </c>
      <c r="C52" s="1" t="n">
        <f aca="false">IFERROR(VLOOKUP(A52,'Trial Balance '!A:H,3,0),0)</f>
        <v>0</v>
      </c>
      <c r="E52" s="1" t="n">
        <f aca="false">IFERROR(VLOOKUP(A52,'Trial Balance '!A:H,4,0),0)</f>
        <v>0</v>
      </c>
      <c r="G52" s="1" t="n">
        <f aca="false">IF(ChartOfAccounts!F52="15% GST on Income", 2, IF(ChartOfAccounts!F52="15% GST on Expenses", 1, IF(ChartOfAccounts!F52="No GST", 0, "")))</f>
        <v>1</v>
      </c>
    </row>
    <row r="53" customFormat="false" ht="14.25" hidden="false" customHeight="false" outlineLevel="0" collapsed="false">
      <c r="A53" s="1" t="n">
        <f aca="false">ChartOfAccounts!A53</f>
        <v>445</v>
      </c>
      <c r="B53" s="1" t="str">
        <f aca="false">ChartOfAccounts!C53</f>
        <v>Insurance</v>
      </c>
      <c r="C53" s="1" t="str">
        <f aca="false">IFERROR(VLOOKUP(A53,'Trial Balance '!A:H,3,0),0)</f>
        <v>Overhead</v>
      </c>
      <c r="E53" s="1" t="n">
        <f aca="false">IFERROR(VLOOKUP(A53,'Trial Balance '!A:H,4,0),0)</f>
        <v>0</v>
      </c>
      <c r="G53" s="1" t="n">
        <f aca="false">IF(ChartOfAccounts!F53="15% GST on Income", 2, IF(ChartOfAccounts!F53="15% GST on Expenses", 1, IF(ChartOfAccounts!F53="No GST", 0, "")))</f>
        <v>1</v>
      </c>
    </row>
    <row r="54" customFormat="false" ht="14.25" hidden="false" customHeight="false" outlineLevel="0" collapsed="false">
      <c r="A54" s="1" t="n">
        <f aca="false">ChartOfAccounts!A54</f>
        <v>446</v>
      </c>
      <c r="B54" s="1" t="str">
        <f aca="false">ChartOfAccounts!C54</f>
        <v>Inspection</v>
      </c>
      <c r="C54" s="1" t="n">
        <f aca="false">IFERROR(VLOOKUP(A54,'Trial Balance '!A:H,3,0),0)</f>
        <v>0</v>
      </c>
      <c r="E54" s="1" t="n">
        <f aca="false">IFERROR(VLOOKUP(A54,'Trial Balance '!A:H,4,0),0)</f>
        <v>0</v>
      </c>
      <c r="G54" s="1" t="n">
        <f aca="false">IF(ChartOfAccounts!F54="15% GST on Income", 2, IF(ChartOfAccounts!F54="15% GST on Expenses", 1, IF(ChartOfAccounts!F54="No GST", 0, "")))</f>
        <v>1</v>
      </c>
    </row>
    <row r="55" customFormat="false" ht="14.25" hidden="false" customHeight="false" outlineLevel="0" collapsed="false">
      <c r="A55" s="1" t="n">
        <f aca="false">ChartOfAccounts!A55</f>
        <v>448</v>
      </c>
      <c r="B55" s="1" t="str">
        <f aca="false">ChartOfAccounts!C55</f>
        <v>Interest - Bank</v>
      </c>
      <c r="C55" s="1" t="str">
        <f aca="false">IFERROR(VLOOKUP(A55,'Trial Balance '!A:H,3,0),0)</f>
        <v>Overhead</v>
      </c>
      <c r="E55" s="1" t="n">
        <f aca="false">IFERROR(VLOOKUP(A55,'Trial Balance '!A:H,4,0),0)</f>
        <v>0</v>
      </c>
      <c r="G55" s="1" t="n">
        <f aca="false">IF(ChartOfAccounts!F55="15% GST on Income", 2, IF(ChartOfAccounts!F55="15% GST on Expenses", 1, IF(ChartOfAccounts!F55="No GST", 0, "")))</f>
        <v>0</v>
      </c>
    </row>
    <row r="56" customFormat="false" ht="14.25" hidden="false" customHeight="false" outlineLevel="0" collapsed="false">
      <c r="A56" s="1" t="n">
        <f aca="false">ChartOfAccounts!A56</f>
        <v>449</v>
      </c>
      <c r="B56" s="1" t="str">
        <f aca="false">ChartOfAccounts!C56</f>
        <v>Interest - Other</v>
      </c>
      <c r="C56" s="1" t="n">
        <f aca="false">IFERROR(VLOOKUP(A56,'Trial Balance '!A:H,3,0),0)</f>
        <v>0</v>
      </c>
      <c r="E56" s="1" t="n">
        <f aca="false">IFERROR(VLOOKUP(A56,'Trial Balance '!A:H,4,0),0)</f>
        <v>0</v>
      </c>
      <c r="G56" s="1" t="n">
        <f aca="false">IF(ChartOfAccounts!F56="15% GST on Income", 2, IF(ChartOfAccounts!F56="15% GST on Expenses", 1, IF(ChartOfAccounts!F56="No GST", 0, "")))</f>
        <v>0</v>
      </c>
    </row>
    <row r="57" customFormat="false" ht="14.25" hidden="false" customHeight="false" outlineLevel="0" collapsed="false">
      <c r="A57" s="1" t="n">
        <f aca="false">ChartOfAccounts!A57</f>
        <v>450</v>
      </c>
      <c r="B57" s="1" t="str">
        <f aca="false">ChartOfAccounts!C57</f>
        <v>Interest - UOMI</v>
      </c>
      <c r="C57" s="1" t="n">
        <f aca="false">IFERROR(VLOOKUP(A57,'Trial Balance '!A:H,3,0),0)</f>
        <v>0</v>
      </c>
      <c r="E57" s="1" t="n">
        <f aca="false">IFERROR(VLOOKUP(A57,'Trial Balance '!A:H,4,0),0)</f>
        <v>0</v>
      </c>
      <c r="G57" s="1" t="n">
        <f aca="false">IF(ChartOfAccounts!F57="15% GST on Income", 2, IF(ChartOfAccounts!F57="15% GST on Expenses", 1, IF(ChartOfAccounts!F57="No GST", 0, "")))</f>
        <v>0</v>
      </c>
    </row>
    <row r="58" customFormat="false" ht="14.25" hidden="false" customHeight="false" outlineLevel="0" collapsed="false">
      <c r="A58" s="1" t="n">
        <f aca="false">ChartOfAccounts!A58</f>
        <v>451</v>
      </c>
      <c r="B58" s="1" t="str">
        <f aca="false">ChartOfAccounts!C58</f>
        <v>Interest Disallowed</v>
      </c>
      <c r="C58" s="1" t="str">
        <f aca="false">IFERROR(VLOOKUP(A58,'Trial Balance '!A:H,3,0),0)</f>
        <v>Expense</v>
      </c>
      <c r="E58" s="1" t="n">
        <f aca="false">IFERROR(VLOOKUP(A58,'Trial Balance '!A:H,4,0),0)</f>
        <v>0</v>
      </c>
      <c r="G58" s="1" t="n">
        <f aca="false">IF(ChartOfAccounts!F58="15% GST on Income", 2, IF(ChartOfAccounts!F58="15% GST on Expenses", 1, IF(ChartOfAccounts!F58="No GST", 0, "")))</f>
        <v>0</v>
      </c>
    </row>
    <row r="59" customFormat="false" ht="14.25" hidden="false" customHeight="false" outlineLevel="0" collapsed="false">
      <c r="A59" s="1" t="n">
        <f aca="false">ChartOfAccounts!A59</f>
        <v>452</v>
      </c>
      <c r="B59" s="1" t="str">
        <f aca="false">ChartOfAccounts!C59</f>
        <v>IRD Penalty</v>
      </c>
      <c r="C59" s="1" t="str">
        <f aca="false">IFERROR(VLOOKUP(A59,'Trial Balance '!A:H,3,0),0)</f>
        <v>Overhead</v>
      </c>
      <c r="E59" s="1" t="n">
        <f aca="false">IFERROR(VLOOKUP(A59,'Trial Balance '!A:H,4,0),0)</f>
        <v>0</v>
      </c>
      <c r="G59" s="1" t="n">
        <f aca="false">IF(ChartOfAccounts!F59="15% GST on Income", 2, IF(ChartOfAccounts!F59="15% GST on Expenses", 1, IF(ChartOfAccounts!F59="No GST", 0, "")))</f>
        <v>0</v>
      </c>
    </row>
    <row r="60" customFormat="false" ht="14.25" hidden="false" customHeight="false" outlineLevel="0" collapsed="false">
      <c r="A60" s="1" t="n">
        <f aca="false">ChartOfAccounts!A60</f>
        <v>453</v>
      </c>
      <c r="B60" s="1" t="str">
        <f aca="false">ChartOfAccounts!C60</f>
        <v>Lawns &amp; Grounds</v>
      </c>
      <c r="C60" s="1" t="n">
        <f aca="false">IFERROR(VLOOKUP(A60,'Trial Balance '!A:H,3,0),0)</f>
        <v>0</v>
      </c>
      <c r="E60" s="1" t="n">
        <f aca="false">IFERROR(VLOOKUP(A60,'Trial Balance '!A:H,4,0),0)</f>
        <v>0</v>
      </c>
      <c r="G60" s="1" t="n">
        <f aca="false">IF(ChartOfAccounts!F60="15% GST on Income", 2, IF(ChartOfAccounts!F60="15% GST on Expenses", 1, IF(ChartOfAccounts!F60="No GST", 0, "")))</f>
        <v>1</v>
      </c>
    </row>
    <row r="61" customFormat="false" ht="14.25" hidden="false" customHeight="false" outlineLevel="0" collapsed="false">
      <c r="A61" s="1" t="n">
        <f aca="false">ChartOfAccounts!A61</f>
        <v>454</v>
      </c>
      <c r="B61" s="1" t="str">
        <f aca="false">ChartOfAccounts!C61</f>
        <v>Legal Fees</v>
      </c>
      <c r="C61" s="1" t="n">
        <f aca="false">IFERROR(VLOOKUP(A61,'Trial Balance '!A:H,3,0),0)</f>
        <v>0</v>
      </c>
      <c r="E61" s="1" t="n">
        <f aca="false">IFERROR(VLOOKUP(A61,'Trial Balance '!A:H,4,0),0)</f>
        <v>0</v>
      </c>
      <c r="G61" s="1" t="n">
        <f aca="false">IF(ChartOfAccounts!F61="15% GST on Income", 2, IF(ChartOfAccounts!F61="15% GST on Expenses", 1, IF(ChartOfAccounts!F61="No GST", 0, "")))</f>
        <v>1</v>
      </c>
    </row>
    <row r="62" customFormat="false" ht="14.25" hidden="false" customHeight="false" outlineLevel="0" collapsed="false">
      <c r="A62" s="1" t="n">
        <f aca="false">ChartOfAccounts!A62</f>
        <v>455</v>
      </c>
      <c r="B62" s="1" t="str">
        <f aca="false">ChartOfAccounts!C62</f>
        <v>Legal Fees N.D.</v>
      </c>
      <c r="C62" s="1" t="n">
        <f aca="false">IFERROR(VLOOKUP(A62,'Trial Balance '!A:H,3,0),0)</f>
        <v>0</v>
      </c>
      <c r="E62" s="1" t="n">
        <f aca="false">IFERROR(VLOOKUP(A62,'Trial Balance '!A:H,4,0),0)</f>
        <v>0</v>
      </c>
      <c r="G62" s="1" t="n">
        <f aca="false">IF(ChartOfAccounts!F62="15% GST on Income", 2, IF(ChartOfAccounts!F62="15% GST on Expenses", 1, IF(ChartOfAccounts!F62="No GST", 0, "")))</f>
        <v>0</v>
      </c>
    </row>
    <row r="63" customFormat="false" ht="14.25" hidden="false" customHeight="false" outlineLevel="0" collapsed="false">
      <c r="A63" s="1" t="n">
        <f aca="false">ChartOfAccounts!A63</f>
        <v>456</v>
      </c>
      <c r="B63" s="1" t="str">
        <f aca="false">ChartOfAccounts!C63</f>
        <v>Licences &amp; Registrations</v>
      </c>
      <c r="C63" s="1" t="n">
        <f aca="false">IFERROR(VLOOKUP(A63,'Trial Balance '!A:H,3,0),0)</f>
        <v>0</v>
      </c>
      <c r="E63" s="1" t="n">
        <f aca="false">IFERROR(VLOOKUP(A63,'Trial Balance '!A:H,4,0),0)</f>
        <v>0</v>
      </c>
      <c r="G63" s="1" t="n">
        <f aca="false">IF(ChartOfAccounts!F63="15% GST on Income", 2, IF(ChartOfAccounts!F63="15% GST on Expenses", 1, IF(ChartOfAccounts!F63="No GST", 0, "")))</f>
        <v>1</v>
      </c>
    </row>
    <row r="64" customFormat="false" ht="14.25" hidden="false" customHeight="false" outlineLevel="0" collapsed="false">
      <c r="A64" s="1" t="n">
        <f aca="false">ChartOfAccounts!A64</f>
        <v>457</v>
      </c>
      <c r="B64" s="1" t="str">
        <f aca="false">ChartOfAccounts!C64</f>
        <v>Loan Establishment Fee</v>
      </c>
      <c r="C64" s="1" t="n">
        <f aca="false">IFERROR(VLOOKUP(A64,'Trial Balance '!A:H,3,0),0)</f>
        <v>0</v>
      </c>
      <c r="E64" s="1" t="n">
        <f aca="false">IFERROR(VLOOKUP(A64,'Trial Balance '!A:H,4,0),0)</f>
        <v>0</v>
      </c>
      <c r="G64" s="1" t="n">
        <f aca="false">IF(ChartOfAccounts!F64="15% GST on Income", 2, IF(ChartOfAccounts!F64="15% GST on Expenses", 1, IF(ChartOfAccounts!F64="No GST", 0, "")))</f>
        <v>0</v>
      </c>
    </row>
    <row r="65" customFormat="false" ht="14.25" hidden="false" customHeight="false" outlineLevel="0" collapsed="false">
      <c r="A65" s="1" t="n">
        <f aca="false">ChartOfAccounts!A65</f>
        <v>458</v>
      </c>
      <c r="B65" s="1" t="str">
        <f aca="false">ChartOfAccounts!C65</f>
        <v>Loss on Asset Sold</v>
      </c>
      <c r="C65" s="1" t="str">
        <f aca="false">IFERROR(VLOOKUP(A65,'Trial Balance '!A:H,3,0),0)</f>
        <v>Overhead</v>
      </c>
      <c r="E65" s="1" t="n">
        <f aca="false">IFERROR(VLOOKUP(A65,'Trial Balance '!A:H,4,0),0)</f>
        <v>0</v>
      </c>
      <c r="G65" s="1" t="n">
        <f aca="false">IF(ChartOfAccounts!F65="15% GST on Income", 2, IF(ChartOfAccounts!F65="15% GST on Expenses", 1, IF(ChartOfAccounts!F65="No GST", 0, "")))</f>
        <v>0</v>
      </c>
    </row>
    <row r="66" customFormat="false" ht="14.25" hidden="false" customHeight="false" outlineLevel="0" collapsed="false">
      <c r="A66" s="1" t="n">
        <f aca="false">ChartOfAccounts!A66</f>
        <v>460</v>
      </c>
      <c r="B66" s="1" t="str">
        <f aca="false">ChartOfAccounts!C66</f>
        <v>Mixed Use/Private Use Expenses N.D</v>
      </c>
      <c r="C66" s="1" t="n">
        <f aca="false">IFERROR(VLOOKUP(A66,'Trial Balance '!A:H,3,0),0)</f>
        <v>0</v>
      </c>
      <c r="E66" s="1" t="n">
        <f aca="false">IFERROR(VLOOKUP(A66,'Trial Balance '!A:H,4,0),0)</f>
        <v>0</v>
      </c>
      <c r="G66" s="1" t="n">
        <f aca="false">IF(ChartOfAccounts!F66="15% GST on Income", 2, IF(ChartOfAccounts!F66="15% GST on Expenses", 1, IF(ChartOfAccounts!F66="No GST", 0, "")))</f>
        <v>0</v>
      </c>
    </row>
    <row r="67" customFormat="false" ht="14.25" hidden="false" customHeight="false" outlineLevel="0" collapsed="false">
      <c r="A67" s="1" t="n">
        <f aca="false">ChartOfAccounts!A67</f>
        <v>461</v>
      </c>
      <c r="B67" s="1" t="str">
        <f aca="false">ChartOfAccounts!C67</f>
        <v>Management Fee</v>
      </c>
      <c r="C67" s="1" t="str">
        <f aca="false">IFERROR(VLOOKUP(A67,'Trial Balance '!A:H,3,0),0)</f>
        <v>Overhead</v>
      </c>
      <c r="E67" s="1" t="n">
        <f aca="false">IFERROR(VLOOKUP(A67,'Trial Balance '!A:H,4,0),0)</f>
        <v>0</v>
      </c>
      <c r="G67" s="1" t="n">
        <f aca="false">IF(ChartOfAccounts!F67="15% GST on Income", 2, IF(ChartOfAccounts!F67="15% GST on Expenses", 1, IF(ChartOfAccounts!F67="No GST", 0, "")))</f>
        <v>1</v>
      </c>
    </row>
    <row r="68" customFormat="false" ht="14.25" hidden="false" customHeight="false" outlineLevel="0" collapsed="false">
      <c r="A68" s="1" t="n">
        <f aca="false">ChartOfAccounts!A68</f>
        <v>464</v>
      </c>
      <c r="B68" s="1" t="str">
        <f aca="false">ChartOfAccounts!C68</f>
        <v>Office Expenses</v>
      </c>
      <c r="C68" s="1" t="n">
        <f aca="false">IFERROR(VLOOKUP(A68,'Trial Balance '!A:H,3,0),0)</f>
        <v>0</v>
      </c>
      <c r="E68" s="1" t="n">
        <f aca="false">IFERROR(VLOOKUP(A68,'Trial Balance '!A:H,4,0),0)</f>
        <v>0</v>
      </c>
      <c r="G68" s="1" t="n">
        <f aca="false">IF(ChartOfAccounts!F68="15% GST on Income", 2, IF(ChartOfAccounts!F68="15% GST on Expenses", 1, IF(ChartOfAccounts!F68="No GST", 0, "")))</f>
        <v>1</v>
      </c>
    </row>
    <row r="69" customFormat="false" ht="14.25" hidden="false" customHeight="false" outlineLevel="0" collapsed="false">
      <c r="A69" s="1" t="n">
        <f aca="false">ChartOfAccounts!A69</f>
        <v>466</v>
      </c>
      <c r="B69" s="1" t="str">
        <f aca="false">ChartOfAccounts!C69</f>
        <v>Other Non Deductible Expenses</v>
      </c>
      <c r="C69" s="1" t="str">
        <f aca="false">IFERROR(VLOOKUP(A69,'Trial Balance '!A:H,3,0),0)</f>
        <v>Overhead</v>
      </c>
      <c r="E69" s="1" t="n">
        <f aca="false">IFERROR(VLOOKUP(A69,'Trial Balance '!A:H,4,0),0)</f>
        <v>0</v>
      </c>
      <c r="G69" s="1" t="n">
        <f aca="false">IF(ChartOfAccounts!F69="15% GST on Income", 2, IF(ChartOfAccounts!F69="15% GST on Expenses", 1, IF(ChartOfAccounts!F69="No GST", 0, "")))</f>
        <v>0</v>
      </c>
    </row>
    <row r="70" customFormat="false" ht="14.25" hidden="false" customHeight="false" outlineLevel="0" collapsed="false">
      <c r="A70" s="1" t="n">
        <f aca="false">ChartOfAccounts!A70</f>
        <v>469</v>
      </c>
      <c r="B70" s="1" t="str">
        <f aca="false">ChartOfAccounts!C70</f>
        <v>Postage, Printing &amp; Stationery</v>
      </c>
      <c r="C70" s="1" t="str">
        <f aca="false">IFERROR(VLOOKUP(A70,'Trial Balance '!A:H,3,0),0)</f>
        <v>Overhead</v>
      </c>
      <c r="E70" s="1" t="n">
        <f aca="false">IFERROR(VLOOKUP(A70,'Trial Balance '!A:H,4,0),0)</f>
        <v>0</v>
      </c>
      <c r="G70" s="1" t="n">
        <f aca="false">IF(ChartOfAccounts!F70="15% GST on Income", 2, IF(ChartOfAccounts!F70="15% GST on Expenses", 1, IF(ChartOfAccounts!F70="No GST", 0, "")))</f>
        <v>1</v>
      </c>
    </row>
    <row r="71" customFormat="false" ht="14.25" hidden="false" customHeight="false" outlineLevel="0" collapsed="false">
      <c r="A71" s="1" t="n">
        <f aca="false">ChartOfAccounts!A71</f>
        <v>470</v>
      </c>
      <c r="B71" s="1" t="str">
        <f aca="false">ChartOfAccounts!C71</f>
        <v>Property Management Fees</v>
      </c>
      <c r="C71" s="1" t="str">
        <f aca="false">IFERROR(VLOOKUP(A71,'Trial Balance '!A:H,3,0),0)</f>
        <v>Overhead</v>
      </c>
      <c r="E71" s="1" t="n">
        <f aca="false">IFERROR(VLOOKUP(A71,'Trial Balance '!A:H,4,0),0)</f>
        <v>0</v>
      </c>
      <c r="G71" s="1" t="n">
        <f aca="false">IF(ChartOfAccounts!F71="15% GST on Income", 2, IF(ChartOfAccounts!F71="15% GST on Expenses", 1, IF(ChartOfAccounts!F71="No GST", 0, "")))</f>
        <v>1</v>
      </c>
    </row>
    <row r="72" customFormat="false" ht="14.25" hidden="false" customHeight="false" outlineLevel="0" collapsed="false">
      <c r="A72" s="1" t="n">
        <f aca="false">ChartOfAccounts!A72</f>
        <v>473</v>
      </c>
      <c r="B72" s="1" t="str">
        <f aca="false">ChartOfAccounts!C72</f>
        <v>Rates</v>
      </c>
      <c r="C72" s="1" t="str">
        <f aca="false">IFERROR(VLOOKUP(A72,'Trial Balance '!A:H,3,0),0)</f>
        <v>Overhead</v>
      </c>
      <c r="E72" s="1" t="n">
        <f aca="false">IFERROR(VLOOKUP(A72,'Trial Balance '!A:H,4,0),0)</f>
        <v>0</v>
      </c>
      <c r="G72" s="1" t="n">
        <f aca="false">IF(ChartOfAccounts!F72="15% GST on Income", 2, IF(ChartOfAccounts!F72="15% GST on Expenses", 1, IF(ChartOfAccounts!F72="No GST", 0, "")))</f>
        <v>1</v>
      </c>
    </row>
    <row r="73" customFormat="false" ht="14.25" hidden="false" customHeight="false" outlineLevel="0" collapsed="false">
      <c r="A73" s="1" t="n">
        <f aca="false">ChartOfAccounts!A73</f>
        <v>475</v>
      </c>
      <c r="B73" s="1" t="str">
        <f aca="false">ChartOfAccounts!C73</f>
        <v>Rent</v>
      </c>
      <c r="C73" s="1" t="n">
        <f aca="false">IFERROR(VLOOKUP(A73,'Trial Balance '!A:H,3,0),0)</f>
        <v>0</v>
      </c>
      <c r="E73" s="1" t="n">
        <f aca="false">IFERROR(VLOOKUP(A73,'Trial Balance '!A:H,4,0),0)</f>
        <v>0</v>
      </c>
      <c r="G73" s="1" t="n">
        <f aca="false">IF(ChartOfAccounts!F73="15% GST on Income", 2, IF(ChartOfAccounts!F73="15% GST on Expenses", 1, IF(ChartOfAccounts!F73="No GST", 0, "")))</f>
        <v>1</v>
      </c>
    </row>
    <row r="74" customFormat="false" ht="14.25" hidden="false" customHeight="false" outlineLevel="0" collapsed="false">
      <c r="A74" s="1" t="n">
        <f aca="false">ChartOfAccounts!A74</f>
        <v>478</v>
      </c>
      <c r="B74" s="1" t="str">
        <f aca="false">ChartOfAccounts!C74</f>
        <v>Repairs &amp; Maintenance</v>
      </c>
      <c r="C74" s="1" t="str">
        <f aca="false">IFERROR(VLOOKUP(A74,'Trial Balance '!A:H,3,0),0)</f>
        <v>Overhead</v>
      </c>
      <c r="E74" s="1" t="n">
        <f aca="false">IFERROR(VLOOKUP(A74,'Trial Balance '!A:H,4,0),0)</f>
        <v>0</v>
      </c>
      <c r="G74" s="1" t="n">
        <f aca="false">IF(ChartOfAccounts!F74="15% GST on Income", 2, IF(ChartOfAccounts!F74="15% GST on Expenses", 1, IF(ChartOfAccounts!F74="No GST", 0, "")))</f>
        <v>1</v>
      </c>
    </row>
    <row r="75" customFormat="false" ht="14.25" hidden="false" customHeight="false" outlineLevel="0" collapsed="false">
      <c r="A75" s="1" t="n">
        <f aca="false">ChartOfAccounts!A75</f>
        <v>480</v>
      </c>
      <c r="B75" s="1" t="str">
        <f aca="false">ChartOfAccounts!C75</f>
        <v>Security</v>
      </c>
      <c r="C75" s="1" t="n">
        <f aca="false">IFERROR(VLOOKUP(A75,'Trial Balance '!A:H,3,0),0)</f>
        <v>0</v>
      </c>
      <c r="E75" s="1" t="n">
        <f aca="false">IFERROR(VLOOKUP(A75,'Trial Balance '!A:H,4,0),0)</f>
        <v>0</v>
      </c>
      <c r="G75" s="1" t="n">
        <f aca="false">IF(ChartOfAccounts!F75="15% GST on Income", 2, IF(ChartOfAccounts!F75="15% GST on Expenses", 1, IF(ChartOfAccounts!F75="No GST", 0, "")))</f>
        <v>1</v>
      </c>
    </row>
    <row r="76" customFormat="false" ht="14.25" hidden="false" customHeight="false" outlineLevel="0" collapsed="false">
      <c r="A76" s="1" t="n">
        <f aca="false">ChartOfAccounts!A76</f>
        <v>481</v>
      </c>
      <c r="B76" s="1" t="str">
        <f aca="false">ChartOfAccounts!C76</f>
        <v>Shareholder Salaries - PAYE</v>
      </c>
      <c r="C76" s="1" t="n">
        <f aca="false">IFERROR(VLOOKUP(A76,'Trial Balance '!A:H,3,0),0)</f>
        <v>0</v>
      </c>
      <c r="E76" s="1" t="n">
        <f aca="false">IFERROR(VLOOKUP(A76,'Trial Balance '!A:H,4,0),0)</f>
        <v>0</v>
      </c>
      <c r="G76" s="1" t="n">
        <f aca="false">IF(ChartOfAccounts!F76="15% GST on Income", 2, IF(ChartOfAccounts!F76="15% GST on Expenses", 1, IF(ChartOfAccounts!F76="No GST", 0, "")))</f>
        <v>0</v>
      </c>
    </row>
    <row r="77" customFormat="false" ht="14.25" hidden="false" customHeight="false" outlineLevel="0" collapsed="false">
      <c r="A77" s="1" t="n">
        <f aca="false">ChartOfAccounts!A77</f>
        <v>482</v>
      </c>
      <c r="B77" s="1" t="str">
        <f aca="false">ChartOfAccounts!C77</f>
        <v>Shareholder Salaries - Non PAYE</v>
      </c>
      <c r="C77" s="1" t="n">
        <f aca="false">IFERROR(VLOOKUP(A77,'Trial Balance '!A:H,3,0),0)</f>
        <v>0</v>
      </c>
      <c r="E77" s="1" t="n">
        <f aca="false">IFERROR(VLOOKUP(A77,'Trial Balance '!A:H,4,0),0)</f>
        <v>0</v>
      </c>
      <c r="G77" s="1" t="n">
        <f aca="false">IF(ChartOfAccounts!F77="15% GST on Income", 2, IF(ChartOfAccounts!F77="15% GST on Expenses", 1, IF(ChartOfAccounts!F77="No GST", 0, "")))</f>
        <v>0</v>
      </c>
    </row>
    <row r="78" customFormat="false" ht="14.25" hidden="false" customHeight="false" outlineLevel="0" collapsed="false">
      <c r="A78" s="1" t="n">
        <f aca="false">ChartOfAccounts!A78</f>
        <v>483</v>
      </c>
      <c r="B78" s="1" t="str">
        <f aca="false">ChartOfAccounts!C78</f>
        <v>Subscriptions</v>
      </c>
      <c r="C78" s="1" t="n">
        <f aca="false">IFERROR(VLOOKUP(A78,'Trial Balance '!A:H,3,0),0)</f>
        <v>0</v>
      </c>
      <c r="E78" s="1" t="n">
        <f aca="false">IFERROR(VLOOKUP(A78,'Trial Balance '!A:H,4,0),0)</f>
        <v>0</v>
      </c>
      <c r="G78" s="1" t="n">
        <f aca="false">IF(ChartOfAccounts!F78="15% GST on Income", 2, IF(ChartOfAccounts!F78="15% GST on Expenses", 1, IF(ChartOfAccounts!F78="No GST", 0, "")))</f>
        <v>1</v>
      </c>
    </row>
    <row r="79" customFormat="false" ht="14.25" hidden="false" customHeight="false" outlineLevel="0" collapsed="false">
      <c r="A79" s="1" t="n">
        <f aca="false">ChartOfAccounts!A79</f>
        <v>485</v>
      </c>
      <c r="B79" s="1" t="str">
        <f aca="false">ChartOfAccounts!C79</f>
        <v>Subvention Payment Made</v>
      </c>
      <c r="C79" s="1" t="n">
        <f aca="false">IFERROR(VLOOKUP(A79,'Trial Balance '!A:H,3,0),0)</f>
        <v>0</v>
      </c>
      <c r="E79" s="1" t="n">
        <f aca="false">IFERROR(VLOOKUP(A79,'Trial Balance '!A:H,4,0),0)</f>
        <v>0</v>
      </c>
      <c r="G79" s="1" t="n">
        <f aca="false">IF(ChartOfAccounts!F79="15% GST on Income", 2, IF(ChartOfAccounts!F79="15% GST on Expenses", 1, IF(ChartOfAccounts!F79="No GST", 0, "")))</f>
        <v>0</v>
      </c>
    </row>
    <row r="80" customFormat="false" ht="14.25" hidden="false" customHeight="false" outlineLevel="0" collapsed="false">
      <c r="A80" s="1" t="n">
        <f aca="false">ChartOfAccounts!A80</f>
        <v>486</v>
      </c>
      <c r="B80" s="1" t="str">
        <f aca="false">ChartOfAccounts!C80</f>
        <v>Staff Expense</v>
      </c>
      <c r="C80" s="1" t="n">
        <f aca="false">IFERROR(VLOOKUP(A80,'Trial Balance '!A:H,3,0),0)</f>
        <v>0</v>
      </c>
      <c r="E80" s="1" t="n">
        <f aca="false">IFERROR(VLOOKUP(A80,'Trial Balance '!A:H,4,0),0)</f>
        <v>0</v>
      </c>
      <c r="G80" s="1" t="n">
        <f aca="false">IF(ChartOfAccounts!F80="15% GST on Income", 2, IF(ChartOfAccounts!F80="15% GST on Expenses", 1, IF(ChartOfAccounts!F80="No GST", 0, "")))</f>
        <v>0</v>
      </c>
    </row>
    <row r="81" customFormat="false" ht="14.25" hidden="false" customHeight="false" outlineLevel="0" collapsed="false">
      <c r="A81" s="1" t="n">
        <f aca="false">ChartOfAccounts!A81</f>
        <v>488</v>
      </c>
      <c r="B81" s="1" t="str">
        <f aca="false">ChartOfAccounts!C81</f>
        <v>Staff Recruitment</v>
      </c>
      <c r="C81" s="1" t="n">
        <f aca="false">IFERROR(VLOOKUP(A81,'Trial Balance '!A:H,3,0),0)</f>
        <v>0</v>
      </c>
      <c r="E81" s="1" t="n">
        <f aca="false">IFERROR(VLOOKUP(A81,'Trial Balance '!A:H,4,0),0)</f>
        <v>0</v>
      </c>
      <c r="G81" s="1" t="n">
        <f aca="false">IF(ChartOfAccounts!F81="15% GST on Income", 2, IF(ChartOfAccounts!F81="15% GST on Expenses", 1, IF(ChartOfAccounts!F81="No GST", 0, "")))</f>
        <v>0</v>
      </c>
    </row>
    <row r="82" customFormat="false" ht="14.25" hidden="false" customHeight="false" outlineLevel="0" collapsed="false">
      <c r="A82" s="1" t="n">
        <f aca="false">ChartOfAccounts!A82</f>
        <v>490</v>
      </c>
      <c r="B82" s="1" t="str">
        <f aca="false">ChartOfAccounts!C82</f>
        <v>Training and Seminars</v>
      </c>
      <c r="C82" s="1" t="n">
        <f aca="false">IFERROR(VLOOKUP(A82,'Trial Balance '!A:H,3,0),0)</f>
        <v>0</v>
      </c>
      <c r="E82" s="1" t="n">
        <f aca="false">IFERROR(VLOOKUP(A82,'Trial Balance '!A:H,4,0),0)</f>
        <v>0</v>
      </c>
      <c r="G82" s="1" t="n">
        <f aca="false">IF(ChartOfAccounts!F82="15% GST on Income", 2, IF(ChartOfAccounts!F82="15% GST on Expenses", 1, IF(ChartOfAccounts!F82="No GST", 0, "")))</f>
        <v>1</v>
      </c>
    </row>
    <row r="83" customFormat="false" ht="14.25" hidden="false" customHeight="false" outlineLevel="0" collapsed="false">
      <c r="A83" s="1" t="n">
        <f aca="false">ChartOfAccounts!A83</f>
        <v>492</v>
      </c>
      <c r="B83" s="1" t="str">
        <f aca="false">ChartOfAccounts!C83</f>
        <v>Telephone</v>
      </c>
      <c r="C83" s="1" t="n">
        <f aca="false">IFERROR(VLOOKUP(A83,'Trial Balance '!A:H,3,0),0)</f>
        <v>0</v>
      </c>
      <c r="E83" s="1" t="n">
        <f aca="false">IFERROR(VLOOKUP(A83,'Trial Balance '!A:H,4,0),0)</f>
        <v>0</v>
      </c>
      <c r="G83" s="1" t="n">
        <f aca="false">IF(ChartOfAccounts!F83="15% GST on Income", 2, IF(ChartOfAccounts!F83="15% GST on Expenses", 1, IF(ChartOfAccounts!F83="No GST", 0, "")))</f>
        <v>1</v>
      </c>
    </row>
    <row r="84" customFormat="false" ht="14.25" hidden="false" customHeight="false" outlineLevel="0" collapsed="false">
      <c r="A84" s="1" t="n">
        <f aca="false">ChartOfAccounts!A84</f>
        <v>493</v>
      </c>
      <c r="B84" s="1" t="str">
        <f aca="false">ChartOfAccounts!C84</f>
        <v>Travel - Overseas</v>
      </c>
      <c r="C84" s="1" t="n">
        <f aca="false">IFERROR(VLOOKUP(A84,'Trial Balance '!A:H,3,0),0)</f>
        <v>0</v>
      </c>
      <c r="E84" s="1" t="n">
        <f aca="false">IFERROR(VLOOKUP(A84,'Trial Balance '!A:H,4,0),0)</f>
        <v>0</v>
      </c>
      <c r="G84" s="1" t="n">
        <f aca="false">IF(ChartOfAccounts!F84="15% GST on Income", 2, IF(ChartOfAccounts!F84="15% GST on Expenses", 1, IF(ChartOfAccounts!F84="No GST", 0, "")))</f>
        <v>0</v>
      </c>
    </row>
    <row r="85" customFormat="false" ht="14.25" hidden="false" customHeight="false" outlineLevel="0" collapsed="false">
      <c r="A85" s="1" t="n">
        <f aca="false">ChartOfAccounts!A85</f>
        <v>494</v>
      </c>
      <c r="B85" s="1" t="str">
        <f aca="false">ChartOfAccounts!C85</f>
        <v>Travel</v>
      </c>
      <c r="C85" s="1" t="n">
        <f aca="false">IFERROR(VLOOKUP(A85,'Trial Balance '!A:H,3,0),0)</f>
        <v>0</v>
      </c>
      <c r="E85" s="1" t="n">
        <f aca="false">IFERROR(VLOOKUP(A85,'Trial Balance '!A:H,4,0),0)</f>
        <v>0</v>
      </c>
      <c r="G85" s="1" t="n">
        <f aca="false">IF(ChartOfAccounts!F85="15% GST on Income", 2, IF(ChartOfAccounts!F85="15% GST on Expenses", 1, IF(ChartOfAccounts!F85="No GST", 0, "")))</f>
        <v>1</v>
      </c>
    </row>
    <row r="86" customFormat="false" ht="14.25" hidden="false" customHeight="false" outlineLevel="0" collapsed="false">
      <c r="A86" s="1" t="n">
        <f aca="false">ChartOfAccounts!A86</f>
        <v>495</v>
      </c>
      <c r="B86" s="1" t="str">
        <f aca="false">ChartOfAccounts!C86</f>
        <v>Valuation</v>
      </c>
      <c r="C86" s="1" t="n">
        <f aca="false">IFERROR(VLOOKUP(A86,'Trial Balance '!A:H,3,0),0)</f>
        <v>0</v>
      </c>
      <c r="E86" s="1" t="n">
        <f aca="false">IFERROR(VLOOKUP(A86,'Trial Balance '!A:H,4,0),0)</f>
        <v>0</v>
      </c>
      <c r="G86" s="1" t="n">
        <f aca="false">IF(ChartOfAccounts!F86="15% GST on Income", 2, IF(ChartOfAccounts!F86="15% GST on Expenses", 1, IF(ChartOfAccounts!F86="No GST", 0, "")))</f>
        <v>1</v>
      </c>
    </row>
    <row r="87" customFormat="false" ht="14.25" hidden="false" customHeight="false" outlineLevel="0" collapsed="false">
      <c r="A87" s="1" t="n">
        <f aca="false">ChartOfAccounts!A87</f>
        <v>496</v>
      </c>
      <c r="B87" s="1" t="str">
        <f aca="false">ChartOfAccounts!C87</f>
        <v>Vehicle Expenses</v>
      </c>
      <c r="C87" s="1" t="n">
        <f aca="false">IFERROR(VLOOKUP(A87,'Trial Balance '!A:H,3,0),0)</f>
        <v>0</v>
      </c>
      <c r="E87" s="1" t="n">
        <f aca="false">IFERROR(VLOOKUP(A87,'Trial Balance '!A:H,4,0),0)</f>
        <v>0</v>
      </c>
      <c r="G87" s="1" t="n">
        <f aca="false">IF(ChartOfAccounts!F87="15% GST on Income", 2, IF(ChartOfAccounts!F87="15% GST on Expenses", 1, IF(ChartOfAccounts!F87="No GST", 0, "")))</f>
        <v>1</v>
      </c>
    </row>
    <row r="88" customFormat="false" ht="14.25" hidden="false" customHeight="false" outlineLevel="0" collapsed="false">
      <c r="A88" s="1" t="n">
        <f aca="false">ChartOfAccounts!A88</f>
        <v>497</v>
      </c>
      <c r="B88" s="1" t="str">
        <f aca="false">ChartOfAccounts!C88</f>
        <v>Bank Revaluations</v>
      </c>
      <c r="C88" s="1" t="n">
        <f aca="false">IFERROR(VLOOKUP(A88,'Trial Balance '!A:H,3,0),0)</f>
        <v>0</v>
      </c>
      <c r="E88" s="1" t="n">
        <f aca="false">IFERROR(VLOOKUP(A88,'Trial Balance '!A:H,4,0),0)</f>
        <v>0</v>
      </c>
      <c r="G88" s="1" t="n">
        <f aca="false">IF(ChartOfAccounts!F88="15% GST on Income", 2, IF(ChartOfAccounts!F88="15% GST on Expenses", 1, IF(ChartOfAccounts!F88="No GST", 0, "")))</f>
        <v>0</v>
      </c>
    </row>
    <row r="89" customFormat="false" ht="14.25" hidden="false" customHeight="false" outlineLevel="0" collapsed="false">
      <c r="A89" s="1" t="n">
        <f aca="false">ChartOfAccounts!A89</f>
        <v>498</v>
      </c>
      <c r="B89" s="1" t="str">
        <f aca="false">ChartOfAccounts!C89</f>
        <v>Wages &amp; Salaries</v>
      </c>
      <c r="C89" s="1" t="n">
        <f aca="false">IFERROR(VLOOKUP(A89,'Trial Balance '!A:H,3,0),0)</f>
        <v>0</v>
      </c>
      <c r="E89" s="1" t="n">
        <f aca="false">IFERROR(VLOOKUP(A89,'Trial Balance '!A:H,4,0),0)</f>
        <v>0</v>
      </c>
      <c r="G89" s="1" t="n">
        <f aca="false">IF(ChartOfAccounts!F89="15% GST on Income", 2, IF(ChartOfAccounts!F89="15% GST on Expenses", 1, IF(ChartOfAccounts!F89="No GST", 0, "")))</f>
        <v>0</v>
      </c>
    </row>
    <row r="90" customFormat="false" ht="14.25" hidden="false" customHeight="false" outlineLevel="0" collapsed="false">
      <c r="A90" s="1" t="str">
        <f aca="false">ChartOfAccounts!A90</f>
        <v>498U</v>
      </c>
      <c r="B90" s="1" t="str">
        <f aca="false">ChartOfAccounts!C90</f>
        <v>Unrealised Currency Gains</v>
      </c>
      <c r="C90" s="1" t="n">
        <f aca="false">IFERROR(VLOOKUP(A90,'Trial Balance '!A:H,3,0),0)</f>
        <v>0</v>
      </c>
      <c r="E90" s="1" t="n">
        <f aca="false">IFERROR(VLOOKUP(A90,'Trial Balance '!A:H,4,0),0)</f>
        <v>0</v>
      </c>
      <c r="G90" s="1" t="n">
        <f aca="false">IF(ChartOfAccounts!F90="15% GST on Income", 2, IF(ChartOfAccounts!F90="15% GST on Expenses", 1, IF(ChartOfAccounts!F90="No GST", 0, "")))</f>
        <v>0</v>
      </c>
    </row>
    <row r="91" customFormat="false" ht="14.25" hidden="false" customHeight="false" outlineLevel="0" collapsed="false">
      <c r="A91" s="1" t="n">
        <f aca="false">ChartOfAccounts!A91</f>
        <v>499</v>
      </c>
      <c r="B91" s="1" t="str">
        <f aca="false">ChartOfAccounts!C91</f>
        <v>Taxes Provided</v>
      </c>
      <c r="C91" s="1" t="n">
        <f aca="false">IFERROR(VLOOKUP(A91,'Trial Balance '!A:H,3,0),0)</f>
        <v>0</v>
      </c>
      <c r="E91" s="1" t="n">
        <f aca="false">IFERROR(VLOOKUP(A91,'Trial Balance '!A:H,4,0),0)</f>
        <v>0</v>
      </c>
      <c r="G91" s="1" t="n">
        <f aca="false">IF(ChartOfAccounts!F91="15% GST on Income", 2, IF(ChartOfAccounts!F91="15% GST on Expenses", 1, IF(ChartOfAccounts!F91="No GST", 0, "")))</f>
        <v>0</v>
      </c>
    </row>
    <row r="92" customFormat="false" ht="14.25" hidden="false" customHeight="false" outlineLevel="0" collapsed="false">
      <c r="A92" s="1" t="str">
        <f aca="false">ChartOfAccounts!A92</f>
        <v>499R</v>
      </c>
      <c r="B92" s="1" t="str">
        <f aca="false">ChartOfAccounts!C92</f>
        <v>Realised Currency Gains</v>
      </c>
      <c r="C92" s="1" t="n">
        <f aca="false">IFERROR(VLOOKUP(A92,'Trial Balance '!A:H,3,0),0)</f>
        <v>0</v>
      </c>
      <c r="E92" s="1" t="n">
        <f aca="false">IFERROR(VLOOKUP(A92,'Trial Balance '!A:H,4,0),0)</f>
        <v>0</v>
      </c>
      <c r="G92" s="1" t="n">
        <f aca="false">IF(ChartOfAccounts!F92="15% GST on Income", 2, IF(ChartOfAccounts!F92="15% GST on Expenses", 1, IF(ChartOfAccounts!F92="No GST", 0, "")))</f>
        <v>0</v>
      </c>
    </row>
    <row r="93" customFormat="false" ht="14.25" hidden="false" customHeight="false" outlineLevel="0" collapsed="false">
      <c r="A93" s="1" t="n">
        <f aca="false">ChartOfAccounts!A93</f>
        <v>500</v>
      </c>
      <c r="B93" s="1" t="str">
        <f aca="false">ChartOfAccounts!C93</f>
        <v>1000 Ordinary Shares</v>
      </c>
      <c r="C93" s="1" t="str">
        <f aca="false">IFERROR(VLOOKUP(A93,'Trial Balance '!A:H,3,0),0)</f>
        <v>Equity</v>
      </c>
      <c r="E93" s="1" t="n">
        <f aca="false">IFERROR(VLOOKUP(A93,'Trial Balance '!A:H,4,0),0)</f>
        <v>0</v>
      </c>
      <c r="G93" s="1" t="n">
        <f aca="false">IF(ChartOfAccounts!F93="15% GST on Income", 2, IF(ChartOfAccounts!F93="15% GST on Expenses", 1, IF(ChartOfAccounts!F93="No GST", 0, "")))</f>
        <v>0</v>
      </c>
    </row>
    <row r="94" customFormat="false" ht="14.25" hidden="false" customHeight="false" outlineLevel="0" collapsed="false">
      <c r="A94" s="1" t="n">
        <f aca="false">ChartOfAccounts!A94</f>
        <v>501</v>
      </c>
      <c r="B94" s="1" t="str">
        <f aca="false">ChartOfAccounts!C94</f>
        <v>Less Uncalled Capital</v>
      </c>
      <c r="C94" s="1" t="n">
        <f aca="false">IFERROR(VLOOKUP(A94,'Trial Balance '!A:H,3,0),0)</f>
        <v>0</v>
      </c>
      <c r="E94" s="1" t="n">
        <f aca="false">IFERROR(VLOOKUP(A94,'Trial Balance '!A:H,4,0),0)</f>
        <v>0</v>
      </c>
      <c r="G94" s="1" t="n">
        <f aca="false">IF(ChartOfAccounts!F94="15% GST on Income", 2, IF(ChartOfAccounts!F94="15% GST on Expenses", 1, IF(ChartOfAccounts!F94="No GST", 0, "")))</f>
        <v>0</v>
      </c>
    </row>
    <row r="95" customFormat="false" ht="14.25" hidden="false" customHeight="false" outlineLevel="0" collapsed="false">
      <c r="A95" s="1" t="n">
        <f aca="false">ChartOfAccounts!A95</f>
        <v>510</v>
      </c>
      <c r="B95" s="1" t="str">
        <f aca="false">ChartOfAccounts!C95</f>
        <v>Shareholder 1 Opening Balance</v>
      </c>
      <c r="C95" s="1" t="str">
        <f aca="false">IFERROR(VLOOKUP(A95,'Trial Balance '!A:H,3,0),0)</f>
        <v>Current Liability</v>
      </c>
      <c r="E95" s="1" t="n">
        <f aca="false">IFERROR(VLOOKUP(A95,'Trial Balance '!A:H,4,0),0)</f>
        <v>0</v>
      </c>
      <c r="G95" s="1" t="n">
        <f aca="false">IF(ChartOfAccounts!F95="15% GST on Income", 2, IF(ChartOfAccounts!F95="15% GST on Expenses", 1, IF(ChartOfAccounts!F95="No GST", 0, "")))</f>
        <v>0</v>
      </c>
    </row>
    <row r="96" customFormat="false" ht="14.25" hidden="false" customHeight="false" outlineLevel="0" collapsed="false">
      <c r="A96" s="1" t="str">
        <f aca="false">ChartOfAccounts!A96</f>
        <v>510/02</v>
      </c>
      <c r="B96" s="1" t="str">
        <f aca="false">ChartOfAccounts!C96</f>
        <v>Opening Balance - SH 2</v>
      </c>
      <c r="C96" s="1" t="n">
        <f aca="false">IFERROR(VLOOKUP(A96,'Trial Balance '!A:H,3,0),0)</f>
        <v>0</v>
      </c>
      <c r="E96" s="1" t="n">
        <f aca="false">IFERROR(VLOOKUP(A96,'Trial Balance '!A:H,4,0),0)</f>
        <v>0</v>
      </c>
      <c r="G96" s="1" t="n">
        <f aca="false">IF(ChartOfAccounts!F96="15% GST on Income", 2, IF(ChartOfAccounts!F96="15% GST on Expenses", 1, IF(ChartOfAccounts!F96="No GST", 0, "")))</f>
        <v>0</v>
      </c>
    </row>
    <row r="97" customFormat="false" ht="14.25" hidden="false" customHeight="false" outlineLevel="0" collapsed="false">
      <c r="A97" s="1" t="str">
        <f aca="false">ChartOfAccounts!A97</f>
        <v>510/03</v>
      </c>
      <c r="B97" s="1" t="str">
        <f aca="false">ChartOfAccounts!C97</f>
        <v>Opening Balance - SH 3</v>
      </c>
      <c r="C97" s="1" t="str">
        <f aca="false">IFERROR(VLOOKUP(A97,'Trial Balance '!A:H,3,0),0)</f>
        <v>Current Liability</v>
      </c>
      <c r="E97" s="1" t="n">
        <f aca="false">IFERROR(VLOOKUP(A97,'Trial Balance '!A:H,4,0),0)</f>
        <v>0</v>
      </c>
      <c r="G97" s="1" t="n">
        <f aca="false">IF(ChartOfAccounts!F97="15% GST on Income", 2, IF(ChartOfAccounts!F97="15% GST on Expenses", 1, IF(ChartOfAccounts!F97="No GST", 0, "")))</f>
        <v>0</v>
      </c>
    </row>
    <row r="98" customFormat="false" ht="14.25" hidden="false" customHeight="false" outlineLevel="0" collapsed="false">
      <c r="A98" s="1" t="str">
        <f aca="false">ChartOfAccounts!A98</f>
        <v>510/04</v>
      </c>
      <c r="B98" s="1" t="str">
        <f aca="false">ChartOfAccounts!C98</f>
        <v>Opening Balance - SH 4</v>
      </c>
      <c r="C98" s="1" t="n">
        <f aca="false">IFERROR(VLOOKUP(A98,'Trial Balance '!A:H,3,0),0)</f>
        <v>0</v>
      </c>
      <c r="E98" s="1" t="n">
        <f aca="false">IFERROR(VLOOKUP(A98,'Trial Balance '!A:H,4,0),0)</f>
        <v>0</v>
      </c>
      <c r="G98" s="1" t="n">
        <f aca="false">IF(ChartOfAccounts!F98="15% GST on Income", 2, IF(ChartOfAccounts!F98="15% GST on Expenses", 1, IF(ChartOfAccounts!F98="No GST", 0, "")))</f>
        <v>0</v>
      </c>
    </row>
    <row r="99" customFormat="false" ht="14.25" hidden="false" customHeight="false" outlineLevel="0" collapsed="false">
      <c r="A99" s="1" t="str">
        <f aca="false">ChartOfAccounts!A99</f>
        <v>510/05</v>
      </c>
      <c r="B99" s="1" t="str">
        <f aca="false">ChartOfAccounts!C99</f>
        <v>Opening Balance - SH 5</v>
      </c>
      <c r="C99" s="1" t="n">
        <f aca="false">IFERROR(VLOOKUP(A99,'Trial Balance '!A:H,3,0),0)</f>
        <v>0</v>
      </c>
      <c r="E99" s="1" t="n">
        <f aca="false">IFERROR(VLOOKUP(A99,'Trial Balance '!A:H,4,0),0)</f>
        <v>0</v>
      </c>
      <c r="G99" s="1" t="n">
        <f aca="false">IF(ChartOfAccounts!F99="15% GST on Income", 2, IF(ChartOfAccounts!F99="15% GST on Expenses", 1, IF(ChartOfAccounts!F99="No GST", 0, "")))</f>
        <v>0</v>
      </c>
    </row>
    <row r="100" customFormat="false" ht="14.25" hidden="false" customHeight="false" outlineLevel="0" collapsed="false">
      <c r="A100" s="1" t="n">
        <f aca="false">ChartOfAccounts!A100</f>
        <v>511</v>
      </c>
      <c r="B100" s="1" t="str">
        <f aca="false">ChartOfAccounts!C100</f>
        <v>Shareholder 1 Cash Deposits</v>
      </c>
      <c r="C100" s="1" t="str">
        <f aca="false">IFERROR(VLOOKUP(A100,'Trial Balance '!A:H,3,0),0)</f>
        <v>Current Liability</v>
      </c>
      <c r="E100" s="1" t="n">
        <f aca="false">IFERROR(VLOOKUP(A100,'Trial Balance '!A:H,4,0),0)</f>
        <v>0</v>
      </c>
      <c r="G100" s="1" t="n">
        <f aca="false">IF(ChartOfAccounts!F100="15% GST on Income", 2, IF(ChartOfAccounts!F100="15% GST on Expenses", 1, IF(ChartOfAccounts!F100="No GST", 0, "")))</f>
        <v>0</v>
      </c>
    </row>
    <row r="101" customFormat="false" ht="14.25" hidden="false" customHeight="false" outlineLevel="0" collapsed="false">
      <c r="A101" s="1" t="str">
        <f aca="false">ChartOfAccounts!A101</f>
        <v>511/02</v>
      </c>
      <c r="B101" s="1" t="str">
        <f aca="false">ChartOfAccounts!C101</f>
        <v>Capital Introduced - SH 2</v>
      </c>
      <c r="C101" s="1" t="n">
        <f aca="false">IFERROR(VLOOKUP(A101,'Trial Balance '!A:H,3,0),0)</f>
        <v>0</v>
      </c>
      <c r="E101" s="1" t="n">
        <f aca="false">IFERROR(VLOOKUP(A101,'Trial Balance '!A:H,4,0),0)</f>
        <v>0</v>
      </c>
      <c r="G101" s="1" t="n">
        <f aca="false">IF(ChartOfAccounts!F101="15% GST on Income", 2, IF(ChartOfAccounts!F101="15% GST on Expenses", 1, IF(ChartOfAccounts!F101="No GST", 0, "")))</f>
        <v>0</v>
      </c>
    </row>
    <row r="102" customFormat="false" ht="14.25" hidden="false" customHeight="false" outlineLevel="0" collapsed="false">
      <c r="A102" s="1" t="str">
        <f aca="false">ChartOfAccounts!A102</f>
        <v>511/03</v>
      </c>
      <c r="B102" s="1" t="str">
        <f aca="false">ChartOfAccounts!C102</f>
        <v>Capital Introduced - SH 3</v>
      </c>
      <c r="C102" s="1" t="str">
        <f aca="false">IFERROR(VLOOKUP(A102,'Trial Balance '!A:H,3,0),0)</f>
        <v>Current Liability</v>
      </c>
      <c r="E102" s="1" t="n">
        <f aca="false">IFERROR(VLOOKUP(A102,'Trial Balance '!A:H,4,0),0)</f>
        <v>0</v>
      </c>
      <c r="G102" s="1" t="n">
        <f aca="false">IF(ChartOfAccounts!F102="15% GST on Income", 2, IF(ChartOfAccounts!F102="15% GST on Expenses", 1, IF(ChartOfAccounts!F102="No GST", 0, "")))</f>
        <v>0</v>
      </c>
    </row>
    <row r="103" customFormat="false" ht="14.25" hidden="false" customHeight="false" outlineLevel="0" collapsed="false">
      <c r="A103" s="1" t="str">
        <f aca="false">ChartOfAccounts!A103</f>
        <v>511/04</v>
      </c>
      <c r="B103" s="1" t="str">
        <f aca="false">ChartOfAccounts!C103</f>
        <v>Capital Introduced - SH 4</v>
      </c>
      <c r="C103" s="1" t="n">
        <f aca="false">IFERROR(VLOOKUP(A103,'Trial Balance '!A:H,3,0),0)</f>
        <v>0</v>
      </c>
      <c r="E103" s="1" t="n">
        <f aca="false">IFERROR(VLOOKUP(A103,'Trial Balance '!A:H,4,0),0)</f>
        <v>0</v>
      </c>
      <c r="G103" s="1" t="n">
        <f aca="false">IF(ChartOfAccounts!F103="15% GST on Income", 2, IF(ChartOfAccounts!F103="15% GST on Expenses", 1, IF(ChartOfAccounts!F103="No GST", 0, "")))</f>
        <v>0</v>
      </c>
    </row>
    <row r="104" customFormat="false" ht="14.25" hidden="false" customHeight="false" outlineLevel="0" collapsed="false">
      <c r="A104" s="1" t="str">
        <f aca="false">ChartOfAccounts!A104</f>
        <v>511/05</v>
      </c>
      <c r="B104" s="1" t="str">
        <f aca="false">ChartOfAccounts!C104</f>
        <v>Capital Introduced - SH 5</v>
      </c>
      <c r="C104" s="1" t="n">
        <f aca="false">IFERROR(VLOOKUP(A104,'Trial Balance '!A:H,3,0),0)</f>
        <v>0</v>
      </c>
      <c r="E104" s="1" t="n">
        <f aca="false">IFERROR(VLOOKUP(A104,'Trial Balance '!A:H,4,0),0)</f>
        <v>0</v>
      </c>
      <c r="G104" s="1" t="n">
        <f aca="false">IF(ChartOfAccounts!F104="15% GST on Income", 2, IF(ChartOfAccounts!F104="15% GST on Expenses", 1, IF(ChartOfAccounts!F104="No GST", 0, "")))</f>
        <v>0</v>
      </c>
    </row>
    <row r="105" customFormat="false" ht="14.25" hidden="false" customHeight="false" outlineLevel="0" collapsed="false">
      <c r="A105" s="1" t="n">
        <f aca="false">ChartOfAccounts!A105</f>
        <v>512</v>
      </c>
      <c r="B105" s="1" t="str">
        <f aca="false">ChartOfAccounts!C105</f>
        <v>Shareholder 1 Shareholder Salary</v>
      </c>
      <c r="C105" s="1" t="str">
        <f aca="false">IFERROR(VLOOKUP(A105,'Trial Balance '!A:H,3,0),0)</f>
        <v>Current Liability</v>
      </c>
      <c r="E105" s="1" t="n">
        <f aca="false">IFERROR(VLOOKUP(A105,'Trial Balance '!A:H,4,0),0)</f>
        <v>0</v>
      </c>
      <c r="G105" s="1" t="n">
        <f aca="false">IF(ChartOfAccounts!F105="15% GST on Income", 2, IF(ChartOfAccounts!F105="15% GST on Expenses", 1, IF(ChartOfAccounts!F105="No GST", 0, "")))</f>
        <v>0</v>
      </c>
    </row>
    <row r="106" customFormat="false" ht="14.25" hidden="false" customHeight="false" outlineLevel="0" collapsed="false">
      <c r="A106" s="1" t="str">
        <f aca="false">ChartOfAccounts!A106</f>
        <v>513/02</v>
      </c>
      <c r="B106" s="1" t="str">
        <f aca="false">ChartOfAccounts!C106</f>
        <v>Shareholders Salary - SH 2</v>
      </c>
      <c r="C106" s="1" t="n">
        <f aca="false">IFERROR(VLOOKUP(A106,'Trial Balance '!A:H,3,0),0)</f>
        <v>0</v>
      </c>
      <c r="E106" s="1" t="n">
        <f aca="false">IFERROR(VLOOKUP(A106,'Trial Balance '!A:H,4,0),0)</f>
        <v>0</v>
      </c>
      <c r="G106" s="1" t="n">
        <f aca="false">IF(ChartOfAccounts!F106="15% GST on Income", 2, IF(ChartOfAccounts!F106="15% GST on Expenses", 1, IF(ChartOfAccounts!F106="No GST", 0, "")))</f>
        <v>0</v>
      </c>
    </row>
    <row r="107" customFormat="false" ht="14.25" hidden="false" customHeight="false" outlineLevel="0" collapsed="false">
      <c r="A107" s="1" t="str">
        <f aca="false">ChartOfAccounts!A107</f>
        <v>513/03</v>
      </c>
      <c r="B107" s="1" t="str">
        <f aca="false">ChartOfAccounts!C107</f>
        <v>Shareholder's Salary - SH 3</v>
      </c>
      <c r="C107" s="1" t="n">
        <f aca="false">IFERROR(VLOOKUP(A107,'Trial Balance '!A:H,3,0),0)</f>
        <v>0</v>
      </c>
      <c r="E107" s="1" t="n">
        <f aca="false">IFERROR(VLOOKUP(A107,'Trial Balance '!A:H,4,0),0)</f>
        <v>0</v>
      </c>
      <c r="G107" s="1" t="n">
        <f aca="false">IF(ChartOfAccounts!F107="15% GST on Income", 2, IF(ChartOfAccounts!F107="15% GST on Expenses", 1, IF(ChartOfAccounts!F107="No GST", 0, "")))</f>
        <v>0</v>
      </c>
    </row>
    <row r="108" customFormat="false" ht="14.25" hidden="false" customHeight="false" outlineLevel="0" collapsed="false">
      <c r="A108" s="1" t="str">
        <f aca="false">ChartOfAccounts!A108</f>
        <v>513/04</v>
      </c>
      <c r="B108" s="1" t="str">
        <f aca="false">ChartOfAccounts!C108</f>
        <v>Shareholder's Salary - SH 4</v>
      </c>
      <c r="C108" s="1" t="n">
        <f aca="false">IFERROR(VLOOKUP(A108,'Trial Balance '!A:H,3,0),0)</f>
        <v>0</v>
      </c>
      <c r="E108" s="1" t="n">
        <f aca="false">IFERROR(VLOOKUP(A108,'Trial Balance '!A:H,4,0),0)</f>
        <v>0</v>
      </c>
      <c r="G108" s="1" t="n">
        <f aca="false">IF(ChartOfAccounts!F108="15% GST on Income", 2, IF(ChartOfAccounts!F108="15% GST on Expenses", 1, IF(ChartOfAccounts!F108="No GST", 0, "")))</f>
        <v>0</v>
      </c>
    </row>
    <row r="109" customFormat="false" ht="14.25" hidden="false" customHeight="false" outlineLevel="0" collapsed="false">
      <c r="A109" s="1" t="str">
        <f aca="false">ChartOfAccounts!A109</f>
        <v>513/05</v>
      </c>
      <c r="B109" s="1" t="str">
        <f aca="false">ChartOfAccounts!C109</f>
        <v>Shareholder's Salary - SH 5</v>
      </c>
      <c r="C109" s="1" t="n">
        <f aca="false">IFERROR(VLOOKUP(A109,'Trial Balance '!A:H,3,0),0)</f>
        <v>0</v>
      </c>
      <c r="E109" s="1" t="n">
        <f aca="false">IFERROR(VLOOKUP(A109,'Trial Balance '!A:H,4,0),0)</f>
        <v>0</v>
      </c>
      <c r="G109" s="1" t="n">
        <f aca="false">IF(ChartOfAccounts!F109="15% GST on Income", 2, IF(ChartOfAccounts!F109="15% GST on Expenses", 1, IF(ChartOfAccounts!F109="No GST", 0, "")))</f>
        <v>0</v>
      </c>
    </row>
    <row r="110" customFormat="false" ht="14.25" hidden="false" customHeight="false" outlineLevel="0" collapsed="false">
      <c r="A110" s="1" t="n">
        <f aca="false">ChartOfAccounts!A110</f>
        <v>514</v>
      </c>
      <c r="B110" s="1" t="str">
        <f aca="false">ChartOfAccounts!C110</f>
        <v>Shareholder 1 Drawings</v>
      </c>
      <c r="C110" s="1" t="str">
        <f aca="false">IFERROR(VLOOKUP(A110,'Trial Balance '!A:H,3,0),0)</f>
        <v>Current Liability</v>
      </c>
      <c r="E110" s="1" t="n">
        <f aca="false">IFERROR(VLOOKUP(A110,'Trial Balance '!A:H,4,0),0)</f>
        <v>0</v>
      </c>
      <c r="G110" s="1" t="n">
        <f aca="false">IF(ChartOfAccounts!F110="15% GST on Income", 2, IF(ChartOfAccounts!F110="15% GST on Expenses", 1, IF(ChartOfAccounts!F110="No GST", 0, "")))</f>
        <v>0</v>
      </c>
    </row>
    <row r="111" customFormat="false" ht="14.25" hidden="false" customHeight="false" outlineLevel="0" collapsed="false">
      <c r="A111" s="1" t="str">
        <f aca="false">ChartOfAccounts!A111</f>
        <v>514/02</v>
      </c>
      <c r="B111" s="1" t="str">
        <f aca="false">ChartOfAccounts!C111</f>
        <v>Interest Received - SH 2</v>
      </c>
      <c r="C111" s="1" t="n">
        <f aca="false">IFERROR(VLOOKUP(A111,'Trial Balance '!A:H,3,0),0)</f>
        <v>0</v>
      </c>
      <c r="E111" s="1" t="n">
        <f aca="false">IFERROR(VLOOKUP(A111,'Trial Balance '!A:H,4,0),0)</f>
        <v>0</v>
      </c>
      <c r="G111" s="1" t="n">
        <f aca="false">IF(ChartOfAccounts!F111="15% GST on Income", 2, IF(ChartOfAccounts!F111="15% GST on Expenses", 1, IF(ChartOfAccounts!F111="No GST", 0, "")))</f>
        <v>0</v>
      </c>
    </row>
    <row r="112" customFormat="false" ht="14.25" hidden="false" customHeight="false" outlineLevel="0" collapsed="false">
      <c r="A112" s="1" t="str">
        <f aca="false">ChartOfAccounts!A112</f>
        <v>514/03</v>
      </c>
      <c r="B112" s="1" t="str">
        <f aca="false">ChartOfAccounts!C112</f>
        <v>Interest Received - SH 3</v>
      </c>
      <c r="C112" s="1" t="n">
        <f aca="false">IFERROR(VLOOKUP(A112,'Trial Balance '!A:H,3,0),0)</f>
        <v>0</v>
      </c>
      <c r="E112" s="1" t="n">
        <f aca="false">IFERROR(VLOOKUP(A112,'Trial Balance '!A:H,4,0),0)</f>
        <v>0</v>
      </c>
      <c r="G112" s="1" t="n">
        <f aca="false">IF(ChartOfAccounts!F112="15% GST on Income", 2, IF(ChartOfAccounts!F112="15% GST on Expenses", 1, IF(ChartOfAccounts!F112="No GST", 0, "")))</f>
        <v>0</v>
      </c>
    </row>
    <row r="113" customFormat="false" ht="14.25" hidden="false" customHeight="false" outlineLevel="0" collapsed="false">
      <c r="A113" s="1" t="str">
        <f aca="false">ChartOfAccounts!A113</f>
        <v>514/04</v>
      </c>
      <c r="B113" s="1" t="str">
        <f aca="false">ChartOfAccounts!C113</f>
        <v>Interest Received - SH 4</v>
      </c>
      <c r="C113" s="1" t="n">
        <f aca="false">IFERROR(VLOOKUP(A113,'Trial Balance '!A:H,3,0),0)</f>
        <v>0</v>
      </c>
      <c r="E113" s="1" t="n">
        <f aca="false">IFERROR(VLOOKUP(A113,'Trial Balance '!A:H,4,0),0)</f>
        <v>0</v>
      </c>
      <c r="G113" s="1" t="n">
        <f aca="false">IF(ChartOfAccounts!F113="15% GST on Income", 2, IF(ChartOfAccounts!F113="15% GST on Expenses", 1, IF(ChartOfAccounts!F113="No GST", 0, "")))</f>
        <v>0</v>
      </c>
    </row>
    <row r="114" customFormat="false" ht="14.25" hidden="false" customHeight="false" outlineLevel="0" collapsed="false">
      <c r="A114" s="1" t="str">
        <f aca="false">ChartOfAccounts!A114</f>
        <v>514/05</v>
      </c>
      <c r="B114" s="1" t="str">
        <f aca="false">ChartOfAccounts!C114</f>
        <v>Interest Received - SH 5</v>
      </c>
      <c r="C114" s="1" t="n">
        <f aca="false">IFERROR(VLOOKUP(A114,'Trial Balance '!A:H,3,0),0)</f>
        <v>0</v>
      </c>
      <c r="E114" s="1" t="n">
        <f aca="false">IFERROR(VLOOKUP(A114,'Trial Balance '!A:H,4,0),0)</f>
        <v>0</v>
      </c>
      <c r="G114" s="1" t="n">
        <f aca="false">IF(ChartOfAccounts!F114="15% GST on Income", 2, IF(ChartOfAccounts!F114="15% GST on Expenses", 1, IF(ChartOfAccounts!F114="No GST", 0, "")))</f>
        <v>0</v>
      </c>
    </row>
    <row r="115" customFormat="false" ht="14.25" hidden="false" customHeight="false" outlineLevel="0" collapsed="false">
      <c r="A115" s="1" t="n">
        <f aca="false">ChartOfAccounts!A115</f>
        <v>518</v>
      </c>
      <c r="B115" s="1" t="str">
        <f aca="false">ChartOfAccounts!C115</f>
        <v>Shareholder 1 Personal Tax</v>
      </c>
      <c r="C115" s="1" t="str">
        <f aca="false">IFERROR(VLOOKUP(A115,'Trial Balance '!A:H,3,0),0)</f>
        <v>Current Liability</v>
      </c>
      <c r="E115" s="1" t="n">
        <f aca="false">IFERROR(VLOOKUP(A115,'Trial Balance '!A:H,4,0),0)</f>
        <v>0</v>
      </c>
      <c r="G115" s="1" t="n">
        <f aca="false">IF(ChartOfAccounts!F115="15% GST on Income", 2, IF(ChartOfAccounts!F115="15% GST on Expenses", 1, IF(ChartOfAccounts!F115="No GST", 0, "")))</f>
        <v>0</v>
      </c>
    </row>
    <row r="116" customFormat="false" ht="14.25" hidden="false" customHeight="false" outlineLevel="0" collapsed="false">
      <c r="A116" s="1" t="str">
        <f aca="false">ChartOfAccounts!A116</f>
        <v>516/02</v>
      </c>
      <c r="B116" s="1" t="str">
        <f aca="false">ChartOfAccounts!C116</f>
        <v>Dividend Received - SH 2</v>
      </c>
      <c r="C116" s="1" t="n">
        <f aca="false">IFERROR(VLOOKUP(A116,'Trial Balance '!A:H,3,0),0)</f>
        <v>0</v>
      </c>
      <c r="E116" s="1" t="n">
        <f aca="false">IFERROR(VLOOKUP(A116,'Trial Balance '!A:H,4,0),0)</f>
        <v>0</v>
      </c>
      <c r="G116" s="1" t="n">
        <f aca="false">IF(ChartOfAccounts!F116="15% GST on Income", 2, IF(ChartOfAccounts!F116="15% GST on Expenses", 1, IF(ChartOfAccounts!F116="No GST", 0, "")))</f>
        <v>0</v>
      </c>
    </row>
    <row r="117" customFormat="false" ht="14.25" hidden="false" customHeight="false" outlineLevel="0" collapsed="false">
      <c r="A117" s="1" t="str">
        <f aca="false">ChartOfAccounts!A117</f>
        <v>516/03</v>
      </c>
      <c r="B117" s="1" t="str">
        <f aca="false">ChartOfAccounts!C117</f>
        <v>Dividends Received - SH 3</v>
      </c>
      <c r="C117" s="1" t="n">
        <f aca="false">IFERROR(VLOOKUP(A117,'Trial Balance '!A:H,3,0),0)</f>
        <v>0</v>
      </c>
      <c r="E117" s="1" t="n">
        <f aca="false">IFERROR(VLOOKUP(A117,'Trial Balance '!A:H,4,0),0)</f>
        <v>0</v>
      </c>
      <c r="G117" s="1" t="n">
        <f aca="false">IF(ChartOfAccounts!F117="15% GST on Income", 2, IF(ChartOfAccounts!F117="15% GST on Expenses", 1, IF(ChartOfAccounts!F117="No GST", 0, "")))</f>
        <v>0</v>
      </c>
    </row>
    <row r="118" customFormat="false" ht="14.25" hidden="false" customHeight="false" outlineLevel="0" collapsed="false">
      <c r="A118" s="1" t="str">
        <f aca="false">ChartOfAccounts!A118</f>
        <v>516/04</v>
      </c>
      <c r="B118" s="1" t="str">
        <f aca="false">ChartOfAccounts!C118</f>
        <v>Dividends Received - SH 4</v>
      </c>
      <c r="C118" s="1" t="n">
        <f aca="false">IFERROR(VLOOKUP(A118,'Trial Balance '!A:H,3,0),0)</f>
        <v>0</v>
      </c>
      <c r="E118" s="1" t="n">
        <f aca="false">IFERROR(VLOOKUP(A118,'Trial Balance '!A:H,4,0),0)</f>
        <v>0</v>
      </c>
      <c r="G118" s="1" t="n">
        <f aca="false">IF(ChartOfAccounts!F118="15% GST on Income", 2, IF(ChartOfAccounts!F118="15% GST on Expenses", 1, IF(ChartOfAccounts!F118="No GST", 0, "")))</f>
        <v>0</v>
      </c>
    </row>
    <row r="119" customFormat="false" ht="14.25" hidden="false" customHeight="false" outlineLevel="0" collapsed="false">
      <c r="A119" s="1" t="str">
        <f aca="false">ChartOfAccounts!A119</f>
        <v>516/05</v>
      </c>
      <c r="B119" s="1" t="str">
        <f aca="false">ChartOfAccounts!C119</f>
        <v>Dividends Received - SH 5</v>
      </c>
      <c r="C119" s="1" t="n">
        <f aca="false">IFERROR(VLOOKUP(A119,'Trial Balance '!A:H,3,0),0)</f>
        <v>0</v>
      </c>
      <c r="E119" s="1" t="n">
        <f aca="false">IFERROR(VLOOKUP(A119,'Trial Balance '!A:H,4,0),0)</f>
        <v>0</v>
      </c>
      <c r="G119" s="1" t="n">
        <f aca="false">IF(ChartOfAccounts!F119="15% GST on Income", 2, IF(ChartOfAccounts!F119="15% GST on Expenses", 1, IF(ChartOfAccounts!F119="No GST", 0, "")))</f>
        <v>0</v>
      </c>
    </row>
    <row r="120" customFormat="false" ht="14.25" hidden="false" customHeight="false" outlineLevel="0" collapsed="false">
      <c r="A120" s="1" t="str">
        <f aca="false">ChartOfAccounts!A120</f>
        <v>521/01</v>
      </c>
      <c r="B120" s="1" t="str">
        <f aca="false">ChartOfAccounts!C120</f>
        <v>Drawings - SH 3</v>
      </c>
      <c r="C120" s="1" t="n">
        <f aca="false">IFERROR(VLOOKUP(A120,'Trial Balance '!A:H,3,0),0)</f>
        <v>0</v>
      </c>
      <c r="E120" s="1" t="n">
        <f aca="false">IFERROR(VLOOKUP(A120,'Trial Balance '!A:H,4,0),0)</f>
        <v>0</v>
      </c>
      <c r="G120" s="1" t="n">
        <f aca="false">IF(ChartOfAccounts!F120="15% GST on Income", 2, IF(ChartOfAccounts!F120="15% GST on Expenses", 1, IF(ChartOfAccounts!F120="No GST", 0, "")))</f>
        <v>0</v>
      </c>
    </row>
    <row r="121" customFormat="false" ht="14.25" hidden="false" customHeight="false" outlineLevel="0" collapsed="false">
      <c r="A121" s="1" t="str">
        <f aca="false">ChartOfAccounts!A121</f>
        <v>521/02</v>
      </c>
      <c r="B121" s="1" t="str">
        <f aca="false">ChartOfAccounts!C121</f>
        <v>Drawings - SH 2</v>
      </c>
      <c r="C121" s="1" t="n">
        <f aca="false">IFERROR(VLOOKUP(A121,'Trial Balance '!A:H,3,0),0)</f>
        <v>0</v>
      </c>
      <c r="E121" s="1" t="n">
        <f aca="false">IFERROR(VLOOKUP(A121,'Trial Balance '!A:H,4,0),0)</f>
        <v>0</v>
      </c>
      <c r="G121" s="1" t="n">
        <f aca="false">IF(ChartOfAccounts!F121="15% GST on Income", 2, IF(ChartOfAccounts!F121="15% GST on Expenses", 1, IF(ChartOfAccounts!F121="No GST", 0, "")))</f>
        <v>0</v>
      </c>
    </row>
    <row r="122" customFormat="false" ht="14.25" hidden="false" customHeight="false" outlineLevel="0" collapsed="false">
      <c r="A122" s="1" t="str">
        <f aca="false">ChartOfAccounts!A122</f>
        <v>521/03</v>
      </c>
      <c r="B122" s="1" t="str">
        <f aca="false">ChartOfAccounts!C122</f>
        <v>Drawings - SH 3</v>
      </c>
      <c r="C122" s="1" t="str">
        <f aca="false">IFERROR(VLOOKUP(A122,'Trial Balance '!A:H,3,0),0)</f>
        <v>Current Liability</v>
      </c>
      <c r="E122" s="1" t="n">
        <f aca="false">IFERROR(VLOOKUP(A122,'Trial Balance '!A:H,4,0),0)</f>
        <v>0</v>
      </c>
      <c r="G122" s="1" t="n">
        <f aca="false">IF(ChartOfAccounts!F122="15% GST on Income", 2, IF(ChartOfAccounts!F122="15% GST on Expenses", 1, IF(ChartOfAccounts!F122="No GST", 0, "")))</f>
        <v>0</v>
      </c>
    </row>
    <row r="123" customFormat="false" ht="14.25" hidden="false" customHeight="false" outlineLevel="0" collapsed="false">
      <c r="A123" s="1" t="str">
        <f aca="false">ChartOfAccounts!A123</f>
        <v>521/04</v>
      </c>
      <c r="B123" s="1" t="str">
        <f aca="false">ChartOfAccounts!C123</f>
        <v>Drawings - SH 4</v>
      </c>
      <c r="C123" s="1" t="n">
        <f aca="false">IFERROR(VLOOKUP(A123,'Trial Balance '!A:H,3,0),0)</f>
        <v>0</v>
      </c>
      <c r="E123" s="1" t="n">
        <f aca="false">IFERROR(VLOOKUP(A123,'Trial Balance '!A:H,4,0),0)</f>
        <v>0</v>
      </c>
      <c r="G123" s="1" t="n">
        <f aca="false">IF(ChartOfAccounts!F123="15% GST on Income", 2, IF(ChartOfAccounts!F123="15% GST on Expenses", 1, IF(ChartOfAccounts!F123="No GST", 0, "")))</f>
        <v>0</v>
      </c>
    </row>
    <row r="124" customFormat="false" ht="14.25" hidden="false" customHeight="false" outlineLevel="0" collapsed="false">
      <c r="A124" s="1" t="str">
        <f aca="false">ChartOfAccounts!A124</f>
        <v>521/05</v>
      </c>
      <c r="B124" s="1" t="str">
        <f aca="false">ChartOfAccounts!C124</f>
        <v>Drawings - SH 5</v>
      </c>
      <c r="C124" s="1" t="n">
        <f aca="false">IFERROR(VLOOKUP(A124,'Trial Balance '!A:H,3,0),0)</f>
        <v>0</v>
      </c>
      <c r="E124" s="1" t="n">
        <f aca="false">IFERROR(VLOOKUP(A124,'Trial Balance '!A:H,4,0),0)</f>
        <v>0</v>
      </c>
      <c r="G124" s="1" t="n">
        <f aca="false">IF(ChartOfAccounts!F124="15% GST on Income", 2, IF(ChartOfAccounts!F124="15% GST on Expenses", 1, IF(ChartOfAccounts!F124="No GST", 0, "")))</f>
        <v>0</v>
      </c>
    </row>
    <row r="125" customFormat="false" ht="14.25" hidden="false" customHeight="false" outlineLevel="0" collapsed="false">
      <c r="A125" s="1" t="str">
        <f aca="false">ChartOfAccounts!A125</f>
        <v>522/01</v>
      </c>
      <c r="B125" s="1" t="str">
        <f aca="false">ChartOfAccounts!C125</f>
        <v>Interest on O/D Current A/C - SH 3</v>
      </c>
      <c r="C125" s="1" t="n">
        <f aca="false">IFERROR(VLOOKUP(A125,'Trial Balance '!A:H,3,0),0)</f>
        <v>0</v>
      </c>
      <c r="E125" s="1" t="n">
        <f aca="false">IFERROR(VLOOKUP(A125,'Trial Balance '!A:H,4,0),0)</f>
        <v>0</v>
      </c>
      <c r="G125" s="1" t="n">
        <f aca="false">IF(ChartOfAccounts!F125="15% GST on Income", 2, IF(ChartOfAccounts!F125="15% GST on Expenses", 1, IF(ChartOfAccounts!F125="No GST", 0, "")))</f>
        <v>0</v>
      </c>
    </row>
    <row r="126" customFormat="false" ht="14.25" hidden="false" customHeight="false" outlineLevel="0" collapsed="false">
      <c r="A126" s="1" t="str">
        <f aca="false">ChartOfAccounts!A126</f>
        <v>522/02</v>
      </c>
      <c r="B126" s="1" t="str">
        <f aca="false">ChartOfAccounts!C126</f>
        <v>Interest on O/D Current A/C - SH 2</v>
      </c>
      <c r="C126" s="1" t="n">
        <f aca="false">IFERROR(VLOOKUP(A126,'Trial Balance '!A:H,3,0),0)</f>
        <v>0</v>
      </c>
      <c r="E126" s="1" t="n">
        <f aca="false">IFERROR(VLOOKUP(A126,'Trial Balance '!A:H,4,0),0)</f>
        <v>0</v>
      </c>
      <c r="G126" s="1" t="n">
        <f aca="false">IF(ChartOfAccounts!F126="15% GST on Income", 2, IF(ChartOfAccounts!F126="15% GST on Expenses", 1, IF(ChartOfAccounts!F126="No GST", 0, "")))</f>
        <v>0</v>
      </c>
    </row>
    <row r="127" customFormat="false" ht="14.25" hidden="false" customHeight="false" outlineLevel="0" collapsed="false">
      <c r="A127" s="1" t="str">
        <f aca="false">ChartOfAccounts!A127</f>
        <v>522/03</v>
      </c>
      <c r="B127" s="1" t="str">
        <f aca="false">ChartOfAccounts!C127</f>
        <v>Interest on O/D Current A/C - SH 3</v>
      </c>
      <c r="C127" s="1" t="n">
        <f aca="false">IFERROR(VLOOKUP(A127,'Trial Balance '!A:H,3,0),0)</f>
        <v>0</v>
      </c>
      <c r="E127" s="1" t="n">
        <f aca="false">IFERROR(VLOOKUP(A127,'Trial Balance '!A:H,4,0),0)</f>
        <v>0</v>
      </c>
      <c r="G127" s="1" t="n">
        <f aca="false">IF(ChartOfAccounts!F127="15% GST on Income", 2, IF(ChartOfAccounts!F127="15% GST on Expenses", 1, IF(ChartOfAccounts!F127="No GST", 0, "")))</f>
        <v>0</v>
      </c>
    </row>
    <row r="128" customFormat="false" ht="14.25" hidden="false" customHeight="false" outlineLevel="0" collapsed="false">
      <c r="A128" s="1" t="str">
        <f aca="false">ChartOfAccounts!A128</f>
        <v>522/04</v>
      </c>
      <c r="B128" s="1" t="str">
        <f aca="false">ChartOfAccounts!C128</f>
        <v>Interest on O/D Current A/C - SH 4</v>
      </c>
      <c r="C128" s="1" t="n">
        <f aca="false">IFERROR(VLOOKUP(A128,'Trial Balance '!A:H,3,0),0)</f>
        <v>0</v>
      </c>
      <c r="E128" s="1" t="n">
        <f aca="false">IFERROR(VLOOKUP(A128,'Trial Balance '!A:H,4,0),0)</f>
        <v>0</v>
      </c>
      <c r="G128" s="1" t="n">
        <f aca="false">IF(ChartOfAccounts!F128="15% GST on Income", 2, IF(ChartOfAccounts!F128="15% GST on Expenses", 1, IF(ChartOfAccounts!F128="No GST", 0, "")))</f>
        <v>0</v>
      </c>
    </row>
    <row r="129" customFormat="false" ht="14.25" hidden="false" customHeight="false" outlineLevel="0" collapsed="false">
      <c r="A129" s="1" t="str">
        <f aca="false">ChartOfAccounts!A129</f>
        <v>522/05</v>
      </c>
      <c r="B129" s="1" t="str">
        <f aca="false">ChartOfAccounts!C129</f>
        <v>Interest on O/D Current A/C - SH 5</v>
      </c>
      <c r="C129" s="1" t="n">
        <f aca="false">IFERROR(VLOOKUP(A129,'Trial Balance '!A:H,3,0),0)</f>
        <v>0</v>
      </c>
      <c r="E129" s="1" t="n">
        <f aca="false">IFERROR(VLOOKUP(A129,'Trial Balance '!A:H,4,0),0)</f>
        <v>0</v>
      </c>
      <c r="G129" s="1" t="n">
        <f aca="false">IF(ChartOfAccounts!F129="15% GST on Income", 2, IF(ChartOfAccounts!F129="15% GST on Expenses", 1, IF(ChartOfAccounts!F129="No GST", 0, "")))</f>
        <v>0</v>
      </c>
    </row>
    <row r="130" customFormat="false" ht="14.25" hidden="false" customHeight="false" outlineLevel="0" collapsed="false">
      <c r="A130" s="1" t="str">
        <f aca="false">ChartOfAccounts!A130</f>
        <v>525/01</v>
      </c>
      <c r="B130" s="1" t="str">
        <f aca="false">ChartOfAccounts!C130</f>
        <v>Taxes Paid/(Refund) - SH 3</v>
      </c>
      <c r="C130" s="1" t="n">
        <f aca="false">IFERROR(VLOOKUP(A130,'Trial Balance '!A:H,3,0),0)</f>
        <v>0</v>
      </c>
      <c r="E130" s="1" t="n">
        <f aca="false">IFERROR(VLOOKUP(A130,'Trial Balance '!A:H,4,0),0)</f>
        <v>0</v>
      </c>
      <c r="G130" s="1" t="n">
        <f aca="false">IF(ChartOfAccounts!F130="15% GST on Income", 2, IF(ChartOfAccounts!F130="15% GST on Expenses", 1, IF(ChartOfAccounts!F130="No GST", 0, "")))</f>
        <v>0</v>
      </c>
    </row>
    <row r="131" customFormat="false" ht="14.25" hidden="false" customHeight="false" outlineLevel="0" collapsed="false">
      <c r="A131" s="1" t="str">
        <f aca="false">ChartOfAccounts!A131</f>
        <v>525/02</v>
      </c>
      <c r="B131" s="1" t="str">
        <f aca="false">ChartOfAccounts!C131</f>
        <v>Taxes Paid/(Refund) - SH 2</v>
      </c>
      <c r="C131" s="1" t="n">
        <f aca="false">IFERROR(VLOOKUP(A131,'Trial Balance '!A:H,3,0),0)</f>
        <v>0</v>
      </c>
      <c r="E131" s="1" t="n">
        <f aca="false">IFERROR(VLOOKUP(A131,'Trial Balance '!A:H,4,0),0)</f>
        <v>0</v>
      </c>
      <c r="G131" s="1" t="n">
        <f aca="false">IF(ChartOfAccounts!F131="15% GST on Income", 2, IF(ChartOfAccounts!F131="15% GST on Expenses", 1, IF(ChartOfAccounts!F131="No GST", 0, "")))</f>
        <v>0</v>
      </c>
    </row>
    <row r="132" customFormat="false" ht="14.25" hidden="false" customHeight="false" outlineLevel="0" collapsed="false">
      <c r="A132" s="1" t="str">
        <f aca="false">ChartOfAccounts!A132</f>
        <v>525/03</v>
      </c>
      <c r="B132" s="1" t="str">
        <f aca="false">ChartOfAccounts!C132</f>
        <v>Taxes Paid/(Refund) - SH 3</v>
      </c>
      <c r="C132" s="1" t="str">
        <f aca="false">IFERROR(VLOOKUP(A132,'Trial Balance '!A:H,3,0),0)</f>
        <v>Current Liability</v>
      </c>
      <c r="E132" s="1" t="n">
        <f aca="false">IFERROR(VLOOKUP(A132,'Trial Balance '!A:H,4,0),0)</f>
        <v>0</v>
      </c>
      <c r="G132" s="1" t="n">
        <f aca="false">IF(ChartOfAccounts!F132="15% GST on Income", 2, IF(ChartOfAccounts!F132="15% GST on Expenses", 1, IF(ChartOfAccounts!F132="No GST", 0, "")))</f>
        <v>0</v>
      </c>
    </row>
    <row r="133" customFormat="false" ht="14.25" hidden="false" customHeight="false" outlineLevel="0" collapsed="false">
      <c r="A133" s="1" t="str">
        <f aca="false">ChartOfAccounts!A133</f>
        <v>525/04</v>
      </c>
      <c r="B133" s="1" t="str">
        <f aca="false">ChartOfAccounts!C133</f>
        <v>Taxes Paid/(Refund) - SH 4</v>
      </c>
      <c r="C133" s="1" t="n">
        <f aca="false">IFERROR(VLOOKUP(A133,'Trial Balance '!A:H,3,0),0)</f>
        <v>0</v>
      </c>
      <c r="E133" s="1" t="n">
        <f aca="false">IFERROR(VLOOKUP(A133,'Trial Balance '!A:H,4,0),0)</f>
        <v>0</v>
      </c>
      <c r="G133" s="1" t="n">
        <f aca="false">IF(ChartOfAccounts!F133="15% GST on Income", 2, IF(ChartOfAccounts!F133="15% GST on Expenses", 1, IF(ChartOfAccounts!F133="No GST", 0, "")))</f>
        <v>0</v>
      </c>
    </row>
    <row r="134" customFormat="false" ht="14.25" hidden="false" customHeight="false" outlineLevel="0" collapsed="false">
      <c r="A134" s="1" t="str">
        <f aca="false">ChartOfAccounts!A134</f>
        <v>525/05</v>
      </c>
      <c r="B134" s="1" t="str">
        <f aca="false">ChartOfAccounts!C134</f>
        <v>Taxes Paid/(Refund) - SH 5</v>
      </c>
      <c r="C134" s="1" t="n">
        <f aca="false">IFERROR(VLOOKUP(A134,'Trial Balance '!A:H,3,0),0)</f>
        <v>0</v>
      </c>
      <c r="E134" s="1" t="n">
        <f aca="false">IFERROR(VLOOKUP(A134,'Trial Balance '!A:H,4,0),0)</f>
        <v>0</v>
      </c>
      <c r="G134" s="1" t="n">
        <f aca="false">IF(ChartOfAccounts!F134="15% GST on Income", 2, IF(ChartOfAccounts!F134="15% GST on Expenses", 1, IF(ChartOfAccounts!F134="No GST", 0, "")))</f>
        <v>0</v>
      </c>
    </row>
    <row r="135" customFormat="false" ht="14.25" hidden="false" customHeight="false" outlineLevel="0" collapsed="false">
      <c r="A135" s="1" t="str">
        <f aca="false">ChartOfAccounts!A135</f>
        <v>526/01</v>
      </c>
      <c r="B135" s="1" t="str">
        <f aca="false">ChartOfAccounts!C135</f>
        <v>Life Insurance - SH 3</v>
      </c>
      <c r="C135" s="1" t="n">
        <f aca="false">IFERROR(VLOOKUP(A135,'Trial Balance '!A:H,3,0),0)</f>
        <v>0</v>
      </c>
      <c r="E135" s="1" t="n">
        <f aca="false">IFERROR(VLOOKUP(A135,'Trial Balance '!A:H,4,0),0)</f>
        <v>0</v>
      </c>
      <c r="G135" s="1" t="n">
        <f aca="false">IF(ChartOfAccounts!F135="15% GST on Income", 2, IF(ChartOfAccounts!F135="15% GST on Expenses", 1, IF(ChartOfAccounts!F135="No GST", 0, "")))</f>
        <v>0</v>
      </c>
    </row>
    <row r="136" customFormat="false" ht="14.25" hidden="false" customHeight="false" outlineLevel="0" collapsed="false">
      <c r="A136" s="1" t="str">
        <f aca="false">ChartOfAccounts!A136</f>
        <v>526/02</v>
      </c>
      <c r="B136" s="1" t="str">
        <f aca="false">ChartOfAccounts!C136</f>
        <v>Life Insurance - SH 2</v>
      </c>
      <c r="C136" s="1" t="n">
        <f aca="false">IFERROR(VLOOKUP(A136,'Trial Balance '!A:H,3,0),0)</f>
        <v>0</v>
      </c>
      <c r="E136" s="1" t="n">
        <f aca="false">IFERROR(VLOOKUP(A136,'Trial Balance '!A:H,4,0),0)</f>
        <v>0</v>
      </c>
      <c r="G136" s="1" t="n">
        <f aca="false">IF(ChartOfAccounts!F136="15% GST on Income", 2, IF(ChartOfAccounts!F136="15% GST on Expenses", 1, IF(ChartOfAccounts!F136="No GST", 0, "")))</f>
        <v>0</v>
      </c>
    </row>
    <row r="137" customFormat="false" ht="14.25" hidden="false" customHeight="false" outlineLevel="0" collapsed="false">
      <c r="A137" s="1" t="str">
        <f aca="false">ChartOfAccounts!A137</f>
        <v>526/03</v>
      </c>
      <c r="B137" s="1" t="str">
        <f aca="false">ChartOfAccounts!C137</f>
        <v>Life Insurance - SH 3</v>
      </c>
      <c r="C137" s="1" t="n">
        <f aca="false">IFERROR(VLOOKUP(A137,'Trial Balance '!A:H,3,0),0)</f>
        <v>0</v>
      </c>
      <c r="E137" s="1" t="n">
        <f aca="false">IFERROR(VLOOKUP(A137,'Trial Balance '!A:H,4,0),0)</f>
        <v>0</v>
      </c>
      <c r="G137" s="1" t="n">
        <f aca="false">IF(ChartOfAccounts!F137="15% GST on Income", 2, IF(ChartOfAccounts!F137="15% GST on Expenses", 1, IF(ChartOfAccounts!F137="No GST", 0, "")))</f>
        <v>0</v>
      </c>
    </row>
    <row r="138" customFormat="false" ht="14.25" hidden="false" customHeight="false" outlineLevel="0" collapsed="false">
      <c r="A138" s="1" t="str">
        <f aca="false">ChartOfAccounts!A138</f>
        <v>526/04</v>
      </c>
      <c r="B138" s="1" t="str">
        <f aca="false">ChartOfAccounts!C138</f>
        <v>Life Insurance - SH 4</v>
      </c>
      <c r="C138" s="1" t="n">
        <f aca="false">IFERROR(VLOOKUP(A138,'Trial Balance '!A:H,3,0),0)</f>
        <v>0</v>
      </c>
      <c r="E138" s="1" t="n">
        <f aca="false">IFERROR(VLOOKUP(A138,'Trial Balance '!A:H,4,0),0)</f>
        <v>0</v>
      </c>
      <c r="G138" s="1" t="n">
        <f aca="false">IF(ChartOfAccounts!F138="15% GST on Income", 2, IF(ChartOfAccounts!F138="15% GST on Expenses", 1, IF(ChartOfAccounts!F138="No GST", 0, "")))</f>
        <v>0</v>
      </c>
    </row>
    <row r="139" customFormat="false" ht="14.25" hidden="false" customHeight="false" outlineLevel="0" collapsed="false">
      <c r="A139" s="1" t="str">
        <f aca="false">ChartOfAccounts!A139</f>
        <v>526/05</v>
      </c>
      <c r="B139" s="1" t="str">
        <f aca="false">ChartOfAccounts!C139</f>
        <v>Life Insurance - SH 5</v>
      </c>
      <c r="C139" s="1" t="n">
        <f aca="false">IFERROR(VLOOKUP(A139,'Trial Balance '!A:H,3,0),0)</f>
        <v>0</v>
      </c>
      <c r="E139" s="1" t="n">
        <f aca="false">IFERROR(VLOOKUP(A139,'Trial Balance '!A:H,4,0),0)</f>
        <v>0</v>
      </c>
      <c r="G139" s="1" t="n">
        <f aca="false">IF(ChartOfAccounts!F139="15% GST on Income", 2, IF(ChartOfAccounts!F139="15% GST on Expenses", 1, IF(ChartOfAccounts!F139="No GST", 0, "")))</f>
        <v>0</v>
      </c>
    </row>
    <row r="140" customFormat="false" ht="14.25" hidden="false" customHeight="false" outlineLevel="0" collapsed="false">
      <c r="A140" s="1" t="str">
        <f aca="false">ChartOfAccounts!A140</f>
        <v>528/01</v>
      </c>
      <c r="B140" s="1" t="str">
        <f aca="false">ChartOfAccounts!C140</f>
        <v>Private Depreciation - SH 3</v>
      </c>
      <c r="C140" s="1" t="n">
        <f aca="false">IFERROR(VLOOKUP(A140,'Trial Balance '!A:H,3,0),0)</f>
        <v>0</v>
      </c>
      <c r="E140" s="1" t="n">
        <f aca="false">IFERROR(VLOOKUP(A140,'Trial Balance '!A:H,4,0),0)</f>
        <v>0</v>
      </c>
      <c r="G140" s="1" t="n">
        <f aca="false">IF(ChartOfAccounts!F140="15% GST on Income", 2, IF(ChartOfAccounts!F140="15% GST on Expenses", 1, IF(ChartOfAccounts!F140="No GST", 0, "")))</f>
        <v>0</v>
      </c>
    </row>
    <row r="141" customFormat="false" ht="14.25" hidden="false" customHeight="false" outlineLevel="0" collapsed="false">
      <c r="A141" s="1" t="str">
        <f aca="false">ChartOfAccounts!A141</f>
        <v>528/02</v>
      </c>
      <c r="B141" s="1" t="str">
        <f aca="false">ChartOfAccounts!C141</f>
        <v>Private Depreciation - SH 2</v>
      </c>
      <c r="C141" s="1" t="n">
        <f aca="false">IFERROR(VLOOKUP(A141,'Trial Balance '!A:H,3,0),0)</f>
        <v>0</v>
      </c>
      <c r="E141" s="1" t="n">
        <f aca="false">IFERROR(VLOOKUP(A141,'Trial Balance '!A:H,4,0),0)</f>
        <v>0</v>
      </c>
      <c r="G141" s="1" t="n">
        <f aca="false">IF(ChartOfAccounts!F141="15% GST on Income", 2, IF(ChartOfAccounts!F141="15% GST on Expenses", 1, IF(ChartOfAccounts!F141="No GST", 0, "")))</f>
        <v>0</v>
      </c>
    </row>
    <row r="142" customFormat="false" ht="14.25" hidden="false" customHeight="false" outlineLevel="0" collapsed="false">
      <c r="A142" s="1" t="str">
        <f aca="false">ChartOfAccounts!A142</f>
        <v>528/03</v>
      </c>
      <c r="B142" s="1" t="str">
        <f aca="false">ChartOfAccounts!C142</f>
        <v>Private Depreciation - SH 3</v>
      </c>
      <c r="C142" s="1" t="n">
        <f aca="false">IFERROR(VLOOKUP(A142,'Trial Balance '!A:H,3,0),0)</f>
        <v>0</v>
      </c>
      <c r="E142" s="1" t="n">
        <f aca="false">IFERROR(VLOOKUP(A142,'Trial Balance '!A:H,4,0),0)</f>
        <v>0</v>
      </c>
      <c r="G142" s="1" t="n">
        <f aca="false">IF(ChartOfAccounts!F142="15% GST on Income", 2, IF(ChartOfAccounts!F142="15% GST on Expenses", 1, IF(ChartOfAccounts!F142="No GST", 0, "")))</f>
        <v>0</v>
      </c>
    </row>
    <row r="143" customFormat="false" ht="14.25" hidden="false" customHeight="false" outlineLevel="0" collapsed="false">
      <c r="A143" s="1" t="str">
        <f aca="false">ChartOfAccounts!A143</f>
        <v>528/04</v>
      </c>
      <c r="B143" s="1" t="str">
        <f aca="false">ChartOfAccounts!C143</f>
        <v>Private Deprecation - SH 4</v>
      </c>
      <c r="C143" s="1" t="n">
        <f aca="false">IFERROR(VLOOKUP(A143,'Trial Balance '!A:H,3,0),0)</f>
        <v>0</v>
      </c>
      <c r="E143" s="1" t="n">
        <f aca="false">IFERROR(VLOOKUP(A143,'Trial Balance '!A:H,4,0),0)</f>
        <v>0</v>
      </c>
      <c r="G143" s="1" t="n">
        <f aca="false">IF(ChartOfAccounts!F143="15% GST on Income", 2, IF(ChartOfAccounts!F143="15% GST on Expenses", 1, IF(ChartOfAccounts!F143="No GST", 0, "")))</f>
        <v>0</v>
      </c>
    </row>
    <row r="144" customFormat="false" ht="14.25" hidden="false" customHeight="false" outlineLevel="0" collapsed="false">
      <c r="A144" s="1" t="str">
        <f aca="false">ChartOfAccounts!A144</f>
        <v>528/05</v>
      </c>
      <c r="B144" s="1" t="str">
        <f aca="false">ChartOfAccounts!C144</f>
        <v>Private Depreciation - SH 4</v>
      </c>
      <c r="C144" s="1" t="n">
        <f aca="false">IFERROR(VLOOKUP(A144,'Trial Balance '!A:H,3,0),0)</f>
        <v>0</v>
      </c>
      <c r="E144" s="1" t="n">
        <f aca="false">IFERROR(VLOOKUP(A144,'Trial Balance '!A:H,4,0),0)</f>
        <v>0</v>
      </c>
      <c r="G144" s="1" t="n">
        <f aca="false">IF(ChartOfAccounts!F144="15% GST on Income", 2, IF(ChartOfAccounts!F144="15% GST on Expenses", 1, IF(ChartOfAccounts!F144="No GST", 0, "")))</f>
        <v>0</v>
      </c>
    </row>
    <row r="145" customFormat="false" ht="14.25" hidden="false" customHeight="false" outlineLevel="0" collapsed="false">
      <c r="A145" s="1" t="n">
        <f aca="false">ChartOfAccounts!A145</f>
        <v>550</v>
      </c>
      <c r="B145" s="1" t="str">
        <f aca="false">ChartOfAccounts!C145</f>
        <v>Retained Earning</v>
      </c>
      <c r="C145" s="1" t="str">
        <f aca="false">IFERROR(VLOOKUP(A145,'Trial Balance '!A:H,3,0),0)</f>
        <v>Equity</v>
      </c>
      <c r="E145" s="1" t="n">
        <f aca="false">IFERROR(VLOOKUP(A145,'Trial Balance '!A:H,4,0),0)</f>
        <v>0</v>
      </c>
      <c r="G145" s="1" t="n">
        <f aca="false">IF(ChartOfAccounts!F145="15% GST on Income", 2, IF(ChartOfAccounts!F145="15% GST on Expenses", 1, IF(ChartOfAccounts!F145="No GST", 0, "")))</f>
        <v>0</v>
      </c>
    </row>
    <row r="146" customFormat="false" ht="14.25" hidden="false" customHeight="false" outlineLevel="0" collapsed="false">
      <c r="A146" s="1" t="n">
        <f aca="false">ChartOfAccounts!A146</f>
        <v>551</v>
      </c>
      <c r="B146" s="1" t="str">
        <f aca="false">ChartOfAccounts!C146</f>
        <v>Dividend Declared</v>
      </c>
      <c r="C146" s="1" t="n">
        <f aca="false">IFERROR(VLOOKUP(A146,'Trial Balance '!A:H,3,0),0)</f>
        <v>0</v>
      </c>
      <c r="E146" s="1" t="n">
        <f aca="false">IFERROR(VLOOKUP(A146,'Trial Balance '!A:H,4,0),0)</f>
        <v>0</v>
      </c>
      <c r="G146" s="1" t="n">
        <f aca="false">IF(ChartOfAccounts!F146="15% GST on Income", 2, IF(ChartOfAccounts!F146="15% GST on Expenses", 1, IF(ChartOfAccounts!F146="No GST", 0, "")))</f>
        <v>0</v>
      </c>
    </row>
    <row r="147" customFormat="false" ht="14.25" hidden="false" customHeight="false" outlineLevel="0" collapsed="false">
      <c r="A147" s="1" t="n">
        <f aca="false">ChartOfAccounts!A147</f>
        <v>570</v>
      </c>
      <c r="B147" s="1" t="str">
        <f aca="false">ChartOfAccounts!C147</f>
        <v>Opening Balance - Capital Reserve</v>
      </c>
      <c r="C147" s="1" t="str">
        <f aca="false">IFERROR(VLOOKUP(A147,'Trial Balance '!A:H,3,0),0)</f>
        <v>Equity</v>
      </c>
      <c r="E147" s="1" t="n">
        <f aca="false">IFERROR(VLOOKUP(A147,'Trial Balance '!A:H,4,0),0)</f>
        <v>0</v>
      </c>
      <c r="G147" s="1" t="n">
        <f aca="false">IF(ChartOfAccounts!F147="15% GST on Income", 2, IF(ChartOfAccounts!F147="15% GST on Expenses", 1, IF(ChartOfAccounts!F147="No GST", 0, "")))</f>
        <v>0</v>
      </c>
    </row>
    <row r="148" customFormat="false" ht="14.25" hidden="false" customHeight="false" outlineLevel="0" collapsed="false">
      <c r="A148" s="1" t="n">
        <f aca="false">ChartOfAccounts!A148</f>
        <v>571</v>
      </c>
      <c r="B148" s="1" t="str">
        <f aca="false">ChartOfAccounts!C148</f>
        <v>Capital Profit On Asset Sale</v>
      </c>
      <c r="C148" s="1" t="str">
        <f aca="false">IFERROR(VLOOKUP(A148,'Trial Balance '!A:H,3,0),0)</f>
        <v>Equity</v>
      </c>
      <c r="E148" s="1" t="n">
        <f aca="false">IFERROR(VLOOKUP(A148,'Trial Balance '!A:H,4,0),0)</f>
        <v>0</v>
      </c>
      <c r="G148" s="1" t="n">
        <f aca="false">IF(ChartOfAccounts!F148="15% GST on Income", 2, IF(ChartOfAccounts!F148="15% GST on Expenses", 1, IF(ChartOfAccounts!F148="No GST", 0, "")))</f>
        <v>0</v>
      </c>
    </row>
    <row r="149" customFormat="false" ht="14.25" hidden="false" customHeight="false" outlineLevel="0" collapsed="false">
      <c r="A149" s="1" t="n">
        <f aca="false">ChartOfAccounts!A149</f>
        <v>572</v>
      </c>
      <c r="B149" s="1" t="str">
        <f aca="false">ChartOfAccounts!C149</f>
        <v>Capital Loss on Asset Sold</v>
      </c>
      <c r="C149" s="1" t="str">
        <f aca="false">IFERROR(VLOOKUP(A149,'Trial Balance '!A:H,3,0),0)</f>
        <v>Equity</v>
      </c>
      <c r="E149" s="1" t="n">
        <f aca="false">IFERROR(VLOOKUP(A149,'Trial Balance '!A:H,4,0),0)</f>
        <v>0</v>
      </c>
      <c r="G149" s="1" t="n">
        <f aca="false">IF(ChartOfAccounts!F149="15% GST on Income", 2, IF(ChartOfAccounts!F149="15% GST on Expenses", 1, IF(ChartOfAccounts!F149="No GST", 0, "")))</f>
        <v>0</v>
      </c>
    </row>
    <row r="150" customFormat="false" ht="14.25" hidden="false" customHeight="false" outlineLevel="0" collapsed="false">
      <c r="A150" s="1" t="n">
        <f aca="false">ChartOfAccounts!A150</f>
        <v>574</v>
      </c>
      <c r="B150" s="1" t="str">
        <f aca="false">ChartOfAccounts!C150</f>
        <v>Asset Revaluation Reserve</v>
      </c>
      <c r="C150" s="1" t="str">
        <f aca="false">IFERROR(VLOOKUP(A150,'Trial Balance '!A:H,3,0),0)</f>
        <v>Equity</v>
      </c>
      <c r="E150" s="1" t="n">
        <f aca="false">IFERROR(VLOOKUP(A150,'Trial Balance '!A:H,4,0),0)</f>
        <v>0</v>
      </c>
      <c r="G150" s="1" t="n">
        <f aca="false">IF(ChartOfAccounts!F150="15% GST on Income", 2, IF(ChartOfAccounts!F150="15% GST on Expenses", 1, IF(ChartOfAccounts!F150="No GST", 0, "")))</f>
        <v>0</v>
      </c>
    </row>
    <row r="151" customFormat="false" ht="14.25" hidden="false" customHeight="false" outlineLevel="0" collapsed="false">
      <c r="A151" s="1" t="n">
        <f aca="false">ChartOfAccounts!A151</f>
        <v>575</v>
      </c>
      <c r="B151" s="1" t="str">
        <f aca="false">ChartOfAccounts!C151</f>
        <v>Asset Revaluation Reserves</v>
      </c>
      <c r="C151" s="1" t="n">
        <f aca="false">IFERROR(VLOOKUP(A151,'Trial Balance '!A:H,3,0),0)</f>
        <v>0</v>
      </c>
      <c r="E151" s="1" t="n">
        <f aca="false">IFERROR(VLOOKUP(A151,'Trial Balance '!A:H,4,0),0)</f>
        <v>0</v>
      </c>
      <c r="G151" s="1" t="n">
        <f aca="false">IF(ChartOfAccounts!F151="15% GST on Income", 2, IF(ChartOfAccounts!F151="15% GST on Expenses", 1, IF(ChartOfAccounts!F151="No GST", 0, "")))</f>
        <v>0</v>
      </c>
    </row>
    <row r="152" customFormat="false" ht="14.25" hidden="false" customHeight="false" outlineLevel="0" collapsed="false">
      <c r="A152" s="1" t="n">
        <f aca="false">ChartOfAccounts!A152</f>
        <v>579</v>
      </c>
      <c r="B152" s="1" t="str">
        <f aca="false">ChartOfAccounts!C152</f>
        <v>Capital Dividend</v>
      </c>
      <c r="C152" s="1" t="n">
        <f aca="false">IFERROR(VLOOKUP(A152,'Trial Balance '!A:H,3,0),0)</f>
        <v>0</v>
      </c>
      <c r="E152" s="1" t="n">
        <f aca="false">IFERROR(VLOOKUP(A152,'Trial Balance '!A:H,4,0),0)</f>
        <v>0</v>
      </c>
      <c r="G152" s="1" t="n">
        <f aca="false">IF(ChartOfAccounts!F152="15% GST on Income", 2, IF(ChartOfAccounts!F152="15% GST on Expenses", 1, IF(ChartOfAccounts!F152="No GST", 0, "")))</f>
        <v>0</v>
      </c>
    </row>
    <row r="153" customFormat="false" ht="14.25" hidden="false" customHeight="false" outlineLevel="0" collapsed="false">
      <c r="A153" s="1" t="n">
        <f aca="false">ChartOfAccounts!A153</f>
        <v>600</v>
      </c>
      <c r="B153" s="1" t="str">
        <f aca="false">ChartOfAccounts!C153</f>
        <v>ANZ 00 Account</v>
      </c>
      <c r="C153" s="1" t="str">
        <f aca="false">IFERROR(VLOOKUP(A153,'Trial Balance '!A:H,3,0),0)</f>
        <v>Current Asset</v>
      </c>
      <c r="E153" s="1" t="n">
        <f aca="false">IFERROR(VLOOKUP(A153,'Trial Balance '!A:H,4,0),0)</f>
        <v>0</v>
      </c>
      <c r="G153" s="1" t="n">
        <f aca="false">IF(ChartOfAccounts!F153="15% GST on Income", 2, IF(ChartOfAccounts!F153="15% GST on Expenses", 1, IF(ChartOfAccounts!F153="No GST", 0, "")))</f>
        <v>0</v>
      </c>
    </row>
    <row r="154" customFormat="false" ht="14.25" hidden="false" customHeight="false" outlineLevel="0" collapsed="false">
      <c r="A154" s="1" t="n">
        <f aca="false">ChartOfAccounts!A154</f>
        <v>601</v>
      </c>
      <c r="B154" s="1" t="str">
        <f aca="false">ChartOfAccounts!C154</f>
        <v>ANZ 01 Account</v>
      </c>
      <c r="C154" s="1" t="str">
        <f aca="false">IFERROR(VLOOKUP(A154,'Trial Balance '!A:H,3,0),0)</f>
        <v>Current Asset</v>
      </c>
      <c r="E154" s="1" t="n">
        <f aca="false">IFERROR(VLOOKUP(A154,'Trial Balance '!A:H,4,0),0)</f>
        <v>0</v>
      </c>
      <c r="G154" s="1" t="n">
        <f aca="false">IF(ChartOfAccounts!F154="15% GST on Income", 2, IF(ChartOfAccounts!F154="15% GST on Expenses", 1, IF(ChartOfAccounts!F154="No GST", 0, "")))</f>
        <v>0</v>
      </c>
    </row>
    <row r="155" customFormat="false" ht="14.25" hidden="false" customHeight="false" outlineLevel="0" collapsed="false">
      <c r="A155" s="1" t="str">
        <f aca="false">ChartOfAccounts!A155</f>
        <v>601/01</v>
      </c>
      <c r="B155" s="1" t="str">
        <f aca="false">ChartOfAccounts!C155</f>
        <v>Bank A/c 1</v>
      </c>
      <c r="C155" s="1" t="n">
        <f aca="false">IFERROR(VLOOKUP(A155,'Trial Balance '!A:H,3,0),0)</f>
        <v>0</v>
      </c>
      <c r="E155" s="1" t="n">
        <f aca="false">IFERROR(VLOOKUP(A155,'Trial Balance '!A:H,4,0),0)</f>
        <v>0</v>
      </c>
      <c r="G155" s="1" t="n">
        <f aca="false">IF(ChartOfAccounts!F155="15% GST on Income", 2, IF(ChartOfAccounts!F155="15% GST on Expenses", 1, IF(ChartOfAccounts!F155="No GST", 0, "")))</f>
        <v>0</v>
      </c>
    </row>
    <row r="156" customFormat="false" ht="14.25" hidden="false" customHeight="false" outlineLevel="0" collapsed="false">
      <c r="A156" s="1" t="str">
        <f aca="false">ChartOfAccounts!A156</f>
        <v>601/02</v>
      </c>
      <c r="B156" s="1" t="str">
        <f aca="false">ChartOfAccounts!C156</f>
        <v>Bank A/c 2</v>
      </c>
      <c r="C156" s="1" t="n">
        <f aca="false">IFERROR(VLOOKUP(A156,'Trial Balance '!A:H,3,0),0)</f>
        <v>0</v>
      </c>
      <c r="E156" s="1" t="n">
        <f aca="false">IFERROR(VLOOKUP(A156,'Trial Balance '!A:H,4,0),0)</f>
        <v>0</v>
      </c>
      <c r="G156" s="1" t="n">
        <f aca="false">IF(ChartOfAccounts!F156="15% GST on Income", 2, IF(ChartOfAccounts!F156="15% GST on Expenses", 1, IF(ChartOfAccounts!F156="No GST", 0, "")))</f>
        <v>0</v>
      </c>
    </row>
    <row r="157" customFormat="false" ht="14.25" hidden="false" customHeight="false" outlineLevel="0" collapsed="false">
      <c r="A157" s="1" t="n">
        <f aca="false">ChartOfAccounts!A157</f>
        <v>605</v>
      </c>
      <c r="B157" s="1" t="str">
        <f aca="false">ChartOfAccounts!C157</f>
        <v>Savings Account</v>
      </c>
      <c r="C157" s="1" t="n">
        <f aca="false">IFERROR(VLOOKUP(A157,'Trial Balance '!A:H,3,0),0)</f>
        <v>0</v>
      </c>
      <c r="E157" s="1" t="n">
        <f aca="false">IFERROR(VLOOKUP(A157,'Trial Balance '!A:H,4,0),0)</f>
        <v>0</v>
      </c>
      <c r="G157" s="1" t="n">
        <f aca="false">IF(ChartOfAccounts!F157="15% GST on Income", 2, IF(ChartOfAccounts!F157="15% GST on Expenses", 1, IF(ChartOfAccounts!F157="No GST", 0, "")))</f>
        <v>0</v>
      </c>
    </row>
    <row r="158" customFormat="false" ht="14.25" hidden="false" customHeight="false" outlineLevel="0" collapsed="false">
      <c r="A158" s="1" t="str">
        <f aca="false">ChartOfAccounts!A158</f>
        <v>605/01</v>
      </c>
      <c r="B158" s="1" t="str">
        <f aca="false">ChartOfAccounts!C158</f>
        <v>Savings Account 1</v>
      </c>
      <c r="C158" s="1" t="n">
        <f aca="false">IFERROR(VLOOKUP(A158,'Trial Balance '!A:H,3,0),0)</f>
        <v>0</v>
      </c>
      <c r="E158" s="1" t="n">
        <f aca="false">IFERROR(VLOOKUP(A158,'Trial Balance '!A:H,4,0),0)</f>
        <v>0</v>
      </c>
      <c r="G158" s="1" t="n">
        <f aca="false">IF(ChartOfAccounts!F158="15% GST on Income", 2, IF(ChartOfAccounts!F158="15% GST on Expenses", 1, IF(ChartOfAccounts!F158="No GST", 0, "")))</f>
        <v>0</v>
      </c>
    </row>
    <row r="159" customFormat="false" ht="14.25" hidden="false" customHeight="false" outlineLevel="0" collapsed="false">
      <c r="A159" s="1" t="str">
        <f aca="false">ChartOfAccounts!A159</f>
        <v>605/02</v>
      </c>
      <c r="B159" s="1" t="str">
        <f aca="false">ChartOfAccounts!C159</f>
        <v>Savings Account 2</v>
      </c>
      <c r="C159" s="1" t="n">
        <f aca="false">IFERROR(VLOOKUP(A159,'Trial Balance '!A:H,3,0),0)</f>
        <v>0</v>
      </c>
      <c r="E159" s="1" t="n">
        <f aca="false">IFERROR(VLOOKUP(A159,'Trial Balance '!A:H,4,0),0)</f>
        <v>0</v>
      </c>
      <c r="G159" s="1" t="n">
        <f aca="false">IF(ChartOfAccounts!F159="15% GST on Income", 2, IF(ChartOfAccounts!F159="15% GST on Expenses", 1, IF(ChartOfAccounts!F159="No GST", 0, "")))</f>
        <v>0</v>
      </c>
    </row>
    <row r="160" customFormat="false" ht="14.25" hidden="false" customHeight="false" outlineLevel="0" collapsed="false">
      <c r="A160" s="1" t="n">
        <f aca="false">ChartOfAccounts!A160</f>
        <v>610</v>
      </c>
      <c r="B160" s="1" t="str">
        <f aca="false">ChartOfAccounts!C160</f>
        <v>Credit Card</v>
      </c>
      <c r="C160" s="1" t="n">
        <f aca="false">IFERROR(VLOOKUP(A160,'Trial Balance '!A:H,3,0),0)</f>
        <v>0</v>
      </c>
      <c r="E160" s="1" t="n">
        <f aca="false">IFERROR(VLOOKUP(A160,'Trial Balance '!A:H,4,0),0)</f>
        <v>0</v>
      </c>
      <c r="G160" s="1" t="n">
        <f aca="false">IF(ChartOfAccounts!F160="15% GST on Income", 2, IF(ChartOfAccounts!F160="15% GST on Expenses", 1, IF(ChartOfAccounts!F160="No GST", 0, "")))</f>
        <v>0</v>
      </c>
    </row>
    <row r="161" customFormat="false" ht="14.25" hidden="false" customHeight="false" outlineLevel="0" collapsed="false">
      <c r="A161" s="1" t="str">
        <f aca="false">ChartOfAccounts!A161</f>
        <v>610/01</v>
      </c>
      <c r="B161" s="1" t="str">
        <f aca="false">ChartOfAccounts!C161</f>
        <v>Credit Card 1</v>
      </c>
      <c r="C161" s="1" t="n">
        <f aca="false">IFERROR(VLOOKUP(A161,'Trial Balance '!A:H,3,0),0)</f>
        <v>0</v>
      </c>
      <c r="E161" s="1" t="n">
        <f aca="false">IFERROR(VLOOKUP(A161,'Trial Balance '!A:H,4,0),0)</f>
        <v>0</v>
      </c>
      <c r="G161" s="1" t="n">
        <f aca="false">IF(ChartOfAccounts!F161="15% GST on Income", 2, IF(ChartOfAccounts!F161="15% GST on Expenses", 1, IF(ChartOfAccounts!F161="No GST", 0, "")))</f>
        <v>0</v>
      </c>
    </row>
    <row r="162" customFormat="false" ht="14.25" hidden="false" customHeight="false" outlineLevel="0" collapsed="false">
      <c r="A162" s="1" t="str">
        <f aca="false">ChartOfAccounts!A162</f>
        <v>610/02</v>
      </c>
      <c r="B162" s="1" t="str">
        <f aca="false">ChartOfAccounts!C162</f>
        <v>Credit Card 2</v>
      </c>
      <c r="C162" s="1" t="n">
        <f aca="false">IFERROR(VLOOKUP(A162,'Trial Balance '!A:H,3,0),0)</f>
        <v>0</v>
      </c>
      <c r="E162" s="1" t="n">
        <f aca="false">IFERROR(VLOOKUP(A162,'Trial Balance '!A:H,4,0),0)</f>
        <v>0</v>
      </c>
      <c r="G162" s="1" t="n">
        <f aca="false">IF(ChartOfAccounts!F162="15% GST on Income", 2, IF(ChartOfAccounts!F162="15% GST on Expenses", 1, IF(ChartOfAccounts!F162="No GST", 0, "")))</f>
        <v>0</v>
      </c>
    </row>
    <row r="163" customFormat="false" ht="14.25" hidden="false" customHeight="false" outlineLevel="0" collapsed="false">
      <c r="A163" s="1" t="str">
        <f aca="false">ChartOfAccounts!A163</f>
        <v>610A</v>
      </c>
      <c r="B163" s="1" t="str">
        <f aca="false">ChartOfAccounts!C163</f>
        <v>Accounts Receivable</v>
      </c>
      <c r="C163" s="1" t="n">
        <f aca="false">IFERROR(VLOOKUP(A163,'Trial Balance '!A:H,3,0),0)</f>
        <v>0</v>
      </c>
      <c r="E163" s="1" t="n">
        <f aca="false">IFERROR(VLOOKUP(A163,'Trial Balance '!A:H,4,0),0)</f>
        <v>0</v>
      </c>
      <c r="G163" s="1" t="n">
        <f aca="false">IF(ChartOfAccounts!F163="15% GST on Income", 2, IF(ChartOfAccounts!F163="15% GST on Expenses", 1, IF(ChartOfAccounts!F163="No GST", 0, "")))</f>
        <v>0</v>
      </c>
    </row>
    <row r="164" customFormat="false" ht="14.25" hidden="false" customHeight="false" outlineLevel="0" collapsed="false">
      <c r="A164" s="1" t="n">
        <f aca="false">ChartOfAccounts!A164</f>
        <v>625</v>
      </c>
      <c r="B164" s="1" t="str">
        <f aca="false">ChartOfAccounts!C164</f>
        <v>Medhurst Rd - Trees</v>
      </c>
      <c r="C164" s="1" t="str">
        <f aca="false">IFERROR(VLOOKUP(A164,'Trial Balance '!A:H,3,0),0)</f>
        <v>Current Liability</v>
      </c>
      <c r="E164" s="1" t="n">
        <f aca="false">IFERROR(VLOOKUP(A164,'Trial Balance '!A:H,4,0),0)</f>
        <v>0</v>
      </c>
      <c r="G164" s="1" t="n">
        <f aca="false">IF(ChartOfAccounts!F164="15% GST on Income", 2, IF(ChartOfAccounts!F164="15% GST on Expenses", 1, IF(ChartOfAccounts!F164="No GST", 0, "")))</f>
        <v>0</v>
      </c>
    </row>
    <row r="165" customFormat="false" ht="14.25" hidden="false" customHeight="false" outlineLevel="0" collapsed="false">
      <c r="A165" s="1" t="n">
        <f aca="false">ChartOfAccounts!A165</f>
        <v>626</v>
      </c>
      <c r="B165" s="1" t="str">
        <f aca="false">ChartOfAccounts!C165</f>
        <v>Other Accounts Receivable</v>
      </c>
      <c r="C165" s="1" t="str">
        <f aca="false">IFERROR(VLOOKUP(A165,'Trial Balance '!A:H,3,0),0)</f>
        <v>Current Asset</v>
      </c>
      <c r="E165" s="1" t="n">
        <f aca="false">IFERROR(VLOOKUP(A165,'Trial Balance '!A:H,4,0),0)</f>
        <v>0</v>
      </c>
      <c r="G165" s="1" t="n">
        <f aca="false">IF(ChartOfAccounts!F165="15% GST on Income", 2, IF(ChartOfAccounts!F165="15% GST on Expenses", 1, IF(ChartOfAccounts!F165="No GST", 0, "")))</f>
        <v>0</v>
      </c>
    </row>
    <row r="166" customFormat="false" ht="14.25" hidden="false" customHeight="false" outlineLevel="0" collapsed="false">
      <c r="A166" s="1" t="str">
        <f aca="false">ChartOfAccounts!A166</f>
        <v>626/01</v>
      </c>
      <c r="B166" s="1" t="str">
        <f aca="false">ChartOfAccounts!C166</f>
        <v>Auckland Property Management - Trust A/c</v>
      </c>
      <c r="C166" s="1" t="n">
        <f aca="false">IFERROR(VLOOKUP(A166,'Trial Balance '!A:H,3,0),0)</f>
        <v>0</v>
      </c>
      <c r="E166" s="1" t="n">
        <f aca="false">IFERROR(VLOOKUP(A166,'Trial Balance '!A:H,4,0),0)</f>
        <v>0</v>
      </c>
      <c r="G166" s="1" t="n">
        <f aca="false">IF(ChartOfAccounts!F166="15% GST on Income", 2, IF(ChartOfAccounts!F166="15% GST on Expenses", 1, IF(ChartOfAccounts!F166="No GST", 0, "")))</f>
        <v>0</v>
      </c>
    </row>
    <row r="167" customFormat="false" ht="14.25" hidden="false" customHeight="false" outlineLevel="0" collapsed="false">
      <c r="A167" s="1" t="str">
        <f aca="false">ChartOfAccounts!A167</f>
        <v>626/02</v>
      </c>
      <c r="B167" s="1" t="str">
        <f aca="false">ChartOfAccounts!C167</f>
        <v>Harcourts Trust A/c</v>
      </c>
      <c r="C167" s="1" t="n">
        <f aca="false">IFERROR(VLOOKUP(A167,'Trial Balance '!A:H,3,0),0)</f>
        <v>0</v>
      </c>
      <c r="E167" s="1" t="n">
        <f aca="false">IFERROR(VLOOKUP(A167,'Trial Balance '!A:H,4,0),0)</f>
        <v>0</v>
      </c>
      <c r="G167" s="1" t="n">
        <f aca="false">IF(ChartOfAccounts!F167="15% GST on Income", 2, IF(ChartOfAccounts!F167="15% GST on Expenses", 1, IF(ChartOfAccounts!F167="No GST", 0, "")))</f>
        <v>0</v>
      </c>
    </row>
    <row r="168" customFormat="false" ht="14.25" hidden="false" customHeight="false" outlineLevel="0" collapsed="false">
      <c r="A168" s="1" t="str">
        <f aca="false">ChartOfAccounts!A168</f>
        <v>626/03</v>
      </c>
      <c r="B168" s="1" t="str">
        <f aca="false">ChartOfAccounts!C168</f>
        <v>360 Property Management A/c</v>
      </c>
      <c r="C168" s="1" t="n">
        <f aca="false">IFERROR(VLOOKUP(A168,'Trial Balance '!A:H,3,0),0)</f>
        <v>0</v>
      </c>
      <c r="E168" s="1" t="n">
        <f aca="false">IFERROR(VLOOKUP(A168,'Trial Balance '!A:H,4,0),0)</f>
        <v>0</v>
      </c>
      <c r="G168" s="1" t="n">
        <f aca="false">IF(ChartOfAccounts!F168="15% GST on Income", 2, IF(ChartOfAccounts!F168="15% GST on Expenses", 1, IF(ChartOfAccounts!F168="No GST", 0, "")))</f>
        <v>0</v>
      </c>
    </row>
    <row r="169" customFormat="false" ht="14.25" hidden="false" customHeight="false" outlineLevel="0" collapsed="false">
      <c r="A169" s="1" t="n">
        <f aca="false">ChartOfAccounts!A169</f>
        <v>627</v>
      </c>
      <c r="B169" s="1" t="str">
        <f aca="false">ChartOfAccounts!C169</f>
        <v>Sundry Debtor</v>
      </c>
      <c r="C169" s="1" t="n">
        <f aca="false">IFERROR(VLOOKUP(A169,'Trial Balance '!A:H,3,0),0)</f>
        <v>0</v>
      </c>
      <c r="E169" s="1" t="n">
        <f aca="false">IFERROR(VLOOKUP(A169,'Trial Balance '!A:H,4,0),0)</f>
        <v>0</v>
      </c>
      <c r="G169" s="1" t="n">
        <f aca="false">IF(ChartOfAccounts!F169="15% GST on Income", 2, IF(ChartOfAccounts!F169="15% GST on Expenses", 1, IF(ChartOfAccounts!F169="No GST", 0, "")))</f>
        <v>0</v>
      </c>
    </row>
    <row r="170" customFormat="false" ht="14.25" hidden="false" customHeight="false" outlineLevel="0" collapsed="false">
      <c r="A170" s="1" t="n">
        <f aca="false">ChartOfAccounts!A170</f>
        <v>628</v>
      </c>
      <c r="B170" s="1" t="str">
        <f aca="false">ChartOfAccounts!C170</f>
        <v>Work In Progress</v>
      </c>
      <c r="C170" s="1" t="n">
        <f aca="false">IFERROR(VLOOKUP(A170,'Trial Balance '!A:H,3,0),0)</f>
        <v>0</v>
      </c>
      <c r="E170" s="1" t="n">
        <f aca="false">IFERROR(VLOOKUP(A170,'Trial Balance '!A:H,4,0),0)</f>
        <v>0</v>
      </c>
      <c r="G170" s="1" t="n">
        <f aca="false">IF(ChartOfAccounts!F170="15% GST on Income", 2, IF(ChartOfAccounts!F170="15% GST on Expenses", 1, IF(ChartOfAccounts!F170="No GST", 0, "")))</f>
        <v>0</v>
      </c>
    </row>
    <row r="171" customFormat="false" ht="14.25" hidden="false" customHeight="false" outlineLevel="0" collapsed="false">
      <c r="A171" s="1" t="n">
        <f aca="false">ChartOfAccounts!A171</f>
        <v>629</v>
      </c>
      <c r="B171" s="1" t="str">
        <f aca="false">ChartOfAccounts!C171</f>
        <v>Inventory</v>
      </c>
      <c r="C171" s="1" t="n">
        <f aca="false">IFERROR(VLOOKUP(A171,'Trial Balance '!A:H,3,0),0)</f>
        <v>0</v>
      </c>
      <c r="E171" s="1" t="n">
        <f aca="false">IFERROR(VLOOKUP(A171,'Trial Balance '!A:H,4,0),0)</f>
        <v>0</v>
      </c>
      <c r="G171" s="1" t="n">
        <f aca="false">IF(ChartOfAccounts!F171="15% GST on Income", 2, IF(ChartOfAccounts!F171="15% GST on Expenses", 1, IF(ChartOfAccounts!F171="No GST", 0, "")))</f>
        <v>0</v>
      </c>
    </row>
    <row r="172" customFormat="false" ht="14.25" hidden="false" customHeight="false" outlineLevel="0" collapsed="false">
      <c r="A172" s="1" t="n">
        <f aca="false">ChartOfAccounts!A172</f>
        <v>640</v>
      </c>
      <c r="B172" s="1" t="str">
        <f aca="false">ChartOfAccounts!C172</f>
        <v>Kamat Family Trust</v>
      </c>
      <c r="C172" s="1" t="n">
        <f aca="false">IFERROR(VLOOKUP(A172,'Trial Balance '!A:H,3,0),0)</f>
        <v>0</v>
      </c>
      <c r="E172" s="1" t="n">
        <f aca="false">IFERROR(VLOOKUP(A172,'Trial Balance '!A:H,4,0),0)</f>
        <v>0</v>
      </c>
      <c r="G172" s="1" t="n">
        <f aca="false">IF(ChartOfAccounts!F172="15% GST on Income", 2, IF(ChartOfAccounts!F172="15% GST on Expenses", 1, IF(ChartOfAccounts!F172="No GST", 0, "")))</f>
        <v>0</v>
      </c>
    </row>
    <row r="173" customFormat="false" ht="14.25" hidden="false" customHeight="false" outlineLevel="0" collapsed="false">
      <c r="A173" s="1" t="n">
        <f aca="false">ChartOfAccounts!A173</f>
        <v>650</v>
      </c>
      <c r="B173" s="1" t="str">
        <f aca="false">ChartOfAccounts!C173</f>
        <v>Franklin Law Trust Account</v>
      </c>
      <c r="C173" s="1" t="str">
        <f aca="false">IFERROR(VLOOKUP(A173,'Trial Balance '!A:H,3,0),0)</f>
        <v>Current Asset</v>
      </c>
      <c r="E173" s="1" t="n">
        <f aca="false">IFERROR(VLOOKUP(A173,'Trial Balance '!A:H,4,0),0)</f>
        <v>0</v>
      </c>
      <c r="G173" s="1" t="n">
        <f aca="false">IF(ChartOfAccounts!F173="15% GST on Income", 2, IF(ChartOfAccounts!F173="15% GST on Expenses", 1, IF(ChartOfAccounts!F173="No GST", 0, "")))</f>
        <v>0</v>
      </c>
    </row>
    <row r="174" customFormat="false" ht="14.25" hidden="false" customHeight="false" outlineLevel="0" collapsed="false">
      <c r="A174" s="1" t="n">
        <f aca="false">ChartOfAccounts!A174</f>
        <v>670</v>
      </c>
      <c r="B174" s="1" t="str">
        <f aca="false">ChartOfAccounts!C174</f>
        <v>Loan to Related Party (DO NOT USE)</v>
      </c>
      <c r="C174" s="1" t="n">
        <f aca="false">IFERROR(VLOOKUP(A174,'Trial Balance '!A:H,3,0),0)</f>
        <v>0</v>
      </c>
      <c r="E174" s="1" t="n">
        <f aca="false">IFERROR(VLOOKUP(A174,'Trial Balance '!A:H,4,0),0)</f>
        <v>0</v>
      </c>
      <c r="G174" s="1" t="n">
        <f aca="false">IF(ChartOfAccounts!F174="15% GST on Income", 2, IF(ChartOfAccounts!F174="15% GST on Expenses", 1, IF(ChartOfAccounts!F174="No GST", 0, "")))</f>
        <v>0</v>
      </c>
    </row>
    <row r="175" customFormat="false" ht="14.25" hidden="false" customHeight="false" outlineLevel="0" collapsed="false">
      <c r="A175" s="1" t="str">
        <f aca="false">ChartOfAccounts!A175</f>
        <v>700/01</v>
      </c>
      <c r="B175" s="1" t="str">
        <f aca="false">ChartOfAccounts!C175</f>
        <v>1/63&amp;2/63 Mahia Rd,Manurewa</v>
      </c>
      <c r="C175" s="1" t="str">
        <f aca="false">IFERROR(VLOOKUP(A175,'Trial Balance '!A:H,3,0),0)</f>
        <v>Fixed Asset</v>
      </c>
      <c r="E175" s="1" t="n">
        <f aca="false">IFERROR(VLOOKUP(A175,'Trial Balance '!A:H,4,0),0)</f>
        <v>0</v>
      </c>
      <c r="G175" s="1" t="n">
        <f aca="false">IF(ChartOfAccounts!F175="15% GST on Income", 2, IF(ChartOfAccounts!F175="15% GST on Expenses", 1, IF(ChartOfAccounts!F175="No GST", 0, "")))</f>
        <v>1</v>
      </c>
    </row>
    <row r="176" customFormat="false" ht="14.25" hidden="false" customHeight="false" outlineLevel="0" collapsed="false">
      <c r="A176" s="1" t="str">
        <f aca="false">ChartOfAccounts!A176</f>
        <v>700/02</v>
      </c>
      <c r="B176" s="1" t="str">
        <f aca="false">ChartOfAccounts!C176</f>
        <v>Lot #9 - Medhurst Road, Bombay</v>
      </c>
      <c r="C176" s="1" t="n">
        <f aca="false">IFERROR(VLOOKUP(A176,'Trial Balance '!A:H,3,0),0)</f>
        <v>0</v>
      </c>
      <c r="E176" s="1" t="n">
        <f aca="false">IFERROR(VLOOKUP(A176,'Trial Balance '!A:H,4,0),0)</f>
        <v>0</v>
      </c>
      <c r="G176" s="1" t="n">
        <f aca="false">IF(ChartOfAccounts!F176="15% GST on Income", 2, IF(ChartOfAccounts!F176="15% GST on Expenses", 1, IF(ChartOfAccounts!F176="No GST", 0, "")))</f>
        <v>1</v>
      </c>
    </row>
    <row r="177" customFormat="false" ht="14.25" hidden="false" customHeight="false" outlineLevel="0" collapsed="false">
      <c r="A177" s="1" t="str">
        <f aca="false">ChartOfAccounts!A177</f>
        <v>700/03</v>
      </c>
      <c r="B177" s="1" t="str">
        <f aca="false">ChartOfAccounts!C177</f>
        <v>Lot #12 Medhurst Road, Bombay</v>
      </c>
      <c r="C177" s="1" t="n">
        <f aca="false">IFERROR(VLOOKUP(A177,'Trial Balance '!A:H,3,0),0)</f>
        <v>0</v>
      </c>
      <c r="E177" s="1" t="n">
        <f aca="false">IFERROR(VLOOKUP(A177,'Trial Balance '!A:H,4,0),0)</f>
        <v>0</v>
      </c>
      <c r="G177" s="1" t="n">
        <f aca="false">IF(ChartOfAccounts!F177="15% GST on Income", 2, IF(ChartOfAccounts!F177="15% GST on Expenses", 1, IF(ChartOfAccounts!F177="No GST", 0, "")))</f>
        <v>1</v>
      </c>
    </row>
    <row r="178" customFormat="false" ht="14.25" hidden="false" customHeight="false" outlineLevel="0" collapsed="false">
      <c r="A178" s="1" t="str">
        <f aca="false">ChartOfAccounts!A178</f>
        <v>700/04</v>
      </c>
      <c r="B178" s="1" t="str">
        <f aca="false">ChartOfAccounts!C178</f>
        <v>Lot #15 Pinnacle Hill Road, Bombay</v>
      </c>
      <c r="C178" s="1" t="str">
        <f aca="false">IFERROR(VLOOKUP(A178,'Trial Balance '!A:H,3,0),0)</f>
        <v>Fixed Asset</v>
      </c>
      <c r="E178" s="1" t="n">
        <f aca="false">IFERROR(VLOOKUP(A178,'Trial Balance '!A:H,4,0),0)</f>
        <v>0</v>
      </c>
      <c r="G178" s="1" t="n">
        <f aca="false">IF(ChartOfAccounts!F178="15% GST on Income", 2, IF(ChartOfAccounts!F178="15% GST on Expenses", 1, IF(ChartOfAccounts!F178="No GST", 0, "")))</f>
        <v>1</v>
      </c>
    </row>
    <row r="179" customFormat="false" ht="14.25" hidden="false" customHeight="false" outlineLevel="0" collapsed="false">
      <c r="A179" s="1" t="str">
        <f aca="false">ChartOfAccounts!A179</f>
        <v>700/05</v>
      </c>
      <c r="B179" s="1" t="str">
        <f aca="false">ChartOfAccounts!C179</f>
        <v>Lot #10 Medhurst Road, Bombay</v>
      </c>
      <c r="C179" s="1" t="n">
        <f aca="false">IFERROR(VLOOKUP(A179,'Trial Balance '!A:H,3,0),0)</f>
        <v>0</v>
      </c>
      <c r="E179" s="1" t="n">
        <f aca="false">IFERROR(VLOOKUP(A179,'Trial Balance '!A:H,4,0),0)</f>
        <v>0</v>
      </c>
      <c r="G179" s="1" t="n">
        <f aca="false">IF(ChartOfAccounts!F179="15% GST on Income", 2, IF(ChartOfAccounts!F179="15% GST on Expenses", 1, IF(ChartOfAccounts!F179="No GST", 0, "")))</f>
        <v>1</v>
      </c>
    </row>
    <row r="180" customFormat="false" ht="14.25" hidden="false" customHeight="false" outlineLevel="0" collapsed="false">
      <c r="A180" s="1" t="str">
        <f aca="false">ChartOfAccounts!A180</f>
        <v>700/06</v>
      </c>
      <c r="B180" s="1" t="str">
        <f aca="false">ChartOfAccounts!C180</f>
        <v>Medhurst Road - Farm</v>
      </c>
      <c r="C180" s="1" t="str">
        <f aca="false">IFERROR(VLOOKUP(A180,'Trial Balance '!A:H,3,0),0)</f>
        <v>Fixed Asset</v>
      </c>
      <c r="E180" s="1" t="n">
        <f aca="false">IFERROR(VLOOKUP(A180,'Trial Balance '!A:H,4,0),0)</f>
        <v>0</v>
      </c>
      <c r="G180" s="1" t="n">
        <f aca="false">IF(ChartOfAccounts!F180="15% GST on Income", 2, IF(ChartOfAccounts!F180="15% GST on Expenses", 1, IF(ChartOfAccounts!F180="No GST", 0, "")))</f>
        <v>0</v>
      </c>
    </row>
    <row r="181" customFormat="false" ht="14.25" hidden="false" customHeight="false" outlineLevel="0" collapsed="false">
      <c r="A181" s="1" t="str">
        <f aca="false">ChartOfAccounts!A181</f>
        <v>700/07</v>
      </c>
      <c r="B181" s="1" t="str">
        <f aca="false">ChartOfAccounts!C181</f>
        <v>Lot 1, Medhurst Road, Bombay</v>
      </c>
      <c r="C181" s="1" t="str">
        <f aca="false">IFERROR(VLOOKUP(A181,'Trial Balance '!A:H,3,0),0)</f>
        <v>Fixed Asset</v>
      </c>
      <c r="E181" s="1" t="n">
        <f aca="false">IFERROR(VLOOKUP(A181,'Trial Balance '!A:H,4,0),0)</f>
        <v>0</v>
      </c>
      <c r="G181" s="1" t="n">
        <f aca="false">IF(ChartOfAccounts!F181="15% GST on Income", 2, IF(ChartOfAccounts!F181="15% GST on Expenses", 1, IF(ChartOfAccounts!F181="No GST", 0, "")))</f>
        <v>0</v>
      </c>
    </row>
    <row r="182" customFormat="false" ht="14.25" hidden="false" customHeight="false" outlineLevel="0" collapsed="false">
      <c r="A182" s="1" t="str">
        <f aca="false">ChartOfAccounts!A182</f>
        <v>700/08</v>
      </c>
      <c r="B182" s="1" t="str">
        <f aca="false">ChartOfAccounts!C182</f>
        <v>122a Medhurst Road, Bombay</v>
      </c>
      <c r="C182" s="1" t="str">
        <f aca="false">IFERROR(VLOOKUP(A182,'Trial Balance '!A:H,3,0),0)</f>
        <v>Fixed Asset</v>
      </c>
      <c r="E182" s="1" t="n">
        <f aca="false">IFERROR(VLOOKUP(A182,'Trial Balance '!A:H,4,0),0)</f>
        <v>0</v>
      </c>
      <c r="G182" s="1" t="n">
        <f aca="false">IF(ChartOfAccounts!F182="15% GST on Income", 2, IF(ChartOfAccounts!F182="15% GST on Expenses", 1, IF(ChartOfAccounts!F182="No GST", 0, "")))</f>
        <v>0</v>
      </c>
    </row>
    <row r="183" customFormat="false" ht="14.25" hidden="false" customHeight="false" outlineLevel="0" collapsed="false">
      <c r="A183" s="1" t="str">
        <f aca="false">ChartOfAccounts!A183</f>
        <v>700/09</v>
      </c>
      <c r="B183" s="1" t="str">
        <f aca="false">ChartOfAccounts!C183</f>
        <v>122b Medhurst Road, Bombay</v>
      </c>
      <c r="C183" s="1" t="str">
        <f aca="false">IFERROR(VLOOKUP(A183,'Trial Balance '!A:H,3,0),0)</f>
        <v>Fixed Asset</v>
      </c>
      <c r="E183" s="1" t="n">
        <f aca="false">IFERROR(VLOOKUP(A183,'Trial Balance '!A:H,4,0),0)</f>
        <v>0</v>
      </c>
      <c r="G183" s="1" t="n">
        <f aca="false">IF(ChartOfAccounts!F183="15% GST on Income", 2, IF(ChartOfAccounts!F183="15% GST on Expenses", 1, IF(ChartOfAccounts!F183="No GST", 0, "")))</f>
        <v>0</v>
      </c>
    </row>
    <row r="184" customFormat="false" ht="14.25" hidden="false" customHeight="false" outlineLevel="0" collapsed="false">
      <c r="A184" s="1" t="str">
        <f aca="false">ChartOfAccounts!A184</f>
        <v>700/10</v>
      </c>
      <c r="B184" s="1" t="str">
        <f aca="false">ChartOfAccounts!C184</f>
        <v>122c Medhurst Road, Bombay</v>
      </c>
      <c r="C184" s="1" t="str">
        <f aca="false">IFERROR(VLOOKUP(A184,'Trial Balance '!A:H,3,0),0)</f>
        <v>Fixed Asset</v>
      </c>
      <c r="E184" s="1" t="n">
        <f aca="false">IFERROR(VLOOKUP(A184,'Trial Balance '!A:H,4,0),0)</f>
        <v>0</v>
      </c>
      <c r="G184" s="1" t="n">
        <f aca="false">IF(ChartOfAccounts!F184="15% GST on Income", 2, IF(ChartOfAccounts!F184="15% GST on Expenses", 1, IF(ChartOfAccounts!F184="No GST", 0, "")))</f>
        <v>0</v>
      </c>
    </row>
    <row r="185" customFormat="false" ht="14.25" hidden="false" customHeight="false" outlineLevel="0" collapsed="false">
      <c r="A185" s="1" t="str">
        <f aca="false">ChartOfAccounts!A185</f>
        <v>700/11</v>
      </c>
      <c r="B185" s="1" t="str">
        <f aca="false">ChartOfAccounts!C185</f>
        <v>122d Medhurst Road, Bombay</v>
      </c>
      <c r="C185" s="1" t="n">
        <f aca="false">IFERROR(VLOOKUP(A185,'Trial Balance '!A:H,3,0),0)</f>
        <v>0</v>
      </c>
      <c r="E185" s="1" t="n">
        <f aca="false">IFERROR(VLOOKUP(A185,'Trial Balance '!A:H,4,0),0)</f>
        <v>0</v>
      </c>
      <c r="G185" s="1" t="n">
        <f aca="false">IF(ChartOfAccounts!F185="15% GST on Income", 2, IF(ChartOfAccounts!F185="15% GST on Expenses", 1, IF(ChartOfAccounts!F185="No GST", 0, "")))</f>
        <v>0</v>
      </c>
    </row>
    <row r="186" customFormat="false" ht="14.25" hidden="false" customHeight="false" outlineLevel="0" collapsed="false">
      <c r="A186" s="1" t="str">
        <f aca="false">ChartOfAccounts!A186</f>
        <v>700/12</v>
      </c>
      <c r="B186" s="1" t="str">
        <f aca="false">ChartOfAccounts!C186</f>
        <v>Property 12</v>
      </c>
      <c r="C186" s="1" t="n">
        <f aca="false">IFERROR(VLOOKUP(A186,'Trial Balance '!A:H,3,0),0)</f>
        <v>0</v>
      </c>
      <c r="E186" s="1" t="n">
        <f aca="false">IFERROR(VLOOKUP(A186,'Trial Balance '!A:H,4,0),0)</f>
        <v>0</v>
      </c>
      <c r="G186" s="1" t="n">
        <f aca="false">IF(ChartOfAccounts!F186="15% GST on Income", 2, IF(ChartOfAccounts!F186="15% GST on Expenses", 1, IF(ChartOfAccounts!F186="No GST", 0, "")))</f>
        <v>1</v>
      </c>
    </row>
    <row r="187" customFormat="false" ht="14.25" hidden="false" customHeight="false" outlineLevel="0" collapsed="false">
      <c r="A187" s="1" t="str">
        <f aca="false">ChartOfAccounts!A187</f>
        <v>701/01</v>
      </c>
      <c r="B187" s="1" t="str">
        <f aca="false">ChartOfAccounts!C187</f>
        <v>PROV FOR DEPN - 1/63&amp;2/63 Mahia Rd,Manurewa</v>
      </c>
      <c r="C187" s="1" t="str">
        <f aca="false">IFERROR(VLOOKUP(A187,'Trial Balance '!A:H,3,0),0)</f>
        <v>Fixed Asset</v>
      </c>
      <c r="E187" s="1" t="n">
        <f aca="false">IFERROR(VLOOKUP(A187,'Trial Balance '!A:H,4,0),0)</f>
        <v>0</v>
      </c>
      <c r="G187" s="1" t="n">
        <f aca="false">IF(ChartOfAccounts!F187="15% GST on Income", 2, IF(ChartOfAccounts!F187="15% GST on Expenses", 1, IF(ChartOfAccounts!F187="No GST", 0, "")))</f>
        <v>0</v>
      </c>
    </row>
    <row r="188" customFormat="false" ht="14.25" hidden="false" customHeight="false" outlineLevel="0" collapsed="false">
      <c r="A188" s="1" t="str">
        <f aca="false">ChartOfAccounts!A188</f>
        <v>701/02</v>
      </c>
      <c r="B188" s="1" t="str">
        <f aca="false">ChartOfAccounts!C188</f>
        <v>PROV FOR DEPN - Lot #9 - Medhurst Road, Bombay</v>
      </c>
      <c r="C188" s="1" t="n">
        <f aca="false">IFERROR(VLOOKUP(A188,'Trial Balance '!A:H,3,0),0)</f>
        <v>0</v>
      </c>
      <c r="E188" s="1" t="n">
        <f aca="false">IFERROR(VLOOKUP(A188,'Trial Balance '!A:H,4,0),0)</f>
        <v>0</v>
      </c>
      <c r="G188" s="1" t="n">
        <f aca="false">IF(ChartOfAccounts!F188="15% GST on Income", 2, IF(ChartOfAccounts!F188="15% GST on Expenses", 1, IF(ChartOfAccounts!F188="No GST", 0, "")))</f>
        <v>0</v>
      </c>
    </row>
    <row r="189" customFormat="false" ht="14.25" hidden="false" customHeight="false" outlineLevel="0" collapsed="false">
      <c r="A189" s="1" t="str">
        <f aca="false">ChartOfAccounts!A189</f>
        <v>701/03</v>
      </c>
      <c r="B189" s="1" t="str">
        <f aca="false">ChartOfAccounts!C189</f>
        <v>PROV FOR DEPN - Lot #12 Medhurst Road, Bombay</v>
      </c>
      <c r="C189" s="1" t="n">
        <f aca="false">IFERROR(VLOOKUP(A189,'Trial Balance '!A:H,3,0),0)</f>
        <v>0</v>
      </c>
      <c r="E189" s="1" t="n">
        <f aca="false">IFERROR(VLOOKUP(A189,'Trial Balance '!A:H,4,0),0)</f>
        <v>0</v>
      </c>
      <c r="G189" s="1" t="n">
        <f aca="false">IF(ChartOfAccounts!F189="15% GST on Income", 2, IF(ChartOfAccounts!F189="15% GST on Expenses", 1, IF(ChartOfAccounts!F189="No GST", 0, "")))</f>
        <v>0</v>
      </c>
    </row>
    <row r="190" customFormat="false" ht="14.25" hidden="false" customHeight="false" outlineLevel="0" collapsed="false">
      <c r="A190" s="1" t="str">
        <f aca="false">ChartOfAccounts!A190</f>
        <v>701/04</v>
      </c>
      <c r="B190" s="1" t="str">
        <f aca="false">ChartOfAccounts!C190</f>
        <v>PROV FOR DEPN - Lot #15 Pinnacle Hill Road, Bombay</v>
      </c>
      <c r="C190" s="1" t="n">
        <f aca="false">IFERROR(VLOOKUP(A190,'Trial Balance '!A:H,3,0),0)</f>
        <v>0</v>
      </c>
      <c r="E190" s="1" t="n">
        <f aca="false">IFERROR(VLOOKUP(A190,'Trial Balance '!A:H,4,0),0)</f>
        <v>0</v>
      </c>
      <c r="G190" s="1" t="n">
        <f aca="false">IF(ChartOfAccounts!F190="15% GST on Income", 2, IF(ChartOfAccounts!F190="15% GST on Expenses", 1, IF(ChartOfAccounts!F190="No GST", 0, "")))</f>
        <v>0</v>
      </c>
    </row>
    <row r="191" customFormat="false" ht="14.25" hidden="false" customHeight="false" outlineLevel="0" collapsed="false">
      <c r="A191" s="1" t="str">
        <f aca="false">ChartOfAccounts!A191</f>
        <v>701/05</v>
      </c>
      <c r="B191" s="1" t="str">
        <f aca="false">ChartOfAccounts!C191</f>
        <v>PROV FOR DEPN - Lot #10 Medhurst Road, Bombay</v>
      </c>
      <c r="C191" s="1" t="n">
        <f aca="false">IFERROR(VLOOKUP(A191,'Trial Balance '!A:H,3,0),0)</f>
        <v>0</v>
      </c>
      <c r="E191" s="1" t="n">
        <f aca="false">IFERROR(VLOOKUP(A191,'Trial Balance '!A:H,4,0),0)</f>
        <v>0</v>
      </c>
      <c r="G191" s="1" t="n">
        <f aca="false">IF(ChartOfAccounts!F191="15% GST on Income", 2, IF(ChartOfAccounts!F191="15% GST on Expenses", 1, IF(ChartOfAccounts!F191="No GST", 0, "")))</f>
        <v>0</v>
      </c>
    </row>
    <row r="192" customFormat="false" ht="14.25" hidden="false" customHeight="false" outlineLevel="0" collapsed="false">
      <c r="A192" s="1" t="str">
        <f aca="false">ChartOfAccounts!A192</f>
        <v>701/06</v>
      </c>
      <c r="B192" s="1" t="str">
        <f aca="false">ChartOfAccounts!C192</f>
        <v>PROV FOR DEPN - PROPERTY 6</v>
      </c>
      <c r="C192" s="1" t="str">
        <f aca="false">IFERROR(VLOOKUP(A192,'Trial Balance '!A:H,3,0),0)</f>
        <v>Fixed Asset</v>
      </c>
      <c r="E192" s="1" t="n">
        <f aca="false">IFERROR(VLOOKUP(A192,'Trial Balance '!A:H,4,0),0)</f>
        <v>0</v>
      </c>
      <c r="G192" s="1" t="n">
        <f aca="false">IF(ChartOfAccounts!F192="15% GST on Income", 2, IF(ChartOfAccounts!F192="15% GST on Expenses", 1, IF(ChartOfAccounts!F192="No GST", 0, "")))</f>
        <v>0</v>
      </c>
    </row>
    <row r="193" customFormat="false" ht="14.25" hidden="false" customHeight="false" outlineLevel="0" collapsed="false">
      <c r="A193" s="1" t="str">
        <f aca="false">ChartOfAccounts!A193</f>
        <v>701/07</v>
      </c>
      <c r="B193" s="1" t="str">
        <f aca="false">ChartOfAccounts!C193</f>
        <v>PROV FOR DEPN - PROPERTY 7</v>
      </c>
      <c r="C193" s="1" t="n">
        <f aca="false">IFERROR(VLOOKUP(A193,'Trial Balance '!A:H,3,0),0)</f>
        <v>0</v>
      </c>
      <c r="E193" s="1" t="n">
        <f aca="false">IFERROR(VLOOKUP(A193,'Trial Balance '!A:H,4,0),0)</f>
        <v>0</v>
      </c>
      <c r="G193" s="1" t="n">
        <f aca="false">IF(ChartOfAccounts!F193="15% GST on Income", 2, IF(ChartOfAccounts!F193="15% GST on Expenses", 1, IF(ChartOfAccounts!F193="No GST", 0, "")))</f>
        <v>0</v>
      </c>
    </row>
    <row r="194" customFormat="false" ht="14.25" hidden="false" customHeight="false" outlineLevel="0" collapsed="false">
      <c r="A194" s="1" t="str">
        <f aca="false">ChartOfAccounts!A194</f>
        <v>701/08</v>
      </c>
      <c r="B194" s="1" t="str">
        <f aca="false">ChartOfAccounts!C194</f>
        <v>PROV FOR DEPN - PROPERTY 8</v>
      </c>
      <c r="C194" s="1" t="n">
        <f aca="false">IFERROR(VLOOKUP(A194,'Trial Balance '!A:H,3,0),0)</f>
        <v>0</v>
      </c>
      <c r="E194" s="1" t="n">
        <f aca="false">IFERROR(VLOOKUP(A194,'Trial Balance '!A:H,4,0),0)</f>
        <v>0</v>
      </c>
      <c r="G194" s="1" t="n">
        <f aca="false">IF(ChartOfAccounts!F194="15% GST on Income", 2, IF(ChartOfAccounts!F194="15% GST on Expenses", 1, IF(ChartOfAccounts!F194="No GST", 0, "")))</f>
        <v>0</v>
      </c>
    </row>
    <row r="195" customFormat="false" ht="14.25" hidden="false" customHeight="false" outlineLevel="0" collapsed="false">
      <c r="A195" s="1" t="str">
        <f aca="false">ChartOfAccounts!A195</f>
        <v>701/09</v>
      </c>
      <c r="B195" s="1" t="str">
        <f aca="false">ChartOfAccounts!C195</f>
        <v>PROV FOR DEPN - PROPERTY 9</v>
      </c>
      <c r="C195" s="1" t="n">
        <f aca="false">IFERROR(VLOOKUP(A195,'Trial Balance '!A:H,3,0),0)</f>
        <v>0</v>
      </c>
      <c r="E195" s="1" t="n">
        <f aca="false">IFERROR(VLOOKUP(A195,'Trial Balance '!A:H,4,0),0)</f>
        <v>0</v>
      </c>
      <c r="G195" s="1" t="n">
        <f aca="false">IF(ChartOfAccounts!F195="15% GST on Income", 2, IF(ChartOfAccounts!F195="15% GST on Expenses", 1, IF(ChartOfAccounts!F195="No GST", 0, "")))</f>
        <v>0</v>
      </c>
    </row>
    <row r="196" customFormat="false" ht="14.25" hidden="false" customHeight="false" outlineLevel="0" collapsed="false">
      <c r="A196" s="1" t="str">
        <f aca="false">ChartOfAccounts!A196</f>
        <v>701/10</v>
      </c>
      <c r="B196" s="1" t="str">
        <f aca="false">ChartOfAccounts!C196</f>
        <v>PROV FOR DEPN - PROPERTY 10</v>
      </c>
      <c r="C196" s="1" t="n">
        <f aca="false">IFERROR(VLOOKUP(A196,'Trial Balance '!A:H,3,0),0)</f>
        <v>0</v>
      </c>
      <c r="E196" s="1" t="n">
        <f aca="false">IFERROR(VLOOKUP(A196,'Trial Balance '!A:H,4,0),0)</f>
        <v>0</v>
      </c>
      <c r="G196" s="1" t="n">
        <f aca="false">IF(ChartOfAccounts!F196="15% GST on Income", 2, IF(ChartOfAccounts!F196="15% GST on Expenses", 1, IF(ChartOfAccounts!F196="No GST", 0, "")))</f>
        <v>0</v>
      </c>
    </row>
    <row r="197" customFormat="false" ht="14.25" hidden="false" customHeight="false" outlineLevel="0" collapsed="false">
      <c r="A197" s="1" t="str">
        <f aca="false">ChartOfAccounts!A197</f>
        <v>701/11</v>
      </c>
      <c r="B197" s="1" t="str">
        <f aca="false">ChartOfAccounts!C197</f>
        <v>PROV FOR DEPN - PROPERTY 11</v>
      </c>
      <c r="C197" s="1" t="n">
        <f aca="false">IFERROR(VLOOKUP(A197,'Trial Balance '!A:H,3,0),0)</f>
        <v>0</v>
      </c>
      <c r="E197" s="1" t="n">
        <f aca="false">IFERROR(VLOOKUP(A197,'Trial Balance '!A:H,4,0),0)</f>
        <v>0</v>
      </c>
      <c r="G197" s="1" t="n">
        <f aca="false">IF(ChartOfAccounts!F197="15% GST on Income", 2, IF(ChartOfAccounts!F197="15% GST on Expenses", 1, IF(ChartOfAccounts!F197="No GST", 0, "")))</f>
        <v>0</v>
      </c>
    </row>
    <row r="198" customFormat="false" ht="14.25" hidden="false" customHeight="false" outlineLevel="0" collapsed="false">
      <c r="A198" s="1" t="str">
        <f aca="false">ChartOfAccounts!A198</f>
        <v>701/12</v>
      </c>
      <c r="B198" s="1" t="str">
        <f aca="false">ChartOfAccounts!C198</f>
        <v>PROV FOR DEPN - PROPERTY 12</v>
      </c>
      <c r="C198" s="1" t="n">
        <f aca="false">IFERROR(VLOOKUP(A198,'Trial Balance '!A:H,3,0),0)</f>
        <v>0</v>
      </c>
      <c r="E198" s="1" t="n">
        <f aca="false">IFERROR(VLOOKUP(A198,'Trial Balance '!A:H,4,0),0)</f>
        <v>0</v>
      </c>
      <c r="G198" s="1" t="n">
        <f aca="false">IF(ChartOfAccounts!F198="15% GST on Income", 2, IF(ChartOfAccounts!F198="15% GST on Expenses", 1, IF(ChartOfAccounts!F198="No GST", 0, "")))</f>
        <v>0</v>
      </c>
    </row>
    <row r="199" customFormat="false" ht="14.25" hidden="false" customHeight="false" outlineLevel="0" collapsed="false">
      <c r="A199" s="1" t="n">
        <f aca="false">ChartOfAccounts!A199</f>
        <v>702</v>
      </c>
      <c r="B199" s="1" t="str">
        <f aca="false">ChartOfAccounts!C199</f>
        <v>Leasehold Improvements</v>
      </c>
      <c r="C199" s="1" t="n">
        <f aca="false">IFERROR(VLOOKUP(A199,'Trial Balance '!A:H,3,0),0)</f>
        <v>0</v>
      </c>
      <c r="E199" s="1" t="n">
        <f aca="false">IFERROR(VLOOKUP(A199,'Trial Balance '!A:H,4,0),0)</f>
        <v>0</v>
      </c>
      <c r="G199" s="1" t="n">
        <f aca="false">IF(ChartOfAccounts!F199="15% GST on Income", 2, IF(ChartOfAccounts!F199="15% GST on Expenses", 1, IF(ChartOfAccounts!F199="No GST", 0, "")))</f>
        <v>1</v>
      </c>
    </row>
    <row r="200" customFormat="false" ht="14.25" hidden="false" customHeight="false" outlineLevel="0" collapsed="false">
      <c r="A200" s="1" t="n">
        <f aca="false">ChartOfAccounts!A200</f>
        <v>703</v>
      </c>
      <c r="B200" s="1" t="str">
        <f aca="false">ChartOfAccounts!C200</f>
        <v>Accumulated Depr. - Leasehold Improvements</v>
      </c>
      <c r="C200" s="1" t="n">
        <f aca="false">IFERROR(VLOOKUP(A200,'Trial Balance '!A:H,3,0),0)</f>
        <v>0</v>
      </c>
      <c r="E200" s="1" t="n">
        <f aca="false">IFERROR(VLOOKUP(A200,'Trial Balance '!A:H,4,0),0)</f>
        <v>0</v>
      </c>
      <c r="G200" s="1" t="n">
        <f aca="false">IF(ChartOfAccounts!F200="15% GST on Income", 2, IF(ChartOfAccounts!F200="15% GST on Expenses", 1, IF(ChartOfAccounts!F200="No GST", 0, "")))</f>
        <v>0</v>
      </c>
    </row>
    <row r="201" customFormat="false" ht="14.25" hidden="false" customHeight="false" outlineLevel="0" collapsed="false">
      <c r="A201" s="1" t="n">
        <f aca="false">ChartOfAccounts!A201</f>
        <v>704</v>
      </c>
      <c r="B201" s="1" t="str">
        <f aca="false">ChartOfAccounts!C201</f>
        <v>Plant &amp; Equipment</v>
      </c>
      <c r="C201" s="1" t="str">
        <f aca="false">IFERROR(VLOOKUP(A201,'Trial Balance '!A:H,3,0),0)</f>
        <v>Fixed Asset</v>
      </c>
      <c r="E201" s="1" t="n">
        <f aca="false">IFERROR(VLOOKUP(A201,'Trial Balance '!A:H,4,0),0)</f>
        <v>0</v>
      </c>
      <c r="G201" s="1" t="n">
        <f aca="false">IF(ChartOfAccounts!F201="15% GST on Income", 2, IF(ChartOfAccounts!F201="15% GST on Expenses", 1, IF(ChartOfAccounts!F201="No GST", 0, "")))</f>
        <v>1</v>
      </c>
    </row>
    <row r="202" customFormat="false" ht="14.25" hidden="false" customHeight="false" outlineLevel="0" collapsed="false">
      <c r="A202" s="1" t="n">
        <f aca="false">ChartOfAccounts!A202</f>
        <v>705</v>
      </c>
      <c r="B202" s="1" t="str">
        <f aca="false">ChartOfAccounts!C202</f>
        <v>Accumulated Depr. - Plant &amp; Equipment</v>
      </c>
      <c r="C202" s="1" t="str">
        <f aca="false">IFERROR(VLOOKUP(A202,'Trial Balance '!A:H,3,0),0)</f>
        <v>Fixed Asset</v>
      </c>
      <c r="E202" s="1" t="n">
        <f aca="false">IFERROR(VLOOKUP(A202,'Trial Balance '!A:H,4,0),0)</f>
        <v>0</v>
      </c>
      <c r="G202" s="1" t="n">
        <f aca="false">IF(ChartOfAccounts!F202="15% GST on Income", 2, IF(ChartOfAccounts!F202="15% GST on Expenses", 1, IF(ChartOfAccounts!F202="No GST", 0, "")))</f>
        <v>0</v>
      </c>
    </row>
    <row r="203" customFormat="false" ht="14.25" hidden="false" customHeight="false" outlineLevel="0" collapsed="false">
      <c r="A203" s="1" t="n">
        <f aca="false">ChartOfAccounts!A203</f>
        <v>706</v>
      </c>
      <c r="B203" s="1" t="str">
        <f aca="false">ChartOfAccounts!C203</f>
        <v>Motor Vehicles</v>
      </c>
      <c r="C203" s="1" t="str">
        <f aca="false">IFERROR(VLOOKUP(A203,'Trial Balance '!A:H,3,0),0)</f>
        <v>Fixed Asset</v>
      </c>
      <c r="E203" s="1" t="n">
        <f aca="false">IFERROR(VLOOKUP(A203,'Trial Balance '!A:H,4,0),0)</f>
        <v>0</v>
      </c>
      <c r="G203" s="1" t="n">
        <f aca="false">IF(ChartOfAccounts!F203="15% GST on Income", 2, IF(ChartOfAccounts!F203="15% GST on Expenses", 1, IF(ChartOfAccounts!F203="No GST", 0, "")))</f>
        <v>1</v>
      </c>
    </row>
    <row r="204" customFormat="false" ht="14.25" hidden="false" customHeight="false" outlineLevel="0" collapsed="false">
      <c r="A204" s="1" t="n">
        <f aca="false">ChartOfAccounts!A204</f>
        <v>707</v>
      </c>
      <c r="B204" s="1" t="str">
        <f aca="false">ChartOfAccounts!C204</f>
        <v>Accumulated Depr. - Motor Vehicles</v>
      </c>
      <c r="C204" s="1" t="str">
        <f aca="false">IFERROR(VLOOKUP(A204,'Trial Balance '!A:H,3,0),0)</f>
        <v>Fixed Asset</v>
      </c>
      <c r="E204" s="1" t="n">
        <f aca="false">IFERROR(VLOOKUP(A204,'Trial Balance '!A:H,4,0),0)</f>
        <v>0</v>
      </c>
      <c r="G204" s="1" t="n">
        <f aca="false">IF(ChartOfAccounts!F204="15% GST on Income", 2, IF(ChartOfAccounts!F204="15% GST on Expenses", 1, IF(ChartOfAccounts!F204="No GST", 0, "")))</f>
        <v>0</v>
      </c>
    </row>
    <row r="205" customFormat="false" ht="14.25" hidden="false" customHeight="false" outlineLevel="0" collapsed="false">
      <c r="A205" s="1" t="n">
        <f aca="false">ChartOfAccounts!A205</f>
        <v>708</v>
      </c>
      <c r="B205" s="1" t="str">
        <f aca="false">ChartOfAccounts!C205</f>
        <v>Office Equipment</v>
      </c>
      <c r="C205" s="1" t="str">
        <f aca="false">IFERROR(VLOOKUP(A205,'Trial Balance '!A:H,3,0),0)</f>
        <v>Fixed Asset</v>
      </c>
      <c r="E205" s="1" t="n">
        <f aca="false">IFERROR(VLOOKUP(A205,'Trial Balance '!A:H,4,0),0)</f>
        <v>0</v>
      </c>
      <c r="G205" s="1" t="n">
        <f aca="false">IF(ChartOfAccounts!F205="15% GST on Income", 2, IF(ChartOfAccounts!F205="15% GST on Expenses", 1, IF(ChartOfAccounts!F205="No GST", 0, "")))</f>
        <v>1</v>
      </c>
    </row>
    <row r="206" customFormat="false" ht="14.25" hidden="false" customHeight="false" outlineLevel="0" collapsed="false">
      <c r="A206" s="1" t="n">
        <f aca="false">ChartOfAccounts!A206</f>
        <v>709</v>
      </c>
      <c r="B206" s="1" t="str">
        <f aca="false">ChartOfAccounts!C206</f>
        <v>Accumulated Depr. - Office Equipment</v>
      </c>
      <c r="C206" s="1" t="str">
        <f aca="false">IFERROR(VLOOKUP(A206,'Trial Balance '!A:H,3,0),0)</f>
        <v>Fixed Asset</v>
      </c>
      <c r="E206" s="1" t="n">
        <f aca="false">IFERROR(VLOOKUP(A206,'Trial Balance '!A:H,4,0),0)</f>
        <v>0</v>
      </c>
      <c r="G206" s="1" t="n">
        <f aca="false">IF(ChartOfAccounts!F206="15% GST on Income", 2, IF(ChartOfAccounts!F206="15% GST on Expenses", 1, IF(ChartOfAccounts!F206="No GST", 0, "")))</f>
        <v>0</v>
      </c>
    </row>
    <row r="207" customFormat="false" ht="14.25" hidden="false" customHeight="false" outlineLevel="0" collapsed="false">
      <c r="A207" s="1" t="n">
        <f aca="false">ChartOfAccounts!A207</f>
        <v>710</v>
      </c>
      <c r="B207" s="1" t="str">
        <f aca="false">ChartOfAccounts!C207</f>
        <v>Furniture &amp; Fittings</v>
      </c>
      <c r="C207" s="1" t="n">
        <f aca="false">IFERROR(VLOOKUP(A207,'Trial Balance '!A:H,3,0),0)</f>
        <v>0</v>
      </c>
      <c r="E207" s="1" t="n">
        <f aca="false">IFERROR(VLOOKUP(A207,'Trial Balance '!A:H,4,0),0)</f>
        <v>0</v>
      </c>
      <c r="G207" s="1" t="n">
        <f aca="false">IF(ChartOfAccounts!F207="15% GST on Income", 2, IF(ChartOfAccounts!F207="15% GST on Expenses", 1, IF(ChartOfAccounts!F207="No GST", 0, "")))</f>
        <v>1</v>
      </c>
    </row>
    <row r="208" customFormat="false" ht="14.25" hidden="false" customHeight="false" outlineLevel="0" collapsed="false">
      <c r="A208" s="1" t="n">
        <f aca="false">ChartOfAccounts!A208</f>
        <v>711</v>
      </c>
      <c r="B208" s="1" t="str">
        <f aca="false">ChartOfAccounts!C208</f>
        <v>Accumulated Depr. - Furniture &amp; Fittings</v>
      </c>
      <c r="C208" s="1" t="n">
        <f aca="false">IFERROR(VLOOKUP(A208,'Trial Balance '!A:H,3,0),0)</f>
        <v>0</v>
      </c>
      <c r="E208" s="1" t="n">
        <f aca="false">IFERROR(VLOOKUP(A208,'Trial Balance '!A:H,4,0),0)</f>
        <v>0</v>
      </c>
      <c r="G208" s="1" t="n">
        <f aca="false">IF(ChartOfAccounts!F208="15% GST on Income", 2, IF(ChartOfAccounts!F208="15% GST on Expenses", 1, IF(ChartOfAccounts!F208="No GST", 0, "")))</f>
        <v>0</v>
      </c>
    </row>
    <row r="209" customFormat="false" ht="14.25" hidden="false" customHeight="false" outlineLevel="0" collapsed="false">
      <c r="A209" s="1" t="n">
        <f aca="false">ChartOfAccounts!A209</f>
        <v>720</v>
      </c>
      <c r="B209" s="1" t="str">
        <f aca="false">ChartOfAccounts!C209</f>
        <v>Investment in Shares</v>
      </c>
      <c r="C209" s="1" t="n">
        <f aca="false">IFERROR(VLOOKUP(A209,'Trial Balance '!A:H,3,0),0)</f>
        <v>0</v>
      </c>
      <c r="E209" s="1" t="n">
        <f aca="false">IFERROR(VLOOKUP(A209,'Trial Balance '!A:H,4,0),0)</f>
        <v>0</v>
      </c>
      <c r="G209" s="1" t="n">
        <f aca="false">IF(ChartOfAccounts!F209="15% GST on Income", 2, IF(ChartOfAccounts!F209="15% GST on Expenses", 1, IF(ChartOfAccounts!F209="No GST", 0, "")))</f>
        <v>0</v>
      </c>
    </row>
    <row r="210" customFormat="false" ht="14.25" hidden="false" customHeight="false" outlineLevel="0" collapsed="false">
      <c r="A210" s="1" t="n">
        <f aca="false">ChartOfAccounts!A210</f>
        <v>721</v>
      </c>
      <c r="B210" s="1" t="str">
        <f aca="false">ChartOfAccounts!C210</f>
        <v>ANZ PIE Fund Investment</v>
      </c>
      <c r="C210" s="1" t="n">
        <f aca="false">IFERROR(VLOOKUP(A210,'Trial Balance '!A:H,3,0),0)</f>
        <v>0</v>
      </c>
      <c r="E210" s="1" t="n">
        <f aca="false">IFERROR(VLOOKUP(A210,'Trial Balance '!A:H,4,0),0)</f>
        <v>0</v>
      </c>
      <c r="G210" s="1" t="n">
        <f aca="false">IF(ChartOfAccounts!F210="15% GST on Income", 2, IF(ChartOfAccounts!F210="15% GST on Expenses", 1, IF(ChartOfAccounts!F210="No GST", 0, "")))</f>
        <v>0</v>
      </c>
    </row>
    <row r="211" customFormat="false" ht="14.25" hidden="false" customHeight="false" outlineLevel="0" collapsed="false">
      <c r="A211" s="1" t="n">
        <f aca="false">ChartOfAccounts!A211</f>
        <v>722</v>
      </c>
      <c r="B211" s="1" t="str">
        <f aca="false">ChartOfAccounts!C211</f>
        <v>Investment Fund 2</v>
      </c>
      <c r="C211" s="1" t="n">
        <f aca="false">IFERROR(VLOOKUP(A211,'Trial Balance '!A:H,3,0),0)</f>
        <v>0</v>
      </c>
      <c r="E211" s="1" t="n">
        <f aca="false">IFERROR(VLOOKUP(A211,'Trial Balance '!A:H,4,0),0)</f>
        <v>0</v>
      </c>
      <c r="G211" s="1" t="n">
        <f aca="false">IF(ChartOfAccounts!F211="15% GST on Income", 2, IF(ChartOfAccounts!F211="15% GST on Expenses", 1, IF(ChartOfAccounts!F211="No GST", 0, "")))</f>
        <v>0</v>
      </c>
    </row>
    <row r="212" customFormat="false" ht="14.25" hidden="false" customHeight="false" outlineLevel="0" collapsed="false">
      <c r="A212" s="1" t="n">
        <f aca="false">ChartOfAccounts!A212</f>
        <v>779</v>
      </c>
      <c r="B212" s="1" t="str">
        <f aca="false">ChartOfAccounts!C212</f>
        <v>Investments (DO NOT USE)</v>
      </c>
      <c r="C212" s="1" t="n">
        <f aca="false">IFERROR(VLOOKUP(A212,'Trial Balance '!A:H,3,0),0)</f>
        <v>0</v>
      </c>
      <c r="E212" s="1" t="n">
        <f aca="false">IFERROR(VLOOKUP(A212,'Trial Balance '!A:H,4,0),0)</f>
        <v>0</v>
      </c>
      <c r="G212" s="1" t="n">
        <f aca="false">IF(ChartOfAccounts!F212="15% GST on Income", 2, IF(ChartOfAccounts!F212="15% GST on Expenses", 1, IF(ChartOfAccounts!F212="No GST", 0, "")))</f>
        <v>0</v>
      </c>
    </row>
    <row r="213" customFormat="false" ht="14.25" hidden="false" customHeight="false" outlineLevel="0" collapsed="false">
      <c r="A213" s="1" t="n">
        <f aca="false">ChartOfAccounts!A213</f>
        <v>780</v>
      </c>
      <c r="B213" s="1" t="str">
        <f aca="false">ChartOfAccounts!C213</f>
        <v>Company Formation</v>
      </c>
      <c r="C213" s="1" t="str">
        <f aca="false">IFERROR(VLOOKUP(A213,'Trial Balance '!A:H,3,0),0)</f>
        <v>Non-current Asset</v>
      </c>
      <c r="E213" s="1" t="n">
        <f aca="false">IFERROR(VLOOKUP(A213,'Trial Balance '!A:H,4,0),0)</f>
        <v>0</v>
      </c>
      <c r="G213" s="1" t="n">
        <f aca="false">IF(ChartOfAccounts!F213="15% GST on Income", 2, IF(ChartOfAccounts!F213="15% GST on Expenses", 1, IF(ChartOfAccounts!F213="No GST", 0, "")))</f>
        <v>0</v>
      </c>
    </row>
    <row r="214" customFormat="false" ht="14.25" hidden="false" customHeight="false" outlineLevel="0" collapsed="false">
      <c r="A214" s="1" t="n">
        <f aca="false">ChartOfAccounts!A215</f>
        <v>790</v>
      </c>
      <c r="B214" s="1" t="str">
        <f aca="false">ChartOfAccounts!C215</f>
        <v>Goodwill</v>
      </c>
      <c r="C214" s="1" t="n">
        <f aca="false">IFERROR(VLOOKUP(A214,'Trial Balance '!A:H,3,0),0)</f>
        <v>0</v>
      </c>
      <c r="E214" s="1" t="n">
        <f aca="false">IFERROR(VLOOKUP(A214,'Trial Balance '!A:H,4,0),0)</f>
        <v>0</v>
      </c>
      <c r="G214" s="1" t="n">
        <f aca="false">IF(ChartOfAccounts!F215="15% GST on Income", 2, IF(ChartOfAccounts!F215="15% GST on Expenses", 1, IF(ChartOfAccounts!F215="No GST", 0, "")))</f>
        <v>0</v>
      </c>
    </row>
    <row r="215" customFormat="false" ht="14.25" hidden="false" customHeight="false" outlineLevel="0" collapsed="false">
      <c r="A215" s="1" t="n">
        <f aca="false">ChartOfAccounts!A216</f>
        <v>800</v>
      </c>
      <c r="B215" s="1" t="str">
        <f aca="false">ChartOfAccounts!C216</f>
        <v>Other Accounts Payable</v>
      </c>
      <c r="C215" s="1" t="str">
        <f aca="false">IFERROR(VLOOKUP(A215,'Trial Balance '!A:H,3,0),0)</f>
        <v>Current Liability</v>
      </c>
      <c r="E215" s="1" t="n">
        <f aca="false">IFERROR(VLOOKUP(A215,'Trial Balance '!A:H,4,0),0)</f>
        <v>0</v>
      </c>
      <c r="G215" s="1" t="n">
        <f aca="false">IF(ChartOfAccounts!F216="15% GST on Income", 2, IF(ChartOfAccounts!F216="15% GST on Expenses", 1, IF(ChartOfAccounts!F216="No GST", 0, "")))</f>
        <v>0</v>
      </c>
    </row>
    <row r="216" customFormat="false" ht="14.25" hidden="false" customHeight="false" outlineLevel="0" collapsed="false">
      <c r="A216" s="1" t="str">
        <f aca="false">ChartOfAccounts!A217</f>
        <v>800A</v>
      </c>
      <c r="B216" s="1" t="str">
        <f aca="false">ChartOfAccounts!C217</f>
        <v>Accounts Payable</v>
      </c>
      <c r="C216" s="1" t="n">
        <f aca="false">IFERROR(VLOOKUP(A216,'Trial Balance '!A:H,3,0),0)</f>
        <v>0</v>
      </c>
      <c r="E216" s="1" t="n">
        <f aca="false">IFERROR(VLOOKUP(A216,'Trial Balance '!A:H,4,0),0)</f>
        <v>0</v>
      </c>
      <c r="G216" s="1" t="n">
        <f aca="false">IF(ChartOfAccounts!F217="15% GST on Income", 2, IF(ChartOfAccounts!F217="15% GST on Expenses", 1, IF(ChartOfAccounts!F217="No GST", 0, "")))</f>
        <v>0</v>
      </c>
    </row>
    <row r="217" customFormat="false" ht="14.25" hidden="false" customHeight="false" outlineLevel="0" collapsed="false">
      <c r="A217" s="1" t="n">
        <f aca="false">ChartOfAccounts!A218</f>
        <v>801</v>
      </c>
      <c r="B217" s="1" t="str">
        <f aca="false">ChartOfAccounts!C218</f>
        <v>Sundry Creditor</v>
      </c>
      <c r="C217" s="1" t="n">
        <f aca="false">IFERROR(VLOOKUP(A217,'Trial Balance '!A:H,3,0),0)</f>
        <v>0</v>
      </c>
      <c r="E217" s="1" t="n">
        <f aca="false">IFERROR(VLOOKUP(A217,'Trial Balance '!A:H,4,0),0)</f>
        <v>0</v>
      </c>
      <c r="G217" s="1" t="n">
        <f aca="false">IF(ChartOfAccounts!F218="15% GST on Income", 2, IF(ChartOfAccounts!F218="15% GST on Expenses", 1, IF(ChartOfAccounts!F218="No GST", 0, "")))</f>
        <v>0</v>
      </c>
    </row>
    <row r="218" customFormat="false" ht="14.25" hidden="false" customHeight="false" outlineLevel="0" collapsed="false">
      <c r="A218" s="1" t="str">
        <f aca="false">ChartOfAccounts!A219</f>
        <v>801U</v>
      </c>
      <c r="B218" s="1" t="str">
        <f aca="false">ChartOfAccounts!C219</f>
        <v>Unpaid Expense Claims</v>
      </c>
      <c r="C218" s="1" t="n">
        <f aca="false">IFERROR(VLOOKUP(A218,'Trial Balance '!A:H,3,0),0)</f>
        <v>0</v>
      </c>
      <c r="E218" s="1" t="n">
        <f aca="false">IFERROR(VLOOKUP(A218,'Trial Balance '!A:H,4,0),0)</f>
        <v>0</v>
      </c>
      <c r="G218" s="1" t="n">
        <f aca="false">IF(ChartOfAccounts!F219="15% GST on Income", 2, IF(ChartOfAccounts!F219="15% GST on Expenses", 1, IF(ChartOfAccounts!F219="No GST", 0, "")))</f>
        <v>0</v>
      </c>
    </row>
    <row r="219" customFormat="false" ht="14.25" hidden="false" customHeight="false" outlineLevel="0" collapsed="false">
      <c r="A219" s="1" t="n">
        <f aca="false">ChartOfAccounts!A220</f>
        <v>803</v>
      </c>
      <c r="B219" s="1" t="str">
        <f aca="false">ChartOfAccounts!C220</f>
        <v>Accrued Expenses</v>
      </c>
      <c r="C219" s="1" t="n">
        <f aca="false">IFERROR(VLOOKUP(A219,'Trial Balance '!A:H,3,0),0)</f>
        <v>0</v>
      </c>
      <c r="E219" s="1" t="n">
        <f aca="false">IFERROR(VLOOKUP(A219,'Trial Balance '!A:H,4,0),0)</f>
        <v>0</v>
      </c>
      <c r="G219" s="1" t="n">
        <f aca="false">IF(ChartOfAccounts!F220="15% GST on Income", 2, IF(ChartOfAccounts!F220="15% GST on Expenses", 1, IF(ChartOfAccounts!F220="No GST", 0, "")))</f>
        <v>0</v>
      </c>
    </row>
    <row r="220" customFormat="false" ht="14.25" hidden="false" customHeight="false" outlineLevel="0" collapsed="false">
      <c r="A220" s="1" t="str">
        <f aca="false">ChartOfAccounts!A221</f>
        <v>803W</v>
      </c>
      <c r="B220" s="1" t="str">
        <f aca="false">ChartOfAccounts!C221</f>
        <v>Wages Payable</v>
      </c>
      <c r="C220" s="1" t="n">
        <f aca="false">IFERROR(VLOOKUP(A220,'Trial Balance '!A:H,3,0),0)</f>
        <v>0</v>
      </c>
      <c r="E220" s="1" t="n">
        <f aca="false">IFERROR(VLOOKUP(A220,'Trial Balance '!A:H,4,0),0)</f>
        <v>0</v>
      </c>
      <c r="G220" s="1" t="n">
        <f aca="false">IF(ChartOfAccounts!F221="15% GST on Income", 2, IF(ChartOfAccounts!F221="15% GST on Expenses", 1, IF(ChartOfAccounts!F221="No GST", 0, "")))</f>
        <v>0</v>
      </c>
    </row>
    <row r="221" customFormat="false" ht="14.25" hidden="false" customHeight="false" outlineLevel="0" collapsed="false">
      <c r="A221" s="1" t="n">
        <f aca="false">ChartOfAccounts!A222</f>
        <v>804</v>
      </c>
      <c r="B221" s="1" t="str">
        <f aca="false">ChartOfAccounts!C222</f>
        <v>Other</v>
      </c>
      <c r="C221" s="1" t="n">
        <f aca="false">IFERROR(VLOOKUP(A221,'Trial Balance '!A:H,3,0),0)</f>
        <v>0</v>
      </c>
      <c r="E221" s="1" t="n">
        <f aca="false">IFERROR(VLOOKUP(A221,'Trial Balance '!A:H,4,0),0)</f>
        <v>0</v>
      </c>
      <c r="G221" s="1" t="n">
        <f aca="false">IF(ChartOfAccounts!F222="15% GST on Income", 2, IF(ChartOfAccounts!F222="15% GST on Expenses", 1, IF(ChartOfAccounts!F222="No GST", 0, "")))</f>
        <v>0</v>
      </c>
    </row>
    <row r="222" customFormat="false" ht="14.25" hidden="false" customHeight="false" outlineLevel="0" collapsed="false">
      <c r="A222" s="1" t="n">
        <f aca="false">ChartOfAccounts!A223</f>
        <v>809</v>
      </c>
      <c r="B222" s="1" t="str">
        <f aca="false">ChartOfAccounts!C223</f>
        <v>Other Accurals (DO NOT USE)</v>
      </c>
      <c r="C222" s="1" t="n">
        <f aca="false">IFERROR(VLOOKUP(A222,'Trial Balance '!A:H,3,0),0)</f>
        <v>0</v>
      </c>
      <c r="E222" s="1" t="n">
        <f aca="false">IFERROR(VLOOKUP(A222,'Trial Balance '!A:H,4,0),0)</f>
        <v>0</v>
      </c>
      <c r="G222" s="1" t="n">
        <f aca="false">IF(ChartOfAccounts!F223="15% GST on Income", 2, IF(ChartOfAccounts!F223="15% GST on Expenses", 1, IF(ChartOfAccounts!F223="No GST", 0, "")))</f>
        <v>0</v>
      </c>
    </row>
    <row r="223" customFormat="false" ht="14.25" hidden="false" customHeight="false" outlineLevel="0" collapsed="false">
      <c r="A223" s="1" t="n">
        <f aca="false">ChartOfAccounts!A224</f>
        <v>812</v>
      </c>
      <c r="B223" s="1" t="str">
        <f aca="false">ChartOfAccounts!C224</f>
        <v>Current Term Liabilities</v>
      </c>
      <c r="C223" s="1" t="str">
        <f aca="false">IFERROR(VLOOKUP(A223,'Trial Balance '!A:H,3,0),0)</f>
        <v>Current Liability</v>
      </c>
      <c r="E223" s="1" t="n">
        <f aca="false">IFERROR(VLOOKUP(A223,'Trial Balance '!A:H,4,0),0)</f>
        <v>0</v>
      </c>
      <c r="G223" s="1" t="n">
        <f aca="false">IF(ChartOfAccounts!F224="15% GST on Income", 2, IF(ChartOfAccounts!F224="15% GST on Expenses", 1, IF(ChartOfAccounts!F224="No GST", 0, "")))</f>
        <v>0</v>
      </c>
    </row>
    <row r="224" customFormat="false" ht="14.25" hidden="false" customHeight="false" outlineLevel="0" collapsed="false">
      <c r="A224" s="1" t="n">
        <f aca="false">ChartOfAccounts!A225</f>
        <v>820</v>
      </c>
      <c r="B224" s="1" t="str">
        <f aca="false">ChartOfAccounts!C225</f>
        <v>GST</v>
      </c>
      <c r="C224" s="1" t="str">
        <f aca="false">IFERROR(VLOOKUP(A224,'Trial Balance '!A:H,3,0),0)</f>
        <v>Current Liability</v>
      </c>
      <c r="E224" s="1" t="n">
        <f aca="false">IFERROR(VLOOKUP(A224,'Trial Balance '!A:H,4,0),0)</f>
        <v>0</v>
      </c>
      <c r="G224" s="1" t="n">
        <f aca="false">IF(ChartOfAccounts!F225="15% GST on Income", 2, IF(ChartOfAccounts!F225="15% GST on Expenses", 1, IF(ChartOfAccounts!F225="No GST", 0, "")))</f>
        <v>0</v>
      </c>
    </row>
    <row r="225" customFormat="false" ht="14.25" hidden="false" customHeight="false" outlineLevel="0" collapsed="false">
      <c r="A225" s="1" t="n">
        <f aca="false">ChartOfAccounts!A226</f>
        <v>840</v>
      </c>
      <c r="B225" s="1" t="str">
        <f aca="false">ChartOfAccounts!C226</f>
        <v>Historical Adjustment8</v>
      </c>
      <c r="C225" s="1" t="n">
        <f aca="false">IFERROR(VLOOKUP(A225,'Trial Balance '!A:H,3,0),0)</f>
        <v>0</v>
      </c>
      <c r="E225" s="1" t="n">
        <f aca="false">IFERROR(VLOOKUP(A225,'Trial Balance '!A:H,4,0),0)</f>
        <v>0</v>
      </c>
      <c r="G225" s="1" t="n">
        <f aca="false">IF(ChartOfAccounts!F226="15% GST on Income", 2, IF(ChartOfAccounts!F226="15% GST on Expenses", 1, IF(ChartOfAccounts!F226="No GST", 0, "")))</f>
        <v>0</v>
      </c>
    </row>
    <row r="226" customFormat="false" ht="14.25" hidden="false" customHeight="false" outlineLevel="0" collapsed="false">
      <c r="A226" s="1" t="str">
        <f aca="false">ChartOfAccounts!A227</f>
        <v>845/00</v>
      </c>
      <c r="B226" s="1" t="str">
        <f aca="false">ChartOfAccounts!C227</f>
        <v>Taxation Opening Balance</v>
      </c>
      <c r="C226" s="1" t="str">
        <f aca="false">IFERROR(VLOOKUP(A226,'Trial Balance '!A:H,3,0),0)</f>
        <v>Current Liability</v>
      </c>
      <c r="E226" s="1" t="n">
        <f aca="false">IFERROR(VLOOKUP(A226,'Trial Balance '!A:H,4,0),0)</f>
        <v>0</v>
      </c>
      <c r="G226" s="1" t="n">
        <f aca="false">IF(ChartOfAccounts!F227="15% GST on Income", 2, IF(ChartOfAccounts!F227="15% GST on Expenses", 1, IF(ChartOfAccounts!F227="No GST", 0, "")))</f>
        <v>0</v>
      </c>
    </row>
    <row r="227" customFormat="false" ht="14.25" hidden="false" customHeight="false" outlineLevel="0" collapsed="false">
      <c r="A227" s="1" t="str">
        <f aca="false">ChartOfAccounts!A228</f>
        <v>845/01</v>
      </c>
      <c r="B227" s="1" t="str">
        <f aca="false">ChartOfAccounts!C228</f>
        <v>Tax Paid</v>
      </c>
      <c r="C227" s="1" t="n">
        <f aca="false">IFERROR(VLOOKUP(A227,'Trial Balance '!A:H,3,0),0)</f>
        <v>0</v>
      </c>
      <c r="E227" s="1" t="n">
        <f aca="false">IFERROR(VLOOKUP(A227,'Trial Balance '!A:H,4,0),0)</f>
        <v>0</v>
      </c>
      <c r="G227" s="1" t="n">
        <f aca="false">IF(ChartOfAccounts!F228="15% GST on Income", 2, IF(ChartOfAccounts!F228="15% GST on Expenses", 1, IF(ChartOfAccounts!F228="No GST", 0, "")))</f>
        <v>0</v>
      </c>
    </row>
    <row r="228" customFormat="false" ht="14.25" hidden="false" customHeight="false" outlineLevel="0" collapsed="false">
      <c r="A228" s="1" t="str">
        <f aca="false">ChartOfAccounts!A229</f>
        <v>845/02</v>
      </c>
      <c r="B228" s="1" t="str">
        <f aca="false">ChartOfAccounts!C229</f>
        <v>FDP Paid</v>
      </c>
      <c r="C228" s="1" t="n">
        <f aca="false">IFERROR(VLOOKUP(A228,'Trial Balance '!A:H,3,0),0)</f>
        <v>0</v>
      </c>
      <c r="E228" s="1" t="n">
        <f aca="false">IFERROR(VLOOKUP(A228,'Trial Balance '!A:H,4,0),0)</f>
        <v>0</v>
      </c>
      <c r="G228" s="1" t="n">
        <f aca="false">IF(ChartOfAccounts!F229="15% GST on Income", 2, IF(ChartOfAccounts!F229="15% GST on Expenses", 1, IF(ChartOfAccounts!F229="No GST", 0, "")))</f>
        <v>0</v>
      </c>
    </row>
    <row r="229" customFormat="false" ht="14.25" hidden="false" customHeight="false" outlineLevel="0" collapsed="false">
      <c r="A229" s="1" t="str">
        <f aca="false">ChartOfAccounts!A230</f>
        <v>845/03</v>
      </c>
      <c r="B229" s="1" t="str">
        <f aca="false">ChartOfAccounts!C230</f>
        <v>RWT Paid</v>
      </c>
      <c r="C229" s="1" t="str">
        <f aca="false">IFERROR(VLOOKUP(A229,'Trial Balance '!A:H,3,0),0)</f>
        <v>Current Liability</v>
      </c>
      <c r="E229" s="1" t="n">
        <f aca="false">IFERROR(VLOOKUP(A229,'Trial Balance '!A:H,4,0),0)</f>
        <v>0</v>
      </c>
      <c r="G229" s="1" t="n">
        <f aca="false">IF(ChartOfAccounts!F230="15% GST on Income", 2, IF(ChartOfAccounts!F230="15% GST on Expenses", 1, IF(ChartOfAccounts!F230="No GST", 0, "")))</f>
        <v>0</v>
      </c>
    </row>
    <row r="230" customFormat="false" ht="14.25" hidden="false" customHeight="false" outlineLevel="0" collapsed="false">
      <c r="A230" s="1" t="str">
        <f aca="false">ChartOfAccounts!A231</f>
        <v>845/05</v>
      </c>
      <c r="B230" s="1" t="str">
        <f aca="false">ChartOfAccounts!C231</f>
        <v>Other Debts</v>
      </c>
      <c r="C230" s="1" t="n">
        <f aca="false">IFERROR(VLOOKUP(A230,'Trial Balance '!A:H,3,0),0)</f>
        <v>0</v>
      </c>
      <c r="E230" s="1" t="n">
        <f aca="false">IFERROR(VLOOKUP(A230,'Trial Balance '!A:H,4,0),0)</f>
        <v>0</v>
      </c>
      <c r="G230" s="1" t="n">
        <f aca="false">IF(ChartOfAccounts!F231="15% GST on Income", 2, IF(ChartOfAccounts!F231="15% GST on Expenses", 1, IF(ChartOfAccounts!F231="No GST", 0, "")))</f>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1" activePane="bottomLeft" state="frozen"/>
      <selection pane="topLeft" activeCell="A1" activeCellId="0" sqref="A1"/>
      <selection pane="bottomLeft" activeCell="C216" activeCellId="0" sqref="C216"/>
    </sheetView>
  </sheetViews>
  <sheetFormatPr defaultColWidth="9.14453125" defaultRowHeight="14.25" zeroHeight="false" outlineLevelRow="0" outlineLevelCol="0"/>
  <cols>
    <col collapsed="false" customWidth="true" hidden="false" outlineLevel="0" max="1" min="1" style="1" width="6.86"/>
    <col collapsed="false" customWidth="true" hidden="false" outlineLevel="0" max="2" min="2" style="1" width="25"/>
    <col collapsed="false" customWidth="true" hidden="false" outlineLevel="0" max="3" min="3" style="1" width="37.86"/>
    <col collapsed="false" customWidth="true" hidden="false" outlineLevel="0" max="4" min="4" style="1" width="24"/>
    <col collapsed="false" customWidth="true" hidden="false" outlineLevel="0" max="5" min="5" style="1" width="22"/>
    <col collapsed="false" customWidth="true" hidden="false" outlineLevel="0" max="6" min="6" style="1" width="19.86"/>
    <col collapsed="false" customWidth="true" hidden="false" outlineLevel="0" max="7" min="7" style="1" width="255.86"/>
    <col collapsed="false" customWidth="true" hidden="false" outlineLevel="0" max="8" min="8" style="1" width="10.86"/>
    <col collapsed="false" customWidth="true" hidden="false" outlineLevel="0" max="9" min="9" style="1" width="14.86"/>
    <col collapsed="false" customWidth="true" hidden="false" outlineLevel="0" max="10" min="10" style="1" width="16.14"/>
    <col collapsed="false" customWidth="true" hidden="false" outlineLevel="0" max="11" min="11" style="1" width="8.14"/>
    <col collapsed="false" customWidth="false" hidden="false" outlineLevel="0" max="16384" min="12" style="1" width="9.14"/>
  </cols>
  <sheetData>
    <row r="1" customFormat="false" ht="14.25" hidden="false" customHeight="false" outlineLevel="0" collapsed="false">
      <c r="A1" s="1" t="s">
        <v>6</v>
      </c>
      <c r="B1" s="1" t="s">
        <v>7</v>
      </c>
      <c r="C1" s="1" t="s">
        <v>8</v>
      </c>
      <c r="D1" s="1" t="s">
        <v>9</v>
      </c>
      <c r="E1" s="1" t="s">
        <v>10</v>
      </c>
      <c r="F1" s="1" t="s">
        <v>11</v>
      </c>
      <c r="G1" s="1" t="s">
        <v>12</v>
      </c>
      <c r="H1" s="1" t="s">
        <v>13</v>
      </c>
      <c r="I1" s="1" t="s">
        <v>14</v>
      </c>
      <c r="J1" s="1" t="s">
        <v>15</v>
      </c>
      <c r="K1" s="1" t="s">
        <v>16</v>
      </c>
    </row>
    <row r="2" customFormat="false" ht="14.25" hidden="false" customHeight="false" outlineLevel="0" collapsed="false">
      <c r="A2" s="1" t="n">
        <v>200</v>
      </c>
      <c r="B2" s="1" t="s">
        <v>17</v>
      </c>
      <c r="C2" s="1" t="s">
        <v>18</v>
      </c>
      <c r="E2" s="1" t="s">
        <v>19</v>
      </c>
      <c r="F2" s="1" t="s">
        <v>20</v>
      </c>
      <c r="H2" s="1" t="s">
        <v>21</v>
      </c>
      <c r="I2" s="1" t="s">
        <v>21</v>
      </c>
      <c r="J2" s="1" t="s">
        <v>21</v>
      </c>
    </row>
    <row r="3" customFormat="false" ht="14.25" hidden="false" customHeight="false" outlineLevel="0" collapsed="false">
      <c r="A3" s="1" t="n">
        <v>201</v>
      </c>
      <c r="B3" s="1" t="s">
        <v>17</v>
      </c>
      <c r="C3" s="1" t="s">
        <v>22</v>
      </c>
      <c r="E3" s="1" t="s">
        <v>19</v>
      </c>
      <c r="F3" s="1" t="s">
        <v>20</v>
      </c>
      <c r="H3" s="1" t="s">
        <v>21</v>
      </c>
      <c r="I3" s="1" t="s">
        <v>21</v>
      </c>
      <c r="J3" s="1" t="s">
        <v>21</v>
      </c>
    </row>
    <row r="4" customFormat="false" ht="14.25" hidden="false" customHeight="false" outlineLevel="0" collapsed="false">
      <c r="A4" s="1" t="n">
        <v>202</v>
      </c>
      <c r="B4" s="1" t="s">
        <v>17</v>
      </c>
      <c r="C4" s="1" t="s">
        <v>23</v>
      </c>
      <c r="E4" s="1" t="s">
        <v>19</v>
      </c>
      <c r="F4" s="1" t="s">
        <v>20</v>
      </c>
      <c r="H4" s="1" t="s">
        <v>21</v>
      </c>
      <c r="I4" s="1" t="s">
        <v>21</v>
      </c>
      <c r="J4" s="1" t="s">
        <v>21</v>
      </c>
    </row>
    <row r="5" customFormat="false" ht="14.25" hidden="false" customHeight="false" outlineLevel="0" collapsed="false">
      <c r="A5" s="1" t="n">
        <v>203</v>
      </c>
      <c r="B5" s="1" t="s">
        <v>17</v>
      </c>
      <c r="C5" s="1" t="s">
        <v>24</v>
      </c>
      <c r="E5" s="1" t="s">
        <v>19</v>
      </c>
      <c r="F5" s="1" t="s">
        <v>20</v>
      </c>
      <c r="H5" s="1" t="s">
        <v>21</v>
      </c>
      <c r="I5" s="1" t="s">
        <v>21</v>
      </c>
      <c r="J5" s="1" t="s">
        <v>21</v>
      </c>
    </row>
    <row r="6" customFormat="false" ht="14.25" hidden="false" customHeight="false" outlineLevel="0" collapsed="false">
      <c r="A6" s="1" t="n">
        <v>209</v>
      </c>
      <c r="B6" s="1" t="s">
        <v>17</v>
      </c>
      <c r="C6" s="1" t="s">
        <v>25</v>
      </c>
      <c r="E6" s="1" t="s">
        <v>19</v>
      </c>
      <c r="F6" s="1" t="s">
        <v>20</v>
      </c>
      <c r="H6" s="1" t="s">
        <v>21</v>
      </c>
      <c r="I6" s="1" t="s">
        <v>21</v>
      </c>
      <c r="J6" s="1" t="s">
        <v>21</v>
      </c>
    </row>
    <row r="7" customFormat="false" ht="14.25" hidden="false" customHeight="false" outlineLevel="0" collapsed="false">
      <c r="A7" s="1" t="n">
        <v>210</v>
      </c>
      <c r="B7" s="1" t="s">
        <v>26</v>
      </c>
      <c r="C7" s="1" t="s">
        <v>27</v>
      </c>
      <c r="E7" s="1" t="s">
        <v>28</v>
      </c>
      <c r="F7" s="1" t="s">
        <v>29</v>
      </c>
      <c r="H7" s="1" t="s">
        <v>21</v>
      </c>
      <c r="I7" s="1" t="s">
        <v>21</v>
      </c>
      <c r="J7" s="1" t="s">
        <v>21</v>
      </c>
    </row>
    <row r="8" customFormat="false" ht="14.25" hidden="false" customHeight="false" outlineLevel="0" collapsed="false">
      <c r="A8" s="1" t="n">
        <v>211</v>
      </c>
      <c r="B8" s="1" t="s">
        <v>30</v>
      </c>
      <c r="C8" s="1" t="s">
        <v>31</v>
      </c>
      <c r="E8" s="1" t="s">
        <v>28</v>
      </c>
      <c r="F8" s="1" t="s">
        <v>29</v>
      </c>
      <c r="H8" s="1" t="s">
        <v>21</v>
      </c>
      <c r="I8" s="1" t="s">
        <v>21</v>
      </c>
      <c r="J8" s="1" t="s">
        <v>21</v>
      </c>
    </row>
    <row r="9" customFormat="false" ht="14.25" hidden="false" customHeight="false" outlineLevel="0" collapsed="false">
      <c r="A9" s="1" t="n">
        <v>212</v>
      </c>
      <c r="B9" s="1" t="s">
        <v>17</v>
      </c>
      <c r="C9" s="1" t="s">
        <v>32</v>
      </c>
      <c r="E9" s="1" t="s">
        <v>19</v>
      </c>
      <c r="F9" s="1" t="s">
        <v>20</v>
      </c>
      <c r="H9" s="1" t="s">
        <v>21</v>
      </c>
      <c r="I9" s="1" t="s">
        <v>21</v>
      </c>
      <c r="J9" s="1" t="s">
        <v>21</v>
      </c>
    </row>
    <row r="10" customFormat="false" ht="14.25" hidden="false" customHeight="false" outlineLevel="0" collapsed="false">
      <c r="A10" s="1" t="n">
        <v>213</v>
      </c>
      <c r="B10" s="1" t="s">
        <v>33</v>
      </c>
      <c r="C10" s="1" t="s">
        <v>34</v>
      </c>
      <c r="E10" s="1" t="s">
        <v>28</v>
      </c>
      <c r="F10" s="1" t="s">
        <v>20</v>
      </c>
      <c r="H10" s="1" t="s">
        <v>21</v>
      </c>
      <c r="I10" s="1" t="s">
        <v>21</v>
      </c>
      <c r="J10" s="1" t="s">
        <v>21</v>
      </c>
    </row>
    <row r="11" customFormat="false" ht="14.25" hidden="false" customHeight="false" outlineLevel="0" collapsed="false">
      <c r="A11" s="1" t="n">
        <v>214</v>
      </c>
      <c r="B11" s="1" t="s">
        <v>35</v>
      </c>
      <c r="C11" s="1" t="s">
        <v>36</v>
      </c>
      <c r="E11" s="1" t="s">
        <v>19</v>
      </c>
      <c r="F11" s="1" t="s">
        <v>29</v>
      </c>
      <c r="H11" s="1" t="s">
        <v>21</v>
      </c>
      <c r="I11" s="1" t="s">
        <v>21</v>
      </c>
      <c r="J11" s="1" t="s">
        <v>21</v>
      </c>
    </row>
    <row r="12" customFormat="false" ht="14.25" hidden="false" customHeight="false" outlineLevel="0" collapsed="false">
      <c r="A12" s="1" t="n">
        <v>215</v>
      </c>
      <c r="B12" s="1" t="s">
        <v>17</v>
      </c>
      <c r="C12" s="1" t="s">
        <v>37</v>
      </c>
      <c r="E12" s="1" t="s">
        <v>28</v>
      </c>
      <c r="F12" s="1" t="s">
        <v>20</v>
      </c>
      <c r="H12" s="1" t="s">
        <v>21</v>
      </c>
      <c r="I12" s="1" t="s">
        <v>21</v>
      </c>
      <c r="J12" s="1" t="s">
        <v>21</v>
      </c>
    </row>
    <row r="13" customFormat="false" ht="14.25" hidden="false" customHeight="false" outlineLevel="0" collapsed="false">
      <c r="A13" s="1" t="n">
        <v>216</v>
      </c>
      <c r="B13" s="1" t="s">
        <v>33</v>
      </c>
      <c r="C13" s="1" t="s">
        <v>38</v>
      </c>
      <c r="E13" s="1" t="s">
        <v>28</v>
      </c>
      <c r="F13" s="1" t="s">
        <v>29</v>
      </c>
      <c r="H13" s="1" t="s">
        <v>21</v>
      </c>
      <c r="I13" s="1" t="s">
        <v>21</v>
      </c>
      <c r="J13" s="1" t="s">
        <v>21</v>
      </c>
    </row>
    <row r="14" customFormat="false" ht="14.25" hidden="false" customHeight="false" outlineLevel="0" collapsed="false">
      <c r="A14" s="1" t="n">
        <v>217</v>
      </c>
      <c r="B14" s="1" t="s">
        <v>39</v>
      </c>
      <c r="C14" s="1" t="s">
        <v>40</v>
      </c>
      <c r="E14" s="1" t="s">
        <v>28</v>
      </c>
      <c r="F14" s="1" t="s">
        <v>29</v>
      </c>
      <c r="H14" s="1" t="s">
        <v>21</v>
      </c>
      <c r="I14" s="1" t="s">
        <v>21</v>
      </c>
      <c r="J14" s="1" t="s">
        <v>21</v>
      </c>
    </row>
    <row r="15" customFormat="false" ht="14.25" hidden="false" customHeight="false" outlineLevel="0" collapsed="false">
      <c r="A15" s="1" t="n">
        <v>219</v>
      </c>
      <c r="B15" s="1" t="s">
        <v>33</v>
      </c>
      <c r="C15" s="1" t="s">
        <v>28</v>
      </c>
      <c r="E15" s="1" t="s">
        <v>28</v>
      </c>
      <c r="F15" s="1" t="s">
        <v>29</v>
      </c>
      <c r="H15" s="1" t="s">
        <v>21</v>
      </c>
      <c r="I15" s="1" t="s">
        <v>21</v>
      </c>
      <c r="J15" s="1" t="s">
        <v>21</v>
      </c>
    </row>
    <row r="16" customFormat="false" ht="14.25" hidden="false" customHeight="false" outlineLevel="0" collapsed="false">
      <c r="A16" s="1" t="n">
        <v>220</v>
      </c>
      <c r="B16" s="1" t="s">
        <v>41</v>
      </c>
      <c r="C16" s="1" t="s">
        <v>42</v>
      </c>
      <c r="E16" s="1" t="s">
        <v>28</v>
      </c>
      <c r="F16" s="1" t="s">
        <v>29</v>
      </c>
      <c r="H16" s="1" t="s">
        <v>21</v>
      </c>
      <c r="I16" s="1" t="s">
        <v>21</v>
      </c>
      <c r="J16" s="1" t="s">
        <v>21</v>
      </c>
    </row>
    <row r="17" customFormat="false" ht="14.25" hidden="false" customHeight="false" outlineLevel="0" collapsed="false">
      <c r="A17" s="1" t="n">
        <v>221</v>
      </c>
      <c r="B17" s="1" t="s">
        <v>43</v>
      </c>
      <c r="C17" s="1" t="s">
        <v>44</v>
      </c>
      <c r="E17" s="1" t="s">
        <v>28</v>
      </c>
      <c r="F17" s="1" t="s">
        <v>29</v>
      </c>
      <c r="H17" s="1" t="s">
        <v>21</v>
      </c>
      <c r="I17" s="1" t="s">
        <v>21</v>
      </c>
      <c r="J17" s="1" t="s">
        <v>21</v>
      </c>
    </row>
    <row r="18" customFormat="false" ht="14.25" hidden="false" customHeight="false" outlineLevel="0" collapsed="false">
      <c r="A18" s="1" t="n">
        <v>222</v>
      </c>
      <c r="B18" s="1" t="s">
        <v>30</v>
      </c>
      <c r="C18" s="1" t="s">
        <v>45</v>
      </c>
      <c r="E18" s="1" t="s">
        <v>28</v>
      </c>
      <c r="F18" s="1" t="s">
        <v>29</v>
      </c>
      <c r="H18" s="1" t="s">
        <v>21</v>
      </c>
      <c r="I18" s="1" t="s">
        <v>21</v>
      </c>
      <c r="J18" s="1" t="s">
        <v>21</v>
      </c>
    </row>
    <row r="19" customFormat="false" ht="14.25" hidden="false" customHeight="false" outlineLevel="0" collapsed="false">
      <c r="A19" s="1" t="n">
        <v>300</v>
      </c>
      <c r="B19" s="1" t="s">
        <v>46</v>
      </c>
      <c r="C19" s="1" t="s">
        <v>47</v>
      </c>
      <c r="E19" s="1" t="s">
        <v>48</v>
      </c>
      <c r="F19" s="1" t="s">
        <v>49</v>
      </c>
      <c r="H19" s="1" t="s">
        <v>21</v>
      </c>
      <c r="I19" s="1" t="s">
        <v>21</v>
      </c>
      <c r="J19" s="1" t="s">
        <v>21</v>
      </c>
    </row>
    <row r="20" customFormat="false" ht="14.25" hidden="false" customHeight="false" outlineLevel="0" collapsed="false">
      <c r="A20" s="1" t="n">
        <v>305</v>
      </c>
      <c r="B20" s="1" t="s">
        <v>46</v>
      </c>
      <c r="C20" s="1" t="s">
        <v>50</v>
      </c>
      <c r="E20" s="1" t="s">
        <v>48</v>
      </c>
      <c r="F20" s="1" t="s">
        <v>49</v>
      </c>
      <c r="H20" s="1" t="s">
        <v>21</v>
      </c>
      <c r="I20" s="1" t="s">
        <v>21</v>
      </c>
      <c r="J20" s="1" t="s">
        <v>21</v>
      </c>
    </row>
    <row r="21" customFormat="false" ht="14.25" hidden="false" customHeight="false" outlineLevel="0" collapsed="false">
      <c r="A21" s="1" t="n">
        <v>320</v>
      </c>
      <c r="B21" s="1" t="s">
        <v>51</v>
      </c>
      <c r="C21" s="1" t="s">
        <v>52</v>
      </c>
      <c r="E21" s="1" t="s">
        <v>48</v>
      </c>
      <c r="F21" s="1" t="s">
        <v>49</v>
      </c>
      <c r="H21" s="1" t="s">
        <v>21</v>
      </c>
      <c r="I21" s="1" t="s">
        <v>21</v>
      </c>
      <c r="J21" s="1" t="s">
        <v>21</v>
      </c>
    </row>
    <row r="22" customFormat="false" ht="14.25" hidden="false" customHeight="false" outlineLevel="0" collapsed="false">
      <c r="A22" s="1" t="n">
        <v>322</v>
      </c>
      <c r="B22" s="1" t="s">
        <v>51</v>
      </c>
      <c r="C22" s="1" t="s">
        <v>53</v>
      </c>
      <c r="E22" s="1" t="s">
        <v>48</v>
      </c>
      <c r="F22" s="1" t="s">
        <v>29</v>
      </c>
      <c r="H22" s="1" t="s">
        <v>21</v>
      </c>
      <c r="I22" s="1" t="s">
        <v>21</v>
      </c>
      <c r="J22" s="1" t="s">
        <v>21</v>
      </c>
    </row>
    <row r="23" customFormat="false" ht="14.25" hidden="false" customHeight="false" outlineLevel="0" collapsed="false">
      <c r="A23" s="1" t="n">
        <v>325</v>
      </c>
      <c r="B23" s="1" t="s">
        <v>51</v>
      </c>
      <c r="C23" s="1" t="s">
        <v>54</v>
      </c>
      <c r="E23" s="1" t="s">
        <v>48</v>
      </c>
      <c r="F23" s="1" t="s">
        <v>49</v>
      </c>
      <c r="H23" s="1" t="s">
        <v>21</v>
      </c>
      <c r="I23" s="1" t="s">
        <v>21</v>
      </c>
      <c r="J23" s="1" t="s">
        <v>21</v>
      </c>
    </row>
    <row r="24" customFormat="false" ht="14.25" hidden="false" customHeight="false" outlineLevel="0" collapsed="false">
      <c r="A24" s="1" t="n">
        <v>340</v>
      </c>
      <c r="B24" s="1" t="s">
        <v>55</v>
      </c>
      <c r="C24" s="1" t="s">
        <v>56</v>
      </c>
      <c r="E24" s="1" t="s">
        <v>48</v>
      </c>
      <c r="F24" s="1" t="s">
        <v>49</v>
      </c>
      <c r="H24" s="1" t="s">
        <v>21</v>
      </c>
      <c r="I24" s="1" t="s">
        <v>21</v>
      </c>
      <c r="J24" s="1" t="s">
        <v>21</v>
      </c>
    </row>
    <row r="25" customFormat="false" ht="14.25" hidden="false" customHeight="false" outlineLevel="0" collapsed="false">
      <c r="A25" s="1" t="n">
        <v>345</v>
      </c>
      <c r="B25" s="1" t="s">
        <v>55</v>
      </c>
      <c r="C25" s="1" t="s">
        <v>57</v>
      </c>
      <c r="E25" s="1" t="s">
        <v>48</v>
      </c>
      <c r="F25" s="1" t="s">
        <v>49</v>
      </c>
      <c r="H25" s="1" t="s">
        <v>21</v>
      </c>
      <c r="I25" s="1" t="s">
        <v>21</v>
      </c>
      <c r="J25" s="1" t="s">
        <v>21</v>
      </c>
    </row>
    <row r="26" customFormat="false" ht="14.25" hidden="false" customHeight="false" outlineLevel="0" collapsed="false">
      <c r="A26" s="1" t="n">
        <v>379</v>
      </c>
      <c r="B26" s="1" t="s">
        <v>58</v>
      </c>
      <c r="C26" s="1" t="s">
        <v>59</v>
      </c>
      <c r="E26" s="1" t="s">
        <v>48</v>
      </c>
      <c r="F26" s="1" t="s">
        <v>49</v>
      </c>
      <c r="H26" s="1" t="s">
        <v>21</v>
      </c>
      <c r="I26" s="1" t="s">
        <v>21</v>
      </c>
      <c r="J26" s="1" t="s">
        <v>21</v>
      </c>
    </row>
    <row r="27" customFormat="false" ht="14.25" hidden="false" customHeight="false" outlineLevel="0" collapsed="false">
      <c r="A27" s="1" t="n">
        <v>398</v>
      </c>
      <c r="B27" s="1" t="s">
        <v>60</v>
      </c>
      <c r="C27" s="1" t="s">
        <v>61</v>
      </c>
      <c r="E27" s="1" t="s">
        <v>48</v>
      </c>
      <c r="F27" s="1" t="s">
        <v>29</v>
      </c>
      <c r="H27" s="1" t="s">
        <v>21</v>
      </c>
      <c r="I27" s="1" t="s">
        <v>21</v>
      </c>
      <c r="J27" s="1" t="s">
        <v>21</v>
      </c>
    </row>
    <row r="28" customFormat="false" ht="14.25" hidden="false" customHeight="false" outlineLevel="0" collapsed="false">
      <c r="A28" s="1" t="n">
        <v>401</v>
      </c>
      <c r="B28" s="1" t="s">
        <v>62</v>
      </c>
      <c r="C28" s="1" t="s">
        <v>63</v>
      </c>
      <c r="E28" s="1" t="s">
        <v>64</v>
      </c>
      <c r="F28" s="1" t="s">
        <v>49</v>
      </c>
      <c r="H28" s="1" t="s">
        <v>21</v>
      </c>
      <c r="I28" s="1" t="s">
        <v>21</v>
      </c>
      <c r="J28" s="1" t="s">
        <v>21</v>
      </c>
    </row>
    <row r="29" customFormat="false" ht="14.25" hidden="false" customHeight="false" outlineLevel="0" collapsed="false">
      <c r="A29" s="1" t="n">
        <v>403</v>
      </c>
      <c r="B29" s="1" t="s">
        <v>65</v>
      </c>
      <c r="C29" s="1" t="s">
        <v>66</v>
      </c>
      <c r="E29" s="1" t="s">
        <v>64</v>
      </c>
      <c r="F29" s="1" t="s">
        <v>49</v>
      </c>
      <c r="H29" s="1" t="s">
        <v>21</v>
      </c>
      <c r="I29" s="1" t="s">
        <v>21</v>
      </c>
      <c r="J29" s="1" t="s">
        <v>21</v>
      </c>
    </row>
    <row r="30" customFormat="false" ht="14.25" hidden="false" customHeight="false" outlineLevel="0" collapsed="false">
      <c r="A30" s="1" t="n">
        <v>406</v>
      </c>
      <c r="B30" s="1" t="s">
        <v>62</v>
      </c>
      <c r="C30" s="1" t="s">
        <v>67</v>
      </c>
      <c r="E30" s="1" t="s">
        <v>64</v>
      </c>
      <c r="F30" s="1" t="s">
        <v>49</v>
      </c>
      <c r="H30" s="1" t="s">
        <v>21</v>
      </c>
      <c r="I30" s="1" t="s">
        <v>21</v>
      </c>
      <c r="J30" s="1" t="s">
        <v>21</v>
      </c>
    </row>
    <row r="31" customFormat="false" ht="14.25" hidden="false" customHeight="false" outlineLevel="0" collapsed="false">
      <c r="A31" s="1" t="n">
        <v>407</v>
      </c>
      <c r="B31" s="1" t="s">
        <v>62</v>
      </c>
      <c r="C31" s="1" t="s">
        <v>68</v>
      </c>
      <c r="E31" s="1" t="s">
        <v>64</v>
      </c>
      <c r="F31" s="1" t="s">
        <v>29</v>
      </c>
      <c r="H31" s="1" t="s">
        <v>21</v>
      </c>
      <c r="I31" s="1" t="s">
        <v>21</v>
      </c>
      <c r="J31" s="1" t="s">
        <v>21</v>
      </c>
    </row>
    <row r="32" customFormat="false" ht="14.25" hidden="false" customHeight="false" outlineLevel="0" collapsed="false">
      <c r="A32" s="1" t="n">
        <v>409</v>
      </c>
      <c r="B32" s="1" t="s">
        <v>69</v>
      </c>
      <c r="C32" s="1" t="s">
        <v>70</v>
      </c>
      <c r="E32" s="1" t="s">
        <v>64</v>
      </c>
      <c r="F32" s="1" t="s">
        <v>49</v>
      </c>
      <c r="H32" s="1" t="s">
        <v>21</v>
      </c>
      <c r="I32" s="1" t="s">
        <v>21</v>
      </c>
      <c r="J32" s="1" t="s">
        <v>21</v>
      </c>
    </row>
    <row r="33" customFormat="false" ht="14.25" hidden="false" customHeight="false" outlineLevel="0" collapsed="false">
      <c r="A33" s="1" t="n">
        <v>412</v>
      </c>
      <c r="B33" s="1" t="s">
        <v>62</v>
      </c>
      <c r="C33" s="1" t="s">
        <v>71</v>
      </c>
      <c r="E33" s="1" t="s">
        <v>64</v>
      </c>
      <c r="F33" s="1" t="s">
        <v>29</v>
      </c>
      <c r="H33" s="1" t="s">
        <v>21</v>
      </c>
      <c r="I33" s="1" t="s">
        <v>21</v>
      </c>
      <c r="J33" s="1" t="s">
        <v>21</v>
      </c>
    </row>
    <row r="34" customFormat="false" ht="14.25" hidden="false" customHeight="false" outlineLevel="0" collapsed="false">
      <c r="A34" s="1" t="n">
        <v>414</v>
      </c>
      <c r="B34" s="1" t="s">
        <v>62</v>
      </c>
      <c r="C34" s="1" t="s">
        <v>72</v>
      </c>
      <c r="E34" s="1" t="s">
        <v>64</v>
      </c>
      <c r="F34" s="1" t="s">
        <v>49</v>
      </c>
      <c r="H34" s="1" t="s">
        <v>21</v>
      </c>
      <c r="I34" s="1" t="s">
        <v>21</v>
      </c>
      <c r="J34" s="1" t="s">
        <v>21</v>
      </c>
    </row>
    <row r="35" customFormat="false" ht="14.25" hidden="false" customHeight="false" outlineLevel="0" collapsed="false">
      <c r="A35" s="1" t="n">
        <v>415</v>
      </c>
      <c r="B35" s="1" t="s">
        <v>62</v>
      </c>
      <c r="C35" s="1" t="s">
        <v>73</v>
      </c>
      <c r="E35" s="1" t="s">
        <v>64</v>
      </c>
      <c r="F35" s="1" t="s">
        <v>49</v>
      </c>
      <c r="H35" s="1" t="s">
        <v>21</v>
      </c>
      <c r="I35" s="1" t="s">
        <v>21</v>
      </c>
      <c r="J35" s="1" t="s">
        <v>21</v>
      </c>
    </row>
    <row r="36" customFormat="false" ht="14.25" hidden="false" customHeight="false" outlineLevel="0" collapsed="false">
      <c r="A36" s="1" t="n">
        <v>416</v>
      </c>
      <c r="B36" s="1" t="s">
        <v>62</v>
      </c>
      <c r="C36" s="1" t="s">
        <v>74</v>
      </c>
      <c r="E36" s="1" t="s">
        <v>64</v>
      </c>
      <c r="F36" s="1" t="s">
        <v>49</v>
      </c>
      <c r="H36" s="1" t="s">
        <v>21</v>
      </c>
      <c r="I36" s="1" t="s">
        <v>21</v>
      </c>
      <c r="J36" s="1" t="s">
        <v>21</v>
      </c>
    </row>
    <row r="37" customFormat="false" ht="14.25" hidden="false" customHeight="false" outlineLevel="0" collapsed="false">
      <c r="A37" s="1" t="n">
        <v>419</v>
      </c>
      <c r="B37" s="1" t="s">
        <v>62</v>
      </c>
      <c r="C37" s="1" t="s">
        <v>75</v>
      </c>
      <c r="E37" s="1" t="s">
        <v>64</v>
      </c>
      <c r="F37" s="1" t="s">
        <v>49</v>
      </c>
      <c r="H37" s="1" t="s">
        <v>21</v>
      </c>
      <c r="I37" s="1" t="s">
        <v>21</v>
      </c>
      <c r="J37" s="1" t="s">
        <v>21</v>
      </c>
    </row>
    <row r="38" customFormat="false" ht="14.25" hidden="false" customHeight="false" outlineLevel="0" collapsed="false">
      <c r="A38" s="1" t="n">
        <v>420</v>
      </c>
      <c r="B38" s="1" t="s">
        <v>62</v>
      </c>
      <c r="C38" s="1" t="s">
        <v>76</v>
      </c>
      <c r="E38" s="1" t="s">
        <v>64</v>
      </c>
      <c r="F38" s="1" t="s">
        <v>49</v>
      </c>
      <c r="H38" s="1" t="s">
        <v>21</v>
      </c>
      <c r="I38" s="1" t="s">
        <v>21</v>
      </c>
      <c r="J38" s="1" t="s">
        <v>21</v>
      </c>
    </row>
    <row r="39" customFormat="false" ht="14.25" hidden="false" customHeight="false" outlineLevel="0" collapsed="false">
      <c r="A39" s="1" t="n">
        <v>422</v>
      </c>
      <c r="B39" s="1" t="s">
        <v>58</v>
      </c>
      <c r="C39" s="1" t="s">
        <v>77</v>
      </c>
      <c r="E39" s="1" t="s">
        <v>64</v>
      </c>
      <c r="F39" s="1" t="s">
        <v>49</v>
      </c>
      <c r="H39" s="1" t="s">
        <v>21</v>
      </c>
      <c r="I39" s="1" t="s">
        <v>21</v>
      </c>
      <c r="J39" s="1" t="s">
        <v>21</v>
      </c>
    </row>
    <row r="40" customFormat="false" ht="14.25" hidden="false" customHeight="false" outlineLevel="0" collapsed="false">
      <c r="A40" s="1" t="n">
        <v>424</v>
      </c>
      <c r="B40" s="1" t="s">
        <v>62</v>
      </c>
      <c r="C40" s="1" t="s">
        <v>78</v>
      </c>
      <c r="E40" s="1" t="s">
        <v>64</v>
      </c>
      <c r="F40" s="1" t="s">
        <v>49</v>
      </c>
      <c r="H40" s="1" t="s">
        <v>21</v>
      </c>
      <c r="I40" s="1" t="s">
        <v>21</v>
      </c>
      <c r="J40" s="1" t="s">
        <v>21</v>
      </c>
    </row>
    <row r="41" customFormat="false" ht="14.25" hidden="false" customHeight="false" outlineLevel="0" collapsed="false">
      <c r="A41" s="1" t="n">
        <v>425</v>
      </c>
      <c r="B41" s="1" t="s">
        <v>79</v>
      </c>
      <c r="C41" s="1" t="s">
        <v>80</v>
      </c>
      <c r="E41" s="1" t="s">
        <v>64</v>
      </c>
      <c r="F41" s="1" t="s">
        <v>29</v>
      </c>
      <c r="H41" s="1" t="s">
        <v>21</v>
      </c>
      <c r="I41" s="1" t="s">
        <v>21</v>
      </c>
      <c r="J41" s="1" t="s">
        <v>21</v>
      </c>
    </row>
    <row r="42" customFormat="false" ht="14.25" hidden="false" customHeight="false" outlineLevel="0" collapsed="false">
      <c r="A42" s="1" t="n">
        <v>426</v>
      </c>
      <c r="B42" s="1" t="s">
        <v>62</v>
      </c>
      <c r="C42" s="1" t="s">
        <v>81</v>
      </c>
      <c r="E42" s="1" t="s">
        <v>64</v>
      </c>
      <c r="F42" s="1" t="s">
        <v>29</v>
      </c>
      <c r="H42" s="1" t="s">
        <v>21</v>
      </c>
      <c r="I42" s="1" t="s">
        <v>21</v>
      </c>
      <c r="J42" s="1" t="s">
        <v>21</v>
      </c>
    </row>
    <row r="43" customFormat="false" ht="14.25" hidden="false" customHeight="false" outlineLevel="0" collapsed="false">
      <c r="A43" s="1" t="n">
        <v>428</v>
      </c>
      <c r="B43" s="1" t="s">
        <v>62</v>
      </c>
      <c r="C43" s="1" t="s">
        <v>82</v>
      </c>
      <c r="E43" s="1" t="s">
        <v>64</v>
      </c>
      <c r="F43" s="1" t="s">
        <v>49</v>
      </c>
      <c r="H43" s="1" t="s">
        <v>21</v>
      </c>
      <c r="I43" s="1" t="s">
        <v>21</v>
      </c>
      <c r="J43" s="1" t="s">
        <v>21</v>
      </c>
    </row>
    <row r="44" customFormat="false" ht="14.25" hidden="false" customHeight="false" outlineLevel="0" collapsed="false">
      <c r="A44" s="1" t="n">
        <v>429</v>
      </c>
      <c r="B44" s="1" t="s">
        <v>83</v>
      </c>
      <c r="C44" s="1" t="s">
        <v>84</v>
      </c>
      <c r="E44" s="1" t="s">
        <v>64</v>
      </c>
      <c r="F44" s="1" t="s">
        <v>49</v>
      </c>
      <c r="H44" s="1" t="s">
        <v>21</v>
      </c>
      <c r="I44" s="1" t="s">
        <v>21</v>
      </c>
      <c r="J44" s="1" t="s">
        <v>21</v>
      </c>
    </row>
    <row r="45" customFormat="false" ht="14.25" hidden="false" customHeight="false" outlineLevel="0" collapsed="false">
      <c r="A45" s="1" t="n">
        <v>430</v>
      </c>
      <c r="B45" s="1" t="s">
        <v>85</v>
      </c>
      <c r="C45" s="1" t="s">
        <v>86</v>
      </c>
      <c r="E45" s="1" t="s">
        <v>64</v>
      </c>
      <c r="F45" s="1" t="s">
        <v>29</v>
      </c>
      <c r="H45" s="1" t="s">
        <v>21</v>
      </c>
      <c r="I45" s="1" t="s">
        <v>21</v>
      </c>
      <c r="J45" s="1" t="s">
        <v>21</v>
      </c>
    </row>
    <row r="46" customFormat="false" ht="14.25" hidden="false" customHeight="false" outlineLevel="0" collapsed="false">
      <c r="A46" s="1" t="n">
        <v>432</v>
      </c>
      <c r="B46" s="1" t="s">
        <v>62</v>
      </c>
      <c r="C46" s="1" t="s">
        <v>87</v>
      </c>
      <c r="E46" s="1" t="s">
        <v>64</v>
      </c>
      <c r="F46" s="1" t="s">
        <v>49</v>
      </c>
      <c r="H46" s="1" t="s">
        <v>21</v>
      </c>
      <c r="I46" s="1" t="s">
        <v>21</v>
      </c>
      <c r="J46" s="1" t="s">
        <v>21</v>
      </c>
    </row>
    <row r="47" customFormat="false" ht="14.25" hidden="false" customHeight="false" outlineLevel="0" collapsed="false">
      <c r="A47" s="1" t="n">
        <v>436</v>
      </c>
      <c r="B47" s="1" t="s">
        <v>62</v>
      </c>
      <c r="C47" s="1" t="s">
        <v>88</v>
      </c>
      <c r="E47" s="1" t="s">
        <v>64</v>
      </c>
      <c r="F47" s="1" t="s">
        <v>29</v>
      </c>
      <c r="H47" s="1" t="s">
        <v>21</v>
      </c>
      <c r="I47" s="1" t="s">
        <v>21</v>
      </c>
      <c r="J47" s="1" t="s">
        <v>21</v>
      </c>
    </row>
    <row r="48" customFormat="false" ht="14.25" hidden="false" customHeight="false" outlineLevel="0" collapsed="false">
      <c r="A48" s="1" t="n">
        <v>437</v>
      </c>
      <c r="B48" s="1" t="s">
        <v>62</v>
      </c>
      <c r="C48" s="1" t="s">
        <v>89</v>
      </c>
      <c r="E48" s="1" t="s">
        <v>64</v>
      </c>
      <c r="F48" s="1" t="s">
        <v>49</v>
      </c>
      <c r="H48" s="1" t="s">
        <v>21</v>
      </c>
      <c r="I48" s="1" t="s">
        <v>21</v>
      </c>
      <c r="J48" s="1" t="s">
        <v>21</v>
      </c>
    </row>
    <row r="49" customFormat="false" ht="14.25" hidden="false" customHeight="false" outlineLevel="0" collapsed="false">
      <c r="A49" s="1" t="n">
        <v>438</v>
      </c>
      <c r="B49" s="1" t="s">
        <v>90</v>
      </c>
      <c r="C49" s="1" t="s">
        <v>91</v>
      </c>
      <c r="E49" s="1" t="s">
        <v>64</v>
      </c>
      <c r="F49" s="1" t="s">
        <v>29</v>
      </c>
      <c r="H49" s="1" t="s">
        <v>21</v>
      </c>
      <c r="I49" s="1" t="s">
        <v>21</v>
      </c>
      <c r="J49" s="1" t="s">
        <v>21</v>
      </c>
    </row>
    <row r="50" customFormat="false" ht="14.25" hidden="false" customHeight="false" outlineLevel="0" collapsed="false">
      <c r="A50" s="1" t="n">
        <v>439</v>
      </c>
      <c r="B50" s="1" t="s">
        <v>92</v>
      </c>
      <c r="C50" s="1" t="s">
        <v>93</v>
      </c>
      <c r="E50" s="1" t="s">
        <v>64</v>
      </c>
      <c r="F50" s="1" t="s">
        <v>49</v>
      </c>
      <c r="H50" s="1" t="s">
        <v>21</v>
      </c>
      <c r="I50" s="1" t="s">
        <v>21</v>
      </c>
      <c r="J50" s="1" t="s">
        <v>21</v>
      </c>
    </row>
    <row r="51" customFormat="false" ht="14.25" hidden="false" customHeight="false" outlineLevel="0" collapsed="false">
      <c r="A51" s="1" t="n">
        <v>441</v>
      </c>
      <c r="B51" s="1" t="s">
        <v>62</v>
      </c>
      <c r="C51" s="1" t="s">
        <v>94</v>
      </c>
      <c r="E51" s="1" t="s">
        <v>64</v>
      </c>
      <c r="F51" s="1" t="s">
        <v>49</v>
      </c>
      <c r="H51" s="1" t="s">
        <v>21</v>
      </c>
      <c r="I51" s="1" t="s">
        <v>21</v>
      </c>
      <c r="J51" s="1" t="s">
        <v>21</v>
      </c>
    </row>
    <row r="52" customFormat="false" ht="14.25" hidden="false" customHeight="false" outlineLevel="0" collapsed="false">
      <c r="A52" s="1" t="n">
        <v>443</v>
      </c>
      <c r="B52" s="1" t="s">
        <v>62</v>
      </c>
      <c r="C52" s="1" t="s">
        <v>95</v>
      </c>
      <c r="E52" s="1" t="s">
        <v>64</v>
      </c>
      <c r="F52" s="1" t="s">
        <v>49</v>
      </c>
      <c r="H52" s="1" t="s">
        <v>21</v>
      </c>
      <c r="I52" s="1" t="s">
        <v>21</v>
      </c>
      <c r="J52" s="1" t="s">
        <v>21</v>
      </c>
    </row>
    <row r="53" customFormat="false" ht="14.25" hidden="false" customHeight="false" outlineLevel="0" collapsed="false">
      <c r="A53" s="1" t="n">
        <v>445</v>
      </c>
      <c r="B53" s="1" t="s">
        <v>96</v>
      </c>
      <c r="C53" s="1" t="s">
        <v>97</v>
      </c>
      <c r="E53" s="1" t="s">
        <v>64</v>
      </c>
      <c r="F53" s="1" t="s">
        <v>49</v>
      </c>
      <c r="H53" s="1" t="s">
        <v>21</v>
      </c>
      <c r="I53" s="1" t="s">
        <v>21</v>
      </c>
      <c r="J53" s="1" t="s">
        <v>21</v>
      </c>
    </row>
    <row r="54" customFormat="false" ht="14.25" hidden="false" customHeight="false" outlineLevel="0" collapsed="false">
      <c r="A54" s="1" t="n">
        <v>446</v>
      </c>
      <c r="B54" s="1" t="s">
        <v>62</v>
      </c>
      <c r="C54" s="1" t="s">
        <v>98</v>
      </c>
      <c r="E54" s="1" t="s">
        <v>64</v>
      </c>
      <c r="F54" s="1" t="s">
        <v>49</v>
      </c>
      <c r="H54" s="1" t="s">
        <v>21</v>
      </c>
      <c r="I54" s="1" t="s">
        <v>21</v>
      </c>
      <c r="J54" s="1" t="s">
        <v>21</v>
      </c>
    </row>
    <row r="55" customFormat="false" ht="14.25" hidden="false" customHeight="false" outlineLevel="0" collapsed="false">
      <c r="A55" s="1" t="n">
        <v>448</v>
      </c>
      <c r="B55" s="1" t="s">
        <v>99</v>
      </c>
      <c r="C55" s="1" t="s">
        <v>100</v>
      </c>
      <c r="E55" s="1" t="s">
        <v>64</v>
      </c>
      <c r="F55" s="1" t="s">
        <v>29</v>
      </c>
      <c r="H55" s="1" t="s">
        <v>21</v>
      </c>
      <c r="I55" s="1" t="s">
        <v>21</v>
      </c>
      <c r="J55" s="1" t="s">
        <v>21</v>
      </c>
    </row>
    <row r="56" customFormat="false" ht="14.25" hidden="false" customHeight="false" outlineLevel="0" collapsed="false">
      <c r="A56" s="1" t="n">
        <v>449</v>
      </c>
      <c r="B56" s="1" t="s">
        <v>99</v>
      </c>
      <c r="C56" s="1" t="s">
        <v>101</v>
      </c>
      <c r="E56" s="1" t="s">
        <v>64</v>
      </c>
      <c r="F56" s="1" t="s">
        <v>29</v>
      </c>
      <c r="H56" s="1" t="s">
        <v>21</v>
      </c>
      <c r="I56" s="1" t="s">
        <v>21</v>
      </c>
      <c r="J56" s="1" t="s">
        <v>21</v>
      </c>
    </row>
    <row r="57" customFormat="false" ht="14.25" hidden="false" customHeight="false" outlineLevel="0" collapsed="false">
      <c r="A57" s="1" t="n">
        <v>450</v>
      </c>
      <c r="B57" s="1" t="s">
        <v>99</v>
      </c>
      <c r="C57" s="1" t="s">
        <v>102</v>
      </c>
      <c r="E57" s="1" t="s">
        <v>64</v>
      </c>
      <c r="F57" s="1" t="s">
        <v>29</v>
      </c>
      <c r="H57" s="1" t="s">
        <v>21</v>
      </c>
      <c r="I57" s="1" t="s">
        <v>21</v>
      </c>
      <c r="J57" s="1" t="s">
        <v>21</v>
      </c>
    </row>
    <row r="58" customFormat="false" ht="14.25" hidden="false" customHeight="false" outlineLevel="0" collapsed="false">
      <c r="A58" s="1" t="n">
        <v>451</v>
      </c>
      <c r="B58" s="1" t="s">
        <v>62</v>
      </c>
      <c r="C58" s="1" t="s">
        <v>103</v>
      </c>
      <c r="E58" s="1" t="s">
        <v>104</v>
      </c>
      <c r="F58" s="1" t="s">
        <v>29</v>
      </c>
      <c r="H58" s="1" t="s">
        <v>21</v>
      </c>
      <c r="I58" s="1" t="s">
        <v>21</v>
      </c>
      <c r="J58" s="1" t="s">
        <v>21</v>
      </c>
    </row>
    <row r="59" customFormat="false" ht="14.25" hidden="false" customHeight="false" outlineLevel="0" collapsed="false">
      <c r="A59" s="1" t="n">
        <v>452</v>
      </c>
      <c r="B59" s="1" t="s">
        <v>105</v>
      </c>
      <c r="C59" s="1" t="s">
        <v>106</v>
      </c>
      <c r="E59" s="1" t="s">
        <v>64</v>
      </c>
      <c r="F59" s="1" t="s">
        <v>29</v>
      </c>
      <c r="H59" s="1" t="s">
        <v>21</v>
      </c>
      <c r="I59" s="1" t="s">
        <v>21</v>
      </c>
      <c r="J59" s="1" t="s">
        <v>21</v>
      </c>
    </row>
    <row r="60" customFormat="false" ht="14.25" hidden="false" customHeight="false" outlineLevel="0" collapsed="false">
      <c r="A60" s="1" t="n">
        <v>453</v>
      </c>
      <c r="B60" s="1" t="s">
        <v>62</v>
      </c>
      <c r="C60" s="1" t="s">
        <v>107</v>
      </c>
      <c r="E60" s="1" t="s">
        <v>64</v>
      </c>
      <c r="F60" s="1" t="s">
        <v>49</v>
      </c>
      <c r="H60" s="1" t="s">
        <v>21</v>
      </c>
      <c r="I60" s="1" t="s">
        <v>21</v>
      </c>
      <c r="J60" s="1" t="s">
        <v>21</v>
      </c>
    </row>
    <row r="61" customFormat="false" ht="14.25" hidden="false" customHeight="false" outlineLevel="0" collapsed="false">
      <c r="A61" s="1" t="n">
        <v>454</v>
      </c>
      <c r="B61" s="1" t="s">
        <v>65</v>
      </c>
      <c r="C61" s="1" t="s">
        <v>108</v>
      </c>
      <c r="E61" s="1" t="s">
        <v>64</v>
      </c>
      <c r="F61" s="1" t="s">
        <v>49</v>
      </c>
      <c r="H61" s="1" t="s">
        <v>21</v>
      </c>
      <c r="I61" s="1" t="s">
        <v>21</v>
      </c>
      <c r="J61" s="1" t="s">
        <v>21</v>
      </c>
    </row>
    <row r="62" customFormat="false" ht="14.25" hidden="false" customHeight="false" outlineLevel="0" collapsed="false">
      <c r="A62" s="1" t="n">
        <v>455</v>
      </c>
      <c r="B62" s="1" t="s">
        <v>109</v>
      </c>
      <c r="C62" s="1" t="s">
        <v>110</v>
      </c>
      <c r="E62" s="1" t="s">
        <v>64</v>
      </c>
      <c r="F62" s="1" t="s">
        <v>29</v>
      </c>
      <c r="H62" s="1" t="s">
        <v>21</v>
      </c>
      <c r="I62" s="1" t="s">
        <v>21</v>
      </c>
      <c r="J62" s="1" t="s">
        <v>21</v>
      </c>
    </row>
    <row r="63" customFormat="false" ht="14.25" hidden="false" customHeight="false" outlineLevel="0" collapsed="false">
      <c r="A63" s="1" t="n">
        <v>456</v>
      </c>
      <c r="B63" s="1" t="s">
        <v>62</v>
      </c>
      <c r="C63" s="1" t="s">
        <v>111</v>
      </c>
      <c r="E63" s="1" t="s">
        <v>64</v>
      </c>
      <c r="F63" s="1" t="s">
        <v>49</v>
      </c>
      <c r="H63" s="1" t="s">
        <v>21</v>
      </c>
      <c r="I63" s="1" t="s">
        <v>21</v>
      </c>
      <c r="J63" s="1" t="s">
        <v>21</v>
      </c>
    </row>
    <row r="64" customFormat="false" ht="14.25" hidden="false" customHeight="false" outlineLevel="0" collapsed="false">
      <c r="A64" s="1" t="n">
        <v>457</v>
      </c>
      <c r="B64" s="1" t="s">
        <v>62</v>
      </c>
      <c r="C64" s="1" t="s">
        <v>112</v>
      </c>
      <c r="E64" s="1" t="s">
        <v>64</v>
      </c>
      <c r="F64" s="1" t="s">
        <v>29</v>
      </c>
      <c r="H64" s="1" t="s">
        <v>21</v>
      </c>
      <c r="I64" s="1" t="s">
        <v>21</v>
      </c>
      <c r="J64" s="1" t="s">
        <v>21</v>
      </c>
    </row>
    <row r="65" customFormat="false" ht="14.25" hidden="false" customHeight="false" outlineLevel="0" collapsed="false">
      <c r="A65" s="1" t="n">
        <v>458</v>
      </c>
      <c r="B65" s="1" t="s">
        <v>113</v>
      </c>
      <c r="C65" s="1" t="s">
        <v>114</v>
      </c>
      <c r="E65" s="1" t="s">
        <v>64</v>
      </c>
      <c r="F65" s="1" t="s">
        <v>29</v>
      </c>
      <c r="H65" s="1" t="s">
        <v>21</v>
      </c>
      <c r="I65" s="1" t="s">
        <v>21</v>
      </c>
      <c r="J65" s="1" t="s">
        <v>21</v>
      </c>
    </row>
    <row r="66" customFormat="false" ht="14.25" hidden="false" customHeight="false" outlineLevel="0" collapsed="false">
      <c r="A66" s="1" t="n">
        <v>460</v>
      </c>
      <c r="B66" s="1" t="s">
        <v>105</v>
      </c>
      <c r="C66" s="1" t="s">
        <v>115</v>
      </c>
      <c r="E66" s="1" t="s">
        <v>64</v>
      </c>
      <c r="F66" s="1" t="s">
        <v>29</v>
      </c>
      <c r="H66" s="1" t="s">
        <v>21</v>
      </c>
      <c r="I66" s="1" t="s">
        <v>21</v>
      </c>
      <c r="J66" s="1" t="s">
        <v>21</v>
      </c>
    </row>
    <row r="67" customFormat="false" ht="14.25" hidden="false" customHeight="false" outlineLevel="0" collapsed="false">
      <c r="A67" s="1" t="n">
        <v>461</v>
      </c>
      <c r="B67" s="1" t="s">
        <v>62</v>
      </c>
      <c r="C67" s="1" t="s">
        <v>116</v>
      </c>
      <c r="E67" s="1" t="s">
        <v>64</v>
      </c>
      <c r="F67" s="1" t="s">
        <v>49</v>
      </c>
      <c r="H67" s="1" t="s">
        <v>21</v>
      </c>
      <c r="I67" s="1" t="s">
        <v>21</v>
      </c>
      <c r="J67" s="1" t="s">
        <v>21</v>
      </c>
    </row>
    <row r="68" customFormat="false" ht="14.25" hidden="false" customHeight="false" outlineLevel="0" collapsed="false">
      <c r="A68" s="1" t="n">
        <v>464</v>
      </c>
      <c r="B68" s="1" t="s">
        <v>62</v>
      </c>
      <c r="C68" s="1" t="s">
        <v>117</v>
      </c>
      <c r="E68" s="1" t="s">
        <v>64</v>
      </c>
      <c r="F68" s="1" t="s">
        <v>49</v>
      </c>
      <c r="H68" s="1" t="s">
        <v>21</v>
      </c>
      <c r="I68" s="1" t="s">
        <v>21</v>
      </c>
      <c r="J68" s="1" t="s">
        <v>21</v>
      </c>
    </row>
    <row r="69" customFormat="false" ht="14.25" hidden="false" customHeight="false" outlineLevel="0" collapsed="false">
      <c r="A69" s="1" t="n">
        <v>466</v>
      </c>
      <c r="B69" s="1" t="s">
        <v>105</v>
      </c>
      <c r="C69" s="1" t="s">
        <v>118</v>
      </c>
      <c r="E69" s="1" t="s">
        <v>64</v>
      </c>
      <c r="F69" s="1" t="s">
        <v>29</v>
      </c>
      <c r="H69" s="1" t="s">
        <v>21</v>
      </c>
      <c r="I69" s="1" t="s">
        <v>21</v>
      </c>
      <c r="J69" s="1" t="s">
        <v>21</v>
      </c>
    </row>
    <row r="70" customFormat="false" ht="14.25" hidden="false" customHeight="false" outlineLevel="0" collapsed="false">
      <c r="A70" s="1" t="n">
        <v>469</v>
      </c>
      <c r="B70" s="1" t="s">
        <v>62</v>
      </c>
      <c r="C70" s="1" t="s">
        <v>119</v>
      </c>
      <c r="E70" s="1" t="s">
        <v>64</v>
      </c>
      <c r="F70" s="1" t="s">
        <v>49</v>
      </c>
      <c r="H70" s="1" t="s">
        <v>21</v>
      </c>
      <c r="I70" s="1" t="s">
        <v>21</v>
      </c>
      <c r="J70" s="1" t="s">
        <v>21</v>
      </c>
    </row>
    <row r="71" customFormat="false" ht="14.25" hidden="false" customHeight="false" outlineLevel="0" collapsed="false">
      <c r="A71" s="1" t="n">
        <v>470</v>
      </c>
      <c r="B71" s="1" t="s">
        <v>62</v>
      </c>
      <c r="C71" s="1" t="s">
        <v>120</v>
      </c>
      <c r="E71" s="1" t="s">
        <v>64</v>
      </c>
      <c r="F71" s="1" t="s">
        <v>49</v>
      </c>
      <c r="H71" s="1" t="s">
        <v>21</v>
      </c>
      <c r="I71" s="1" t="s">
        <v>21</v>
      </c>
      <c r="J71" s="1" t="s">
        <v>21</v>
      </c>
    </row>
    <row r="72" customFormat="false" ht="14.25" hidden="false" customHeight="false" outlineLevel="0" collapsed="false">
      <c r="A72" s="1" t="n">
        <v>473</v>
      </c>
      <c r="B72" s="1" t="s">
        <v>121</v>
      </c>
      <c r="C72" s="1" t="s">
        <v>122</v>
      </c>
      <c r="E72" s="1" t="s">
        <v>64</v>
      </c>
      <c r="F72" s="1" t="s">
        <v>49</v>
      </c>
      <c r="H72" s="1" t="s">
        <v>21</v>
      </c>
      <c r="I72" s="1" t="s">
        <v>21</v>
      </c>
      <c r="J72" s="1" t="s">
        <v>21</v>
      </c>
    </row>
    <row r="73" customFormat="false" ht="14.25" hidden="false" customHeight="false" outlineLevel="0" collapsed="false">
      <c r="A73" s="1" t="n">
        <v>475</v>
      </c>
      <c r="B73" s="1" t="s">
        <v>123</v>
      </c>
      <c r="C73" s="1" t="s">
        <v>124</v>
      </c>
      <c r="E73" s="1" t="s">
        <v>64</v>
      </c>
      <c r="F73" s="1" t="s">
        <v>49</v>
      </c>
      <c r="H73" s="1" t="s">
        <v>21</v>
      </c>
      <c r="I73" s="1" t="s">
        <v>21</v>
      </c>
      <c r="J73" s="1" t="s">
        <v>21</v>
      </c>
    </row>
    <row r="74" customFormat="false" ht="14.25" hidden="false" customHeight="false" outlineLevel="0" collapsed="false">
      <c r="A74" s="1" t="n">
        <v>478</v>
      </c>
      <c r="B74" s="1" t="s">
        <v>125</v>
      </c>
      <c r="C74" s="1" t="s">
        <v>126</v>
      </c>
      <c r="E74" s="1" t="s">
        <v>64</v>
      </c>
      <c r="F74" s="1" t="s">
        <v>49</v>
      </c>
      <c r="H74" s="1" t="s">
        <v>21</v>
      </c>
      <c r="I74" s="1" t="s">
        <v>21</v>
      </c>
      <c r="J74" s="1" t="s">
        <v>21</v>
      </c>
    </row>
    <row r="75" customFormat="false" ht="14.25" hidden="false" customHeight="false" outlineLevel="0" collapsed="false">
      <c r="A75" s="1" t="n">
        <v>480</v>
      </c>
      <c r="B75" s="1" t="s">
        <v>62</v>
      </c>
      <c r="C75" s="1" t="s">
        <v>127</v>
      </c>
      <c r="E75" s="1" t="s">
        <v>64</v>
      </c>
      <c r="F75" s="1" t="s">
        <v>49</v>
      </c>
      <c r="H75" s="1" t="s">
        <v>21</v>
      </c>
      <c r="I75" s="1" t="s">
        <v>21</v>
      </c>
      <c r="J75" s="1" t="s">
        <v>21</v>
      </c>
    </row>
    <row r="76" customFormat="false" ht="14.25" hidden="false" customHeight="false" outlineLevel="0" collapsed="false">
      <c r="A76" s="1" t="n">
        <v>481</v>
      </c>
      <c r="B76" s="1" t="s">
        <v>128</v>
      </c>
      <c r="C76" s="1" t="s">
        <v>129</v>
      </c>
      <c r="E76" s="1" t="s">
        <v>64</v>
      </c>
      <c r="F76" s="1" t="s">
        <v>29</v>
      </c>
      <c r="H76" s="1" t="s">
        <v>21</v>
      </c>
      <c r="I76" s="1" t="s">
        <v>21</v>
      </c>
      <c r="J76" s="1" t="s">
        <v>21</v>
      </c>
    </row>
    <row r="77" customFormat="false" ht="14.25" hidden="false" customHeight="false" outlineLevel="0" collapsed="false">
      <c r="A77" s="1" t="n">
        <v>482</v>
      </c>
      <c r="B77" s="1" t="s">
        <v>128</v>
      </c>
      <c r="C77" s="1" t="s">
        <v>130</v>
      </c>
      <c r="E77" s="1" t="s">
        <v>64</v>
      </c>
      <c r="F77" s="1" t="s">
        <v>29</v>
      </c>
      <c r="H77" s="1" t="s">
        <v>21</v>
      </c>
      <c r="I77" s="1" t="s">
        <v>21</v>
      </c>
      <c r="J77" s="1" t="s">
        <v>21</v>
      </c>
    </row>
    <row r="78" customFormat="false" ht="14.25" hidden="false" customHeight="false" outlineLevel="0" collapsed="false">
      <c r="A78" s="1" t="n">
        <v>483</v>
      </c>
      <c r="B78" s="1" t="s">
        <v>62</v>
      </c>
      <c r="C78" s="1" t="s">
        <v>131</v>
      </c>
      <c r="E78" s="1" t="s">
        <v>64</v>
      </c>
      <c r="F78" s="1" t="s">
        <v>49</v>
      </c>
      <c r="H78" s="1" t="s">
        <v>21</v>
      </c>
      <c r="I78" s="1" t="s">
        <v>21</v>
      </c>
      <c r="J78" s="1" t="s">
        <v>21</v>
      </c>
    </row>
    <row r="79" customFormat="false" ht="14.25" hidden="false" customHeight="false" outlineLevel="0" collapsed="false">
      <c r="A79" s="1" t="n">
        <v>485</v>
      </c>
      <c r="B79" s="1" t="s">
        <v>41</v>
      </c>
      <c r="C79" s="1" t="s">
        <v>132</v>
      </c>
      <c r="E79" s="1" t="s">
        <v>64</v>
      </c>
      <c r="F79" s="1" t="s">
        <v>29</v>
      </c>
      <c r="H79" s="1" t="s">
        <v>21</v>
      </c>
      <c r="I79" s="1" t="s">
        <v>21</v>
      </c>
      <c r="J79" s="1" t="s">
        <v>21</v>
      </c>
    </row>
    <row r="80" customFormat="false" ht="14.25" hidden="false" customHeight="false" outlineLevel="0" collapsed="false">
      <c r="A80" s="1" t="n">
        <v>486</v>
      </c>
      <c r="B80" s="1" t="s">
        <v>62</v>
      </c>
      <c r="C80" s="1" t="s">
        <v>133</v>
      </c>
      <c r="E80" s="1" t="s">
        <v>64</v>
      </c>
      <c r="F80" s="1" t="s">
        <v>29</v>
      </c>
      <c r="H80" s="1" t="s">
        <v>21</v>
      </c>
      <c r="I80" s="1" t="s">
        <v>21</v>
      </c>
      <c r="J80" s="1" t="s">
        <v>21</v>
      </c>
    </row>
    <row r="81" customFormat="false" ht="14.25" hidden="false" customHeight="false" outlineLevel="0" collapsed="false">
      <c r="A81" s="1" t="n">
        <v>488</v>
      </c>
      <c r="B81" s="1" t="s">
        <v>62</v>
      </c>
      <c r="C81" s="1" t="s">
        <v>134</v>
      </c>
      <c r="E81" s="1" t="s">
        <v>64</v>
      </c>
      <c r="F81" s="1" t="s">
        <v>29</v>
      </c>
      <c r="H81" s="1" t="s">
        <v>21</v>
      </c>
      <c r="I81" s="1" t="s">
        <v>21</v>
      </c>
      <c r="J81" s="1" t="s">
        <v>21</v>
      </c>
    </row>
    <row r="82" customFormat="false" ht="14.25" hidden="false" customHeight="false" outlineLevel="0" collapsed="false">
      <c r="A82" s="1" t="n">
        <v>490</v>
      </c>
      <c r="B82" s="1" t="s">
        <v>62</v>
      </c>
      <c r="C82" s="1" t="s">
        <v>135</v>
      </c>
      <c r="E82" s="1" t="s">
        <v>64</v>
      </c>
      <c r="F82" s="1" t="s">
        <v>49</v>
      </c>
      <c r="H82" s="1" t="s">
        <v>21</v>
      </c>
      <c r="I82" s="1" t="s">
        <v>21</v>
      </c>
      <c r="J82" s="1" t="s">
        <v>21</v>
      </c>
    </row>
    <row r="83" customFormat="false" ht="14.25" hidden="false" customHeight="false" outlineLevel="0" collapsed="false">
      <c r="A83" s="1" t="n">
        <v>492</v>
      </c>
      <c r="B83" s="1" t="s">
        <v>62</v>
      </c>
      <c r="C83" s="1" t="s">
        <v>136</v>
      </c>
      <c r="E83" s="1" t="s">
        <v>64</v>
      </c>
      <c r="F83" s="1" t="s">
        <v>49</v>
      </c>
      <c r="H83" s="1" t="s">
        <v>21</v>
      </c>
      <c r="I83" s="1" t="s">
        <v>21</v>
      </c>
      <c r="J83" s="1" t="s">
        <v>21</v>
      </c>
    </row>
    <row r="84" customFormat="false" ht="14.25" hidden="false" customHeight="false" outlineLevel="0" collapsed="false">
      <c r="A84" s="1" t="n">
        <v>493</v>
      </c>
      <c r="B84" s="1" t="s">
        <v>137</v>
      </c>
      <c r="C84" s="1" t="s">
        <v>138</v>
      </c>
      <c r="E84" s="1" t="s">
        <v>64</v>
      </c>
      <c r="F84" s="1" t="s">
        <v>29</v>
      </c>
      <c r="H84" s="1" t="s">
        <v>21</v>
      </c>
      <c r="I84" s="1" t="s">
        <v>21</v>
      </c>
      <c r="J84" s="1" t="s">
        <v>21</v>
      </c>
    </row>
    <row r="85" customFormat="false" ht="14.25" hidden="false" customHeight="false" outlineLevel="0" collapsed="false">
      <c r="A85" s="1" t="n">
        <v>494</v>
      </c>
      <c r="B85" s="1" t="s">
        <v>139</v>
      </c>
      <c r="C85" s="1" t="s">
        <v>140</v>
      </c>
      <c r="E85" s="1" t="s">
        <v>64</v>
      </c>
      <c r="F85" s="1" t="s">
        <v>49</v>
      </c>
      <c r="H85" s="1" t="s">
        <v>21</v>
      </c>
      <c r="I85" s="1" t="s">
        <v>21</v>
      </c>
      <c r="J85" s="1" t="s">
        <v>21</v>
      </c>
    </row>
    <row r="86" customFormat="false" ht="14.25" hidden="false" customHeight="false" outlineLevel="0" collapsed="false">
      <c r="A86" s="1" t="n">
        <v>495</v>
      </c>
      <c r="B86" s="1" t="s">
        <v>62</v>
      </c>
      <c r="C86" s="1" t="s">
        <v>141</v>
      </c>
      <c r="E86" s="1" t="s">
        <v>64</v>
      </c>
      <c r="F86" s="1" t="s">
        <v>49</v>
      </c>
      <c r="H86" s="1" t="s">
        <v>21</v>
      </c>
      <c r="I86" s="1" t="s">
        <v>21</v>
      </c>
      <c r="J86" s="1" t="s">
        <v>21</v>
      </c>
    </row>
    <row r="87" customFormat="false" ht="14.25" hidden="false" customHeight="false" outlineLevel="0" collapsed="false">
      <c r="A87" s="1" t="n">
        <v>496</v>
      </c>
      <c r="B87" s="1" t="s">
        <v>62</v>
      </c>
      <c r="C87" s="1" t="s">
        <v>142</v>
      </c>
      <c r="E87" s="1" t="s">
        <v>64</v>
      </c>
      <c r="F87" s="1" t="s">
        <v>49</v>
      </c>
      <c r="H87" s="1" t="s">
        <v>21</v>
      </c>
      <c r="I87" s="1" t="s">
        <v>21</v>
      </c>
      <c r="J87" s="1" t="s">
        <v>21</v>
      </c>
    </row>
    <row r="88" customFormat="false" ht="14.25" hidden="false" customHeight="false" outlineLevel="0" collapsed="false">
      <c r="A88" s="1" t="n">
        <v>497</v>
      </c>
      <c r="B88" s="1" t="s">
        <v>143</v>
      </c>
      <c r="C88" s="1" t="s">
        <v>144</v>
      </c>
      <c r="E88" s="1" t="s">
        <v>144</v>
      </c>
      <c r="F88" s="1" t="s">
        <v>29</v>
      </c>
      <c r="G88" s="1" t="s">
        <v>145</v>
      </c>
      <c r="H88" s="1" t="s">
        <v>21</v>
      </c>
      <c r="I88" s="1" t="s">
        <v>21</v>
      </c>
      <c r="J88" s="1" t="s">
        <v>21</v>
      </c>
    </row>
    <row r="89" customFormat="false" ht="14.25" hidden="false" customHeight="false" outlineLevel="0" collapsed="false">
      <c r="A89" s="1" t="n">
        <v>498</v>
      </c>
      <c r="B89" s="1" t="s">
        <v>60</v>
      </c>
      <c r="C89" s="1" t="s">
        <v>146</v>
      </c>
      <c r="E89" s="1" t="s">
        <v>64</v>
      </c>
      <c r="F89" s="1" t="s">
        <v>29</v>
      </c>
      <c r="H89" s="1" t="s">
        <v>21</v>
      </c>
      <c r="I89" s="1" t="s">
        <v>21</v>
      </c>
      <c r="J89" s="1" t="s">
        <v>21</v>
      </c>
    </row>
    <row r="90" customFormat="false" ht="14.25" hidden="false" customHeight="false" outlineLevel="0" collapsed="false">
      <c r="A90" s="1" t="s">
        <v>147</v>
      </c>
      <c r="B90" s="1" t="s">
        <v>143</v>
      </c>
      <c r="C90" s="1" t="s">
        <v>148</v>
      </c>
      <c r="E90" s="1" t="s">
        <v>148</v>
      </c>
      <c r="F90" s="1" t="s">
        <v>29</v>
      </c>
      <c r="G90" s="1" t="s">
        <v>149</v>
      </c>
      <c r="H90" s="1" t="s">
        <v>21</v>
      </c>
      <c r="I90" s="1" t="s">
        <v>21</v>
      </c>
      <c r="J90" s="1" t="s">
        <v>21</v>
      </c>
    </row>
    <row r="91" customFormat="false" ht="14.25" hidden="false" customHeight="false" outlineLevel="0" collapsed="false">
      <c r="A91" s="1" t="n">
        <v>499</v>
      </c>
      <c r="B91" s="1" t="s">
        <v>150</v>
      </c>
      <c r="C91" s="1" t="s">
        <v>151</v>
      </c>
      <c r="E91" s="1" t="s">
        <v>64</v>
      </c>
      <c r="F91" s="1" t="s">
        <v>29</v>
      </c>
      <c r="H91" s="1" t="s">
        <v>21</v>
      </c>
      <c r="I91" s="1" t="s">
        <v>21</v>
      </c>
      <c r="J91" s="1" t="s">
        <v>21</v>
      </c>
    </row>
    <row r="92" customFormat="false" ht="14.25" hidden="false" customHeight="false" outlineLevel="0" collapsed="false">
      <c r="A92" s="1" t="s">
        <v>152</v>
      </c>
      <c r="B92" s="1" t="s">
        <v>153</v>
      </c>
      <c r="C92" s="1" t="s">
        <v>154</v>
      </c>
      <c r="E92" s="1" t="s">
        <v>154</v>
      </c>
      <c r="F92" s="1" t="s">
        <v>29</v>
      </c>
      <c r="G92" s="1" t="s">
        <v>155</v>
      </c>
      <c r="H92" s="1" t="s">
        <v>21</v>
      </c>
      <c r="I92" s="1" t="s">
        <v>21</v>
      </c>
      <c r="J92" s="1" t="s">
        <v>21</v>
      </c>
    </row>
    <row r="93" customFormat="false" ht="14.25" hidden="false" customHeight="false" outlineLevel="0" collapsed="false">
      <c r="A93" s="1" t="n">
        <v>500</v>
      </c>
      <c r="B93" s="1" t="s">
        <v>156</v>
      </c>
      <c r="C93" s="1" t="s">
        <v>157</v>
      </c>
      <c r="E93" s="1" t="s">
        <v>158</v>
      </c>
      <c r="F93" s="1" t="s">
        <v>29</v>
      </c>
      <c r="H93" s="1" t="s">
        <v>21</v>
      </c>
      <c r="I93" s="1" t="s">
        <v>21</v>
      </c>
      <c r="J93" s="1" t="s">
        <v>21</v>
      </c>
    </row>
    <row r="94" customFormat="false" ht="14.25" hidden="false" customHeight="false" outlineLevel="0" collapsed="false">
      <c r="A94" s="1" t="n">
        <v>501</v>
      </c>
      <c r="B94" s="1" t="s">
        <v>156</v>
      </c>
      <c r="C94" s="1" t="s">
        <v>159</v>
      </c>
      <c r="E94" s="1" t="s">
        <v>158</v>
      </c>
      <c r="F94" s="1" t="s">
        <v>29</v>
      </c>
      <c r="H94" s="1" t="s">
        <v>21</v>
      </c>
      <c r="I94" s="1" t="s">
        <v>21</v>
      </c>
      <c r="J94" s="1" t="s">
        <v>21</v>
      </c>
    </row>
    <row r="95" customFormat="false" ht="14.25" hidden="false" customHeight="false" outlineLevel="0" collapsed="false">
      <c r="A95" s="1" t="n">
        <v>510</v>
      </c>
      <c r="B95" s="1" t="s">
        <v>160</v>
      </c>
      <c r="C95" s="1" t="s">
        <v>161</v>
      </c>
      <c r="E95" s="1" t="s">
        <v>162</v>
      </c>
      <c r="F95" s="1" t="s">
        <v>29</v>
      </c>
      <c r="H95" s="1" t="s">
        <v>21</v>
      </c>
      <c r="I95" s="1" t="s">
        <v>21</v>
      </c>
      <c r="J95" s="1" t="s">
        <v>21</v>
      </c>
    </row>
    <row r="96" customFormat="false" ht="14.25" hidden="false" customHeight="false" outlineLevel="0" collapsed="false">
      <c r="A96" s="1" t="s">
        <v>163</v>
      </c>
      <c r="B96" s="1" t="s">
        <v>164</v>
      </c>
      <c r="C96" s="1" t="s">
        <v>165</v>
      </c>
      <c r="E96" s="1" t="s">
        <v>162</v>
      </c>
      <c r="F96" s="1" t="s">
        <v>29</v>
      </c>
      <c r="H96" s="1" t="s">
        <v>21</v>
      </c>
      <c r="I96" s="1" t="s">
        <v>21</v>
      </c>
      <c r="J96" s="1" t="s">
        <v>21</v>
      </c>
    </row>
    <row r="97" customFormat="false" ht="14.25" hidden="false" customHeight="false" outlineLevel="0" collapsed="false">
      <c r="A97" s="1" t="s">
        <v>166</v>
      </c>
      <c r="B97" s="1" t="s">
        <v>167</v>
      </c>
      <c r="C97" s="1" t="s">
        <v>168</v>
      </c>
      <c r="E97" s="1" t="s">
        <v>162</v>
      </c>
      <c r="F97" s="1" t="s">
        <v>29</v>
      </c>
      <c r="H97" s="1" t="s">
        <v>21</v>
      </c>
      <c r="I97" s="1" t="s">
        <v>21</v>
      </c>
      <c r="J97" s="1" t="s">
        <v>21</v>
      </c>
    </row>
    <row r="98" customFormat="false" ht="14.25" hidden="false" customHeight="false" outlineLevel="0" collapsed="false">
      <c r="A98" s="1" t="s">
        <v>169</v>
      </c>
      <c r="B98" s="1" t="s">
        <v>170</v>
      </c>
      <c r="C98" s="1" t="s">
        <v>171</v>
      </c>
      <c r="E98" s="1" t="s">
        <v>162</v>
      </c>
      <c r="F98" s="1" t="s">
        <v>29</v>
      </c>
      <c r="H98" s="1" t="s">
        <v>21</v>
      </c>
      <c r="I98" s="1" t="s">
        <v>21</v>
      </c>
      <c r="J98" s="1" t="s">
        <v>21</v>
      </c>
    </row>
    <row r="99" customFormat="false" ht="14.25" hidden="false" customHeight="false" outlineLevel="0" collapsed="false">
      <c r="A99" s="1" t="s">
        <v>172</v>
      </c>
      <c r="B99" s="1" t="s">
        <v>173</v>
      </c>
      <c r="C99" s="1" t="s">
        <v>174</v>
      </c>
      <c r="E99" s="1" t="s">
        <v>162</v>
      </c>
      <c r="F99" s="1" t="s">
        <v>29</v>
      </c>
      <c r="H99" s="1" t="s">
        <v>21</v>
      </c>
      <c r="I99" s="1" t="s">
        <v>21</v>
      </c>
      <c r="J99" s="1" t="s">
        <v>21</v>
      </c>
    </row>
    <row r="100" customFormat="false" ht="14.25" hidden="false" customHeight="false" outlineLevel="0" collapsed="false">
      <c r="A100" s="1" t="n">
        <v>511</v>
      </c>
      <c r="B100" s="1" t="s">
        <v>160</v>
      </c>
      <c r="C100" s="1" t="s">
        <v>175</v>
      </c>
      <c r="E100" s="1" t="s">
        <v>162</v>
      </c>
      <c r="F100" s="1" t="s">
        <v>29</v>
      </c>
      <c r="H100" s="1" t="s">
        <v>21</v>
      </c>
      <c r="I100" s="1" t="s">
        <v>21</v>
      </c>
      <c r="J100" s="1" t="s">
        <v>21</v>
      </c>
    </row>
    <row r="101" customFormat="false" ht="14.25" hidden="false" customHeight="false" outlineLevel="0" collapsed="false">
      <c r="A101" s="1" t="s">
        <v>176</v>
      </c>
      <c r="B101" s="1" t="s">
        <v>164</v>
      </c>
      <c r="C101" s="1" t="s">
        <v>177</v>
      </c>
      <c r="D101" s="1" t="s">
        <v>178</v>
      </c>
      <c r="E101" s="1" t="s">
        <v>162</v>
      </c>
      <c r="F101" s="1" t="s">
        <v>29</v>
      </c>
      <c r="H101" s="1" t="s">
        <v>21</v>
      </c>
      <c r="I101" s="1" t="s">
        <v>21</v>
      </c>
      <c r="J101" s="1" t="s">
        <v>21</v>
      </c>
    </row>
    <row r="102" customFormat="false" ht="14.25" hidden="false" customHeight="false" outlineLevel="0" collapsed="false">
      <c r="A102" s="1" t="s">
        <v>179</v>
      </c>
      <c r="B102" s="1" t="s">
        <v>167</v>
      </c>
      <c r="C102" s="1" t="s">
        <v>180</v>
      </c>
      <c r="D102" s="1" t="s">
        <v>178</v>
      </c>
      <c r="E102" s="1" t="s">
        <v>162</v>
      </c>
      <c r="F102" s="1" t="s">
        <v>29</v>
      </c>
      <c r="H102" s="1" t="s">
        <v>21</v>
      </c>
      <c r="I102" s="1" t="s">
        <v>21</v>
      </c>
      <c r="J102" s="1" t="s">
        <v>21</v>
      </c>
    </row>
    <row r="103" customFormat="false" ht="14.25" hidden="false" customHeight="false" outlineLevel="0" collapsed="false">
      <c r="A103" s="1" t="s">
        <v>181</v>
      </c>
      <c r="B103" s="1" t="s">
        <v>170</v>
      </c>
      <c r="C103" s="1" t="s">
        <v>182</v>
      </c>
      <c r="E103" s="1" t="s">
        <v>162</v>
      </c>
      <c r="F103" s="1" t="s">
        <v>29</v>
      </c>
      <c r="H103" s="1" t="s">
        <v>21</v>
      </c>
      <c r="I103" s="1" t="s">
        <v>21</v>
      </c>
      <c r="J103" s="1" t="s">
        <v>21</v>
      </c>
    </row>
    <row r="104" customFormat="false" ht="14.25" hidden="false" customHeight="false" outlineLevel="0" collapsed="false">
      <c r="A104" s="1" t="s">
        <v>183</v>
      </c>
      <c r="B104" s="1" t="s">
        <v>173</v>
      </c>
      <c r="C104" s="1" t="s">
        <v>184</v>
      </c>
      <c r="E104" s="1" t="s">
        <v>162</v>
      </c>
      <c r="F104" s="1" t="s">
        <v>29</v>
      </c>
      <c r="H104" s="1" t="s">
        <v>21</v>
      </c>
      <c r="I104" s="1" t="s">
        <v>21</v>
      </c>
      <c r="J104" s="1" t="s">
        <v>21</v>
      </c>
    </row>
    <row r="105" customFormat="false" ht="14.25" hidden="false" customHeight="false" outlineLevel="0" collapsed="false">
      <c r="A105" s="1" t="n">
        <v>512</v>
      </c>
      <c r="B105" s="1" t="s">
        <v>160</v>
      </c>
      <c r="C105" s="1" t="s">
        <v>185</v>
      </c>
      <c r="E105" s="1" t="s">
        <v>162</v>
      </c>
      <c r="F105" s="1" t="s">
        <v>29</v>
      </c>
      <c r="H105" s="1" t="s">
        <v>21</v>
      </c>
      <c r="I105" s="1" t="s">
        <v>21</v>
      </c>
      <c r="J105" s="1" t="s">
        <v>21</v>
      </c>
    </row>
    <row r="106" customFormat="false" ht="14.25" hidden="false" customHeight="false" outlineLevel="0" collapsed="false">
      <c r="A106" s="1" t="s">
        <v>186</v>
      </c>
      <c r="B106" s="1" t="s">
        <v>164</v>
      </c>
      <c r="C106" s="1" t="s">
        <v>187</v>
      </c>
      <c r="E106" s="1" t="s">
        <v>162</v>
      </c>
      <c r="F106" s="1" t="s">
        <v>29</v>
      </c>
      <c r="H106" s="1" t="s">
        <v>21</v>
      </c>
      <c r="I106" s="1" t="s">
        <v>21</v>
      </c>
      <c r="J106" s="1" t="s">
        <v>21</v>
      </c>
    </row>
    <row r="107" customFormat="false" ht="14.25" hidden="false" customHeight="false" outlineLevel="0" collapsed="false">
      <c r="A107" s="1" t="s">
        <v>188</v>
      </c>
      <c r="B107" s="1" t="s">
        <v>167</v>
      </c>
      <c r="C107" s="1" t="s">
        <v>189</v>
      </c>
      <c r="E107" s="1" t="s">
        <v>162</v>
      </c>
      <c r="F107" s="1" t="s">
        <v>29</v>
      </c>
      <c r="H107" s="1" t="s">
        <v>21</v>
      </c>
      <c r="I107" s="1" t="s">
        <v>21</v>
      </c>
      <c r="J107" s="1" t="s">
        <v>21</v>
      </c>
    </row>
    <row r="108" customFormat="false" ht="14.25" hidden="false" customHeight="false" outlineLevel="0" collapsed="false">
      <c r="A108" s="1" t="s">
        <v>190</v>
      </c>
      <c r="B108" s="1" t="s">
        <v>170</v>
      </c>
      <c r="C108" s="1" t="s">
        <v>191</v>
      </c>
      <c r="E108" s="1" t="s">
        <v>162</v>
      </c>
      <c r="F108" s="1" t="s">
        <v>29</v>
      </c>
      <c r="H108" s="1" t="s">
        <v>21</v>
      </c>
      <c r="I108" s="1" t="s">
        <v>21</v>
      </c>
      <c r="J108" s="1" t="s">
        <v>21</v>
      </c>
    </row>
    <row r="109" customFormat="false" ht="14.25" hidden="false" customHeight="false" outlineLevel="0" collapsed="false">
      <c r="A109" s="1" t="s">
        <v>192</v>
      </c>
      <c r="B109" s="1" t="s">
        <v>173</v>
      </c>
      <c r="C109" s="1" t="s">
        <v>193</v>
      </c>
      <c r="E109" s="1" t="s">
        <v>162</v>
      </c>
      <c r="F109" s="1" t="s">
        <v>29</v>
      </c>
      <c r="H109" s="1" t="s">
        <v>21</v>
      </c>
      <c r="I109" s="1" t="s">
        <v>21</v>
      </c>
      <c r="J109" s="1" t="s">
        <v>21</v>
      </c>
    </row>
    <row r="110" customFormat="false" ht="14.25" hidden="false" customHeight="false" outlineLevel="0" collapsed="false">
      <c r="A110" s="1" t="n">
        <v>514</v>
      </c>
      <c r="B110" s="1" t="s">
        <v>194</v>
      </c>
      <c r="C110" s="1" t="s">
        <v>195</v>
      </c>
      <c r="E110" s="1" t="s">
        <v>162</v>
      </c>
      <c r="F110" s="1" t="s">
        <v>29</v>
      </c>
      <c r="H110" s="1" t="s">
        <v>21</v>
      </c>
      <c r="I110" s="1" t="s">
        <v>21</v>
      </c>
      <c r="J110" s="1" t="s">
        <v>21</v>
      </c>
    </row>
    <row r="111" customFormat="false" ht="14.25" hidden="false" customHeight="false" outlineLevel="0" collapsed="false">
      <c r="A111" s="1" t="s">
        <v>196</v>
      </c>
      <c r="B111" s="1" t="s">
        <v>164</v>
      </c>
      <c r="C111" s="1" t="s">
        <v>197</v>
      </c>
      <c r="E111" s="1" t="s">
        <v>162</v>
      </c>
      <c r="F111" s="1" t="s">
        <v>29</v>
      </c>
      <c r="H111" s="1" t="s">
        <v>21</v>
      </c>
      <c r="I111" s="1" t="s">
        <v>21</v>
      </c>
      <c r="J111" s="1" t="s">
        <v>21</v>
      </c>
    </row>
    <row r="112" customFormat="false" ht="14.25" hidden="false" customHeight="false" outlineLevel="0" collapsed="false">
      <c r="A112" s="1" t="s">
        <v>198</v>
      </c>
      <c r="B112" s="1" t="s">
        <v>167</v>
      </c>
      <c r="C112" s="1" t="s">
        <v>199</v>
      </c>
      <c r="E112" s="1" t="s">
        <v>162</v>
      </c>
      <c r="F112" s="1" t="s">
        <v>29</v>
      </c>
      <c r="H112" s="1" t="s">
        <v>21</v>
      </c>
      <c r="I112" s="1" t="s">
        <v>21</v>
      </c>
      <c r="J112" s="1" t="s">
        <v>21</v>
      </c>
    </row>
    <row r="113" customFormat="false" ht="14.25" hidden="false" customHeight="false" outlineLevel="0" collapsed="false">
      <c r="A113" s="1" t="s">
        <v>200</v>
      </c>
      <c r="B113" s="1" t="s">
        <v>170</v>
      </c>
      <c r="C113" s="1" t="s">
        <v>201</v>
      </c>
      <c r="E113" s="1" t="s">
        <v>162</v>
      </c>
      <c r="F113" s="1" t="s">
        <v>29</v>
      </c>
      <c r="H113" s="1" t="s">
        <v>21</v>
      </c>
      <c r="I113" s="1" t="s">
        <v>21</v>
      </c>
      <c r="J113" s="1" t="s">
        <v>21</v>
      </c>
    </row>
    <row r="114" customFormat="false" ht="14.25" hidden="false" customHeight="false" outlineLevel="0" collapsed="false">
      <c r="A114" s="1" t="s">
        <v>202</v>
      </c>
      <c r="B114" s="1" t="s">
        <v>173</v>
      </c>
      <c r="C114" s="1" t="s">
        <v>203</v>
      </c>
      <c r="E114" s="1" t="s">
        <v>162</v>
      </c>
      <c r="F114" s="1" t="s">
        <v>29</v>
      </c>
      <c r="H114" s="1" t="s">
        <v>21</v>
      </c>
      <c r="I114" s="1" t="s">
        <v>21</v>
      </c>
      <c r="J114" s="1" t="s">
        <v>21</v>
      </c>
    </row>
    <row r="115" customFormat="false" ht="14.25" hidden="false" customHeight="false" outlineLevel="0" collapsed="false">
      <c r="A115" s="1" t="n">
        <v>518</v>
      </c>
      <c r="B115" s="1" t="s">
        <v>194</v>
      </c>
      <c r="C115" s="1" t="s">
        <v>204</v>
      </c>
      <c r="E115" s="1" t="s">
        <v>162</v>
      </c>
      <c r="F115" s="1" t="s">
        <v>29</v>
      </c>
      <c r="H115" s="1" t="s">
        <v>21</v>
      </c>
      <c r="I115" s="1" t="s">
        <v>21</v>
      </c>
      <c r="J115" s="1" t="s">
        <v>21</v>
      </c>
    </row>
    <row r="116" customFormat="false" ht="14.25" hidden="false" customHeight="false" outlineLevel="0" collapsed="false">
      <c r="A116" s="1" t="s">
        <v>205</v>
      </c>
      <c r="B116" s="1" t="s">
        <v>164</v>
      </c>
      <c r="C116" s="1" t="s">
        <v>206</v>
      </c>
      <c r="E116" s="1" t="s">
        <v>162</v>
      </c>
      <c r="F116" s="1" t="s">
        <v>29</v>
      </c>
      <c r="H116" s="1" t="s">
        <v>21</v>
      </c>
      <c r="I116" s="1" t="s">
        <v>21</v>
      </c>
      <c r="J116" s="1" t="s">
        <v>21</v>
      </c>
    </row>
    <row r="117" customFormat="false" ht="14.25" hidden="false" customHeight="false" outlineLevel="0" collapsed="false">
      <c r="A117" s="1" t="s">
        <v>207</v>
      </c>
      <c r="B117" s="1" t="s">
        <v>167</v>
      </c>
      <c r="C117" s="1" t="s">
        <v>208</v>
      </c>
      <c r="E117" s="1" t="s">
        <v>162</v>
      </c>
      <c r="F117" s="1" t="s">
        <v>29</v>
      </c>
      <c r="H117" s="1" t="s">
        <v>21</v>
      </c>
      <c r="I117" s="1" t="s">
        <v>21</v>
      </c>
      <c r="J117" s="1" t="s">
        <v>21</v>
      </c>
    </row>
    <row r="118" customFormat="false" ht="14.25" hidden="false" customHeight="false" outlineLevel="0" collapsed="false">
      <c r="A118" s="1" t="s">
        <v>209</v>
      </c>
      <c r="B118" s="1" t="s">
        <v>170</v>
      </c>
      <c r="C118" s="1" t="s">
        <v>210</v>
      </c>
      <c r="E118" s="1" t="s">
        <v>162</v>
      </c>
      <c r="F118" s="1" t="s">
        <v>29</v>
      </c>
      <c r="H118" s="1" t="s">
        <v>21</v>
      </c>
      <c r="I118" s="1" t="s">
        <v>21</v>
      </c>
      <c r="J118" s="1" t="s">
        <v>21</v>
      </c>
    </row>
    <row r="119" customFormat="false" ht="14.25" hidden="false" customHeight="false" outlineLevel="0" collapsed="false">
      <c r="A119" s="1" t="s">
        <v>211</v>
      </c>
      <c r="B119" s="1" t="s">
        <v>173</v>
      </c>
      <c r="C119" s="1" t="s">
        <v>212</v>
      </c>
      <c r="E119" s="1" t="s">
        <v>162</v>
      </c>
      <c r="F119" s="1" t="s">
        <v>29</v>
      </c>
      <c r="H119" s="1" t="s">
        <v>21</v>
      </c>
      <c r="I119" s="1" t="s">
        <v>21</v>
      </c>
      <c r="J119" s="1" t="s">
        <v>21</v>
      </c>
    </row>
    <row r="120" customFormat="false" ht="14.25" hidden="false" customHeight="false" outlineLevel="0" collapsed="false">
      <c r="A120" s="1" t="s">
        <v>213</v>
      </c>
      <c r="B120" s="1" t="s">
        <v>194</v>
      </c>
      <c r="C120" s="1" t="s">
        <v>214</v>
      </c>
      <c r="E120" s="1" t="s">
        <v>162</v>
      </c>
      <c r="F120" s="1" t="s">
        <v>29</v>
      </c>
      <c r="H120" s="1" t="s">
        <v>21</v>
      </c>
      <c r="I120" s="1" t="s">
        <v>21</v>
      </c>
      <c r="J120" s="1" t="s">
        <v>21</v>
      </c>
    </row>
    <row r="121" customFormat="false" ht="14.25" hidden="false" customHeight="false" outlineLevel="0" collapsed="false">
      <c r="A121" s="1" t="s">
        <v>215</v>
      </c>
      <c r="B121" s="1" t="s">
        <v>216</v>
      </c>
      <c r="C121" s="1" t="s">
        <v>217</v>
      </c>
      <c r="D121" s="1" t="s">
        <v>218</v>
      </c>
      <c r="E121" s="1" t="s">
        <v>162</v>
      </c>
      <c r="F121" s="1" t="s">
        <v>29</v>
      </c>
      <c r="H121" s="1" t="s">
        <v>21</v>
      </c>
      <c r="I121" s="1" t="s">
        <v>21</v>
      </c>
      <c r="J121" s="1" t="s">
        <v>21</v>
      </c>
    </row>
    <row r="122" customFormat="false" ht="14.25" hidden="false" customHeight="false" outlineLevel="0" collapsed="false">
      <c r="A122" s="1" t="s">
        <v>219</v>
      </c>
      <c r="B122" s="1" t="s">
        <v>220</v>
      </c>
      <c r="C122" s="1" t="s">
        <v>214</v>
      </c>
      <c r="D122" s="1" t="s">
        <v>218</v>
      </c>
      <c r="E122" s="1" t="s">
        <v>162</v>
      </c>
      <c r="F122" s="1" t="s">
        <v>29</v>
      </c>
      <c r="H122" s="1" t="s">
        <v>21</v>
      </c>
      <c r="I122" s="1" t="s">
        <v>21</v>
      </c>
      <c r="J122" s="1" t="s">
        <v>21</v>
      </c>
    </row>
    <row r="123" customFormat="false" ht="14.25" hidden="false" customHeight="false" outlineLevel="0" collapsed="false">
      <c r="A123" s="1" t="s">
        <v>221</v>
      </c>
      <c r="B123" s="1" t="s">
        <v>222</v>
      </c>
      <c r="C123" s="1" t="s">
        <v>223</v>
      </c>
      <c r="E123" s="1" t="s">
        <v>162</v>
      </c>
      <c r="F123" s="1" t="s">
        <v>29</v>
      </c>
      <c r="H123" s="1" t="s">
        <v>21</v>
      </c>
      <c r="I123" s="1" t="s">
        <v>21</v>
      </c>
      <c r="J123" s="1" t="s">
        <v>21</v>
      </c>
    </row>
    <row r="124" customFormat="false" ht="14.25" hidden="false" customHeight="false" outlineLevel="0" collapsed="false">
      <c r="A124" s="1" t="s">
        <v>224</v>
      </c>
      <c r="B124" s="1" t="s">
        <v>225</v>
      </c>
      <c r="C124" s="1" t="s">
        <v>226</v>
      </c>
      <c r="E124" s="1" t="s">
        <v>162</v>
      </c>
      <c r="F124" s="1" t="s">
        <v>29</v>
      </c>
      <c r="H124" s="1" t="s">
        <v>21</v>
      </c>
      <c r="I124" s="1" t="s">
        <v>21</v>
      </c>
      <c r="J124" s="1" t="s">
        <v>21</v>
      </c>
    </row>
    <row r="125" customFormat="false" ht="14.25" hidden="false" customHeight="false" outlineLevel="0" collapsed="false">
      <c r="A125" s="1" t="s">
        <v>227</v>
      </c>
      <c r="B125" s="1" t="s">
        <v>194</v>
      </c>
      <c r="C125" s="1" t="s">
        <v>228</v>
      </c>
      <c r="E125" s="1" t="s">
        <v>162</v>
      </c>
      <c r="F125" s="1" t="s">
        <v>29</v>
      </c>
      <c r="H125" s="1" t="s">
        <v>21</v>
      </c>
      <c r="I125" s="1" t="s">
        <v>21</v>
      </c>
      <c r="J125" s="1" t="s">
        <v>21</v>
      </c>
    </row>
    <row r="126" customFormat="false" ht="14.25" hidden="false" customHeight="false" outlineLevel="0" collapsed="false">
      <c r="A126" s="1" t="s">
        <v>229</v>
      </c>
      <c r="B126" s="1" t="s">
        <v>216</v>
      </c>
      <c r="C126" s="1" t="s">
        <v>230</v>
      </c>
      <c r="E126" s="1" t="s">
        <v>162</v>
      </c>
      <c r="F126" s="1" t="s">
        <v>29</v>
      </c>
      <c r="H126" s="1" t="s">
        <v>21</v>
      </c>
      <c r="I126" s="1" t="s">
        <v>21</v>
      </c>
      <c r="J126" s="1" t="s">
        <v>21</v>
      </c>
    </row>
    <row r="127" customFormat="false" ht="14.25" hidden="false" customHeight="false" outlineLevel="0" collapsed="false">
      <c r="A127" s="1" t="s">
        <v>231</v>
      </c>
      <c r="B127" s="1" t="s">
        <v>220</v>
      </c>
      <c r="C127" s="1" t="s">
        <v>228</v>
      </c>
      <c r="E127" s="1" t="s">
        <v>162</v>
      </c>
      <c r="F127" s="1" t="s">
        <v>29</v>
      </c>
      <c r="H127" s="1" t="s">
        <v>21</v>
      </c>
      <c r="I127" s="1" t="s">
        <v>21</v>
      </c>
      <c r="J127" s="1" t="s">
        <v>21</v>
      </c>
    </row>
    <row r="128" customFormat="false" ht="14.25" hidden="false" customHeight="false" outlineLevel="0" collapsed="false">
      <c r="A128" s="1" t="s">
        <v>232</v>
      </c>
      <c r="B128" s="1" t="s">
        <v>222</v>
      </c>
      <c r="C128" s="1" t="s">
        <v>233</v>
      </c>
      <c r="E128" s="1" t="s">
        <v>162</v>
      </c>
      <c r="F128" s="1" t="s">
        <v>29</v>
      </c>
      <c r="H128" s="1" t="s">
        <v>21</v>
      </c>
      <c r="I128" s="1" t="s">
        <v>21</v>
      </c>
      <c r="J128" s="1" t="s">
        <v>21</v>
      </c>
    </row>
    <row r="129" customFormat="false" ht="14.25" hidden="false" customHeight="false" outlineLevel="0" collapsed="false">
      <c r="A129" s="1" t="s">
        <v>234</v>
      </c>
      <c r="B129" s="1" t="s">
        <v>225</v>
      </c>
      <c r="C129" s="1" t="s">
        <v>235</v>
      </c>
      <c r="E129" s="1" t="s">
        <v>162</v>
      </c>
      <c r="F129" s="1" t="s">
        <v>29</v>
      </c>
      <c r="H129" s="1" t="s">
        <v>21</v>
      </c>
      <c r="I129" s="1" t="s">
        <v>21</v>
      </c>
      <c r="J129" s="1" t="s">
        <v>21</v>
      </c>
    </row>
    <row r="130" customFormat="false" ht="14.25" hidden="false" customHeight="false" outlineLevel="0" collapsed="false">
      <c r="A130" s="1" t="s">
        <v>236</v>
      </c>
      <c r="B130" s="1" t="s">
        <v>194</v>
      </c>
      <c r="C130" s="1" t="s">
        <v>237</v>
      </c>
      <c r="D130" s="1" t="s">
        <v>238</v>
      </c>
      <c r="E130" s="1" t="s">
        <v>162</v>
      </c>
      <c r="F130" s="1" t="s">
        <v>29</v>
      </c>
      <c r="H130" s="1" t="s">
        <v>21</v>
      </c>
      <c r="I130" s="1" t="s">
        <v>21</v>
      </c>
      <c r="J130" s="1" t="s">
        <v>21</v>
      </c>
    </row>
    <row r="131" customFormat="false" ht="14.25" hidden="false" customHeight="false" outlineLevel="0" collapsed="false">
      <c r="A131" s="1" t="s">
        <v>239</v>
      </c>
      <c r="B131" s="1" t="s">
        <v>216</v>
      </c>
      <c r="C131" s="1" t="s">
        <v>240</v>
      </c>
      <c r="D131" s="1" t="s">
        <v>238</v>
      </c>
      <c r="E131" s="1" t="s">
        <v>162</v>
      </c>
      <c r="F131" s="1" t="s">
        <v>29</v>
      </c>
      <c r="H131" s="1" t="s">
        <v>21</v>
      </c>
      <c r="I131" s="1" t="s">
        <v>21</v>
      </c>
      <c r="J131" s="1" t="s">
        <v>21</v>
      </c>
    </row>
    <row r="132" customFormat="false" ht="14.25" hidden="false" customHeight="false" outlineLevel="0" collapsed="false">
      <c r="A132" s="1" t="s">
        <v>241</v>
      </c>
      <c r="B132" s="1" t="s">
        <v>220</v>
      </c>
      <c r="C132" s="1" t="s">
        <v>237</v>
      </c>
      <c r="D132" s="1" t="s">
        <v>238</v>
      </c>
      <c r="E132" s="1" t="s">
        <v>162</v>
      </c>
      <c r="F132" s="1" t="s">
        <v>29</v>
      </c>
      <c r="H132" s="1" t="s">
        <v>21</v>
      </c>
      <c r="I132" s="1" t="s">
        <v>21</v>
      </c>
      <c r="J132" s="1" t="s">
        <v>21</v>
      </c>
    </row>
    <row r="133" customFormat="false" ht="14.25" hidden="false" customHeight="false" outlineLevel="0" collapsed="false">
      <c r="A133" s="1" t="s">
        <v>242</v>
      </c>
      <c r="B133" s="1" t="s">
        <v>222</v>
      </c>
      <c r="C133" s="1" t="s">
        <v>243</v>
      </c>
      <c r="E133" s="1" t="s">
        <v>162</v>
      </c>
      <c r="F133" s="1" t="s">
        <v>29</v>
      </c>
      <c r="H133" s="1" t="s">
        <v>21</v>
      </c>
      <c r="I133" s="1" t="s">
        <v>21</v>
      </c>
      <c r="J133" s="1" t="s">
        <v>21</v>
      </c>
    </row>
    <row r="134" customFormat="false" ht="14.25" hidden="false" customHeight="false" outlineLevel="0" collapsed="false">
      <c r="A134" s="1" t="s">
        <v>244</v>
      </c>
      <c r="B134" s="1" t="s">
        <v>225</v>
      </c>
      <c r="C134" s="1" t="s">
        <v>245</v>
      </c>
      <c r="E134" s="1" t="s">
        <v>162</v>
      </c>
      <c r="F134" s="1" t="s">
        <v>29</v>
      </c>
      <c r="H134" s="1" t="s">
        <v>21</v>
      </c>
      <c r="I134" s="1" t="s">
        <v>21</v>
      </c>
      <c r="J134" s="1" t="s">
        <v>21</v>
      </c>
    </row>
    <row r="135" customFormat="false" ht="14.25" hidden="false" customHeight="false" outlineLevel="0" collapsed="false">
      <c r="A135" s="1" t="s">
        <v>246</v>
      </c>
      <c r="B135" s="1" t="s">
        <v>194</v>
      </c>
      <c r="C135" s="1" t="s">
        <v>247</v>
      </c>
      <c r="E135" s="1" t="s">
        <v>162</v>
      </c>
      <c r="F135" s="1" t="s">
        <v>29</v>
      </c>
      <c r="H135" s="1" t="s">
        <v>21</v>
      </c>
      <c r="I135" s="1" t="s">
        <v>21</v>
      </c>
      <c r="J135" s="1" t="s">
        <v>21</v>
      </c>
    </row>
    <row r="136" customFormat="false" ht="14.25" hidden="false" customHeight="false" outlineLevel="0" collapsed="false">
      <c r="A136" s="1" t="s">
        <v>248</v>
      </c>
      <c r="B136" s="1" t="s">
        <v>216</v>
      </c>
      <c r="C136" s="1" t="s">
        <v>249</v>
      </c>
      <c r="E136" s="1" t="s">
        <v>162</v>
      </c>
      <c r="F136" s="1" t="s">
        <v>29</v>
      </c>
      <c r="H136" s="1" t="s">
        <v>21</v>
      </c>
      <c r="I136" s="1" t="s">
        <v>21</v>
      </c>
      <c r="J136" s="1" t="s">
        <v>21</v>
      </c>
    </row>
    <row r="137" customFormat="false" ht="14.25" hidden="false" customHeight="false" outlineLevel="0" collapsed="false">
      <c r="A137" s="1" t="s">
        <v>250</v>
      </c>
      <c r="B137" s="1" t="s">
        <v>220</v>
      </c>
      <c r="C137" s="1" t="s">
        <v>247</v>
      </c>
      <c r="D137" s="1" t="s">
        <v>238</v>
      </c>
      <c r="E137" s="1" t="s">
        <v>162</v>
      </c>
      <c r="F137" s="1" t="s">
        <v>29</v>
      </c>
      <c r="H137" s="1" t="s">
        <v>21</v>
      </c>
      <c r="I137" s="1" t="s">
        <v>21</v>
      </c>
      <c r="J137" s="1" t="s">
        <v>21</v>
      </c>
    </row>
    <row r="138" customFormat="false" ht="14.25" hidden="false" customHeight="false" outlineLevel="0" collapsed="false">
      <c r="A138" s="1" t="s">
        <v>251</v>
      </c>
      <c r="B138" s="1" t="s">
        <v>222</v>
      </c>
      <c r="C138" s="1" t="s">
        <v>252</v>
      </c>
      <c r="E138" s="1" t="s">
        <v>162</v>
      </c>
      <c r="F138" s="1" t="s">
        <v>29</v>
      </c>
      <c r="H138" s="1" t="s">
        <v>21</v>
      </c>
      <c r="I138" s="1" t="s">
        <v>21</v>
      </c>
      <c r="J138" s="1" t="s">
        <v>21</v>
      </c>
    </row>
    <row r="139" customFormat="false" ht="14.25" hidden="false" customHeight="false" outlineLevel="0" collapsed="false">
      <c r="A139" s="1" t="s">
        <v>253</v>
      </c>
      <c r="B139" s="1" t="s">
        <v>225</v>
      </c>
      <c r="C139" s="1" t="s">
        <v>254</v>
      </c>
      <c r="E139" s="1" t="s">
        <v>162</v>
      </c>
      <c r="F139" s="1" t="s">
        <v>29</v>
      </c>
      <c r="H139" s="1" t="s">
        <v>21</v>
      </c>
      <c r="I139" s="1" t="s">
        <v>21</v>
      </c>
      <c r="J139" s="1" t="s">
        <v>21</v>
      </c>
    </row>
    <row r="140" customFormat="false" ht="14.25" hidden="false" customHeight="false" outlineLevel="0" collapsed="false">
      <c r="A140" s="1" t="s">
        <v>255</v>
      </c>
      <c r="B140" s="1" t="s">
        <v>194</v>
      </c>
      <c r="C140" s="1" t="s">
        <v>256</v>
      </c>
      <c r="E140" s="1" t="s">
        <v>162</v>
      </c>
      <c r="F140" s="1" t="s">
        <v>29</v>
      </c>
      <c r="H140" s="1" t="s">
        <v>21</v>
      </c>
      <c r="I140" s="1" t="s">
        <v>21</v>
      </c>
      <c r="J140" s="1" t="s">
        <v>21</v>
      </c>
    </row>
    <row r="141" customFormat="false" ht="14.25" hidden="false" customHeight="false" outlineLevel="0" collapsed="false">
      <c r="A141" s="1" t="s">
        <v>257</v>
      </c>
      <c r="B141" s="1" t="s">
        <v>216</v>
      </c>
      <c r="C141" s="1" t="s">
        <v>258</v>
      </c>
      <c r="E141" s="1" t="s">
        <v>162</v>
      </c>
      <c r="F141" s="1" t="s">
        <v>29</v>
      </c>
      <c r="H141" s="1" t="s">
        <v>21</v>
      </c>
      <c r="I141" s="1" t="s">
        <v>21</v>
      </c>
      <c r="J141" s="1" t="s">
        <v>21</v>
      </c>
    </row>
    <row r="142" customFormat="false" ht="14.25" hidden="false" customHeight="false" outlineLevel="0" collapsed="false">
      <c r="A142" s="1" t="s">
        <v>259</v>
      </c>
      <c r="B142" s="1" t="s">
        <v>220</v>
      </c>
      <c r="C142" s="1" t="s">
        <v>256</v>
      </c>
      <c r="E142" s="1" t="s">
        <v>162</v>
      </c>
      <c r="F142" s="1" t="s">
        <v>29</v>
      </c>
      <c r="H142" s="1" t="s">
        <v>21</v>
      </c>
      <c r="I142" s="1" t="s">
        <v>21</v>
      </c>
      <c r="J142" s="1" t="s">
        <v>21</v>
      </c>
    </row>
    <row r="143" customFormat="false" ht="14.25" hidden="false" customHeight="false" outlineLevel="0" collapsed="false">
      <c r="A143" s="1" t="s">
        <v>260</v>
      </c>
      <c r="B143" s="1" t="s">
        <v>222</v>
      </c>
      <c r="C143" s="1" t="s">
        <v>261</v>
      </c>
      <c r="E143" s="1" t="s">
        <v>162</v>
      </c>
      <c r="F143" s="1" t="s">
        <v>29</v>
      </c>
      <c r="H143" s="1" t="s">
        <v>21</v>
      </c>
      <c r="I143" s="1" t="s">
        <v>21</v>
      </c>
      <c r="J143" s="1" t="s">
        <v>21</v>
      </c>
    </row>
    <row r="144" customFormat="false" ht="14.25" hidden="false" customHeight="false" outlineLevel="0" collapsed="false">
      <c r="A144" s="1" t="s">
        <v>262</v>
      </c>
      <c r="B144" s="1" t="s">
        <v>225</v>
      </c>
      <c r="C144" s="1" t="s">
        <v>263</v>
      </c>
      <c r="E144" s="1" t="s">
        <v>162</v>
      </c>
      <c r="F144" s="1" t="s">
        <v>29</v>
      </c>
      <c r="H144" s="1" t="s">
        <v>21</v>
      </c>
      <c r="I144" s="1" t="s">
        <v>21</v>
      </c>
      <c r="J144" s="1" t="s">
        <v>21</v>
      </c>
    </row>
    <row r="145" customFormat="false" ht="14.25" hidden="false" customHeight="false" outlineLevel="0" collapsed="false">
      <c r="A145" s="1" t="n">
        <v>550</v>
      </c>
      <c r="B145" s="1" t="s">
        <v>264</v>
      </c>
      <c r="C145" s="1" t="s">
        <v>265</v>
      </c>
      <c r="E145" s="1" t="s">
        <v>158</v>
      </c>
      <c r="F145" s="1" t="s">
        <v>29</v>
      </c>
      <c r="H145" s="1" t="s">
        <v>21</v>
      </c>
      <c r="I145" s="1" t="s">
        <v>21</v>
      </c>
      <c r="J145" s="1" t="s">
        <v>21</v>
      </c>
    </row>
    <row r="146" customFormat="false" ht="14.25" hidden="false" customHeight="false" outlineLevel="0" collapsed="false">
      <c r="A146" s="1" t="n">
        <v>551</v>
      </c>
      <c r="B146" s="1" t="s">
        <v>266</v>
      </c>
      <c r="C146" s="1" t="s">
        <v>267</v>
      </c>
      <c r="E146" s="1" t="s">
        <v>158</v>
      </c>
      <c r="F146" s="1" t="s">
        <v>29</v>
      </c>
      <c r="H146" s="1" t="s">
        <v>21</v>
      </c>
      <c r="I146" s="1" t="s">
        <v>21</v>
      </c>
      <c r="J146" s="1" t="s">
        <v>21</v>
      </c>
    </row>
    <row r="147" customFormat="false" ht="14.25" hidden="false" customHeight="false" outlineLevel="0" collapsed="false">
      <c r="A147" s="1" t="n">
        <v>570</v>
      </c>
      <c r="B147" s="1" t="s">
        <v>268</v>
      </c>
      <c r="C147" s="1" t="s">
        <v>269</v>
      </c>
      <c r="E147" s="1" t="s">
        <v>158</v>
      </c>
      <c r="F147" s="1" t="s">
        <v>29</v>
      </c>
      <c r="H147" s="1" t="s">
        <v>21</v>
      </c>
      <c r="I147" s="1" t="s">
        <v>21</v>
      </c>
      <c r="J147" s="1" t="s">
        <v>21</v>
      </c>
    </row>
    <row r="148" customFormat="false" ht="14.25" hidden="false" customHeight="false" outlineLevel="0" collapsed="false">
      <c r="A148" s="1" t="n">
        <v>571</v>
      </c>
      <c r="B148" s="1" t="s">
        <v>268</v>
      </c>
      <c r="C148" s="1" t="s">
        <v>270</v>
      </c>
      <c r="E148" s="1" t="s">
        <v>158</v>
      </c>
      <c r="F148" s="1" t="s">
        <v>29</v>
      </c>
      <c r="H148" s="1" t="s">
        <v>21</v>
      </c>
      <c r="I148" s="1" t="s">
        <v>21</v>
      </c>
      <c r="J148" s="1" t="s">
        <v>21</v>
      </c>
    </row>
    <row r="149" customFormat="false" ht="14.25" hidden="false" customHeight="false" outlineLevel="0" collapsed="false">
      <c r="A149" s="1" t="n">
        <v>572</v>
      </c>
      <c r="B149" s="1" t="s">
        <v>268</v>
      </c>
      <c r="C149" s="1" t="s">
        <v>271</v>
      </c>
      <c r="E149" s="1" t="s">
        <v>158</v>
      </c>
      <c r="F149" s="1" t="s">
        <v>29</v>
      </c>
      <c r="H149" s="1" t="s">
        <v>21</v>
      </c>
      <c r="I149" s="1" t="s">
        <v>21</v>
      </c>
      <c r="J149" s="1" t="s">
        <v>21</v>
      </c>
    </row>
    <row r="150" customFormat="false" ht="14.25" hidden="false" customHeight="false" outlineLevel="0" collapsed="false">
      <c r="A150" s="1" t="n">
        <v>574</v>
      </c>
      <c r="B150" s="1" t="s">
        <v>268</v>
      </c>
      <c r="C150" s="1" t="s">
        <v>272</v>
      </c>
      <c r="E150" s="1" t="s">
        <v>158</v>
      </c>
      <c r="F150" s="1" t="s">
        <v>29</v>
      </c>
      <c r="H150" s="1" t="s">
        <v>21</v>
      </c>
      <c r="I150" s="1" t="s">
        <v>21</v>
      </c>
      <c r="J150" s="1" t="s">
        <v>21</v>
      </c>
    </row>
    <row r="151" customFormat="false" ht="14.25" hidden="false" customHeight="false" outlineLevel="0" collapsed="false">
      <c r="A151" s="1" t="n">
        <v>575</v>
      </c>
      <c r="B151" s="1" t="s">
        <v>273</v>
      </c>
      <c r="C151" s="1" t="s">
        <v>274</v>
      </c>
      <c r="D151" s="1" t="s">
        <v>272</v>
      </c>
      <c r="E151" s="1" t="s">
        <v>158</v>
      </c>
      <c r="F151" s="1" t="s">
        <v>29</v>
      </c>
      <c r="H151" s="1" t="s">
        <v>21</v>
      </c>
      <c r="I151" s="1" t="s">
        <v>21</v>
      </c>
      <c r="J151" s="1" t="s">
        <v>21</v>
      </c>
    </row>
    <row r="152" customFormat="false" ht="14.25" hidden="false" customHeight="false" outlineLevel="0" collapsed="false">
      <c r="A152" s="1" t="n">
        <v>579</v>
      </c>
      <c r="B152" s="1" t="s">
        <v>266</v>
      </c>
      <c r="C152" s="1" t="s">
        <v>275</v>
      </c>
      <c r="E152" s="1" t="s">
        <v>158</v>
      </c>
      <c r="F152" s="1" t="s">
        <v>29</v>
      </c>
      <c r="H152" s="1" t="s">
        <v>21</v>
      </c>
      <c r="I152" s="1" t="s">
        <v>21</v>
      </c>
      <c r="J152" s="1" t="s">
        <v>21</v>
      </c>
    </row>
    <row r="153" customFormat="false" ht="14.25" hidden="false" customHeight="false" outlineLevel="0" collapsed="false">
      <c r="A153" s="1" t="n">
        <v>600</v>
      </c>
      <c r="B153" s="1" t="s">
        <v>276</v>
      </c>
      <c r="C153" s="1" t="s">
        <v>277</v>
      </c>
      <c r="E153" s="1" t="s">
        <v>278</v>
      </c>
      <c r="F153" s="1" t="s">
        <v>29</v>
      </c>
      <c r="H153" s="1" t="s">
        <v>21</v>
      </c>
      <c r="I153" s="1" t="s">
        <v>21</v>
      </c>
      <c r="J153" s="1" t="s">
        <v>21</v>
      </c>
    </row>
    <row r="154" customFormat="false" ht="14.25" hidden="false" customHeight="false" outlineLevel="0" collapsed="false">
      <c r="A154" s="1" t="n">
        <v>601</v>
      </c>
      <c r="B154" s="1" t="s">
        <v>276</v>
      </c>
      <c r="C154" s="1" t="s">
        <v>279</v>
      </c>
      <c r="E154" s="1" t="s">
        <v>278</v>
      </c>
      <c r="F154" s="1" t="s">
        <v>29</v>
      </c>
      <c r="H154" s="1" t="s">
        <v>21</v>
      </c>
      <c r="I154" s="1" t="s">
        <v>21</v>
      </c>
      <c r="J154" s="1" t="s">
        <v>21</v>
      </c>
    </row>
    <row r="155" customFormat="false" ht="14.25" hidden="false" customHeight="false" outlineLevel="0" collapsed="false">
      <c r="A155" s="1" t="s">
        <v>280</v>
      </c>
      <c r="B155" s="1" t="s">
        <v>276</v>
      </c>
      <c r="C155" s="1" t="s">
        <v>281</v>
      </c>
      <c r="E155" s="1" t="s">
        <v>278</v>
      </c>
      <c r="F155" s="1" t="s">
        <v>29</v>
      </c>
      <c r="H155" s="1" t="s">
        <v>21</v>
      </c>
      <c r="I155" s="1" t="s">
        <v>21</v>
      </c>
      <c r="J155" s="1" t="s">
        <v>21</v>
      </c>
    </row>
    <row r="156" customFormat="false" ht="14.25" hidden="false" customHeight="false" outlineLevel="0" collapsed="false">
      <c r="A156" s="1" t="s">
        <v>282</v>
      </c>
      <c r="B156" s="1" t="s">
        <v>276</v>
      </c>
      <c r="C156" s="1" t="s">
        <v>283</v>
      </c>
      <c r="E156" s="1" t="s">
        <v>278</v>
      </c>
      <c r="F156" s="1" t="s">
        <v>29</v>
      </c>
      <c r="H156" s="1" t="s">
        <v>21</v>
      </c>
      <c r="I156" s="1" t="s">
        <v>21</v>
      </c>
      <c r="J156" s="1" t="s">
        <v>21</v>
      </c>
    </row>
    <row r="157" customFormat="false" ht="14.25" hidden="false" customHeight="false" outlineLevel="0" collapsed="false">
      <c r="A157" s="1" t="n">
        <v>605</v>
      </c>
      <c r="B157" s="1" t="s">
        <v>276</v>
      </c>
      <c r="C157" s="1" t="s">
        <v>284</v>
      </c>
      <c r="E157" s="1" t="s">
        <v>278</v>
      </c>
      <c r="F157" s="1" t="s">
        <v>29</v>
      </c>
      <c r="H157" s="1" t="s">
        <v>21</v>
      </c>
      <c r="I157" s="1" t="s">
        <v>21</v>
      </c>
      <c r="J157" s="1" t="s">
        <v>21</v>
      </c>
    </row>
    <row r="158" customFormat="false" ht="14.25" hidden="false" customHeight="false" outlineLevel="0" collapsed="false">
      <c r="A158" s="1" t="s">
        <v>285</v>
      </c>
      <c r="B158" s="1" t="s">
        <v>276</v>
      </c>
      <c r="C158" s="1" t="s">
        <v>286</v>
      </c>
      <c r="E158" s="1" t="s">
        <v>278</v>
      </c>
      <c r="F158" s="1" t="s">
        <v>29</v>
      </c>
      <c r="H158" s="1" t="s">
        <v>21</v>
      </c>
      <c r="I158" s="1" t="s">
        <v>21</v>
      </c>
      <c r="J158" s="1" t="s">
        <v>21</v>
      </c>
    </row>
    <row r="159" customFormat="false" ht="14.25" hidden="false" customHeight="false" outlineLevel="0" collapsed="false">
      <c r="A159" s="1" t="s">
        <v>287</v>
      </c>
      <c r="B159" s="1" t="s">
        <v>276</v>
      </c>
      <c r="C159" s="1" t="s">
        <v>288</v>
      </c>
      <c r="E159" s="1" t="s">
        <v>278</v>
      </c>
      <c r="F159" s="1" t="s">
        <v>29</v>
      </c>
      <c r="H159" s="1" t="s">
        <v>21</v>
      </c>
      <c r="I159" s="1" t="s">
        <v>21</v>
      </c>
      <c r="J159" s="1" t="s">
        <v>21</v>
      </c>
    </row>
    <row r="160" customFormat="false" ht="14.25" hidden="false" customHeight="false" outlineLevel="0" collapsed="false">
      <c r="A160" s="1" t="n">
        <v>610</v>
      </c>
      <c r="B160" s="1" t="s">
        <v>276</v>
      </c>
      <c r="C160" s="1" t="s">
        <v>289</v>
      </c>
      <c r="E160" s="1" t="s">
        <v>278</v>
      </c>
      <c r="F160" s="1" t="s">
        <v>29</v>
      </c>
      <c r="H160" s="1" t="s">
        <v>21</v>
      </c>
      <c r="I160" s="1" t="s">
        <v>21</v>
      </c>
      <c r="J160" s="1" t="s">
        <v>21</v>
      </c>
    </row>
    <row r="161" customFormat="false" ht="14.25" hidden="false" customHeight="false" outlineLevel="0" collapsed="false">
      <c r="A161" s="1" t="s">
        <v>290</v>
      </c>
      <c r="B161" s="1" t="s">
        <v>276</v>
      </c>
      <c r="C161" s="1" t="s">
        <v>291</v>
      </c>
      <c r="E161" s="1" t="s">
        <v>278</v>
      </c>
      <c r="F161" s="1" t="s">
        <v>29</v>
      </c>
      <c r="H161" s="1" t="s">
        <v>21</v>
      </c>
      <c r="I161" s="1" t="s">
        <v>21</v>
      </c>
      <c r="J161" s="1" t="s">
        <v>21</v>
      </c>
    </row>
    <row r="162" customFormat="false" ht="14.25" hidden="false" customHeight="false" outlineLevel="0" collapsed="false">
      <c r="A162" s="1" t="s">
        <v>292</v>
      </c>
      <c r="B162" s="1" t="s">
        <v>276</v>
      </c>
      <c r="C162" s="1" t="s">
        <v>293</v>
      </c>
      <c r="E162" s="1" t="s">
        <v>278</v>
      </c>
      <c r="F162" s="1" t="s">
        <v>29</v>
      </c>
      <c r="H162" s="1" t="s">
        <v>21</v>
      </c>
      <c r="I162" s="1" t="s">
        <v>21</v>
      </c>
      <c r="J162" s="1" t="s">
        <v>21</v>
      </c>
    </row>
    <row r="163" customFormat="false" ht="14.25" hidden="false" customHeight="false" outlineLevel="0" collapsed="false">
      <c r="A163" s="1" t="s">
        <v>294</v>
      </c>
      <c r="B163" s="1" t="s">
        <v>295</v>
      </c>
      <c r="C163" s="1" t="s">
        <v>296</v>
      </c>
      <c r="E163" s="1" t="s">
        <v>296</v>
      </c>
      <c r="F163" s="1" t="s">
        <v>29</v>
      </c>
      <c r="G163" s="1" t="s">
        <v>297</v>
      </c>
      <c r="H163" s="1" t="s">
        <v>21</v>
      </c>
      <c r="I163" s="1" t="s">
        <v>21</v>
      </c>
      <c r="J163" s="1" t="s">
        <v>21</v>
      </c>
    </row>
    <row r="164" customFormat="false" ht="14.25" hidden="false" customHeight="false" outlineLevel="0" collapsed="false">
      <c r="A164" s="1" t="n">
        <v>625</v>
      </c>
      <c r="B164" s="1" t="s">
        <v>298</v>
      </c>
      <c r="C164" s="1" t="s">
        <v>299</v>
      </c>
      <c r="E164" s="1" t="s">
        <v>162</v>
      </c>
      <c r="F164" s="1" t="s">
        <v>29</v>
      </c>
      <c r="H164" s="1" t="s">
        <v>21</v>
      </c>
      <c r="I164" s="1" t="s">
        <v>21</v>
      </c>
      <c r="J164" s="1" t="s">
        <v>21</v>
      </c>
    </row>
    <row r="165" customFormat="false" ht="14.25" hidden="false" customHeight="false" outlineLevel="0" collapsed="false">
      <c r="A165" s="1" t="n">
        <v>626</v>
      </c>
      <c r="B165" s="1" t="s">
        <v>295</v>
      </c>
      <c r="C165" s="1" t="s">
        <v>300</v>
      </c>
      <c r="D165" s="1" t="s">
        <v>296</v>
      </c>
      <c r="E165" s="1" t="s">
        <v>278</v>
      </c>
      <c r="F165" s="1" t="s">
        <v>29</v>
      </c>
      <c r="H165" s="1" t="s">
        <v>21</v>
      </c>
      <c r="I165" s="1" t="s">
        <v>21</v>
      </c>
      <c r="J165" s="1" t="s">
        <v>21</v>
      </c>
    </row>
    <row r="166" customFormat="false" ht="14.25" hidden="false" customHeight="false" outlineLevel="0" collapsed="false">
      <c r="A166" s="1" t="s">
        <v>301</v>
      </c>
      <c r="B166" s="1" t="s">
        <v>298</v>
      </c>
      <c r="C166" s="1" t="s">
        <v>302</v>
      </c>
      <c r="E166" s="1" t="s">
        <v>278</v>
      </c>
      <c r="F166" s="1" t="s">
        <v>29</v>
      </c>
      <c r="H166" s="1" t="s">
        <v>21</v>
      </c>
      <c r="I166" s="1" t="s">
        <v>21</v>
      </c>
      <c r="J166" s="1" t="s">
        <v>21</v>
      </c>
    </row>
    <row r="167" customFormat="false" ht="14.25" hidden="false" customHeight="false" outlineLevel="0" collapsed="false">
      <c r="A167" s="1" t="s">
        <v>303</v>
      </c>
      <c r="B167" s="1" t="s">
        <v>304</v>
      </c>
      <c r="C167" s="1" t="s">
        <v>305</v>
      </c>
      <c r="E167" s="1" t="s">
        <v>278</v>
      </c>
      <c r="F167" s="1" t="s">
        <v>29</v>
      </c>
      <c r="H167" s="1" t="s">
        <v>21</v>
      </c>
      <c r="I167" s="1" t="s">
        <v>21</v>
      </c>
      <c r="J167" s="1" t="s">
        <v>21</v>
      </c>
    </row>
    <row r="168" customFormat="false" ht="14.25" hidden="false" customHeight="false" outlineLevel="0" collapsed="false">
      <c r="A168" s="1" t="s">
        <v>306</v>
      </c>
      <c r="B168" s="1" t="s">
        <v>304</v>
      </c>
      <c r="C168" s="1" t="s">
        <v>307</v>
      </c>
      <c r="E168" s="1" t="s">
        <v>278</v>
      </c>
      <c r="F168" s="1" t="s">
        <v>29</v>
      </c>
      <c r="H168" s="1" t="s">
        <v>21</v>
      </c>
      <c r="I168" s="1" t="s">
        <v>21</v>
      </c>
      <c r="J168" s="1" t="s">
        <v>21</v>
      </c>
    </row>
    <row r="169" customFormat="false" ht="14.25" hidden="false" customHeight="false" outlineLevel="0" collapsed="false">
      <c r="A169" s="1" t="n">
        <v>627</v>
      </c>
      <c r="B169" s="1" t="s">
        <v>295</v>
      </c>
      <c r="C169" s="1" t="s">
        <v>308</v>
      </c>
      <c r="E169" s="1" t="s">
        <v>278</v>
      </c>
      <c r="F169" s="1" t="s">
        <v>29</v>
      </c>
      <c r="H169" s="1" t="s">
        <v>21</v>
      </c>
      <c r="I169" s="1" t="s">
        <v>21</v>
      </c>
      <c r="J169" s="1" t="s">
        <v>21</v>
      </c>
    </row>
    <row r="170" customFormat="false" ht="14.25" hidden="false" customHeight="false" outlineLevel="0" collapsed="false">
      <c r="A170" s="1" t="n">
        <v>628</v>
      </c>
      <c r="B170" s="1" t="s">
        <v>309</v>
      </c>
      <c r="C170" s="1" t="s">
        <v>310</v>
      </c>
      <c r="E170" s="1" t="s">
        <v>278</v>
      </c>
      <c r="F170" s="1" t="s">
        <v>29</v>
      </c>
      <c r="H170" s="1" t="s">
        <v>21</v>
      </c>
      <c r="I170" s="1" t="s">
        <v>21</v>
      </c>
      <c r="J170" s="1" t="s">
        <v>21</v>
      </c>
    </row>
    <row r="171" customFormat="false" ht="14.25" hidden="false" customHeight="false" outlineLevel="0" collapsed="false">
      <c r="A171" s="1" t="n">
        <v>629</v>
      </c>
      <c r="B171" s="1" t="s">
        <v>309</v>
      </c>
      <c r="C171" s="1" t="s">
        <v>311</v>
      </c>
      <c r="E171" s="1" t="s">
        <v>278</v>
      </c>
      <c r="F171" s="1" t="s">
        <v>29</v>
      </c>
      <c r="H171" s="1" t="s">
        <v>21</v>
      </c>
      <c r="I171" s="1" t="s">
        <v>21</v>
      </c>
      <c r="J171" s="1" t="s">
        <v>21</v>
      </c>
    </row>
    <row r="172" customFormat="false" ht="14.25" hidden="false" customHeight="false" outlineLevel="0" collapsed="false">
      <c r="A172" s="1" t="n">
        <v>640</v>
      </c>
      <c r="B172" s="1" t="s">
        <v>298</v>
      </c>
      <c r="C172" s="1" t="s">
        <v>312</v>
      </c>
      <c r="E172" s="1" t="s">
        <v>278</v>
      </c>
      <c r="F172" s="1" t="s">
        <v>29</v>
      </c>
      <c r="H172" s="1" t="s">
        <v>21</v>
      </c>
      <c r="I172" s="1" t="s">
        <v>21</v>
      </c>
      <c r="J172" s="1" t="s">
        <v>21</v>
      </c>
    </row>
    <row r="173" customFormat="false" ht="14.25" hidden="false" customHeight="false" outlineLevel="0" collapsed="false">
      <c r="A173" s="1" t="n">
        <v>650</v>
      </c>
      <c r="B173" s="1" t="s">
        <v>298</v>
      </c>
      <c r="C173" s="1" t="s">
        <v>313</v>
      </c>
      <c r="E173" s="1" t="s">
        <v>278</v>
      </c>
      <c r="F173" s="1" t="s">
        <v>29</v>
      </c>
      <c r="H173" s="1" t="s">
        <v>21</v>
      </c>
      <c r="I173" s="1" t="s">
        <v>21</v>
      </c>
      <c r="J173" s="1" t="s">
        <v>21</v>
      </c>
    </row>
    <row r="174" customFormat="false" ht="14.25" hidden="false" customHeight="false" outlineLevel="0" collapsed="false">
      <c r="A174" s="1" t="n">
        <v>670</v>
      </c>
      <c r="B174" s="1" t="s">
        <v>298</v>
      </c>
      <c r="C174" s="1" t="s">
        <v>314</v>
      </c>
      <c r="E174" s="1" t="s">
        <v>278</v>
      </c>
      <c r="F174" s="1" t="s">
        <v>29</v>
      </c>
      <c r="H174" s="1" t="s">
        <v>21</v>
      </c>
      <c r="I174" s="1" t="s">
        <v>21</v>
      </c>
      <c r="J174" s="1" t="s">
        <v>21</v>
      </c>
    </row>
    <row r="175" customFormat="false" ht="14.25" hidden="false" customHeight="false" outlineLevel="0" collapsed="false">
      <c r="A175" s="1" t="s">
        <v>315</v>
      </c>
      <c r="B175" s="1" t="s">
        <v>316</v>
      </c>
      <c r="C175" s="1" t="s">
        <v>317</v>
      </c>
      <c r="E175" s="1" t="s">
        <v>318</v>
      </c>
      <c r="F175" s="1" t="s">
        <v>49</v>
      </c>
      <c r="H175" s="1" t="s">
        <v>21</v>
      </c>
      <c r="I175" s="1" t="s">
        <v>21</v>
      </c>
      <c r="J175" s="1" t="s">
        <v>21</v>
      </c>
    </row>
    <row r="176" customFormat="false" ht="14.25" hidden="false" customHeight="false" outlineLevel="0" collapsed="false">
      <c r="A176" s="1" t="s">
        <v>319</v>
      </c>
      <c r="B176" s="1" t="s">
        <v>316</v>
      </c>
      <c r="C176" s="1" t="s">
        <v>320</v>
      </c>
      <c r="E176" s="1" t="s">
        <v>318</v>
      </c>
      <c r="F176" s="1" t="s">
        <v>49</v>
      </c>
      <c r="H176" s="1" t="s">
        <v>21</v>
      </c>
      <c r="I176" s="1" t="s">
        <v>21</v>
      </c>
      <c r="J176" s="1" t="s">
        <v>21</v>
      </c>
    </row>
    <row r="177" customFormat="false" ht="14.25" hidden="false" customHeight="false" outlineLevel="0" collapsed="false">
      <c r="A177" s="1" t="s">
        <v>321</v>
      </c>
      <c r="B177" s="1" t="s">
        <v>316</v>
      </c>
      <c r="C177" s="1" t="s">
        <v>322</v>
      </c>
      <c r="E177" s="1" t="s">
        <v>318</v>
      </c>
      <c r="F177" s="1" t="s">
        <v>49</v>
      </c>
      <c r="H177" s="1" t="s">
        <v>21</v>
      </c>
      <c r="I177" s="1" t="s">
        <v>21</v>
      </c>
      <c r="J177" s="1" t="s">
        <v>21</v>
      </c>
    </row>
    <row r="178" customFormat="false" ht="14.25" hidden="false" customHeight="false" outlineLevel="0" collapsed="false">
      <c r="A178" s="1" t="s">
        <v>323</v>
      </c>
      <c r="B178" s="1" t="s">
        <v>316</v>
      </c>
      <c r="C178" s="1" t="s">
        <v>324</v>
      </c>
      <c r="E178" s="1" t="s">
        <v>318</v>
      </c>
      <c r="F178" s="1" t="s">
        <v>49</v>
      </c>
      <c r="H178" s="1" t="s">
        <v>21</v>
      </c>
      <c r="I178" s="1" t="s">
        <v>21</v>
      </c>
      <c r="J178" s="1" t="s">
        <v>21</v>
      </c>
    </row>
    <row r="179" customFormat="false" ht="14.25" hidden="false" customHeight="false" outlineLevel="0" collapsed="false">
      <c r="A179" s="1" t="s">
        <v>325</v>
      </c>
      <c r="B179" s="1" t="s">
        <v>316</v>
      </c>
      <c r="C179" s="1" t="s">
        <v>326</v>
      </c>
      <c r="E179" s="1" t="s">
        <v>318</v>
      </c>
      <c r="F179" s="1" t="s">
        <v>49</v>
      </c>
      <c r="H179" s="1" t="s">
        <v>21</v>
      </c>
      <c r="I179" s="1" t="s">
        <v>21</v>
      </c>
      <c r="J179" s="1" t="s">
        <v>21</v>
      </c>
    </row>
    <row r="180" customFormat="false" ht="14.25" hidden="false" customHeight="false" outlineLevel="0" collapsed="false">
      <c r="A180" s="1" t="s">
        <v>327</v>
      </c>
      <c r="B180" s="1" t="s">
        <v>316</v>
      </c>
      <c r="C180" s="1" t="s">
        <v>328</v>
      </c>
      <c r="E180" s="1" t="s">
        <v>318</v>
      </c>
      <c r="F180" s="1" t="s">
        <v>29</v>
      </c>
      <c r="H180" s="1" t="s">
        <v>21</v>
      </c>
      <c r="I180" s="1" t="s">
        <v>21</v>
      </c>
      <c r="J180" s="1" t="s">
        <v>21</v>
      </c>
    </row>
    <row r="181" customFormat="false" ht="14.25" hidden="false" customHeight="false" outlineLevel="0" collapsed="false">
      <c r="A181" s="1" t="s">
        <v>329</v>
      </c>
      <c r="B181" s="1" t="s">
        <v>316</v>
      </c>
      <c r="C181" s="1" t="s">
        <v>330</v>
      </c>
      <c r="E181" s="1" t="s">
        <v>318</v>
      </c>
      <c r="F181" s="1" t="s">
        <v>29</v>
      </c>
      <c r="H181" s="1" t="s">
        <v>21</v>
      </c>
      <c r="I181" s="1" t="s">
        <v>21</v>
      </c>
      <c r="J181" s="1" t="s">
        <v>21</v>
      </c>
    </row>
    <row r="182" customFormat="false" ht="14.25" hidden="false" customHeight="false" outlineLevel="0" collapsed="false">
      <c r="A182" s="1" t="s">
        <v>331</v>
      </c>
      <c r="B182" s="1" t="s">
        <v>316</v>
      </c>
      <c r="C182" s="1" t="s">
        <v>332</v>
      </c>
      <c r="E182" s="1" t="s">
        <v>318</v>
      </c>
      <c r="F182" s="1" t="s">
        <v>29</v>
      </c>
      <c r="H182" s="1" t="s">
        <v>21</v>
      </c>
      <c r="I182" s="1" t="s">
        <v>21</v>
      </c>
      <c r="J182" s="1" t="s">
        <v>21</v>
      </c>
    </row>
    <row r="183" customFormat="false" ht="14.25" hidden="false" customHeight="false" outlineLevel="0" collapsed="false">
      <c r="A183" s="1" t="s">
        <v>333</v>
      </c>
      <c r="B183" s="1" t="s">
        <v>316</v>
      </c>
      <c r="C183" s="1" t="s">
        <v>334</v>
      </c>
      <c r="E183" s="1" t="s">
        <v>318</v>
      </c>
      <c r="F183" s="1" t="s">
        <v>29</v>
      </c>
      <c r="H183" s="1" t="s">
        <v>21</v>
      </c>
      <c r="I183" s="1" t="s">
        <v>21</v>
      </c>
      <c r="J183" s="1" t="s">
        <v>21</v>
      </c>
    </row>
    <row r="184" customFormat="false" ht="14.25" hidden="false" customHeight="false" outlineLevel="0" collapsed="false">
      <c r="A184" s="1" t="s">
        <v>335</v>
      </c>
      <c r="B184" s="1" t="s">
        <v>316</v>
      </c>
      <c r="C184" s="1" t="s">
        <v>336</v>
      </c>
      <c r="E184" s="1" t="s">
        <v>318</v>
      </c>
      <c r="F184" s="1" t="s">
        <v>29</v>
      </c>
      <c r="H184" s="1" t="s">
        <v>21</v>
      </c>
      <c r="I184" s="1" t="s">
        <v>21</v>
      </c>
      <c r="J184" s="1" t="s">
        <v>21</v>
      </c>
    </row>
    <row r="185" customFormat="false" ht="14.25" hidden="false" customHeight="false" outlineLevel="0" collapsed="false">
      <c r="A185" s="1" t="s">
        <v>337</v>
      </c>
      <c r="B185" s="1" t="s">
        <v>316</v>
      </c>
      <c r="C185" s="1" t="s">
        <v>338</v>
      </c>
      <c r="E185" s="1" t="s">
        <v>318</v>
      </c>
      <c r="F185" s="1" t="s">
        <v>29</v>
      </c>
      <c r="H185" s="1" t="s">
        <v>21</v>
      </c>
      <c r="I185" s="1" t="s">
        <v>21</v>
      </c>
      <c r="J185" s="1" t="s">
        <v>21</v>
      </c>
    </row>
    <row r="186" customFormat="false" ht="14.25" hidden="false" customHeight="false" outlineLevel="0" collapsed="false">
      <c r="A186" s="1" t="s">
        <v>339</v>
      </c>
      <c r="B186" s="1" t="s">
        <v>316</v>
      </c>
      <c r="C186" s="1" t="s">
        <v>340</v>
      </c>
      <c r="E186" s="1" t="s">
        <v>318</v>
      </c>
      <c r="F186" s="1" t="s">
        <v>49</v>
      </c>
      <c r="H186" s="1" t="s">
        <v>21</v>
      </c>
      <c r="I186" s="1" t="s">
        <v>21</v>
      </c>
      <c r="J186" s="1" t="s">
        <v>21</v>
      </c>
    </row>
    <row r="187" customFormat="false" ht="14.25" hidden="false" customHeight="false" outlineLevel="0" collapsed="false">
      <c r="A187" s="1" t="s">
        <v>341</v>
      </c>
      <c r="B187" s="1" t="s">
        <v>316</v>
      </c>
      <c r="C187" s="1" t="s">
        <v>342</v>
      </c>
      <c r="E187" s="1" t="s">
        <v>318</v>
      </c>
      <c r="F187" s="1" t="s">
        <v>29</v>
      </c>
      <c r="H187" s="1" t="s">
        <v>21</v>
      </c>
      <c r="I187" s="1" t="s">
        <v>21</v>
      </c>
      <c r="J187" s="1" t="s">
        <v>21</v>
      </c>
    </row>
    <row r="188" customFormat="false" ht="14.25" hidden="false" customHeight="false" outlineLevel="0" collapsed="false">
      <c r="A188" s="1" t="s">
        <v>343</v>
      </c>
      <c r="B188" s="1" t="s">
        <v>316</v>
      </c>
      <c r="C188" s="1" t="s">
        <v>344</v>
      </c>
      <c r="E188" s="1" t="s">
        <v>318</v>
      </c>
      <c r="F188" s="1" t="s">
        <v>29</v>
      </c>
      <c r="H188" s="1" t="s">
        <v>21</v>
      </c>
      <c r="I188" s="1" t="s">
        <v>21</v>
      </c>
      <c r="J188" s="1" t="s">
        <v>21</v>
      </c>
    </row>
    <row r="189" customFormat="false" ht="14.25" hidden="false" customHeight="false" outlineLevel="0" collapsed="false">
      <c r="A189" s="1" t="s">
        <v>345</v>
      </c>
      <c r="B189" s="1" t="s">
        <v>316</v>
      </c>
      <c r="C189" s="1" t="s">
        <v>346</v>
      </c>
      <c r="E189" s="1" t="s">
        <v>318</v>
      </c>
      <c r="F189" s="1" t="s">
        <v>29</v>
      </c>
      <c r="H189" s="1" t="s">
        <v>21</v>
      </c>
      <c r="I189" s="1" t="s">
        <v>21</v>
      </c>
      <c r="J189" s="1" t="s">
        <v>21</v>
      </c>
    </row>
    <row r="190" customFormat="false" ht="14.25" hidden="false" customHeight="false" outlineLevel="0" collapsed="false">
      <c r="A190" s="1" t="s">
        <v>347</v>
      </c>
      <c r="B190" s="1" t="s">
        <v>316</v>
      </c>
      <c r="C190" s="1" t="s">
        <v>348</v>
      </c>
      <c r="E190" s="1" t="s">
        <v>318</v>
      </c>
      <c r="F190" s="1" t="s">
        <v>29</v>
      </c>
      <c r="H190" s="1" t="s">
        <v>21</v>
      </c>
      <c r="I190" s="1" t="s">
        <v>21</v>
      </c>
      <c r="J190" s="1" t="s">
        <v>21</v>
      </c>
    </row>
    <row r="191" customFormat="false" ht="14.25" hidden="false" customHeight="false" outlineLevel="0" collapsed="false">
      <c r="A191" s="1" t="s">
        <v>349</v>
      </c>
      <c r="B191" s="1" t="s">
        <v>316</v>
      </c>
      <c r="C191" s="1" t="s">
        <v>350</v>
      </c>
      <c r="E191" s="1" t="s">
        <v>318</v>
      </c>
      <c r="F191" s="1" t="s">
        <v>29</v>
      </c>
      <c r="H191" s="1" t="s">
        <v>21</v>
      </c>
      <c r="I191" s="1" t="s">
        <v>21</v>
      </c>
      <c r="J191" s="1" t="s">
        <v>21</v>
      </c>
    </row>
    <row r="192" customFormat="false" ht="14.25" hidden="false" customHeight="false" outlineLevel="0" collapsed="false">
      <c r="A192" s="1" t="s">
        <v>351</v>
      </c>
      <c r="B192" s="1" t="s">
        <v>316</v>
      </c>
      <c r="C192" s="1" t="s">
        <v>352</v>
      </c>
      <c r="E192" s="1" t="s">
        <v>318</v>
      </c>
      <c r="F192" s="1" t="s">
        <v>29</v>
      </c>
      <c r="H192" s="1" t="s">
        <v>21</v>
      </c>
      <c r="I192" s="1" t="s">
        <v>21</v>
      </c>
      <c r="J192" s="1" t="s">
        <v>21</v>
      </c>
    </row>
    <row r="193" customFormat="false" ht="14.25" hidden="false" customHeight="false" outlineLevel="0" collapsed="false">
      <c r="A193" s="1" t="s">
        <v>353</v>
      </c>
      <c r="B193" s="1" t="s">
        <v>354</v>
      </c>
      <c r="C193" s="1" t="s">
        <v>355</v>
      </c>
      <c r="E193" s="1" t="s">
        <v>318</v>
      </c>
      <c r="F193" s="1" t="s">
        <v>29</v>
      </c>
      <c r="H193" s="1" t="s">
        <v>21</v>
      </c>
      <c r="I193" s="1" t="s">
        <v>21</v>
      </c>
      <c r="J193" s="1" t="s">
        <v>21</v>
      </c>
    </row>
    <row r="194" customFormat="false" ht="14.25" hidden="false" customHeight="false" outlineLevel="0" collapsed="false">
      <c r="A194" s="1" t="s">
        <v>356</v>
      </c>
      <c r="B194" s="1" t="s">
        <v>354</v>
      </c>
      <c r="C194" s="1" t="s">
        <v>357</v>
      </c>
      <c r="E194" s="1" t="s">
        <v>318</v>
      </c>
      <c r="F194" s="1" t="s">
        <v>29</v>
      </c>
      <c r="H194" s="1" t="s">
        <v>21</v>
      </c>
      <c r="I194" s="1" t="s">
        <v>21</v>
      </c>
      <c r="J194" s="1" t="s">
        <v>21</v>
      </c>
    </row>
    <row r="195" customFormat="false" ht="14.25" hidden="false" customHeight="false" outlineLevel="0" collapsed="false">
      <c r="A195" s="1" t="s">
        <v>358</v>
      </c>
      <c r="B195" s="1" t="s">
        <v>354</v>
      </c>
      <c r="C195" s="1" t="s">
        <v>359</v>
      </c>
      <c r="E195" s="1" t="s">
        <v>318</v>
      </c>
      <c r="F195" s="1" t="s">
        <v>29</v>
      </c>
      <c r="H195" s="1" t="s">
        <v>21</v>
      </c>
      <c r="I195" s="1" t="s">
        <v>21</v>
      </c>
      <c r="J195" s="1" t="s">
        <v>21</v>
      </c>
    </row>
    <row r="196" customFormat="false" ht="14.25" hidden="false" customHeight="false" outlineLevel="0" collapsed="false">
      <c r="A196" s="1" t="s">
        <v>360</v>
      </c>
      <c r="B196" s="1" t="s">
        <v>354</v>
      </c>
      <c r="C196" s="1" t="s">
        <v>361</v>
      </c>
      <c r="E196" s="1" t="s">
        <v>318</v>
      </c>
      <c r="F196" s="1" t="s">
        <v>29</v>
      </c>
      <c r="H196" s="1" t="s">
        <v>21</v>
      </c>
      <c r="I196" s="1" t="s">
        <v>21</v>
      </c>
      <c r="J196" s="1" t="s">
        <v>21</v>
      </c>
    </row>
    <row r="197" customFormat="false" ht="14.25" hidden="false" customHeight="false" outlineLevel="0" collapsed="false">
      <c r="A197" s="1" t="s">
        <v>362</v>
      </c>
      <c r="B197" s="1" t="s">
        <v>354</v>
      </c>
      <c r="C197" s="1" t="s">
        <v>363</v>
      </c>
      <c r="E197" s="1" t="s">
        <v>318</v>
      </c>
      <c r="F197" s="1" t="s">
        <v>29</v>
      </c>
      <c r="H197" s="1" t="s">
        <v>21</v>
      </c>
      <c r="I197" s="1" t="s">
        <v>21</v>
      </c>
      <c r="J197" s="1" t="s">
        <v>21</v>
      </c>
    </row>
    <row r="198" customFormat="false" ht="14.25" hidden="false" customHeight="false" outlineLevel="0" collapsed="false">
      <c r="A198" s="1" t="s">
        <v>364</v>
      </c>
      <c r="B198" s="1" t="s">
        <v>354</v>
      </c>
      <c r="C198" s="1" t="s">
        <v>365</v>
      </c>
      <c r="E198" s="1" t="s">
        <v>318</v>
      </c>
      <c r="F198" s="1" t="s">
        <v>29</v>
      </c>
      <c r="H198" s="1" t="s">
        <v>21</v>
      </c>
      <c r="I198" s="1" t="s">
        <v>21</v>
      </c>
      <c r="J198" s="1" t="s">
        <v>21</v>
      </c>
    </row>
    <row r="199" customFormat="false" ht="14.25" hidden="false" customHeight="false" outlineLevel="0" collapsed="false">
      <c r="A199" s="1" t="n">
        <v>702</v>
      </c>
      <c r="B199" s="1" t="s">
        <v>316</v>
      </c>
      <c r="C199" s="1" t="s">
        <v>366</v>
      </c>
      <c r="E199" s="1" t="s">
        <v>318</v>
      </c>
      <c r="F199" s="1" t="s">
        <v>49</v>
      </c>
      <c r="H199" s="1" t="s">
        <v>21</v>
      </c>
      <c r="I199" s="1" t="s">
        <v>21</v>
      </c>
      <c r="J199" s="1" t="s">
        <v>21</v>
      </c>
    </row>
    <row r="200" customFormat="false" ht="14.25" hidden="false" customHeight="false" outlineLevel="0" collapsed="false">
      <c r="A200" s="1" t="n">
        <v>703</v>
      </c>
      <c r="B200" s="1" t="s">
        <v>354</v>
      </c>
      <c r="C200" s="1" t="s">
        <v>367</v>
      </c>
      <c r="E200" s="1" t="s">
        <v>318</v>
      </c>
      <c r="F200" s="1" t="s">
        <v>29</v>
      </c>
      <c r="H200" s="1" t="s">
        <v>21</v>
      </c>
      <c r="I200" s="1" t="s">
        <v>21</v>
      </c>
      <c r="J200" s="1" t="s">
        <v>21</v>
      </c>
    </row>
    <row r="201" customFormat="false" ht="14.25" hidden="false" customHeight="false" outlineLevel="0" collapsed="false">
      <c r="A201" s="1" t="n">
        <v>704</v>
      </c>
      <c r="B201" s="1" t="s">
        <v>368</v>
      </c>
      <c r="C201" s="1" t="s">
        <v>369</v>
      </c>
      <c r="E201" s="1" t="s">
        <v>318</v>
      </c>
      <c r="F201" s="1" t="s">
        <v>49</v>
      </c>
      <c r="H201" s="1" t="s">
        <v>21</v>
      </c>
      <c r="I201" s="1" t="s">
        <v>21</v>
      </c>
      <c r="J201" s="1" t="s">
        <v>21</v>
      </c>
    </row>
    <row r="202" customFormat="false" ht="14.25" hidden="false" customHeight="false" outlineLevel="0" collapsed="false">
      <c r="A202" s="1" t="n">
        <v>705</v>
      </c>
      <c r="B202" s="1" t="s">
        <v>368</v>
      </c>
      <c r="C202" s="1" t="s">
        <v>370</v>
      </c>
      <c r="E202" s="1" t="s">
        <v>318</v>
      </c>
      <c r="F202" s="1" t="s">
        <v>29</v>
      </c>
      <c r="H202" s="1" t="s">
        <v>21</v>
      </c>
      <c r="I202" s="1" t="s">
        <v>21</v>
      </c>
      <c r="J202" s="1" t="s">
        <v>21</v>
      </c>
    </row>
    <row r="203" customFormat="false" ht="14.25" hidden="false" customHeight="false" outlineLevel="0" collapsed="false">
      <c r="A203" s="1" t="n">
        <v>706</v>
      </c>
      <c r="B203" s="1" t="s">
        <v>371</v>
      </c>
      <c r="C203" s="1" t="s">
        <v>372</v>
      </c>
      <c r="E203" s="1" t="s">
        <v>318</v>
      </c>
      <c r="F203" s="1" t="s">
        <v>49</v>
      </c>
      <c r="H203" s="1" t="s">
        <v>21</v>
      </c>
      <c r="I203" s="1" t="s">
        <v>21</v>
      </c>
      <c r="J203" s="1" t="s">
        <v>21</v>
      </c>
    </row>
    <row r="204" customFormat="false" ht="14.25" hidden="false" customHeight="false" outlineLevel="0" collapsed="false">
      <c r="A204" s="1" t="n">
        <v>707</v>
      </c>
      <c r="B204" s="1" t="s">
        <v>371</v>
      </c>
      <c r="C204" s="1" t="s">
        <v>373</v>
      </c>
      <c r="E204" s="1" t="s">
        <v>318</v>
      </c>
      <c r="F204" s="1" t="s">
        <v>29</v>
      </c>
      <c r="H204" s="1" t="s">
        <v>21</v>
      </c>
      <c r="I204" s="1" t="s">
        <v>21</v>
      </c>
      <c r="J204" s="1" t="s">
        <v>21</v>
      </c>
    </row>
    <row r="205" customFormat="false" ht="14.25" hidden="false" customHeight="false" outlineLevel="0" collapsed="false">
      <c r="A205" s="1" t="n">
        <v>708</v>
      </c>
      <c r="B205" s="1" t="s">
        <v>374</v>
      </c>
      <c r="C205" s="1" t="s">
        <v>375</v>
      </c>
      <c r="E205" s="1" t="s">
        <v>318</v>
      </c>
      <c r="F205" s="1" t="s">
        <v>49</v>
      </c>
      <c r="H205" s="1" t="s">
        <v>21</v>
      </c>
      <c r="I205" s="1" t="s">
        <v>21</v>
      </c>
      <c r="J205" s="1" t="s">
        <v>21</v>
      </c>
    </row>
    <row r="206" customFormat="false" ht="14.25" hidden="false" customHeight="false" outlineLevel="0" collapsed="false">
      <c r="A206" s="1" t="n">
        <v>709</v>
      </c>
      <c r="B206" s="1" t="s">
        <v>374</v>
      </c>
      <c r="C206" s="1" t="s">
        <v>376</v>
      </c>
      <c r="E206" s="1" t="s">
        <v>318</v>
      </c>
      <c r="F206" s="1" t="s">
        <v>29</v>
      </c>
      <c r="H206" s="1" t="s">
        <v>21</v>
      </c>
      <c r="I206" s="1" t="s">
        <v>21</v>
      </c>
      <c r="J206" s="1" t="s">
        <v>21</v>
      </c>
    </row>
    <row r="207" customFormat="false" ht="14.25" hidden="false" customHeight="false" outlineLevel="0" collapsed="false">
      <c r="A207" s="1" t="n">
        <v>710</v>
      </c>
      <c r="B207" s="1" t="s">
        <v>377</v>
      </c>
      <c r="C207" s="1" t="s">
        <v>378</v>
      </c>
      <c r="E207" s="1" t="s">
        <v>318</v>
      </c>
      <c r="F207" s="1" t="s">
        <v>49</v>
      </c>
      <c r="H207" s="1" t="s">
        <v>21</v>
      </c>
      <c r="I207" s="1" t="s">
        <v>21</v>
      </c>
      <c r="J207" s="1" t="s">
        <v>21</v>
      </c>
    </row>
    <row r="208" customFormat="false" ht="14.25" hidden="false" customHeight="false" outlineLevel="0" collapsed="false">
      <c r="A208" s="1" t="n">
        <v>711</v>
      </c>
      <c r="B208" s="1" t="s">
        <v>379</v>
      </c>
      <c r="C208" s="1" t="s">
        <v>380</v>
      </c>
      <c r="E208" s="1" t="s">
        <v>318</v>
      </c>
      <c r="F208" s="1" t="s">
        <v>29</v>
      </c>
      <c r="H208" s="1" t="s">
        <v>21</v>
      </c>
      <c r="I208" s="1" t="s">
        <v>21</v>
      </c>
      <c r="J208" s="1" t="s">
        <v>21</v>
      </c>
    </row>
    <row r="209" customFormat="false" ht="14.25" hidden="false" customHeight="false" outlineLevel="0" collapsed="false">
      <c r="A209" s="1" t="n">
        <v>720</v>
      </c>
      <c r="B209" s="1" t="s">
        <v>381</v>
      </c>
      <c r="C209" s="1" t="s">
        <v>382</v>
      </c>
      <c r="E209" s="1" t="s">
        <v>383</v>
      </c>
      <c r="F209" s="1" t="s">
        <v>29</v>
      </c>
      <c r="H209" s="1" t="s">
        <v>21</v>
      </c>
      <c r="I209" s="1" t="s">
        <v>21</v>
      </c>
      <c r="J209" s="1" t="s">
        <v>21</v>
      </c>
    </row>
    <row r="210" customFormat="false" ht="14.25" hidden="false" customHeight="false" outlineLevel="0" collapsed="false">
      <c r="A210" s="1" t="n">
        <v>721</v>
      </c>
      <c r="B210" s="1" t="s">
        <v>384</v>
      </c>
      <c r="C210" s="1" t="s">
        <v>385</v>
      </c>
      <c r="E210" s="1" t="s">
        <v>383</v>
      </c>
      <c r="F210" s="1" t="s">
        <v>29</v>
      </c>
      <c r="H210" s="1" t="s">
        <v>21</v>
      </c>
      <c r="I210" s="1" t="s">
        <v>21</v>
      </c>
      <c r="J210" s="1" t="s">
        <v>21</v>
      </c>
    </row>
    <row r="211" customFormat="false" ht="14.25" hidden="false" customHeight="false" outlineLevel="0" collapsed="false">
      <c r="A211" s="1" t="n">
        <v>722</v>
      </c>
      <c r="B211" s="1" t="s">
        <v>381</v>
      </c>
      <c r="C211" s="1" t="s">
        <v>386</v>
      </c>
      <c r="E211" s="1" t="s">
        <v>383</v>
      </c>
      <c r="F211" s="1" t="s">
        <v>29</v>
      </c>
      <c r="H211" s="1" t="s">
        <v>21</v>
      </c>
      <c r="I211" s="1" t="s">
        <v>21</v>
      </c>
      <c r="J211" s="1" t="s">
        <v>21</v>
      </c>
    </row>
    <row r="212" customFormat="false" ht="14.25" hidden="false" customHeight="false" outlineLevel="0" collapsed="false">
      <c r="A212" s="1" t="n">
        <v>779</v>
      </c>
      <c r="B212" s="1" t="s">
        <v>381</v>
      </c>
      <c r="C212" s="1" t="s">
        <v>387</v>
      </c>
      <c r="E212" s="1" t="s">
        <v>383</v>
      </c>
      <c r="F212" s="1" t="s">
        <v>29</v>
      </c>
      <c r="H212" s="1" t="s">
        <v>21</v>
      </c>
      <c r="I212" s="1" t="s">
        <v>21</v>
      </c>
      <c r="J212" s="1" t="s">
        <v>21</v>
      </c>
    </row>
    <row r="213" customFormat="false" ht="14.25" hidden="false" customHeight="false" outlineLevel="0" collapsed="false">
      <c r="A213" s="1" t="n">
        <v>780</v>
      </c>
      <c r="B213" s="1" t="s">
        <v>388</v>
      </c>
      <c r="C213" s="1" t="s">
        <v>389</v>
      </c>
      <c r="E213" s="1" t="s">
        <v>383</v>
      </c>
      <c r="F213" s="1" t="s">
        <v>29</v>
      </c>
      <c r="H213" s="1" t="s">
        <v>21</v>
      </c>
      <c r="I213" s="1" t="s">
        <v>21</v>
      </c>
      <c r="J213" s="1" t="s">
        <v>21</v>
      </c>
    </row>
    <row r="214" customFormat="false" ht="14.25" hidden="false" customHeight="false" outlineLevel="0" collapsed="false">
      <c r="A214" s="1" t="n">
        <v>785</v>
      </c>
      <c r="B214" s="1" t="s">
        <v>390</v>
      </c>
      <c r="C214" s="1" t="s">
        <v>391</v>
      </c>
      <c r="E214" s="1" t="s">
        <v>278</v>
      </c>
      <c r="F214" s="1" t="s">
        <v>29</v>
      </c>
    </row>
    <row r="215" customFormat="false" ht="14.25" hidden="false" customHeight="false" outlineLevel="0" collapsed="false">
      <c r="A215" s="1" t="n">
        <v>790</v>
      </c>
      <c r="B215" s="1" t="s">
        <v>388</v>
      </c>
      <c r="C215" s="1" t="s">
        <v>392</v>
      </c>
      <c r="E215" s="1" t="s">
        <v>383</v>
      </c>
      <c r="F215" s="1" t="s">
        <v>29</v>
      </c>
      <c r="H215" s="1" t="s">
        <v>21</v>
      </c>
      <c r="I215" s="1" t="s">
        <v>21</v>
      </c>
      <c r="J215" s="1" t="s">
        <v>21</v>
      </c>
    </row>
    <row r="216" customFormat="false" ht="14.25" hidden="false" customHeight="false" outlineLevel="0" collapsed="false">
      <c r="A216" s="1" t="n">
        <v>800</v>
      </c>
      <c r="B216" s="1" t="s">
        <v>393</v>
      </c>
      <c r="C216" s="1" t="s">
        <v>394</v>
      </c>
      <c r="D216" s="1" t="s">
        <v>395</v>
      </c>
      <c r="E216" s="1" t="s">
        <v>162</v>
      </c>
      <c r="F216" s="1" t="s">
        <v>29</v>
      </c>
      <c r="H216" s="1" t="s">
        <v>21</v>
      </c>
      <c r="I216" s="1" t="s">
        <v>21</v>
      </c>
      <c r="J216" s="1" t="s">
        <v>21</v>
      </c>
    </row>
    <row r="217" customFormat="false" ht="14.25" hidden="false" customHeight="false" outlineLevel="0" collapsed="false">
      <c r="A217" s="1" t="s">
        <v>396</v>
      </c>
      <c r="B217" s="1" t="s">
        <v>393</v>
      </c>
      <c r="C217" s="1" t="s">
        <v>395</v>
      </c>
      <c r="E217" s="1" t="s">
        <v>395</v>
      </c>
      <c r="F217" s="1" t="s">
        <v>29</v>
      </c>
      <c r="G217" s="1" t="s">
        <v>397</v>
      </c>
      <c r="H217" s="1" t="s">
        <v>21</v>
      </c>
      <c r="I217" s="1" t="s">
        <v>21</v>
      </c>
      <c r="J217" s="1" t="s">
        <v>21</v>
      </c>
    </row>
    <row r="218" customFormat="false" ht="14.25" hidden="false" customHeight="false" outlineLevel="0" collapsed="false">
      <c r="A218" s="1" t="n">
        <v>801</v>
      </c>
      <c r="B218" s="1" t="s">
        <v>393</v>
      </c>
      <c r="C218" s="1" t="s">
        <v>398</v>
      </c>
      <c r="E218" s="1" t="s">
        <v>162</v>
      </c>
      <c r="F218" s="1" t="s">
        <v>29</v>
      </c>
      <c r="H218" s="1" t="s">
        <v>21</v>
      </c>
      <c r="I218" s="1" t="s">
        <v>21</v>
      </c>
      <c r="J218" s="1" t="s">
        <v>21</v>
      </c>
    </row>
    <row r="219" customFormat="false" ht="14.25" hidden="false" customHeight="false" outlineLevel="0" collapsed="false">
      <c r="A219" s="1" t="s">
        <v>399</v>
      </c>
      <c r="B219" s="1" t="s">
        <v>400</v>
      </c>
      <c r="C219" s="1" t="s">
        <v>401</v>
      </c>
      <c r="E219" s="1" t="s">
        <v>401</v>
      </c>
      <c r="F219" s="1" t="s">
        <v>29</v>
      </c>
      <c r="G219" s="1" t="s">
        <v>402</v>
      </c>
      <c r="H219" s="1" t="s">
        <v>21</v>
      </c>
      <c r="I219" s="1" t="s">
        <v>21</v>
      </c>
      <c r="J219" s="1" t="s">
        <v>21</v>
      </c>
    </row>
    <row r="220" customFormat="false" ht="14.25" hidden="false" customHeight="false" outlineLevel="0" collapsed="false">
      <c r="A220" s="1" t="n">
        <v>803</v>
      </c>
      <c r="B220" s="1" t="s">
        <v>304</v>
      </c>
      <c r="C220" s="1" t="s">
        <v>403</v>
      </c>
      <c r="E220" s="1" t="s">
        <v>162</v>
      </c>
      <c r="F220" s="1" t="s">
        <v>29</v>
      </c>
      <c r="H220" s="1" t="s">
        <v>21</v>
      </c>
      <c r="I220" s="1" t="s">
        <v>21</v>
      </c>
      <c r="J220" s="1" t="s">
        <v>21</v>
      </c>
    </row>
    <row r="221" customFormat="false" ht="14.25" hidden="false" customHeight="false" outlineLevel="0" collapsed="false">
      <c r="A221" s="1" t="s">
        <v>404</v>
      </c>
      <c r="B221" s="1" t="s">
        <v>400</v>
      </c>
      <c r="C221" s="1" t="s">
        <v>405</v>
      </c>
      <c r="E221" s="1" t="s">
        <v>405</v>
      </c>
      <c r="F221" s="1" t="s">
        <v>29</v>
      </c>
      <c r="G221" s="1" t="s">
        <v>406</v>
      </c>
      <c r="H221" s="1" t="s">
        <v>21</v>
      </c>
      <c r="I221" s="1" t="s">
        <v>21</v>
      </c>
      <c r="J221" s="1" t="s">
        <v>21</v>
      </c>
    </row>
    <row r="222" customFormat="false" ht="14.25" hidden="false" customHeight="false" outlineLevel="0" collapsed="false">
      <c r="A222" s="1" t="n">
        <v>804</v>
      </c>
      <c r="B222" s="1" t="s">
        <v>407</v>
      </c>
      <c r="C222" s="1" t="s">
        <v>408</v>
      </c>
      <c r="E222" s="1" t="s">
        <v>162</v>
      </c>
      <c r="F222" s="1" t="s">
        <v>29</v>
      </c>
      <c r="H222" s="1" t="s">
        <v>21</v>
      </c>
      <c r="I222" s="1" t="s">
        <v>21</v>
      </c>
      <c r="J222" s="1" t="s">
        <v>21</v>
      </c>
    </row>
    <row r="223" customFormat="false" ht="14.25" hidden="false" customHeight="false" outlineLevel="0" collapsed="false">
      <c r="A223" s="1" t="n">
        <v>809</v>
      </c>
      <c r="B223" s="1" t="s">
        <v>304</v>
      </c>
      <c r="C223" s="1" t="s">
        <v>409</v>
      </c>
      <c r="E223" s="1" t="s">
        <v>162</v>
      </c>
      <c r="F223" s="1" t="s">
        <v>29</v>
      </c>
      <c r="H223" s="1" t="s">
        <v>21</v>
      </c>
      <c r="I223" s="1" t="s">
        <v>21</v>
      </c>
      <c r="J223" s="1" t="s">
        <v>21</v>
      </c>
    </row>
    <row r="224" customFormat="false" ht="14.25" hidden="false" customHeight="false" outlineLevel="0" collapsed="false">
      <c r="A224" s="1" t="n">
        <v>812</v>
      </c>
      <c r="B224" s="1" t="s">
        <v>410</v>
      </c>
      <c r="C224" s="1" t="s">
        <v>411</v>
      </c>
      <c r="E224" s="1" t="s">
        <v>162</v>
      </c>
      <c r="F224" s="1" t="s">
        <v>29</v>
      </c>
      <c r="H224" s="1" t="s">
        <v>21</v>
      </c>
      <c r="I224" s="1" t="s">
        <v>21</v>
      </c>
      <c r="J224" s="1" t="s">
        <v>21</v>
      </c>
    </row>
    <row r="225" customFormat="false" ht="14.25" hidden="false" customHeight="false" outlineLevel="0" collapsed="false">
      <c r="A225" s="1" t="n">
        <v>820</v>
      </c>
      <c r="B225" s="1" t="s">
        <v>412</v>
      </c>
      <c r="C225" s="1" t="s">
        <v>2</v>
      </c>
      <c r="E225" s="1" t="s">
        <v>2</v>
      </c>
      <c r="F225" s="1" t="s">
        <v>29</v>
      </c>
      <c r="G225" s="1" t="s">
        <v>413</v>
      </c>
      <c r="H225" s="1" t="s">
        <v>21</v>
      </c>
      <c r="I225" s="1" t="s">
        <v>21</v>
      </c>
      <c r="J225" s="1" t="s">
        <v>21</v>
      </c>
    </row>
    <row r="226" customFormat="false" ht="14.25" hidden="false" customHeight="false" outlineLevel="0" collapsed="false">
      <c r="A226" s="1" t="n">
        <v>840</v>
      </c>
      <c r="B226" s="1" t="s">
        <v>414</v>
      </c>
      <c r="C226" s="1" t="s">
        <v>415</v>
      </c>
      <c r="E226" s="1" t="s">
        <v>416</v>
      </c>
      <c r="F226" s="1" t="s">
        <v>29</v>
      </c>
      <c r="G226" s="1" t="s">
        <v>417</v>
      </c>
      <c r="H226" s="1" t="s">
        <v>21</v>
      </c>
      <c r="I226" s="1" t="s">
        <v>21</v>
      </c>
      <c r="J226" s="1" t="s">
        <v>21</v>
      </c>
    </row>
    <row r="227" customFormat="false" ht="14.25" hidden="false" customHeight="false" outlineLevel="0" collapsed="false">
      <c r="A227" s="1" t="s">
        <v>418</v>
      </c>
      <c r="B227" s="1" t="s">
        <v>419</v>
      </c>
      <c r="C227" s="1" t="s">
        <v>420</v>
      </c>
      <c r="E227" s="1" t="s">
        <v>162</v>
      </c>
      <c r="F227" s="1" t="s">
        <v>29</v>
      </c>
      <c r="H227" s="1" t="s">
        <v>21</v>
      </c>
      <c r="I227" s="1" t="s">
        <v>21</v>
      </c>
      <c r="J227" s="1" t="s">
        <v>21</v>
      </c>
    </row>
    <row r="228" customFormat="false" ht="14.25" hidden="false" customHeight="false" outlineLevel="0" collapsed="false">
      <c r="A228" s="1" t="s">
        <v>421</v>
      </c>
      <c r="B228" s="1" t="s">
        <v>422</v>
      </c>
      <c r="C228" s="1" t="s">
        <v>423</v>
      </c>
      <c r="E228" s="1" t="s">
        <v>162</v>
      </c>
      <c r="F228" s="1" t="s">
        <v>29</v>
      </c>
      <c r="H228" s="1" t="s">
        <v>21</v>
      </c>
      <c r="I228" s="1" t="s">
        <v>21</v>
      </c>
      <c r="J228" s="1" t="s">
        <v>21</v>
      </c>
    </row>
    <row r="229" customFormat="false" ht="14.25" hidden="false" customHeight="false" outlineLevel="0" collapsed="false">
      <c r="A229" s="1" t="s">
        <v>424</v>
      </c>
      <c r="B229" s="1" t="s">
        <v>422</v>
      </c>
      <c r="C229" s="1" t="s">
        <v>425</v>
      </c>
      <c r="E229" s="1" t="s">
        <v>162</v>
      </c>
      <c r="F229" s="1" t="s">
        <v>29</v>
      </c>
      <c r="H229" s="1" t="s">
        <v>21</v>
      </c>
      <c r="I229" s="1" t="s">
        <v>21</v>
      </c>
      <c r="J229" s="1" t="s">
        <v>21</v>
      </c>
    </row>
    <row r="230" customFormat="false" ht="14.25" hidden="false" customHeight="false" outlineLevel="0" collapsed="false">
      <c r="A230" s="1" t="s">
        <v>426</v>
      </c>
      <c r="B230" s="1" t="s">
        <v>427</v>
      </c>
      <c r="C230" s="1" t="s">
        <v>428</v>
      </c>
      <c r="E230" s="1" t="s">
        <v>162</v>
      </c>
      <c r="F230" s="1" t="s">
        <v>29</v>
      </c>
      <c r="H230" s="1" t="s">
        <v>21</v>
      </c>
      <c r="I230" s="1" t="s">
        <v>21</v>
      </c>
      <c r="J230" s="1" t="s">
        <v>21</v>
      </c>
    </row>
    <row r="231" customFormat="false" ht="14.25" hidden="false" customHeight="false" outlineLevel="0" collapsed="false">
      <c r="A231" s="1" t="s">
        <v>429</v>
      </c>
      <c r="B231" s="1" t="s">
        <v>422</v>
      </c>
      <c r="C231" s="1" t="s">
        <v>430</v>
      </c>
      <c r="E231" s="1" t="s">
        <v>162</v>
      </c>
      <c r="F231" s="1" t="s">
        <v>29</v>
      </c>
      <c r="H231" s="1" t="s">
        <v>21</v>
      </c>
      <c r="I231" s="1" t="s">
        <v>21</v>
      </c>
      <c r="J231" s="1" t="s">
        <v>21</v>
      </c>
    </row>
    <row r="232" customFormat="false" ht="14.25" hidden="false" customHeight="false" outlineLevel="0" collapsed="false">
      <c r="A232" s="1" t="s">
        <v>431</v>
      </c>
      <c r="B232" s="1" t="s">
        <v>422</v>
      </c>
      <c r="C232" s="1" t="s">
        <v>432</v>
      </c>
      <c r="E232" s="1" t="s">
        <v>162</v>
      </c>
      <c r="F232" s="1" t="s">
        <v>29</v>
      </c>
      <c r="H232" s="1" t="s">
        <v>21</v>
      </c>
      <c r="I232" s="1" t="s">
        <v>21</v>
      </c>
      <c r="J232" s="1" t="s">
        <v>21</v>
      </c>
    </row>
    <row r="233" customFormat="false" ht="14.25" hidden="false" customHeight="false" outlineLevel="0" collapsed="false">
      <c r="A233" s="1" t="s">
        <v>433</v>
      </c>
      <c r="B233" s="1" t="s">
        <v>434</v>
      </c>
      <c r="C233" s="1" t="s">
        <v>435</v>
      </c>
      <c r="E233" s="1" t="s">
        <v>162</v>
      </c>
      <c r="F233" s="1" t="s">
        <v>29</v>
      </c>
      <c r="H233" s="1" t="s">
        <v>21</v>
      </c>
      <c r="I233" s="1" t="s">
        <v>21</v>
      </c>
      <c r="J233" s="1" t="s">
        <v>21</v>
      </c>
    </row>
    <row r="234" customFormat="false" ht="14.25" hidden="false" customHeight="false" outlineLevel="0" collapsed="false">
      <c r="A234" s="1" t="s">
        <v>436</v>
      </c>
      <c r="B234" s="1" t="s">
        <v>419</v>
      </c>
      <c r="C234" s="1" t="s">
        <v>437</v>
      </c>
      <c r="E234" s="1" t="s">
        <v>162</v>
      </c>
      <c r="F234" s="1" t="s">
        <v>29</v>
      </c>
      <c r="H234" s="1" t="s">
        <v>21</v>
      </c>
      <c r="I234" s="1" t="s">
        <v>21</v>
      </c>
      <c r="J234" s="1" t="s">
        <v>21</v>
      </c>
    </row>
    <row r="235" customFormat="false" ht="14.25" hidden="false" customHeight="false" outlineLevel="0" collapsed="false">
      <c r="A235" s="1" t="s">
        <v>438</v>
      </c>
      <c r="B235" s="1" t="s">
        <v>422</v>
      </c>
      <c r="C235" s="1" t="s">
        <v>439</v>
      </c>
      <c r="E235" s="1" t="s">
        <v>162</v>
      </c>
      <c r="F235" s="1" t="s">
        <v>29</v>
      </c>
      <c r="H235" s="1" t="s">
        <v>21</v>
      </c>
      <c r="I235" s="1" t="s">
        <v>21</v>
      </c>
      <c r="J235" s="1" t="s">
        <v>21</v>
      </c>
    </row>
    <row r="236" customFormat="false" ht="14.25" hidden="false" customHeight="false" outlineLevel="0" collapsed="false">
      <c r="A236" s="1" t="n">
        <v>860</v>
      </c>
      <c r="B236" s="1" t="s">
        <v>414</v>
      </c>
      <c r="C236" s="1" t="s">
        <v>440</v>
      </c>
      <c r="E236" s="1" t="s">
        <v>441</v>
      </c>
      <c r="F236" s="1" t="s">
        <v>29</v>
      </c>
      <c r="G236" s="1" t="s">
        <v>442</v>
      </c>
      <c r="H236" s="1" t="s">
        <v>21</v>
      </c>
      <c r="I236" s="1" t="s">
        <v>21</v>
      </c>
      <c r="J236" s="1" t="s">
        <v>21</v>
      </c>
    </row>
    <row r="237" customFormat="false" ht="14.25" hidden="false" customHeight="false" outlineLevel="0" collapsed="false">
      <c r="A237" s="1" t="n">
        <v>877</v>
      </c>
      <c r="B237" s="1" t="s">
        <v>414</v>
      </c>
      <c r="C237" s="1" t="s">
        <v>443</v>
      </c>
      <c r="E237" s="1" t="s">
        <v>444</v>
      </c>
      <c r="F237" s="1" t="s">
        <v>29</v>
      </c>
      <c r="G237" s="1" t="s">
        <v>445</v>
      </c>
      <c r="H237" s="1" t="s">
        <v>21</v>
      </c>
      <c r="I237" s="1" t="s">
        <v>21</v>
      </c>
      <c r="J237" s="1" t="s">
        <v>21</v>
      </c>
    </row>
    <row r="238" customFormat="false" ht="14.25" hidden="false" customHeight="false" outlineLevel="0" collapsed="false">
      <c r="A238" s="1" t="n">
        <v>895</v>
      </c>
      <c r="B238" s="1" t="s">
        <v>414</v>
      </c>
      <c r="C238" s="1" t="s">
        <v>446</v>
      </c>
      <c r="E238" s="1" t="s">
        <v>162</v>
      </c>
      <c r="F238" s="1" t="s">
        <v>29</v>
      </c>
      <c r="H238" s="1" t="s">
        <v>21</v>
      </c>
      <c r="I238" s="1" t="s">
        <v>21</v>
      </c>
      <c r="J238" s="1" t="s">
        <v>21</v>
      </c>
    </row>
    <row r="239" customFormat="false" ht="14.25" hidden="false" customHeight="false" outlineLevel="0" collapsed="false">
      <c r="A239" s="1" t="n">
        <v>896</v>
      </c>
      <c r="B239" s="1" t="s">
        <v>414</v>
      </c>
      <c r="C239" s="1" t="s">
        <v>441</v>
      </c>
      <c r="E239" s="1" t="s">
        <v>162</v>
      </c>
      <c r="F239" s="1" t="s">
        <v>29</v>
      </c>
      <c r="H239" s="1" t="s">
        <v>21</v>
      </c>
      <c r="I239" s="1" t="s">
        <v>21</v>
      </c>
      <c r="J239" s="1" t="s">
        <v>21</v>
      </c>
    </row>
    <row r="240" customFormat="false" ht="14.25" hidden="false" customHeight="false" outlineLevel="0" collapsed="false">
      <c r="A240" s="1" t="n">
        <v>897</v>
      </c>
      <c r="B240" s="1" t="s">
        <v>414</v>
      </c>
      <c r="C240" s="1" t="s">
        <v>447</v>
      </c>
      <c r="E240" s="1" t="s">
        <v>162</v>
      </c>
      <c r="F240" s="1" t="s">
        <v>29</v>
      </c>
      <c r="H240" s="1" t="s">
        <v>21</v>
      </c>
      <c r="I240" s="1" t="s">
        <v>21</v>
      </c>
      <c r="J240" s="1" t="s">
        <v>21</v>
      </c>
    </row>
    <row r="241" customFormat="false" ht="14.25" hidden="false" customHeight="false" outlineLevel="0" collapsed="false">
      <c r="A241" s="1" t="n">
        <v>898</v>
      </c>
      <c r="B241" s="1" t="s">
        <v>414</v>
      </c>
      <c r="C241" s="1" t="s">
        <v>448</v>
      </c>
      <c r="E241" s="1" t="s">
        <v>162</v>
      </c>
      <c r="F241" s="1" t="s">
        <v>29</v>
      </c>
      <c r="H241" s="1" t="s">
        <v>21</v>
      </c>
      <c r="I241" s="1" t="s">
        <v>21</v>
      </c>
      <c r="J241" s="1" t="s">
        <v>21</v>
      </c>
    </row>
    <row r="242" customFormat="false" ht="14.25" hidden="false" customHeight="false" outlineLevel="0" collapsed="false">
      <c r="A242" s="1" t="n">
        <v>899</v>
      </c>
      <c r="B242" s="1" t="s">
        <v>414</v>
      </c>
      <c r="C242" s="1" t="s">
        <v>449</v>
      </c>
      <c r="E242" s="1" t="s">
        <v>162</v>
      </c>
      <c r="F242" s="1" t="s">
        <v>29</v>
      </c>
      <c r="H242" s="1" t="s">
        <v>21</v>
      </c>
      <c r="I242" s="1" t="s">
        <v>21</v>
      </c>
      <c r="J242" s="1" t="s">
        <v>21</v>
      </c>
    </row>
    <row r="243" customFormat="false" ht="14.25" hidden="false" customHeight="false" outlineLevel="0" collapsed="false">
      <c r="A243" s="1" t="n">
        <v>900</v>
      </c>
      <c r="B243" s="1" t="s">
        <v>450</v>
      </c>
      <c r="C243" s="1" t="s">
        <v>451</v>
      </c>
      <c r="E243" s="1" t="s">
        <v>452</v>
      </c>
      <c r="F243" s="1" t="s">
        <v>29</v>
      </c>
      <c r="H243" s="1" t="s">
        <v>21</v>
      </c>
      <c r="I243" s="1" t="s">
        <v>21</v>
      </c>
      <c r="J243" s="1" t="s">
        <v>21</v>
      </c>
    </row>
    <row r="244" customFormat="false" ht="14.25" hidden="false" customHeight="false" outlineLevel="0" collapsed="false">
      <c r="A244" s="1" t="n">
        <v>901</v>
      </c>
      <c r="B244" s="1" t="s">
        <v>450</v>
      </c>
      <c r="C244" s="1" t="s">
        <v>453</v>
      </c>
      <c r="E244" s="1" t="s">
        <v>452</v>
      </c>
      <c r="F244" s="1" t="s">
        <v>29</v>
      </c>
      <c r="H244" s="1" t="s">
        <v>21</v>
      </c>
      <c r="I244" s="1" t="s">
        <v>21</v>
      </c>
      <c r="J244" s="1" t="s">
        <v>21</v>
      </c>
    </row>
    <row r="245" customFormat="false" ht="14.25" hidden="false" customHeight="false" outlineLevel="0" collapsed="false">
      <c r="A245" s="1" t="n">
        <v>902</v>
      </c>
      <c r="B245" s="1" t="s">
        <v>450</v>
      </c>
      <c r="C245" s="1" t="s">
        <v>454</v>
      </c>
      <c r="E245" s="1" t="s">
        <v>452</v>
      </c>
      <c r="F245" s="1" t="s">
        <v>29</v>
      </c>
      <c r="H245" s="1" t="s">
        <v>21</v>
      </c>
      <c r="I245" s="1" t="s">
        <v>21</v>
      </c>
      <c r="J245" s="1" t="s">
        <v>21</v>
      </c>
    </row>
    <row r="246" customFormat="false" ht="14.25" hidden="false" customHeight="false" outlineLevel="0" collapsed="false">
      <c r="A246" s="1" t="n">
        <v>903</v>
      </c>
      <c r="B246" s="1" t="s">
        <v>450</v>
      </c>
      <c r="C246" s="1" t="s">
        <v>455</v>
      </c>
      <c r="E246" s="1" t="s">
        <v>452</v>
      </c>
      <c r="F246" s="1" t="s">
        <v>29</v>
      </c>
      <c r="H246" s="1" t="s">
        <v>21</v>
      </c>
      <c r="I246" s="1" t="s">
        <v>21</v>
      </c>
      <c r="J246" s="1" t="s">
        <v>21</v>
      </c>
    </row>
    <row r="247" customFormat="false" ht="14.25" hidden="false" customHeight="false" outlineLevel="0" collapsed="false">
      <c r="A247" s="1" t="n">
        <v>904</v>
      </c>
      <c r="B247" s="1" t="s">
        <v>450</v>
      </c>
      <c r="C247" s="1" t="s">
        <v>456</v>
      </c>
      <c r="E247" s="1" t="s">
        <v>452</v>
      </c>
      <c r="F247" s="1" t="s">
        <v>29</v>
      </c>
      <c r="H247" s="1" t="s">
        <v>21</v>
      </c>
      <c r="I247" s="1" t="s">
        <v>21</v>
      </c>
      <c r="J247" s="1" t="s">
        <v>21</v>
      </c>
    </row>
    <row r="248" customFormat="false" ht="14.25" hidden="false" customHeight="false" outlineLevel="0" collapsed="false">
      <c r="A248" s="1" t="n">
        <v>905</v>
      </c>
      <c r="B248" s="1" t="s">
        <v>450</v>
      </c>
      <c r="C248" s="1" t="s">
        <v>457</v>
      </c>
      <c r="E248" s="1" t="s">
        <v>452</v>
      </c>
      <c r="F248" s="1" t="s">
        <v>29</v>
      </c>
      <c r="H248" s="1" t="s">
        <v>21</v>
      </c>
      <c r="I248" s="1" t="s">
        <v>21</v>
      </c>
      <c r="J248" s="1" t="s">
        <v>21</v>
      </c>
    </row>
    <row r="249" customFormat="false" ht="14.25" hidden="false" customHeight="false" outlineLevel="0" collapsed="false">
      <c r="A249" s="1" t="n">
        <v>906</v>
      </c>
      <c r="B249" s="1" t="s">
        <v>450</v>
      </c>
      <c r="C249" s="1" t="s">
        <v>458</v>
      </c>
      <c r="E249" s="1" t="s">
        <v>452</v>
      </c>
      <c r="F249" s="1" t="s">
        <v>29</v>
      </c>
      <c r="H249" s="1" t="s">
        <v>21</v>
      </c>
      <c r="I249" s="1" t="s">
        <v>21</v>
      </c>
      <c r="J249" s="1" t="s">
        <v>21</v>
      </c>
    </row>
    <row r="250" customFormat="false" ht="14.25" hidden="false" customHeight="false" outlineLevel="0" collapsed="false">
      <c r="A250" s="1" t="n">
        <v>907</v>
      </c>
      <c r="B250" s="1" t="s">
        <v>450</v>
      </c>
      <c r="C250" s="1" t="s">
        <v>459</v>
      </c>
      <c r="E250" s="1" t="s">
        <v>452</v>
      </c>
      <c r="F250" s="1" t="s">
        <v>29</v>
      </c>
      <c r="H250" s="1" t="s">
        <v>21</v>
      </c>
      <c r="I250" s="1" t="s">
        <v>21</v>
      </c>
      <c r="J250" s="1" t="s">
        <v>21</v>
      </c>
    </row>
    <row r="251" customFormat="false" ht="14.25" hidden="false" customHeight="false" outlineLevel="0" collapsed="false">
      <c r="A251" s="1" t="n">
        <v>908</v>
      </c>
      <c r="B251" s="1" t="s">
        <v>450</v>
      </c>
      <c r="C251" s="1" t="s">
        <v>460</v>
      </c>
      <c r="E251" s="1" t="s">
        <v>452</v>
      </c>
      <c r="F251" s="1" t="s">
        <v>29</v>
      </c>
      <c r="H251" s="1" t="s">
        <v>21</v>
      </c>
      <c r="I251" s="1" t="s">
        <v>21</v>
      </c>
      <c r="J251" s="1" t="s">
        <v>21</v>
      </c>
    </row>
    <row r="252" customFormat="false" ht="14.25" hidden="false" customHeight="false" outlineLevel="0" collapsed="false">
      <c r="A252" s="1" t="n">
        <v>909</v>
      </c>
      <c r="B252" s="1" t="s">
        <v>450</v>
      </c>
      <c r="C252" s="1" t="s">
        <v>461</v>
      </c>
      <c r="E252" s="1" t="s">
        <v>452</v>
      </c>
      <c r="F252" s="1" t="s">
        <v>29</v>
      </c>
      <c r="H252" s="1" t="s">
        <v>21</v>
      </c>
      <c r="I252" s="1" t="s">
        <v>21</v>
      </c>
      <c r="J252" s="1" t="s">
        <v>21</v>
      </c>
    </row>
    <row r="253" customFormat="false" ht="14.25" hidden="false" customHeight="false" outlineLevel="0" collapsed="false">
      <c r="A253" s="1" t="n">
        <v>949</v>
      </c>
      <c r="B253" s="1" t="s">
        <v>450</v>
      </c>
      <c r="C253" s="1" t="s">
        <v>462</v>
      </c>
      <c r="E253" s="1" t="s">
        <v>452</v>
      </c>
      <c r="F253" s="1" t="s">
        <v>29</v>
      </c>
      <c r="H253" s="1" t="s">
        <v>21</v>
      </c>
      <c r="I253" s="1" t="s">
        <v>21</v>
      </c>
      <c r="J253" s="1" t="s">
        <v>21</v>
      </c>
    </row>
    <row r="254" customFormat="false" ht="14.25" hidden="false" customHeight="false" outlineLevel="0" collapsed="false">
      <c r="A254" s="1" t="n">
        <v>950</v>
      </c>
      <c r="B254" s="1" t="s">
        <v>463</v>
      </c>
      <c r="C254" s="1" t="s">
        <v>464</v>
      </c>
      <c r="E254" s="1" t="s">
        <v>452</v>
      </c>
      <c r="F254" s="1" t="s">
        <v>29</v>
      </c>
      <c r="H254" s="1" t="s">
        <v>21</v>
      </c>
      <c r="I254" s="1" t="s">
        <v>21</v>
      </c>
      <c r="J254" s="1" t="s">
        <v>21</v>
      </c>
    </row>
    <row r="255" customFormat="false" ht="14.25" hidden="false" customHeight="false" outlineLevel="0" collapsed="false">
      <c r="A255" s="1" t="n">
        <v>951</v>
      </c>
      <c r="B255" s="1" t="s">
        <v>463</v>
      </c>
      <c r="C255" s="1" t="s">
        <v>465</v>
      </c>
      <c r="E255" s="1" t="s">
        <v>452</v>
      </c>
      <c r="F255" s="1" t="s">
        <v>29</v>
      </c>
      <c r="H255" s="1" t="s">
        <v>21</v>
      </c>
      <c r="I255" s="1" t="s">
        <v>21</v>
      </c>
      <c r="J255" s="1" t="s">
        <v>21</v>
      </c>
    </row>
    <row r="256" customFormat="false" ht="14.25" hidden="false" customHeight="false" outlineLevel="0" collapsed="false">
      <c r="A256" s="1" t="n">
        <v>952</v>
      </c>
      <c r="B256" s="1" t="s">
        <v>463</v>
      </c>
      <c r="C256" s="1" t="s">
        <v>466</v>
      </c>
      <c r="E256" s="1" t="s">
        <v>452</v>
      </c>
      <c r="F256" s="1" t="s">
        <v>29</v>
      </c>
      <c r="H256" s="1" t="s">
        <v>21</v>
      </c>
      <c r="I256" s="1" t="s">
        <v>21</v>
      </c>
      <c r="J256" s="1" t="s">
        <v>21</v>
      </c>
    </row>
    <row r="257" customFormat="false" ht="14.25" hidden="false" customHeight="false" outlineLevel="0" collapsed="false">
      <c r="A257" s="1" t="n">
        <v>960</v>
      </c>
      <c r="B257" s="1" t="s">
        <v>264</v>
      </c>
      <c r="C257" s="1" t="s">
        <v>467</v>
      </c>
      <c r="E257" s="1" t="s">
        <v>467</v>
      </c>
      <c r="F257" s="1" t="s">
        <v>29</v>
      </c>
      <c r="G257" s="1" t="s">
        <v>468</v>
      </c>
      <c r="H257" s="1" t="s">
        <v>21</v>
      </c>
      <c r="I257" s="1" t="s">
        <v>21</v>
      </c>
      <c r="J257" s="1" t="s">
        <v>21</v>
      </c>
    </row>
    <row r="258" customFormat="false" ht="14.25" hidden="false" customHeight="false" outlineLevel="0" collapsed="false">
      <c r="A258" s="1" t="n">
        <v>969</v>
      </c>
      <c r="B258" s="1" t="s">
        <v>463</v>
      </c>
      <c r="C258" s="1" t="s">
        <v>469</v>
      </c>
      <c r="E258" s="1" t="s">
        <v>452</v>
      </c>
      <c r="F258" s="1" t="s">
        <v>29</v>
      </c>
      <c r="H258" s="1" t="s">
        <v>21</v>
      </c>
      <c r="I258" s="1" t="s">
        <v>21</v>
      </c>
      <c r="J258" s="1" t="s">
        <v>21</v>
      </c>
    </row>
    <row r="259" customFormat="false" ht="14.25" hidden="false" customHeight="false" outlineLevel="0" collapsed="false">
      <c r="A259" s="1" t="n">
        <v>985</v>
      </c>
      <c r="B259" s="1" t="s">
        <v>450</v>
      </c>
      <c r="C259" s="1" t="s">
        <v>470</v>
      </c>
      <c r="E259" s="1" t="s">
        <v>452</v>
      </c>
      <c r="F259" s="1" t="s">
        <v>29</v>
      </c>
      <c r="H259" s="1" t="s">
        <v>21</v>
      </c>
      <c r="I259" s="1" t="s">
        <v>21</v>
      </c>
      <c r="J259" s="1" t="s">
        <v>21</v>
      </c>
    </row>
    <row r="260" customFormat="false" ht="14.25" hidden="false" customHeight="false" outlineLevel="0" collapsed="false">
      <c r="A260" s="1" t="n">
        <v>986</v>
      </c>
      <c r="B260" s="1" t="s">
        <v>450</v>
      </c>
      <c r="C260" s="1" t="s">
        <v>471</v>
      </c>
      <c r="E260" s="1" t="s">
        <v>452</v>
      </c>
      <c r="F260" s="1" t="s">
        <v>29</v>
      </c>
      <c r="H260" s="1" t="s">
        <v>21</v>
      </c>
      <c r="I260" s="1" t="s">
        <v>21</v>
      </c>
      <c r="J260" s="1" t="s">
        <v>21</v>
      </c>
    </row>
    <row r="261" customFormat="false" ht="14.25" hidden="false" customHeight="false" outlineLevel="0" collapsed="false">
      <c r="A261" s="1" t="s">
        <v>472</v>
      </c>
      <c r="B261" s="1" t="s">
        <v>35</v>
      </c>
      <c r="C261" s="1" t="s">
        <v>473</v>
      </c>
      <c r="E261" s="1" t="s">
        <v>19</v>
      </c>
      <c r="F261" s="1" t="s">
        <v>29</v>
      </c>
      <c r="G261" s="1" t="s">
        <v>474</v>
      </c>
      <c r="H261" s="1" t="s">
        <v>21</v>
      </c>
      <c r="I261" s="1" t="s">
        <v>21</v>
      </c>
      <c r="J261" s="1" t="s">
        <v>21</v>
      </c>
    </row>
    <row r="262" customFormat="false" ht="14.25" hidden="false" customHeight="false" outlineLevel="0" collapsed="false">
      <c r="A262" s="1" t="s">
        <v>475</v>
      </c>
      <c r="B262" s="1" t="s">
        <v>35</v>
      </c>
      <c r="C262" s="1" t="s">
        <v>476</v>
      </c>
      <c r="E262" s="1" t="s">
        <v>19</v>
      </c>
      <c r="F262" s="1" t="s">
        <v>29</v>
      </c>
      <c r="H262" s="1" t="s">
        <v>21</v>
      </c>
      <c r="I262" s="1" t="s">
        <v>21</v>
      </c>
      <c r="J262" s="1" t="s">
        <v>21</v>
      </c>
    </row>
    <row r="263" customFormat="false" ht="14.25" hidden="false" customHeight="false" outlineLevel="0" collapsed="false">
      <c r="A263" s="1" t="s">
        <v>477</v>
      </c>
      <c r="B263" s="1" t="s">
        <v>35</v>
      </c>
      <c r="C263" s="1" t="s">
        <v>478</v>
      </c>
      <c r="E263" s="1" t="s">
        <v>19</v>
      </c>
      <c r="F263" s="1" t="s">
        <v>29</v>
      </c>
      <c r="G263" s="1" t="s">
        <v>479</v>
      </c>
      <c r="H263" s="1" t="s">
        <v>21</v>
      </c>
      <c r="I263" s="1" t="s">
        <v>21</v>
      </c>
      <c r="J263" s="1" t="s">
        <v>21</v>
      </c>
    </row>
    <row r="264" customFormat="false" ht="14.25" hidden="false" customHeight="false" outlineLevel="0" collapsed="false">
      <c r="A264" s="1" t="s">
        <v>480</v>
      </c>
      <c r="B264" s="1" t="s">
        <v>35</v>
      </c>
      <c r="C264" s="1" t="s">
        <v>481</v>
      </c>
      <c r="E264" s="1" t="s">
        <v>19</v>
      </c>
      <c r="F264" s="1" t="s">
        <v>29</v>
      </c>
      <c r="H264" s="1" t="s">
        <v>21</v>
      </c>
      <c r="I264" s="1" t="s">
        <v>21</v>
      </c>
      <c r="J264" s="1" t="s">
        <v>21</v>
      </c>
    </row>
    <row r="265" customFormat="false" ht="14.25" hidden="false" customHeight="false" outlineLevel="0" collapsed="false">
      <c r="A265" s="1" t="s">
        <v>482</v>
      </c>
      <c r="B265" s="1" t="s">
        <v>35</v>
      </c>
      <c r="C265" s="1" t="s">
        <v>483</v>
      </c>
      <c r="E265" s="1" t="s">
        <v>19</v>
      </c>
      <c r="F265" s="1" t="s">
        <v>29</v>
      </c>
      <c r="H265" s="1" t="s">
        <v>21</v>
      </c>
      <c r="I265" s="1" t="s">
        <v>21</v>
      </c>
      <c r="J265" s="1" t="s">
        <v>21</v>
      </c>
    </row>
    <row r="266" customFormat="false" ht="14.25" hidden="false" customHeight="false" outlineLevel="0" collapsed="false">
      <c r="A266" s="1" t="s">
        <v>484</v>
      </c>
      <c r="B266" s="1" t="s">
        <v>35</v>
      </c>
      <c r="C266" s="1" t="s">
        <v>485</v>
      </c>
      <c r="E266" s="1" t="s">
        <v>19</v>
      </c>
      <c r="F266" s="1" t="s">
        <v>29</v>
      </c>
      <c r="H266" s="1" t="s">
        <v>21</v>
      </c>
      <c r="I266" s="1" t="s">
        <v>21</v>
      </c>
      <c r="J266" s="1" t="s">
        <v>21</v>
      </c>
    </row>
  </sheetData>
  <autoFilter ref="A1:K26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 topLeftCell="A30" activePane="bottomLeft" state="frozen"/>
      <selection pane="topLeft" activeCell="A1" activeCellId="0" sqref="A1"/>
      <selection pane="bottomLeft" activeCell="G58" activeCellId="0" sqref="G58"/>
    </sheetView>
  </sheetViews>
  <sheetFormatPr defaultColWidth="9.14453125" defaultRowHeight="14.25" zeroHeight="false" outlineLevelRow="0" outlineLevelCol="0"/>
  <cols>
    <col collapsed="false" customWidth="true" hidden="false" outlineLevel="0" max="1" min="1" style="2" width="22.43"/>
    <col collapsed="false" customWidth="true" hidden="false" outlineLevel="0" max="2" min="2" style="1" width="48.57"/>
    <col collapsed="false" customWidth="true" hidden="false" outlineLevel="0" max="3" min="3" style="1" width="15"/>
    <col collapsed="false" customWidth="true" hidden="false" outlineLevel="0" max="4" min="4" style="1" width="19.43"/>
    <col collapsed="false" customWidth="true" hidden="false" outlineLevel="0" max="5" min="5" style="1" width="20.57"/>
    <col collapsed="false" customWidth="true" hidden="false" outlineLevel="0" max="6" min="6" style="1" width="18.57"/>
    <col collapsed="false" customWidth="true" hidden="false" outlineLevel="0" max="7" min="7" style="1" width="19.43"/>
    <col collapsed="false" customWidth="true" hidden="false" outlineLevel="0" max="8" min="8" style="1" width="13.43"/>
    <col collapsed="false" customWidth="false" hidden="false" outlineLevel="0" max="16384" min="9" style="1" width="9.14"/>
  </cols>
  <sheetData>
    <row r="1" customFormat="false" ht="18" hidden="false" customHeight="true" outlineLevel="0" collapsed="false">
      <c r="A1" s="3" t="s">
        <v>486</v>
      </c>
      <c r="B1" s="4"/>
      <c r="C1" s="4"/>
      <c r="D1" s="4"/>
      <c r="E1" s="4"/>
      <c r="F1" s="4"/>
      <c r="G1" s="4"/>
      <c r="H1" s="4"/>
    </row>
    <row r="2" customFormat="false" ht="15" hidden="false" customHeight="true" outlineLevel="0" collapsed="false">
      <c r="A2" s="5" t="s">
        <v>487</v>
      </c>
      <c r="B2" s="6"/>
      <c r="C2" s="6"/>
      <c r="D2" s="6"/>
      <c r="E2" s="6"/>
      <c r="F2" s="7"/>
      <c r="G2" s="6"/>
      <c r="H2" s="6"/>
      <c r="I2" s="8"/>
    </row>
    <row r="3" customFormat="false" ht="15" hidden="false" customHeight="true" outlineLevel="0" collapsed="false">
      <c r="A3" s="5" t="s">
        <v>488</v>
      </c>
      <c r="B3" s="6"/>
      <c r="C3" s="6"/>
      <c r="D3" s="6"/>
      <c r="E3" s="9"/>
      <c r="F3" s="9"/>
      <c r="G3" s="6"/>
      <c r="H3" s="6"/>
      <c r="N3" s="10"/>
    </row>
    <row r="4" customFormat="false" ht="14.25" hidden="false" customHeight="false" outlineLevel="0" collapsed="false">
      <c r="A4" s="11"/>
    </row>
    <row r="5" s="14" customFormat="true" ht="14.25" hidden="false" customHeight="false" outlineLevel="0" collapsed="false">
      <c r="A5" s="12" t="s">
        <v>489</v>
      </c>
      <c r="B5" s="12" t="s">
        <v>490</v>
      </c>
      <c r="C5" s="12" t="s">
        <v>491</v>
      </c>
      <c r="D5" s="12" t="s">
        <v>492</v>
      </c>
      <c r="E5" s="12" t="s">
        <v>493</v>
      </c>
      <c r="F5" s="12" t="s">
        <v>494</v>
      </c>
      <c r="G5" s="13" t="n">
        <v>45016</v>
      </c>
    </row>
    <row r="6" customFormat="false" ht="14.25" hidden="false" customHeight="false" outlineLevel="0" collapsed="false">
      <c r="A6" s="15" t="n">
        <v>211</v>
      </c>
      <c r="B6" s="15" t="s">
        <v>31</v>
      </c>
      <c r="C6" s="15" t="s">
        <v>28</v>
      </c>
      <c r="D6" s="15"/>
      <c r="E6" s="15"/>
      <c r="F6" s="16" t="n">
        <v>51.61</v>
      </c>
      <c r="G6" s="16" t="n">
        <v>-61.62</v>
      </c>
    </row>
    <row r="7" customFormat="false" ht="14.25" hidden="false" customHeight="false" outlineLevel="0" collapsed="false">
      <c r="A7" s="15" t="n">
        <v>214</v>
      </c>
      <c r="B7" s="17" t="s">
        <v>36</v>
      </c>
      <c r="C7" s="17" t="s">
        <v>19</v>
      </c>
      <c r="D7" s="17"/>
      <c r="E7" s="17"/>
      <c r="F7" s="18" t="n">
        <v>87459.57</v>
      </c>
      <c r="G7" s="18" t="n">
        <v>-87479.24</v>
      </c>
    </row>
    <row r="8" customFormat="false" ht="14.25" hidden="false" customHeight="false" outlineLevel="0" collapsed="false">
      <c r="A8" s="17" t="n">
        <v>215</v>
      </c>
      <c r="B8" s="17" t="s">
        <v>37</v>
      </c>
      <c r="C8" s="17" t="s">
        <v>28</v>
      </c>
      <c r="D8" s="17"/>
      <c r="E8" s="17"/>
      <c r="F8" s="18" t="n">
        <v>500</v>
      </c>
      <c r="G8" s="18" t="n">
        <v>-1500</v>
      </c>
    </row>
    <row r="9" customFormat="false" ht="14.25" hidden="false" customHeight="false" outlineLevel="0" collapsed="false">
      <c r="A9" s="17" t="n">
        <v>300</v>
      </c>
      <c r="B9" s="17" t="s">
        <v>47</v>
      </c>
      <c r="C9" s="17" t="s">
        <v>48</v>
      </c>
      <c r="D9" s="17"/>
      <c r="E9" s="18" t="n">
        <v>100158.5</v>
      </c>
      <c r="F9" s="17"/>
      <c r="G9" s="18" t="n">
        <v>100158.5</v>
      </c>
    </row>
    <row r="10" customFormat="false" ht="14.25" hidden="false" customHeight="false" outlineLevel="0" collapsed="false">
      <c r="A10" s="17" t="n">
        <v>340</v>
      </c>
      <c r="B10" s="17" t="s">
        <v>56</v>
      </c>
      <c r="C10" s="17" t="s">
        <v>48</v>
      </c>
      <c r="D10" s="17"/>
      <c r="E10" s="17"/>
      <c r="F10" s="18" t="n">
        <v>100158.5</v>
      </c>
      <c r="G10" s="18" t="n">
        <v>-100158.5</v>
      </c>
    </row>
    <row r="11" customFormat="false" ht="14.25" hidden="false" customHeight="false" outlineLevel="0" collapsed="false">
      <c r="A11" s="17" t="n">
        <v>403</v>
      </c>
      <c r="B11" s="17" t="s">
        <v>66</v>
      </c>
      <c r="C11" s="17" t="s">
        <v>64</v>
      </c>
      <c r="D11" s="17"/>
      <c r="E11" s="18" t="n">
        <v>6579</v>
      </c>
      <c r="F11" s="17"/>
      <c r="G11" s="18" t="n">
        <v>855</v>
      </c>
    </row>
    <row r="12" customFormat="false" ht="14.25" hidden="false" customHeight="false" outlineLevel="0" collapsed="false">
      <c r="A12" s="17" t="n">
        <v>412</v>
      </c>
      <c r="B12" s="17" t="s">
        <v>71</v>
      </c>
      <c r="C12" s="17" t="s">
        <v>64</v>
      </c>
      <c r="D12" s="17"/>
      <c r="E12" s="18" t="n">
        <v>36</v>
      </c>
      <c r="F12" s="17"/>
      <c r="G12" s="18" t="n">
        <v>76</v>
      </c>
    </row>
    <row r="13" customFormat="false" ht="14.25" hidden="false" customHeight="false" outlineLevel="0" collapsed="false">
      <c r="A13" s="17" t="n">
        <v>416</v>
      </c>
      <c r="B13" s="17" t="s">
        <v>74</v>
      </c>
      <c r="C13" s="17" t="s">
        <v>64</v>
      </c>
      <c r="D13" s="17"/>
      <c r="E13" s="18" t="n">
        <v>0</v>
      </c>
      <c r="F13" s="17"/>
      <c r="G13" s="18" t="n">
        <v>3588.89</v>
      </c>
    </row>
    <row r="14" customFormat="false" ht="14.25" hidden="false" customHeight="false" outlineLevel="0" collapsed="false">
      <c r="A14" s="17" t="n">
        <v>420</v>
      </c>
      <c r="B14" s="17" t="s">
        <v>76</v>
      </c>
      <c r="C14" s="17" t="s">
        <v>64</v>
      </c>
      <c r="D14" s="17"/>
      <c r="E14" s="18" t="n">
        <v>694.2</v>
      </c>
      <c r="F14" s="17"/>
      <c r="G14" s="18" t="n">
        <v>374.35</v>
      </c>
    </row>
    <row r="15" customFormat="false" ht="14.25" hidden="false" customHeight="false" outlineLevel="0" collapsed="false">
      <c r="A15" s="17" t="n">
        <v>425</v>
      </c>
      <c r="B15" s="17" t="s">
        <v>80</v>
      </c>
      <c r="C15" s="17" t="s">
        <v>64</v>
      </c>
      <c r="D15" s="17"/>
      <c r="E15" s="18" t="n">
        <v>4650.26</v>
      </c>
      <c r="F15" s="17"/>
      <c r="G15" s="18" t="n">
        <v>5094.06</v>
      </c>
    </row>
    <row r="16" customFormat="false" ht="14.25" hidden="false" customHeight="false" outlineLevel="0" collapsed="false">
      <c r="A16" s="17" t="n">
        <v>441</v>
      </c>
      <c r="B16" s="17" t="s">
        <v>94</v>
      </c>
      <c r="C16" s="17" t="s">
        <v>64</v>
      </c>
      <c r="D16" s="17"/>
      <c r="E16" s="18" t="n">
        <v>0</v>
      </c>
      <c r="F16" s="17"/>
      <c r="G16" s="18" t="n">
        <v>45</v>
      </c>
    </row>
    <row r="17" customFormat="false" ht="14.25" hidden="false" customHeight="false" outlineLevel="0" collapsed="false">
      <c r="A17" s="17" t="n">
        <v>445</v>
      </c>
      <c r="B17" s="17" t="s">
        <v>97</v>
      </c>
      <c r="C17" s="17" t="s">
        <v>64</v>
      </c>
      <c r="D17" s="17"/>
      <c r="E17" s="18" t="n">
        <v>12689.56</v>
      </c>
      <c r="F17" s="17"/>
      <c r="G17" s="18" t="n">
        <v>10468.88</v>
      </c>
    </row>
    <row r="18" customFormat="false" ht="14.25" hidden="false" customHeight="false" outlineLevel="0" collapsed="false">
      <c r="A18" s="17" t="n">
        <v>448</v>
      </c>
      <c r="B18" s="17" t="s">
        <v>100</v>
      </c>
      <c r="C18" s="17" t="s">
        <v>64</v>
      </c>
      <c r="D18" s="17"/>
      <c r="E18" s="18" t="n">
        <v>10355.69</v>
      </c>
      <c r="F18" s="17"/>
      <c r="G18" s="18" t="n">
        <v>6188.56</v>
      </c>
    </row>
    <row r="19" customFormat="false" ht="14.25" hidden="false" customHeight="false" outlineLevel="0" collapsed="false">
      <c r="A19" s="17" t="n">
        <v>451</v>
      </c>
      <c r="B19" s="17" t="s">
        <v>103</v>
      </c>
      <c r="C19" s="17" t="s">
        <v>104</v>
      </c>
      <c r="D19" s="17"/>
      <c r="E19" s="17"/>
      <c r="F19" s="18" t="n">
        <v>2483.9</v>
      </c>
      <c r="G19" s="18" t="n">
        <v>-706.15</v>
      </c>
    </row>
    <row r="20" customFormat="false" ht="14.25" hidden="false" customHeight="false" outlineLevel="0" collapsed="false">
      <c r="A20" s="17" t="n">
        <v>452</v>
      </c>
      <c r="B20" s="17" t="s">
        <v>106</v>
      </c>
      <c r="C20" s="17" t="s">
        <v>64</v>
      </c>
      <c r="D20" s="17"/>
      <c r="E20" s="18" t="n">
        <v>100</v>
      </c>
      <c r="F20" s="17"/>
      <c r="G20" s="18" t="n">
        <v>50</v>
      </c>
    </row>
    <row r="21" customFormat="false" ht="14.25" hidden="false" customHeight="false" outlineLevel="0" collapsed="false">
      <c r="A21" s="17" t="n">
        <v>458</v>
      </c>
      <c r="B21" s="17" t="s">
        <v>114</v>
      </c>
      <c r="C21" s="17" t="s">
        <v>64</v>
      </c>
      <c r="D21" s="17"/>
      <c r="E21" s="18" t="n">
        <v>173.53</v>
      </c>
      <c r="F21" s="17"/>
      <c r="G21" s="18" t="n">
        <v>0</v>
      </c>
    </row>
    <row r="22" customFormat="false" ht="14.25" hidden="false" customHeight="false" outlineLevel="0" collapsed="false">
      <c r="A22" s="17" t="n">
        <v>461</v>
      </c>
      <c r="B22" s="17" t="s">
        <v>116</v>
      </c>
      <c r="C22" s="17" t="s">
        <v>64</v>
      </c>
      <c r="D22" s="17"/>
      <c r="E22" s="18" t="n">
        <v>6307.59</v>
      </c>
      <c r="F22" s="17"/>
      <c r="G22" s="18" t="n">
        <v>6962.92</v>
      </c>
    </row>
    <row r="23" customFormat="false" ht="14.25" hidden="false" customHeight="false" outlineLevel="0" collapsed="false">
      <c r="A23" s="17" t="n">
        <v>466</v>
      </c>
      <c r="B23" s="17" t="s">
        <v>118</v>
      </c>
      <c r="C23" s="17" t="s">
        <v>64</v>
      </c>
      <c r="D23" s="17"/>
      <c r="E23" s="18" t="n">
        <v>2483.9</v>
      </c>
      <c r="F23" s="17"/>
      <c r="G23" s="18" t="n">
        <v>706.15</v>
      </c>
    </row>
    <row r="24" customFormat="false" ht="14.25" hidden="false" customHeight="false" outlineLevel="0" collapsed="false">
      <c r="A24" s="17" t="n">
        <v>469</v>
      </c>
      <c r="B24" s="17" t="s">
        <v>119</v>
      </c>
      <c r="C24" s="17" t="s">
        <v>64</v>
      </c>
      <c r="D24" s="17"/>
      <c r="E24" s="18" t="n">
        <v>0</v>
      </c>
      <c r="F24" s="17"/>
      <c r="G24" s="18" t="n">
        <v>0.56</v>
      </c>
    </row>
    <row r="25" customFormat="false" ht="14.25" hidden="false" customHeight="false" outlineLevel="0" collapsed="false">
      <c r="A25" s="17" t="n">
        <v>470</v>
      </c>
      <c r="B25" s="17" t="s">
        <v>120</v>
      </c>
      <c r="C25" s="17" t="s">
        <v>64</v>
      </c>
      <c r="D25" s="17"/>
      <c r="E25" s="18" t="n">
        <v>4004.53</v>
      </c>
      <c r="F25" s="17"/>
      <c r="G25" s="18" t="n">
        <v>3367.37</v>
      </c>
    </row>
    <row r="26" customFormat="false" ht="14.25" hidden="false" customHeight="false" outlineLevel="0" collapsed="false">
      <c r="A26" s="17" t="n">
        <v>473</v>
      </c>
      <c r="B26" s="17" t="s">
        <v>122</v>
      </c>
      <c r="C26" s="17" t="s">
        <v>64</v>
      </c>
      <c r="D26" s="17"/>
      <c r="E26" s="18" t="n">
        <v>13508.06</v>
      </c>
      <c r="F26" s="17"/>
      <c r="G26" s="18" t="n">
        <v>13639.35</v>
      </c>
    </row>
    <row r="27" customFormat="false" ht="14.25" hidden="false" customHeight="false" outlineLevel="0" collapsed="false">
      <c r="A27" s="17" t="n">
        <v>478</v>
      </c>
      <c r="B27" s="17" t="s">
        <v>126</v>
      </c>
      <c r="C27" s="17" t="s">
        <v>64</v>
      </c>
      <c r="D27" s="17"/>
      <c r="E27" s="18" t="n">
        <v>8172.61</v>
      </c>
      <c r="F27" s="17"/>
      <c r="G27" s="18" t="n">
        <v>12512.13</v>
      </c>
    </row>
    <row r="28" customFormat="false" ht="14.25" hidden="false" customHeight="false" outlineLevel="0" collapsed="false">
      <c r="A28" s="17" t="n">
        <v>600</v>
      </c>
      <c r="B28" s="17" t="s">
        <v>277</v>
      </c>
      <c r="C28" s="17" t="s">
        <v>278</v>
      </c>
      <c r="D28" s="17"/>
      <c r="E28" s="18" t="n">
        <v>19863.93</v>
      </c>
      <c r="F28" s="17"/>
      <c r="G28" s="18" t="n">
        <v>6501.35</v>
      </c>
    </row>
    <row r="29" customFormat="false" ht="14.25" hidden="false" customHeight="false" outlineLevel="0" collapsed="false">
      <c r="A29" s="17" t="n">
        <v>601</v>
      </c>
      <c r="B29" s="17" t="s">
        <v>279</v>
      </c>
      <c r="C29" s="17" t="s">
        <v>278</v>
      </c>
      <c r="D29" s="17"/>
      <c r="E29" s="18" t="n">
        <v>1299</v>
      </c>
      <c r="F29" s="17"/>
      <c r="G29" s="18" t="n">
        <v>3942.06</v>
      </c>
    </row>
    <row r="30" customFormat="false" ht="14.25" hidden="false" customHeight="false" outlineLevel="0" collapsed="false">
      <c r="A30" s="17" t="n">
        <v>626</v>
      </c>
      <c r="B30" s="17" t="s">
        <v>300</v>
      </c>
      <c r="C30" s="17" t="s">
        <v>278</v>
      </c>
      <c r="D30" s="17"/>
      <c r="E30" s="18" t="n">
        <v>5932.16</v>
      </c>
      <c r="F30" s="17"/>
      <c r="G30" s="18" t="n">
        <v>5319.8</v>
      </c>
    </row>
    <row r="31" customFormat="false" ht="14.25" hidden="false" customHeight="false" outlineLevel="0" collapsed="false">
      <c r="A31" s="17" t="n">
        <v>650</v>
      </c>
      <c r="B31" s="17" t="s">
        <v>313</v>
      </c>
      <c r="C31" s="17" t="s">
        <v>278</v>
      </c>
      <c r="D31" s="17"/>
      <c r="E31" s="18" t="n">
        <v>3000</v>
      </c>
      <c r="F31" s="17"/>
      <c r="G31" s="18" t="n">
        <v>3000</v>
      </c>
    </row>
    <row r="32" customFormat="false" ht="14.25" hidden="false" customHeight="false" outlineLevel="0" collapsed="false">
      <c r="A32" s="17" t="s">
        <v>315</v>
      </c>
      <c r="B32" s="17" t="s">
        <v>317</v>
      </c>
      <c r="C32" s="17" t="s">
        <v>318</v>
      </c>
      <c r="D32" s="17"/>
      <c r="E32" s="18" t="n">
        <v>364348.11</v>
      </c>
      <c r="F32" s="17"/>
      <c r="G32" s="18" t="n">
        <v>363043.11</v>
      </c>
    </row>
    <row r="33" customFormat="false" ht="14.25" hidden="false" customHeight="false" outlineLevel="0" collapsed="false">
      <c r="A33" s="17" t="s">
        <v>323</v>
      </c>
      <c r="B33" s="17" t="s">
        <v>324</v>
      </c>
      <c r="C33" s="17" t="s">
        <v>318</v>
      </c>
      <c r="D33" s="17"/>
      <c r="E33" s="18" t="n">
        <v>10501.69</v>
      </c>
      <c r="F33" s="17"/>
      <c r="G33" s="18" t="n">
        <v>8778.06</v>
      </c>
    </row>
    <row r="34" customFormat="false" ht="14.25" hidden="false" customHeight="false" outlineLevel="0" collapsed="false">
      <c r="A34" s="17" t="s">
        <v>327</v>
      </c>
      <c r="B34" s="17" t="s">
        <v>328</v>
      </c>
      <c r="C34" s="17" t="s">
        <v>318</v>
      </c>
      <c r="D34" s="17"/>
      <c r="E34" s="18" t="n">
        <v>611249.14</v>
      </c>
      <c r="F34" s="17"/>
      <c r="G34" s="18" t="n">
        <v>611249.14</v>
      </c>
    </row>
    <row r="35" customFormat="false" ht="14.25" hidden="false" customHeight="false" outlineLevel="0" collapsed="false">
      <c r="A35" s="17" t="s">
        <v>329</v>
      </c>
      <c r="B35" s="17" t="s">
        <v>330</v>
      </c>
      <c r="C35" s="17" t="s">
        <v>318</v>
      </c>
      <c r="D35" s="17"/>
      <c r="E35" s="18" t="n">
        <v>258629.72</v>
      </c>
      <c r="F35" s="17"/>
      <c r="G35" s="18" t="n">
        <v>258629.72</v>
      </c>
    </row>
    <row r="36" customFormat="false" ht="14.25" hidden="false" customHeight="false" outlineLevel="0" collapsed="false">
      <c r="A36" s="17" t="s">
        <v>331</v>
      </c>
      <c r="B36" s="17" t="s">
        <v>332</v>
      </c>
      <c r="C36" s="17" t="s">
        <v>318</v>
      </c>
      <c r="D36" s="17"/>
      <c r="E36" s="18" t="n">
        <v>339773.84</v>
      </c>
      <c r="F36" s="17"/>
      <c r="G36" s="18" t="n">
        <v>339773.84</v>
      </c>
    </row>
    <row r="37" customFormat="false" ht="14.25" hidden="false" customHeight="false" outlineLevel="0" collapsed="false">
      <c r="A37" s="17" t="s">
        <v>333</v>
      </c>
      <c r="B37" s="17" t="s">
        <v>334</v>
      </c>
      <c r="C37" s="17" t="s">
        <v>318</v>
      </c>
      <c r="D37" s="17"/>
      <c r="E37" s="18" t="n">
        <v>355221.77</v>
      </c>
      <c r="F37" s="17"/>
      <c r="G37" s="18" t="n">
        <v>355221.77</v>
      </c>
    </row>
    <row r="38" customFormat="false" ht="14.25" hidden="false" customHeight="false" outlineLevel="0" collapsed="false">
      <c r="A38" s="17" t="s">
        <v>335</v>
      </c>
      <c r="B38" s="17" t="s">
        <v>336</v>
      </c>
      <c r="C38" s="17" t="s">
        <v>318</v>
      </c>
      <c r="D38" s="17"/>
      <c r="E38" s="18" t="n">
        <v>405709.33</v>
      </c>
      <c r="F38" s="17"/>
      <c r="G38" s="18" t="n">
        <v>405709.33</v>
      </c>
    </row>
    <row r="39" customFormat="false" ht="14.25" hidden="false" customHeight="false" outlineLevel="0" collapsed="false">
      <c r="A39" s="17" t="s">
        <v>341</v>
      </c>
      <c r="B39" s="17" t="s">
        <v>342</v>
      </c>
      <c r="C39" s="17" t="s">
        <v>318</v>
      </c>
      <c r="D39" s="17"/>
      <c r="E39" s="17"/>
      <c r="F39" s="18" t="n">
        <v>88567.24</v>
      </c>
      <c r="G39" s="18" t="n">
        <v>-87879.08</v>
      </c>
    </row>
    <row r="40" customFormat="false" ht="14.25" hidden="false" customHeight="false" outlineLevel="0" collapsed="false">
      <c r="A40" s="17" t="s">
        <v>351</v>
      </c>
      <c r="B40" s="17" t="s">
        <v>352</v>
      </c>
      <c r="C40" s="17" t="s">
        <v>318</v>
      </c>
      <c r="D40" s="17"/>
      <c r="E40" s="17"/>
      <c r="F40" s="18" t="n">
        <v>61835.17</v>
      </c>
      <c r="G40" s="18" t="n">
        <v>-59089.54</v>
      </c>
    </row>
    <row r="41" customFormat="false" ht="14.25" hidden="false" customHeight="false" outlineLevel="0" collapsed="false">
      <c r="A41" s="17" t="n">
        <v>704</v>
      </c>
      <c r="B41" s="17" t="s">
        <v>369</v>
      </c>
      <c r="C41" s="17" t="s">
        <v>318</v>
      </c>
      <c r="D41" s="17"/>
      <c r="E41" s="18" t="n">
        <v>46822.77</v>
      </c>
      <c r="F41" s="17"/>
      <c r="G41" s="18" t="n">
        <v>46822.77</v>
      </c>
    </row>
    <row r="42" customFormat="false" ht="14.25" hidden="false" customHeight="false" outlineLevel="0" collapsed="false">
      <c r="A42" s="17" t="n">
        <v>705</v>
      </c>
      <c r="B42" s="17" t="s">
        <v>370</v>
      </c>
      <c r="C42" s="17" t="s">
        <v>318</v>
      </c>
      <c r="D42" s="17"/>
      <c r="E42" s="17"/>
      <c r="F42" s="18" t="n">
        <v>40736.78</v>
      </c>
      <c r="G42" s="18" t="n">
        <v>-40321.51</v>
      </c>
    </row>
    <row r="43" customFormat="false" ht="14.25" hidden="false" customHeight="false" outlineLevel="0" collapsed="false">
      <c r="A43" s="17" t="n">
        <v>706</v>
      </c>
      <c r="B43" s="17" t="s">
        <v>372</v>
      </c>
      <c r="C43" s="17" t="s">
        <v>318</v>
      </c>
      <c r="D43" s="17"/>
      <c r="E43" s="18" t="n">
        <v>40189.89</v>
      </c>
      <c r="F43" s="17"/>
      <c r="G43" s="18" t="n">
        <v>40189.89</v>
      </c>
    </row>
    <row r="44" customFormat="false" ht="14.25" hidden="false" customHeight="false" outlineLevel="0" collapsed="false">
      <c r="A44" s="17" t="n">
        <v>707</v>
      </c>
      <c r="B44" s="17" t="s">
        <v>373</v>
      </c>
      <c r="C44" s="17" t="s">
        <v>318</v>
      </c>
      <c r="D44" s="17"/>
      <c r="E44" s="17"/>
      <c r="F44" s="18" t="n">
        <v>38052.04</v>
      </c>
      <c r="G44" s="18" t="n">
        <v>-37754.81</v>
      </c>
    </row>
    <row r="45" customFormat="false" ht="14.25" hidden="false" customHeight="false" outlineLevel="0" collapsed="false">
      <c r="A45" s="17" t="n">
        <v>708</v>
      </c>
      <c r="B45" s="17" t="s">
        <v>375</v>
      </c>
      <c r="C45" s="17" t="s">
        <v>318</v>
      </c>
      <c r="D45" s="17"/>
      <c r="E45" s="18" t="n">
        <v>2220</v>
      </c>
      <c r="F45" s="17"/>
      <c r="G45" s="18" t="n">
        <v>2220</v>
      </c>
    </row>
    <row r="46" customFormat="false" ht="14.25" hidden="false" customHeight="false" outlineLevel="0" collapsed="false">
      <c r="A46" s="17" t="n">
        <v>709</v>
      </c>
      <c r="B46" s="17" t="s">
        <v>376</v>
      </c>
      <c r="C46" s="17" t="s">
        <v>318</v>
      </c>
      <c r="D46" s="17"/>
      <c r="E46" s="17"/>
      <c r="F46" s="18" t="n">
        <v>2127.5</v>
      </c>
      <c r="G46" s="18" t="n">
        <v>-2035</v>
      </c>
    </row>
    <row r="47" customFormat="false" ht="14.25" hidden="false" customHeight="false" outlineLevel="0" collapsed="false">
      <c r="A47" s="17" t="n">
        <v>780</v>
      </c>
      <c r="B47" s="17" t="s">
        <v>389</v>
      </c>
      <c r="C47" s="17" t="s">
        <v>495</v>
      </c>
      <c r="D47" s="17"/>
      <c r="E47" s="18" t="n">
        <v>371.25</v>
      </c>
      <c r="F47" s="17"/>
      <c r="G47" s="18" t="n">
        <v>371.25</v>
      </c>
    </row>
    <row r="48" customFormat="false" ht="14.25" hidden="false" customHeight="false" outlineLevel="0" collapsed="false">
      <c r="A48" s="17" t="n">
        <v>510</v>
      </c>
      <c r="B48" s="17" t="s">
        <v>161</v>
      </c>
      <c r="C48" s="17" t="s">
        <v>162</v>
      </c>
      <c r="D48" s="17"/>
      <c r="E48" s="17"/>
      <c r="F48" s="18" t="n">
        <v>148269.54</v>
      </c>
      <c r="G48" s="18" t="n">
        <v>-148269.54</v>
      </c>
      <c r="H48" s="19"/>
    </row>
    <row r="49" customFormat="false" ht="14.25" hidden="false" customHeight="false" outlineLevel="0" collapsed="false">
      <c r="A49" s="17" t="s">
        <v>166</v>
      </c>
      <c r="B49" s="17" t="s">
        <v>165</v>
      </c>
      <c r="C49" s="17" t="s">
        <v>162</v>
      </c>
      <c r="D49" s="17"/>
      <c r="E49" s="17"/>
      <c r="F49" s="18" t="n">
        <v>373854.43</v>
      </c>
      <c r="G49" s="18" t="n">
        <v>-373854.43</v>
      </c>
    </row>
    <row r="50" customFormat="false" ht="14.25" hidden="false" customHeight="false" outlineLevel="0" collapsed="false">
      <c r="A50" s="17" t="n">
        <v>511</v>
      </c>
      <c r="B50" s="17" t="s">
        <v>175</v>
      </c>
      <c r="C50" s="17" t="s">
        <v>162</v>
      </c>
      <c r="D50" s="17"/>
      <c r="E50" s="17"/>
      <c r="F50" s="18" t="n">
        <v>795628.15</v>
      </c>
      <c r="G50" s="18" t="n">
        <v>-695310.38</v>
      </c>
    </row>
    <row r="51" customFormat="false" ht="14.25" hidden="false" customHeight="false" outlineLevel="0" collapsed="false">
      <c r="A51" s="17" t="n">
        <v>512</v>
      </c>
      <c r="B51" s="17" t="s">
        <v>185</v>
      </c>
      <c r="C51" s="17" t="s">
        <v>162</v>
      </c>
      <c r="D51" s="17"/>
      <c r="E51" s="17"/>
      <c r="F51" s="18" t="n">
        <v>276209</v>
      </c>
      <c r="G51" s="18" t="n">
        <v>-276209</v>
      </c>
    </row>
    <row r="52" customFormat="false" ht="14.25" hidden="false" customHeight="false" outlineLevel="0" collapsed="false">
      <c r="A52" s="17" t="s">
        <v>179</v>
      </c>
      <c r="B52" s="17" t="s">
        <v>177</v>
      </c>
      <c r="C52" s="17" t="s">
        <v>162</v>
      </c>
      <c r="D52" s="17"/>
      <c r="E52" s="17"/>
      <c r="F52" s="18" t="n">
        <v>24075</v>
      </c>
      <c r="G52" s="18" t="n">
        <v>0</v>
      </c>
    </row>
    <row r="53" customFormat="false" ht="14.25" hidden="false" customHeight="false" outlineLevel="0" collapsed="false">
      <c r="A53" s="17" t="n">
        <v>514</v>
      </c>
      <c r="B53" s="17" t="s">
        <v>195</v>
      </c>
      <c r="C53" s="17" t="s">
        <v>162</v>
      </c>
      <c r="D53" s="17"/>
      <c r="E53" s="18" t="n">
        <v>1425524.55</v>
      </c>
      <c r="F53" s="17"/>
      <c r="G53" s="18" t="n">
        <v>577918.8</v>
      </c>
      <c r="H53" s="19"/>
    </row>
    <row r="54" customFormat="false" ht="14.25" hidden="false" customHeight="false" outlineLevel="0" collapsed="false">
      <c r="A54" s="17" t="s">
        <v>219</v>
      </c>
      <c r="B54" s="17" t="s">
        <v>217</v>
      </c>
      <c r="C54" s="17" t="s">
        <v>162</v>
      </c>
      <c r="D54" s="17"/>
      <c r="E54" s="18" t="n">
        <v>213298.39</v>
      </c>
      <c r="F54" s="17"/>
      <c r="G54" s="18" t="n">
        <v>213298.39</v>
      </c>
    </row>
    <row r="55" customFormat="false" ht="14.25" hidden="false" customHeight="false" outlineLevel="0" collapsed="false">
      <c r="A55" s="17" t="n">
        <v>518</v>
      </c>
      <c r="B55" s="17" t="s">
        <v>204</v>
      </c>
      <c r="C55" s="17" t="s">
        <v>162</v>
      </c>
      <c r="D55" s="17"/>
      <c r="E55" s="18" t="n">
        <v>45884.15</v>
      </c>
      <c r="F55" s="17"/>
      <c r="G55" s="18" t="n">
        <v>30884.15</v>
      </c>
      <c r="H55" s="19"/>
    </row>
    <row r="56" customFormat="false" ht="14.25" hidden="false" customHeight="false" outlineLevel="0" collapsed="false">
      <c r="A56" s="17" t="s">
        <v>241</v>
      </c>
      <c r="B56" s="17" t="s">
        <v>240</v>
      </c>
      <c r="C56" s="17" t="s">
        <v>162</v>
      </c>
      <c r="D56" s="17"/>
      <c r="E56" s="18" t="n">
        <v>266.29</v>
      </c>
      <c r="F56" s="17"/>
      <c r="G56" s="18" t="n">
        <v>260.08</v>
      </c>
    </row>
    <row r="57" customFormat="false" ht="14.25" hidden="false" customHeight="false" outlineLevel="0" collapsed="false">
      <c r="A57" s="17" t="n">
        <v>625</v>
      </c>
      <c r="B57" s="17" t="s">
        <v>299</v>
      </c>
      <c r="C57" s="17" t="s">
        <v>162</v>
      </c>
      <c r="D57" s="17"/>
      <c r="E57" s="18" t="n">
        <v>100158.5</v>
      </c>
      <c r="F57" s="17"/>
      <c r="G57" s="18" t="n">
        <v>100158.5</v>
      </c>
    </row>
    <row r="58" customFormat="false" ht="14.25" hidden="false" customHeight="false" outlineLevel="0" collapsed="false">
      <c r="A58" s="17" t="n">
        <v>785</v>
      </c>
      <c r="B58" s="17" t="s">
        <v>391</v>
      </c>
      <c r="C58" s="17" t="s">
        <v>278</v>
      </c>
      <c r="D58" s="17"/>
      <c r="E58" s="18" t="n">
        <v>1352104.44</v>
      </c>
      <c r="F58" s="17"/>
      <c r="G58" s="18" t="n">
        <v>815235.67</v>
      </c>
    </row>
    <row r="59" customFormat="false" ht="14.25" hidden="false" customHeight="false" outlineLevel="0" collapsed="false">
      <c r="A59" s="17" t="n">
        <v>800</v>
      </c>
      <c r="B59" s="17" t="s">
        <v>394</v>
      </c>
      <c r="C59" s="17" t="s">
        <v>162</v>
      </c>
      <c r="D59" s="17"/>
      <c r="E59" s="17"/>
      <c r="F59" s="18" t="n">
        <v>3191.25</v>
      </c>
      <c r="G59" s="18" t="n">
        <v>-1717.93</v>
      </c>
    </row>
    <row r="60" customFormat="false" ht="14.25" hidden="false" customHeight="false" outlineLevel="0" collapsed="false">
      <c r="A60" s="17" t="n">
        <v>812</v>
      </c>
      <c r="B60" s="17" t="s">
        <v>411</v>
      </c>
      <c r="C60" s="17" t="s">
        <v>162</v>
      </c>
      <c r="D60" s="17"/>
      <c r="E60" s="17"/>
      <c r="F60" s="18" t="n">
        <v>28542.58</v>
      </c>
      <c r="G60" s="18" t="n">
        <v>-30508.02</v>
      </c>
    </row>
    <row r="61" customFormat="false" ht="14.25" hidden="false" customHeight="false" outlineLevel="0" collapsed="false">
      <c r="A61" s="17" t="n">
        <v>820</v>
      </c>
      <c r="B61" s="17" t="s">
        <v>2</v>
      </c>
      <c r="C61" s="17" t="s">
        <v>162</v>
      </c>
      <c r="D61" s="17"/>
      <c r="E61" s="18" t="n">
        <v>3470.48</v>
      </c>
      <c r="F61" s="17"/>
      <c r="G61" s="18" t="n">
        <v>5221.62</v>
      </c>
    </row>
    <row r="62" customFormat="false" ht="14.25" hidden="false" customHeight="false" outlineLevel="0" collapsed="false">
      <c r="A62" s="17" t="s">
        <v>418</v>
      </c>
      <c r="B62" s="17" t="s">
        <v>420</v>
      </c>
      <c r="C62" s="17" t="s">
        <v>162</v>
      </c>
      <c r="D62" s="17"/>
      <c r="E62" s="17"/>
      <c r="F62" s="18" t="n">
        <v>1131.1</v>
      </c>
      <c r="G62" s="18" t="n">
        <v>-1131.1</v>
      </c>
    </row>
    <row r="63" customFormat="false" ht="14.25" hidden="false" customHeight="false" outlineLevel="0" collapsed="false">
      <c r="A63" s="17" t="s">
        <v>426</v>
      </c>
      <c r="B63" s="17" t="s">
        <v>428</v>
      </c>
      <c r="C63" s="17" t="s">
        <v>162</v>
      </c>
      <c r="D63" s="17"/>
      <c r="E63" s="18" t="n">
        <v>1131.1</v>
      </c>
      <c r="F63" s="17"/>
      <c r="G63" s="18" t="n">
        <v>1131.1</v>
      </c>
    </row>
    <row r="64" customFormat="false" ht="14.25" hidden="false" customHeight="false" outlineLevel="0" collapsed="false">
      <c r="A64" s="17" t="n">
        <v>902</v>
      </c>
      <c r="B64" s="17" t="s">
        <v>454</v>
      </c>
      <c r="C64" s="17" t="s">
        <v>452</v>
      </c>
      <c r="D64" s="17"/>
      <c r="E64" s="17"/>
      <c r="F64" s="18" t="n">
        <v>75818.98</v>
      </c>
      <c r="G64" s="18" t="n">
        <v>-87351.51</v>
      </c>
    </row>
    <row r="65" customFormat="false" ht="14.25" hidden="false" customHeight="false" outlineLevel="0" collapsed="false">
      <c r="A65" s="17" t="n">
        <v>903</v>
      </c>
      <c r="B65" s="17" t="s">
        <v>455</v>
      </c>
      <c r="C65" s="17" t="s">
        <v>452</v>
      </c>
      <c r="D65" s="17"/>
      <c r="E65" s="17"/>
      <c r="F65" s="18" t="n">
        <v>81892.53</v>
      </c>
      <c r="G65" s="18" t="n">
        <v>-97924.73</v>
      </c>
    </row>
    <row r="66" customFormat="false" ht="14.25" hidden="false" customHeight="false" outlineLevel="0" collapsed="false">
      <c r="A66" s="17" t="n">
        <v>986</v>
      </c>
      <c r="B66" s="17" t="s">
        <v>471</v>
      </c>
      <c r="C66" s="17" t="s">
        <v>452</v>
      </c>
      <c r="D66" s="17"/>
      <c r="E66" s="18" t="n">
        <v>28542.58</v>
      </c>
      <c r="F66" s="17"/>
      <c r="G66" s="18" t="n">
        <v>30508.02</v>
      </c>
    </row>
    <row r="67" customFormat="false" ht="14.25" hidden="false" customHeight="false" outlineLevel="0" collapsed="false">
      <c r="A67" s="17" t="n">
        <v>500</v>
      </c>
      <c r="B67" s="17" t="s">
        <v>157</v>
      </c>
      <c r="C67" s="17" t="s">
        <v>158</v>
      </c>
      <c r="D67" s="17"/>
      <c r="E67" s="17"/>
      <c r="F67" s="18" t="n">
        <v>1000</v>
      </c>
      <c r="G67" s="18" t="n">
        <v>-1000</v>
      </c>
    </row>
    <row r="68" customFormat="false" ht="14.25" hidden="false" customHeight="false" outlineLevel="0" collapsed="false">
      <c r="A68" s="17" t="n">
        <v>550</v>
      </c>
      <c r="B68" s="17" t="s">
        <v>265</v>
      </c>
      <c r="C68" s="17" t="s">
        <v>158</v>
      </c>
      <c r="D68" s="17"/>
      <c r="E68" s="18" t="n">
        <v>477859.49</v>
      </c>
      <c r="F68" s="17"/>
      <c r="G68" s="18" t="n">
        <v>477859.49</v>
      </c>
    </row>
    <row r="69" customFormat="false" ht="14.25" hidden="false" customHeight="false" outlineLevel="0" collapsed="false">
      <c r="A69" s="17" t="n">
        <v>570</v>
      </c>
      <c r="B69" s="17" t="s">
        <v>269</v>
      </c>
      <c r="C69" s="17" t="s">
        <v>158</v>
      </c>
      <c r="D69" s="17"/>
      <c r="E69" s="17"/>
      <c r="F69" s="18" t="n">
        <v>1220361.41</v>
      </c>
      <c r="G69" s="18" t="n">
        <v>-1220361.41</v>
      </c>
    </row>
    <row r="70" customFormat="false" ht="14.25" hidden="false" customHeight="false" outlineLevel="0" collapsed="false">
      <c r="A70" s="17" t="n">
        <v>571</v>
      </c>
      <c r="B70" s="17" t="s">
        <v>270</v>
      </c>
      <c r="C70" s="17" t="s">
        <v>158</v>
      </c>
      <c r="D70" s="17"/>
      <c r="E70" s="17"/>
      <c r="F70" s="18" t="n">
        <v>235016.08</v>
      </c>
      <c r="G70" s="18" t="n">
        <v>-235016.08</v>
      </c>
    </row>
    <row r="71" customFormat="false" ht="14.25" hidden="false" customHeight="false" outlineLevel="0" collapsed="false">
      <c r="A71" s="17" t="n">
        <v>572</v>
      </c>
      <c r="B71" s="17" t="s">
        <v>271</v>
      </c>
      <c r="C71" s="17" t="s">
        <v>158</v>
      </c>
      <c r="D71" s="17"/>
      <c r="E71" s="18" t="n">
        <v>15461.7</v>
      </c>
      <c r="F71" s="17"/>
      <c r="G71" s="18" t="n">
        <v>15461.7</v>
      </c>
    </row>
    <row r="72" customFormat="false" ht="14.25" hidden="false" customHeight="false" outlineLevel="0" collapsed="false">
      <c r="A72" s="17" t="n">
        <v>574</v>
      </c>
      <c r="B72" s="17" t="s">
        <v>272</v>
      </c>
      <c r="C72" s="17" t="s">
        <v>158</v>
      </c>
      <c r="D72" s="17"/>
      <c r="E72" s="17"/>
      <c r="F72" s="18" t="n">
        <v>830077</v>
      </c>
      <c r="G72" s="18" t="n">
        <v>-830077</v>
      </c>
    </row>
    <row r="73" customFormat="false" ht="14.25" hidden="false" customHeight="false" outlineLevel="0" collapsed="false">
      <c r="A73" s="17" t="n">
        <v>960</v>
      </c>
      <c r="B73" s="17" t="s">
        <v>467</v>
      </c>
      <c r="C73" s="17" t="s">
        <v>158</v>
      </c>
      <c r="D73" s="17"/>
      <c r="E73" s="17"/>
      <c r="F73" s="18" t="n">
        <v>187468.02</v>
      </c>
      <c r="G73" s="18" t="n">
        <v>-161650.23</v>
      </c>
    </row>
    <row r="74" customFormat="false" ht="14.25" hidden="false" customHeight="false" outlineLevel="0" collapsed="false">
      <c r="A74" s="20" t="s">
        <v>496</v>
      </c>
      <c r="B74" s="20"/>
      <c r="C74" s="20"/>
      <c r="D74" s="20"/>
      <c r="E74" s="21" t="n">
        <v>0</v>
      </c>
      <c r="F74" s="21" t="n">
        <v>0</v>
      </c>
      <c r="G74" s="21" t="n">
        <v>0</v>
      </c>
    </row>
  </sheetData>
  <autoFilter ref="A5:N7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9"/>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21" activeCellId="0" sqref="D21"/>
    </sheetView>
  </sheetViews>
  <sheetFormatPr defaultColWidth="8.859375" defaultRowHeight="15" zeroHeight="false" outlineLevelRow="0" outlineLevelCol="0"/>
  <cols>
    <col collapsed="false" customWidth="true" hidden="false" outlineLevel="0" max="1" min="1" style="22" width="12.86"/>
    <col collapsed="false" customWidth="true" hidden="false" outlineLevel="0" max="2" min="2" style="23" width="44.43"/>
    <col collapsed="false" customWidth="true" hidden="false" outlineLevel="0" max="3" min="3" style="23" width="28.14"/>
    <col collapsed="false" customWidth="true" hidden="false" outlineLevel="0" max="4" min="4" style="23" width="35.15"/>
    <col collapsed="false" customWidth="true" hidden="false" outlineLevel="0" max="5" min="5" style="23" width="28.57"/>
    <col collapsed="false" customWidth="false" hidden="false" outlineLevel="0" max="9" min="6" style="23" width="8.86"/>
    <col collapsed="false" customWidth="true" hidden="false" outlineLevel="0" max="11" min="11" style="0" width="19"/>
    <col collapsed="false" customWidth="false" hidden="false" outlineLevel="0" max="16384" min="12" style="23" width="8.86"/>
  </cols>
  <sheetData>
    <row r="1" s="6" customFormat="true" ht="27" hidden="false" customHeight="true" outlineLevel="0" collapsed="false">
      <c r="A1" s="24" t="s">
        <v>497</v>
      </c>
      <c r="B1" s="24"/>
      <c r="C1" s="24"/>
      <c r="D1" s="24"/>
      <c r="E1" s="24"/>
      <c r="F1" s="25"/>
      <c r="G1" s="26"/>
    </row>
    <row r="2" s="6" customFormat="true" ht="15" hidden="false" customHeight="false" outlineLevel="0" collapsed="false">
      <c r="A2" s="27"/>
      <c r="B2" s="28" t="s">
        <v>498</v>
      </c>
      <c r="C2" s="29" t="s">
        <v>499</v>
      </c>
      <c r="D2" s="28" t="s">
        <v>500</v>
      </c>
      <c r="E2" s="30" t="s">
        <v>501</v>
      </c>
      <c r="F2" s="31"/>
      <c r="G2" s="26"/>
      <c r="L2" s="26"/>
    </row>
    <row r="3" s="6" customFormat="true" ht="15" hidden="false" customHeight="false" outlineLevel="0" collapsed="false">
      <c r="A3" s="27"/>
      <c r="B3" s="28" t="s">
        <v>502</v>
      </c>
      <c r="C3" s="29" t="s">
        <v>503</v>
      </c>
      <c r="D3" s="28"/>
      <c r="F3" s="31"/>
      <c r="G3" s="26"/>
      <c r="L3" s="26"/>
    </row>
    <row r="4" s="6" customFormat="true" ht="15" hidden="false" customHeight="false" outlineLevel="0" collapsed="false">
      <c r="A4" s="27"/>
      <c r="B4" s="28" t="s">
        <v>504</v>
      </c>
      <c r="C4" s="32" t="n">
        <v>45382</v>
      </c>
      <c r="D4" s="28" t="s">
        <v>505</v>
      </c>
      <c r="E4" s="30" t="s">
        <v>506</v>
      </c>
      <c r="F4" s="31"/>
      <c r="G4" s="26"/>
      <c r="L4" s="26"/>
    </row>
    <row r="5" s="6" customFormat="true" ht="15" hidden="false" customHeight="false" outlineLevel="0" collapsed="false">
      <c r="A5" s="27"/>
      <c r="B5" s="28" t="s">
        <v>507</v>
      </c>
      <c r="C5" s="29" t="s">
        <v>508</v>
      </c>
      <c r="D5" s="31"/>
      <c r="E5" s="31"/>
      <c r="F5" s="31"/>
      <c r="G5" s="26"/>
      <c r="L5" s="26"/>
    </row>
    <row r="6" s="6" customFormat="true" ht="15" hidden="false" customHeight="false" outlineLevel="0" collapsed="false">
      <c r="A6" s="27"/>
      <c r="B6" s="28" t="s">
        <v>509</v>
      </c>
      <c r="C6" s="29" t="s">
        <v>510</v>
      </c>
      <c r="D6" s="31" t="s">
        <v>511</v>
      </c>
      <c r="E6" s="33" t="n">
        <f aca="true">TODAY()</f>
        <v>45779</v>
      </c>
      <c r="F6" s="31"/>
      <c r="G6" s="26"/>
      <c r="L6" s="26"/>
    </row>
    <row r="7" s="36" customFormat="true" ht="15" hidden="false" customHeight="false" outlineLevel="0" collapsed="false">
      <c r="A7" s="34"/>
      <c r="B7" s="28" t="s">
        <v>512</v>
      </c>
      <c r="C7" s="35" t="s">
        <v>513</v>
      </c>
      <c r="L7" s="37"/>
    </row>
    <row r="8" s="36" customFormat="true" ht="15" hidden="false" customHeight="false" outlineLevel="0" collapsed="false">
      <c r="A8" s="34"/>
      <c r="B8" s="28"/>
      <c r="C8" s="35"/>
    </row>
    <row r="9" customFormat="false" ht="15" hidden="false" customHeight="false" outlineLevel="0" collapsed="false">
      <c r="A9" s="22" t="s">
        <v>514</v>
      </c>
      <c r="B9" s="22" t="s">
        <v>515</v>
      </c>
      <c r="D9" s="38"/>
      <c r="E9" s="38"/>
    </row>
    <row r="10" customFormat="false" ht="36.75" hidden="false" customHeight="true" outlineLevel="0" collapsed="false">
      <c r="A10" s="22" t="s">
        <v>516</v>
      </c>
      <c r="B10" s="39" t="s">
        <v>517</v>
      </c>
      <c r="C10" s="40" t="b">
        <f aca="false">FALSE()</f>
        <v>0</v>
      </c>
      <c r="D10" s="41"/>
      <c r="E10" s="42"/>
    </row>
    <row r="11" customFormat="false" ht="36.75" hidden="false" customHeight="true" outlineLevel="0" collapsed="false">
      <c r="A11" s="22" t="s">
        <v>518</v>
      </c>
      <c r="B11" s="39" t="s">
        <v>519</v>
      </c>
      <c r="C11" s="40" t="b">
        <f aca="false">FALSE()</f>
        <v>0</v>
      </c>
      <c r="D11" s="41"/>
      <c r="E11" s="42"/>
      <c r="G11" s="43"/>
    </row>
    <row r="12" customFormat="false" ht="36.75" hidden="false" customHeight="true" outlineLevel="0" collapsed="false">
      <c r="A12" s="22" t="s">
        <v>520</v>
      </c>
      <c r="B12" s="39" t="s">
        <v>521</v>
      </c>
      <c r="C12" s="40" t="b">
        <f aca="false">FALSE()</f>
        <v>0</v>
      </c>
      <c r="D12" s="41"/>
      <c r="E12" s="42"/>
      <c r="G12" s="26"/>
    </row>
    <row r="13" customFormat="false" ht="36.75" hidden="false" customHeight="true" outlineLevel="0" collapsed="false">
      <c r="A13" s="22" t="s">
        <v>522</v>
      </c>
      <c r="B13" s="39" t="s">
        <v>523</v>
      </c>
      <c r="C13" s="40" t="b">
        <f aca="false">FALSE()</f>
        <v>0</v>
      </c>
      <c r="D13" s="41"/>
      <c r="E13" s="42"/>
      <c r="G13" s="26"/>
    </row>
    <row r="14" customFormat="false" ht="36.75" hidden="false" customHeight="true" outlineLevel="0" collapsed="false">
      <c r="A14" s="22" t="s">
        <v>524</v>
      </c>
      <c r="B14" s="44" t="s">
        <v>296</v>
      </c>
      <c r="C14" s="40" t="b">
        <f aca="false">FALSE()</f>
        <v>0</v>
      </c>
      <c r="D14" s="41"/>
      <c r="E14" s="42"/>
    </row>
    <row r="15" customFormat="false" ht="36.75" hidden="false" customHeight="true" outlineLevel="0" collapsed="false">
      <c r="A15" s="22" t="s">
        <v>525</v>
      </c>
      <c r="B15" s="44" t="s">
        <v>526</v>
      </c>
      <c r="C15" s="40" t="b">
        <f aca="false">FALSE()</f>
        <v>0</v>
      </c>
      <c r="D15" s="41"/>
      <c r="E15" s="42"/>
    </row>
    <row r="16" customFormat="false" ht="36.75" hidden="false" customHeight="true" outlineLevel="0" collapsed="false">
      <c r="A16" s="22" t="s">
        <v>527</v>
      </c>
      <c r="B16" s="44" t="s">
        <v>528</v>
      </c>
      <c r="C16" s="40" t="b">
        <f aca="false">FALSE()</f>
        <v>0</v>
      </c>
      <c r="D16" s="41"/>
      <c r="E16" s="45"/>
    </row>
    <row r="17" customFormat="false" ht="36.75" hidden="false" customHeight="true" outlineLevel="0" collapsed="false">
      <c r="A17" s="22" t="s">
        <v>529</v>
      </c>
      <c r="B17" s="44" t="s">
        <v>530</v>
      </c>
      <c r="C17" s="40" t="b">
        <f aca="false">FALSE()</f>
        <v>0</v>
      </c>
      <c r="D17" s="41"/>
      <c r="E17" s="42"/>
    </row>
    <row r="18" customFormat="false" ht="36.75" hidden="false" customHeight="true" outlineLevel="0" collapsed="false">
      <c r="A18" s="22" t="s">
        <v>531</v>
      </c>
      <c r="B18" s="44" t="s">
        <v>532</v>
      </c>
      <c r="C18" s="40" t="b">
        <f aca="false">FALSE()</f>
        <v>0</v>
      </c>
      <c r="D18" s="41"/>
      <c r="E18" s="42"/>
    </row>
    <row r="19" customFormat="false" ht="36.75" hidden="false" customHeight="true" outlineLevel="0" collapsed="false">
      <c r="A19" s="22" t="s">
        <v>533</v>
      </c>
      <c r="B19" s="44" t="s">
        <v>534</v>
      </c>
      <c r="C19" s="40" t="b">
        <f aca="false">FALSE()</f>
        <v>0</v>
      </c>
      <c r="D19" s="41"/>
      <c r="E19" s="42"/>
    </row>
    <row r="20" customFormat="false" ht="36.75" hidden="false" customHeight="true" outlineLevel="0" collapsed="false">
      <c r="A20" s="22" t="s">
        <v>535</v>
      </c>
      <c r="B20" s="44" t="s">
        <v>536</v>
      </c>
      <c r="C20" s="40" t="b">
        <f aca="false">FALSE()</f>
        <v>0</v>
      </c>
      <c r="D20" s="41"/>
      <c r="E20" s="42"/>
    </row>
    <row r="21" customFormat="false" ht="36.75" hidden="false" customHeight="true" outlineLevel="0" collapsed="false">
      <c r="A21" s="22" t="s">
        <v>537</v>
      </c>
      <c r="B21" s="44" t="s">
        <v>538</v>
      </c>
      <c r="C21" s="40" t="b">
        <f aca="false">FALSE()</f>
        <v>0</v>
      </c>
      <c r="D21" s="41"/>
      <c r="E21" s="42"/>
    </row>
    <row r="22" customFormat="false" ht="36.75" hidden="false" customHeight="true" outlineLevel="0" collapsed="false">
      <c r="A22" s="22" t="s">
        <v>539</v>
      </c>
      <c r="B22" s="39" t="s">
        <v>540</v>
      </c>
      <c r="C22" s="40" t="b">
        <f aca="false">FALSE()</f>
        <v>0</v>
      </c>
      <c r="D22" s="41"/>
      <c r="E22" s="41"/>
    </row>
    <row r="23" customFormat="false" ht="36.75" hidden="false" customHeight="true" outlineLevel="0" collapsed="false">
      <c r="A23" s="22" t="s">
        <v>541</v>
      </c>
      <c r="B23" s="39" t="s">
        <v>542</v>
      </c>
      <c r="C23" s="40" t="b">
        <f aca="false">FALSE()</f>
        <v>0</v>
      </c>
      <c r="D23" s="41"/>
      <c r="E23" s="42"/>
    </row>
    <row r="24" customFormat="false" ht="36.75" hidden="false" customHeight="true" outlineLevel="0" collapsed="false">
      <c r="A24" s="22" t="s">
        <v>543</v>
      </c>
      <c r="B24" s="39" t="s">
        <v>395</v>
      </c>
      <c r="C24" s="40" t="b">
        <f aca="false">FALSE()</f>
        <v>0</v>
      </c>
      <c r="D24" s="41"/>
      <c r="E24" s="42"/>
    </row>
    <row r="25" customFormat="false" ht="36.75" hidden="false" customHeight="true" outlineLevel="0" collapsed="false">
      <c r="A25" s="22" t="s">
        <v>544</v>
      </c>
      <c r="B25" s="39" t="s">
        <v>545</v>
      </c>
      <c r="C25" s="40" t="b">
        <f aca="false">FALSE()</f>
        <v>0</v>
      </c>
      <c r="D25" s="41"/>
      <c r="E25" s="42"/>
    </row>
    <row r="26" customFormat="false" ht="36.75" hidden="false" customHeight="true" outlineLevel="0" collapsed="false">
      <c r="A26" s="22" t="s">
        <v>546</v>
      </c>
      <c r="B26" s="39" t="s">
        <v>547</v>
      </c>
      <c r="C26" s="40" t="b">
        <f aca="false">FALSE()</f>
        <v>0</v>
      </c>
      <c r="D26" s="41"/>
      <c r="E26" s="42"/>
    </row>
    <row r="27" customFormat="false" ht="36.75" hidden="false" customHeight="true" outlineLevel="0" collapsed="false">
      <c r="A27" s="22" t="s">
        <v>548</v>
      </c>
      <c r="B27" s="39" t="s">
        <v>549</v>
      </c>
      <c r="C27" s="40" t="b">
        <f aca="false">FALSE()</f>
        <v>0</v>
      </c>
      <c r="D27" s="41"/>
      <c r="E27" s="42"/>
    </row>
    <row r="28" customFormat="false" ht="36.75" hidden="false" customHeight="true" outlineLevel="0" collapsed="false">
      <c r="A28" s="22" t="s">
        <v>550</v>
      </c>
      <c r="B28" s="39" t="s">
        <v>551</v>
      </c>
      <c r="C28" s="40" t="b">
        <f aca="false">FALSE()</f>
        <v>0</v>
      </c>
      <c r="D28" s="41"/>
      <c r="E28" s="42"/>
    </row>
    <row r="29" customFormat="false" ht="36.75" hidden="false" customHeight="true" outlineLevel="0" collapsed="false">
      <c r="A29" s="22" t="s">
        <v>552</v>
      </c>
      <c r="B29" s="39" t="s">
        <v>553</v>
      </c>
      <c r="C29" s="40" t="b">
        <f aca="false">FALSE()</f>
        <v>0</v>
      </c>
      <c r="D29" s="41"/>
      <c r="E29" s="42"/>
    </row>
    <row r="30" customFormat="false" ht="36.75" hidden="false" customHeight="true" outlineLevel="0" collapsed="false">
      <c r="A30" s="22" t="s">
        <v>554</v>
      </c>
      <c r="B30" s="39" t="s">
        <v>555</v>
      </c>
      <c r="C30" s="40" t="b">
        <f aca="false">FALSE()</f>
        <v>0</v>
      </c>
      <c r="D30" s="41"/>
      <c r="E30" s="42"/>
    </row>
    <row r="31" customFormat="false" ht="36.75" hidden="false" customHeight="true" outlineLevel="0" collapsed="false">
      <c r="A31" s="22" t="s">
        <v>556</v>
      </c>
      <c r="B31" s="39" t="s">
        <v>557</v>
      </c>
      <c r="C31" s="40" t="b">
        <f aca="false">FALSE()</f>
        <v>0</v>
      </c>
      <c r="D31" s="41"/>
      <c r="E31" s="42"/>
    </row>
    <row r="32" customFormat="false" ht="36.75" hidden="false" customHeight="true" outlineLevel="0" collapsed="false">
      <c r="A32" s="22" t="s">
        <v>558</v>
      </c>
      <c r="B32" s="39" t="s">
        <v>559</v>
      </c>
      <c r="C32" s="40" t="b">
        <f aca="false">FALSE()</f>
        <v>0</v>
      </c>
      <c r="D32" s="41"/>
      <c r="E32" s="42"/>
    </row>
    <row r="33" customFormat="false" ht="36.75" hidden="false" customHeight="true" outlineLevel="0" collapsed="false">
      <c r="A33" s="22" t="s">
        <v>560</v>
      </c>
      <c r="B33" s="39" t="s">
        <v>561</v>
      </c>
      <c r="C33" s="40" t="b">
        <f aca="false">FALSE()</f>
        <v>0</v>
      </c>
      <c r="D33" s="41"/>
      <c r="E33" s="42"/>
    </row>
    <row r="34" customFormat="false" ht="36.75" hidden="false" customHeight="true" outlineLevel="0" collapsed="false">
      <c r="A34" s="22" t="s">
        <v>562</v>
      </c>
      <c r="B34" s="39" t="s">
        <v>563</v>
      </c>
      <c r="C34" s="40" t="b">
        <f aca="false">FALSE()</f>
        <v>0</v>
      </c>
      <c r="D34" s="41"/>
      <c r="E34" s="42"/>
    </row>
    <row r="35" customFormat="false" ht="36.75" hidden="false" customHeight="true" outlineLevel="0" collapsed="false">
      <c r="A35" s="22" t="s">
        <v>564</v>
      </c>
      <c r="B35" s="39" t="s">
        <v>565</v>
      </c>
      <c r="C35" s="40" t="b">
        <f aca="false">FALSE()</f>
        <v>0</v>
      </c>
      <c r="D35" s="41"/>
      <c r="E35" s="42"/>
    </row>
    <row r="36" customFormat="false" ht="36.75" hidden="false" customHeight="true" outlineLevel="0" collapsed="false">
      <c r="A36" s="22" t="s">
        <v>566</v>
      </c>
      <c r="B36" s="39" t="s">
        <v>28</v>
      </c>
      <c r="C36" s="40" t="b">
        <f aca="false">FALSE()</f>
        <v>0</v>
      </c>
      <c r="D36" s="41"/>
      <c r="E36" s="42"/>
    </row>
    <row r="37" customFormat="false" ht="36.75" hidden="false" customHeight="true" outlineLevel="0" collapsed="false">
      <c r="A37" s="22" t="s">
        <v>567</v>
      </c>
      <c r="B37" s="39" t="s">
        <v>568</v>
      </c>
      <c r="C37" s="40" t="b">
        <f aca="false">FALSE()</f>
        <v>0</v>
      </c>
      <c r="D37" s="41"/>
      <c r="E37" s="42"/>
    </row>
    <row r="38" customFormat="false" ht="36.75" hidden="false" customHeight="true" outlineLevel="0" collapsed="false">
      <c r="A38" s="46" t="s">
        <v>569</v>
      </c>
      <c r="B38" s="47" t="s">
        <v>570</v>
      </c>
      <c r="C38" s="48" t="b">
        <f aca="false">FALSE()</f>
        <v>0</v>
      </c>
      <c r="D38" s="49"/>
      <c r="E38" s="42"/>
    </row>
    <row r="39" customFormat="false" ht="36.75" hidden="false" customHeight="true" outlineLevel="0" collapsed="false">
      <c r="A39" s="22" t="s">
        <v>571</v>
      </c>
      <c r="B39" s="39" t="s">
        <v>572</v>
      </c>
      <c r="C39" s="40" t="b">
        <f aca="false">FALSE()</f>
        <v>0</v>
      </c>
      <c r="D39" s="41"/>
      <c r="E39" s="42"/>
    </row>
    <row r="40" customFormat="false" ht="36.75" hidden="false" customHeight="true" outlineLevel="0" collapsed="false">
      <c r="A40" s="22" t="s">
        <v>62</v>
      </c>
      <c r="B40" s="39" t="s">
        <v>573</v>
      </c>
      <c r="C40" s="40" t="b">
        <f aca="false">FALSE()</f>
        <v>0</v>
      </c>
      <c r="D40" s="41"/>
      <c r="E40" s="42"/>
    </row>
    <row r="41" customFormat="false" ht="36.75" hidden="false" customHeight="true" outlineLevel="0" collapsed="false">
      <c r="A41" s="22" t="s">
        <v>574</v>
      </c>
      <c r="B41" s="39" t="s">
        <v>84</v>
      </c>
      <c r="C41" s="40" t="b">
        <f aca="false">FALSE()</f>
        <v>0</v>
      </c>
      <c r="D41" s="41"/>
      <c r="E41" s="42"/>
    </row>
    <row r="42" customFormat="false" ht="36.75" hidden="false" customHeight="true" outlineLevel="0" collapsed="false">
      <c r="A42" s="22" t="s">
        <v>575</v>
      </c>
      <c r="B42" s="39" t="s">
        <v>576</v>
      </c>
      <c r="C42" s="40" t="b">
        <f aca="false">FALSE()</f>
        <v>0</v>
      </c>
      <c r="D42" s="41"/>
      <c r="E42" s="42"/>
    </row>
    <row r="43" customFormat="false" ht="36.75" hidden="false" customHeight="true" outlineLevel="0" collapsed="false">
      <c r="A43" s="22" t="s">
        <v>577</v>
      </c>
      <c r="B43" s="39" t="s">
        <v>578</v>
      </c>
      <c r="C43" s="40" t="b">
        <f aca="false">FALSE()</f>
        <v>0</v>
      </c>
      <c r="D43" s="41"/>
      <c r="E43" s="42"/>
    </row>
    <row r="44" customFormat="false" ht="36.75" hidden="false" customHeight="true" outlineLevel="0" collapsed="false">
      <c r="A44" s="22" t="s">
        <v>579</v>
      </c>
      <c r="B44" s="39" t="s">
        <v>66</v>
      </c>
      <c r="C44" s="40" t="b">
        <f aca="false">FALSE()</f>
        <v>0</v>
      </c>
      <c r="D44" s="41"/>
      <c r="E44" s="42"/>
    </row>
    <row r="45" customFormat="false" ht="36.75" hidden="false" customHeight="true" outlineLevel="0" collapsed="false">
      <c r="A45" s="22" t="s">
        <v>580</v>
      </c>
      <c r="B45" s="39" t="s">
        <v>581</v>
      </c>
      <c r="C45" s="40" t="b">
        <f aca="false">FALSE()</f>
        <v>0</v>
      </c>
      <c r="D45" s="42"/>
      <c r="E45" s="42"/>
    </row>
    <row r="46" customFormat="false" ht="15" hidden="false" customHeight="false" outlineLevel="0" collapsed="false">
      <c r="B46" s="50"/>
      <c r="C46" s="28"/>
      <c r="D46" s="42"/>
      <c r="E46" s="42"/>
    </row>
    <row r="47" customFormat="false" ht="15" hidden="false" customHeight="false" outlineLevel="0" collapsed="false">
      <c r="B47" s="51"/>
      <c r="D47" s="42"/>
      <c r="E47" s="42"/>
    </row>
    <row r="48" customFormat="false" ht="15" hidden="false" customHeight="false" outlineLevel="0" collapsed="false">
      <c r="B48" s="51"/>
    </row>
    <row r="49" customFormat="false" ht="15" hidden="false" customHeight="false" outlineLevel="0" collapsed="false">
      <c r="B49" s="51"/>
    </row>
  </sheetData>
  <mergeCells count="1">
    <mergeCell ref="A1:E1"/>
  </mergeCells>
  <dataValidations count="2">
    <dataValidation allowBlank="true" errorStyle="stop" operator="between" showDropDown="false" showErrorMessage="true" showInputMessage="true" sqref="C7:C8" type="list">
      <formula1>"In Progress,Mid Job Query Submitted,Submitted for Review,Finalised,Completed"</formula1>
      <formula2>0</formula2>
    </dataValidation>
    <dataValidation allowBlank="true" errorStyle="stop" operator="between" showDropDown="false" showErrorMessage="true" showInputMessage="true" sqref="C5" type="list">
      <formula1>"Please fill,Yes,No"</formula1>
      <formula2>0</formula2>
    </dataValidation>
  </dataValidations>
  <hyperlinks>
    <hyperlink ref="B10" location="'A1'!A1" display="Tax Calculations"/>
    <hyperlink ref="B11" location="'B1'!A1" display="Review Summary"/>
    <hyperlink ref="B12" location="B2a!A1" display="Review "/>
    <hyperlink ref="B13" location="'F1'!A1" display="Bank Reconciliation"/>
    <hyperlink ref="B14" location="'G1'!A1" display="Accounts Receivable"/>
    <hyperlink ref="B15" location="'G2'!A1" display="Other Current Assets"/>
    <hyperlink ref="B16" location="'H1'!A1" display="Fixed Assets"/>
    <hyperlink ref="B17" location="'H2'!A1" display="Purchase of Business / Property"/>
    <hyperlink ref="B18" location="'H3'!A1" display="Sale of Business / Property"/>
    <hyperlink ref="B19" location="'I1'!A1" display="Investments - fixed interest"/>
    <hyperlink ref="B20" location="'I2'!A1" display="Investments - shares"/>
    <hyperlink ref="B21" location="K!A1" display="Other Assets"/>
    <hyperlink ref="B22" location="'L1'!A1" display="GST Reconciliation"/>
    <hyperlink ref="B23" location="'L2'!A1" display="GST period variances"/>
    <hyperlink ref="B24" location="'M1'!A1" display="Accounts Payable"/>
    <hyperlink ref="B25" location="'M2'!A1" display="Other Current Liabilities"/>
    <hyperlink ref="B26" location="'N1'!A1" display="Current Accounts"/>
    <hyperlink ref="B27" location="'N2'!A1" display="Related Parties"/>
    <hyperlink ref="B28" location="'O1'!A1" display="Term Loan"/>
    <hyperlink ref="B29" location="'P1'!A1" display="HP Liability"/>
    <hyperlink ref="B30" location="'Q1'!A1" display="Taxation due"/>
    <hyperlink ref="B31" location="Q3a!A1" display="Imputation credit account"/>
    <hyperlink ref="B32" location="Q3b!A1" display="Imputation credit account: to retained earnings"/>
    <hyperlink ref="B33" location="'Q4'!A1" display="Continuity of Shareholding"/>
    <hyperlink ref="B34" location="'R1'!A1" display="Residential Rent"/>
    <hyperlink ref="B35" location="'S2'!A1" display="Sales Reconciliation"/>
    <hyperlink ref="B36" location="'T1'!A1" display="Other Income"/>
    <hyperlink ref="B37" location="'T2'!A1" display="Investment Income"/>
    <hyperlink ref="B38" location="'U1'!A1" display="Wages Reconciliation"/>
    <hyperlink ref="B39" location="'U2'!A1" display="Wages Reconciliation Worksheet"/>
    <hyperlink ref="B40" location="'V1'!A1" display="Expenses Analysis"/>
    <hyperlink ref="B41" location="V1.1!A1" display="Entertainment"/>
    <hyperlink ref="B42" location="'V2'!A1" display="Home Office"/>
    <hyperlink ref="B43" location="'V3'!A1" display="Interest on overdrawn Current Account"/>
    <hyperlink ref="B44" location="'V5'!A1" display="Accountancy"/>
    <hyperlink ref="B45" location="'Z1'!A1" display="Additional Workpaper"/>
  </hyperlinks>
  <printOptions headings="false" gridLines="false" gridLinesSet="true" horizontalCentered="false" verticalCentered="false"/>
  <pageMargins left="0.7" right="0.7" top="0.75" bottom="0.75" header="0.511811023622047" footer="0.511811023622047"/>
  <pageSetup paperSize="1" scale="5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tabColor rgb="FF00B0F0"/>
    <pageSetUpPr fitToPage="true"/>
  </sheetPr>
  <dimension ref="A1:T134"/>
  <sheetViews>
    <sheetView showFormulas="false" showGridLines="false" showRowColHeaders="true" showZeros="true" rightToLeft="false" tabSelected="false" showOutlineSymbols="true" defaultGridColor="true" view="normal" topLeftCell="A9" colorId="64" zoomScale="100" zoomScaleNormal="100" zoomScalePageLayoutView="100" workbookViewId="0">
      <pane xSplit="1" ySplit="2" topLeftCell="B87" activePane="bottomRight" state="frozen"/>
      <selection pane="topLeft" activeCell="A9" activeCellId="0" sqref="A9"/>
      <selection pane="topRight" activeCell="B9" activeCellId="0" sqref="B9"/>
      <selection pane="bottomLeft" activeCell="A87" activeCellId="0" sqref="A87"/>
      <selection pane="bottomRight" activeCell="I118" activeCellId="0" sqref="I118"/>
    </sheetView>
  </sheetViews>
  <sheetFormatPr defaultColWidth="9.14453125" defaultRowHeight="12.75" zeroHeight="false" outlineLevelRow="0" outlineLevelCol="0"/>
  <cols>
    <col collapsed="false" customWidth="true" hidden="false" outlineLevel="0" max="1" min="1" style="52" width="14"/>
    <col collapsed="false" customWidth="true" hidden="false" outlineLevel="0" max="2" min="2" style="52" width="28.86"/>
    <col collapsed="false" customWidth="true" hidden="false" outlineLevel="0" max="3" min="3" style="52" width="9.86"/>
    <col collapsed="false" customWidth="true" hidden="false" outlineLevel="0" max="4" min="4" style="52" width="8.57"/>
    <col collapsed="false" customWidth="true" hidden="false" outlineLevel="0" max="5" min="5" style="53" width="15"/>
    <col collapsed="false" customWidth="true" hidden="false" outlineLevel="0" max="6" min="6" style="52" width="16.86"/>
    <col collapsed="false" customWidth="true" hidden="false" outlineLevel="0" max="7" min="7" style="52" width="11.57"/>
    <col collapsed="false" customWidth="true" hidden="false" outlineLevel="0" max="8" min="8" style="52" width="16.57"/>
    <col collapsed="false" customWidth="true" hidden="false" outlineLevel="0" max="9" min="9" style="52" width="13.43"/>
    <col collapsed="false" customWidth="true" hidden="false" outlineLevel="0" max="10" min="10" style="52" width="17.57"/>
    <col collapsed="false" customWidth="true" hidden="false" outlineLevel="0" max="11" min="11" style="52" width="5.86"/>
    <col collapsed="false" customWidth="true" hidden="true" outlineLevel="0" max="12" min="12" style="52" width="3.43"/>
    <col collapsed="false" customWidth="true" hidden="true" outlineLevel="0" max="13" min="13" style="52" width="4.14"/>
    <col collapsed="false" customWidth="true" hidden="true" outlineLevel="0" max="14" min="14" style="52" width="3.43"/>
    <col collapsed="false" customWidth="true" hidden="true" outlineLevel="0" max="15" min="15" style="52" width="4.14"/>
    <col collapsed="false" customWidth="true" hidden="true" outlineLevel="0" max="16" min="16" style="52" width="17.86"/>
    <col collapsed="false" customWidth="true" hidden="false" outlineLevel="0" max="17" min="17" style="52" width="2.86"/>
    <col collapsed="false" customWidth="false" hidden="false" outlineLevel="0" max="19" min="18" style="52" width="9.14"/>
    <col collapsed="false" customWidth="true" hidden="false" outlineLevel="0" max="20" min="20" style="52" width="12.86"/>
    <col collapsed="false" customWidth="false" hidden="false" outlineLevel="0" max="16384" min="21" style="52" width="9.14"/>
  </cols>
  <sheetData>
    <row r="1" customFormat="false" ht="20.25" hidden="false" customHeight="true" outlineLevel="0" collapsed="false">
      <c r="A1" s="54"/>
    </row>
    <row r="2" customFormat="false" ht="15" hidden="false" customHeight="true" outlineLevel="0" collapsed="false">
      <c r="A2" s="24" t="s">
        <v>519</v>
      </c>
      <c r="B2" s="24"/>
      <c r="C2" s="24"/>
      <c r="D2" s="24"/>
      <c r="E2" s="24"/>
      <c r="F2" s="24"/>
      <c r="G2" s="24"/>
      <c r="H2" s="24"/>
      <c r="I2" s="24"/>
      <c r="J2" s="24"/>
      <c r="K2" s="24"/>
    </row>
    <row r="3" customFormat="false" ht="14.25" hidden="false" customHeight="true" outlineLevel="0" collapsed="false">
      <c r="I3" s="55" t="s">
        <v>582</v>
      </c>
      <c r="J3" s="56" t="n">
        <f aca="false">SUM(H12:H24)+SUM(H33:H38)+SUM(H47:H60)+SUM(H69:H71)+SUM(H80:H107)+SUM(H116:H119)</f>
        <v>-226591.25</v>
      </c>
      <c r="K3" s="57"/>
    </row>
    <row r="5" customFormat="false" ht="12.75" hidden="true" customHeight="false" outlineLevel="0" collapsed="false"/>
    <row r="6" s="58" customFormat="true" ht="14.25" hidden="false" customHeight="true" outlineLevel="0" collapsed="false">
      <c r="C6" s="59"/>
      <c r="E6" s="60"/>
      <c r="H6" s="61"/>
      <c r="K6" s="62"/>
      <c r="L6" s="62"/>
      <c r="M6" s="63"/>
      <c r="O6" s="64"/>
      <c r="P6" s="64"/>
      <c r="Q6" s="64"/>
    </row>
    <row r="7" customFormat="false" ht="33" hidden="false" customHeight="true" outlineLevel="0" collapsed="false">
      <c r="A7" s="65" t="s">
        <v>583</v>
      </c>
      <c r="B7" s="65"/>
      <c r="C7" s="65"/>
      <c r="D7" s="65"/>
      <c r="E7" s="66"/>
      <c r="F7" s="65"/>
      <c r="G7" s="65"/>
      <c r="H7" s="67"/>
      <c r="I7" s="65"/>
      <c r="J7" s="65"/>
      <c r="K7" s="65"/>
      <c r="L7" s="65"/>
      <c r="M7" s="65"/>
      <c r="N7" s="65"/>
      <c r="O7" s="68"/>
      <c r="P7" s="68"/>
      <c r="Q7" s="68"/>
    </row>
    <row r="8" customFormat="false" ht="12.75" hidden="false" customHeight="false" outlineLevel="0" collapsed="false">
      <c r="A8" s="69"/>
      <c r="B8" s="69"/>
      <c r="C8" s="69"/>
      <c r="D8" s="69"/>
      <c r="E8" s="70"/>
      <c r="F8" s="69"/>
      <c r="G8" s="69"/>
      <c r="H8" s="69"/>
      <c r="I8" s="69"/>
      <c r="J8" s="69"/>
      <c r="K8" s="69"/>
      <c r="L8" s="69"/>
      <c r="M8" s="69"/>
      <c r="N8" s="69"/>
      <c r="O8" s="69"/>
      <c r="P8" s="69"/>
      <c r="Q8" s="71"/>
    </row>
    <row r="9" customFormat="false" ht="18" hidden="false" customHeight="true" outlineLevel="0" collapsed="false">
      <c r="A9" s="72"/>
      <c r="B9" s="72"/>
      <c r="E9" s="73" t="s">
        <v>584</v>
      </c>
      <c r="F9" s="73"/>
      <c r="G9" s="73"/>
      <c r="H9" s="73"/>
      <c r="I9" s="73" t="s">
        <v>585</v>
      </c>
      <c r="J9" s="73"/>
      <c r="K9" s="73"/>
      <c r="L9" s="74"/>
      <c r="M9" s="75"/>
      <c r="N9" s="76"/>
      <c r="O9" s="75"/>
      <c r="Q9" s="77"/>
    </row>
    <row r="10" customFormat="false" ht="15" hidden="false" customHeight="true" outlineLevel="0" collapsed="false">
      <c r="A10" s="78" t="s">
        <v>586</v>
      </c>
      <c r="B10" s="78" t="s">
        <v>12</v>
      </c>
      <c r="C10" s="78" t="s">
        <v>587</v>
      </c>
      <c r="D10" s="78"/>
      <c r="E10" s="79" t="s">
        <v>588</v>
      </c>
      <c r="F10" s="78" t="s">
        <v>589</v>
      </c>
      <c r="G10" s="80" t="s">
        <v>590</v>
      </c>
      <c r="H10" s="78" t="s">
        <v>591</v>
      </c>
      <c r="I10" s="81" t="s">
        <v>592</v>
      </c>
      <c r="J10" s="78" t="s">
        <v>591</v>
      </c>
      <c r="K10" s="78"/>
      <c r="L10" s="82" t="s">
        <v>593</v>
      </c>
      <c r="M10" s="82"/>
      <c r="N10" s="83" t="s">
        <v>594</v>
      </c>
      <c r="O10" s="83"/>
      <c r="P10" s="78" t="s">
        <v>595</v>
      </c>
      <c r="Q10" s="84"/>
    </row>
    <row r="11" customFormat="false" ht="12.75" hidden="false" customHeight="false" outlineLevel="0" collapsed="false">
      <c r="A11" s="85"/>
      <c r="B11" s="85"/>
      <c r="C11" s="85"/>
      <c r="D11" s="85"/>
      <c r="E11" s="86"/>
      <c r="F11" s="87"/>
      <c r="G11" s="85"/>
      <c r="H11" s="85"/>
      <c r="I11" s="85"/>
      <c r="J11" s="85"/>
      <c r="K11" s="85"/>
      <c r="L11" s="85"/>
      <c r="M11" s="85"/>
      <c r="N11" s="85"/>
      <c r="O11" s="85"/>
      <c r="P11" s="85"/>
      <c r="Q11" s="77"/>
    </row>
    <row r="12" customFormat="false" ht="14.25" hidden="false" customHeight="true" outlineLevel="0" collapsed="false">
      <c r="A12" s="88"/>
      <c r="B12" s="89" t="str">
        <f aca="false">IFERROR(VLOOKUP(A12,'Trial Balance '!$A$5:$H$448, 2, 0), " ")</f>
        <v> </v>
      </c>
      <c r="C12" s="90" t="s">
        <v>596</v>
      </c>
      <c r="D12" s="91"/>
      <c r="E12" s="92" t="n">
        <f aca="true" t="array" ref="E12:E12">SUMPRODUCT(IFERROR(VLOOKUP(ROW(INDIRECT(LEFT(A12,FIND("-",A12)-1)&amp;":"&amp;RIGHT(A12,LEN(A12)-FIND("-",A12)))),'Trial Balance '!$A$5:$H$448,5,FALSE()),0)) - SUMPRODUCT(IFERROR(VLOOKUP(ROW(INDIRECT(LEFT(A12,FIND("-",A12)-1)&amp;":"&amp;RIGHT(A12,LEN(A12)-FIND("-",A12)))),'Trial Balance '!$A$5:$H$448,6,FALSE()),0)) + IFERROR(VLOOKUP(A12,'Trial Balance '!$A$5:$H$448, 5, 0), 0) - IFERROR(VLOOKUP(A12,'Trial Balance '!$A$5:$H$448, 6, 0), 0)</f>
        <v>0</v>
      </c>
      <c r="F12" s="93" t="n">
        <f aca="false">BRC!F24</f>
        <v>0</v>
      </c>
      <c r="G12" s="94" t="str">
        <f aca="false">IF(A12 = "", "", IF(E12 = F12, "✔", "✘"))</f>
        <v/>
      </c>
      <c r="H12" s="92" t="n">
        <f aca="false">IFERROR(E12-F12,0)</f>
        <v>0</v>
      </c>
      <c r="I12" s="92" t="n">
        <f aca="true" t="array" ref="I12:I12">SUMPRODUCT(IFERROR(VLOOKUP(ROW(INDIRECT(LEFT(A12,FIND("-",A12)-1)&amp;":"&amp;RIGHT(A12,LEN(A12)-FIND("-",A12)))),'Trial Balance '!$A$5:$H$448,7,FALSE()),0)) + IFERROR(VLOOKUP(A12,'Trial Balance '!$A$5:$H$448, 7, 0), 0)</f>
        <v>0</v>
      </c>
      <c r="J12" s="92" t="n">
        <f aca="false">IFERROR(E12-I12,0)</f>
        <v>0</v>
      </c>
      <c r="K12" s="95" t="str">
        <f aca="false">IF(J12&gt;0,"Ç",IF(J12&lt;0,"È","Æ"))</f>
        <v>Æ</v>
      </c>
      <c r="L12" s="96" t="s">
        <v>597</v>
      </c>
      <c r="M12" s="97" t="n">
        <f aca="false">IFERROR(VLOOKUP(IFERROR(TRIM(LEFT(C12,FIND("(",C12)-2)),C12),rhiddenlinkdata,12,FALSE()),0)</f>
        <v>0</v>
      </c>
      <c r="N12" s="98" t="s">
        <v>598</v>
      </c>
      <c r="O12" s="99" t="n">
        <f aca="false">IFERROR(VLOOKUP(IFERROR(TRIM(LEFT(C12,FIND("(",C12)-2)),C12),rsdcount,2,FALSE()),0)</f>
        <v>0</v>
      </c>
      <c r="P12" s="100" t="str">
        <f aca="false">IFERROR(VLOOKUP(VLOOKUP(IFERROR(LEFT(C12,FIND("(",C12)-2),C12),rhiddenlinkdata,15,FALSE()),jobstatuslookup,2,FALSE()),IFERROR(IF(VLOOKUP(IFERROR(LEFT(C12,FIND("(",C12)-2),C12),rhiddenlinkdata,3,FALSE())=1,"Not started",""),""))</f>
        <v/>
      </c>
      <c r="Q12" s="84"/>
      <c r="R12" s="101"/>
      <c r="T12" s="102"/>
    </row>
    <row r="13" customFormat="false" ht="14.25" hidden="false" customHeight="true" outlineLevel="0" collapsed="false">
      <c r="A13" s="88"/>
      <c r="B13" s="89" t="str">
        <f aca="false">IFERROR(VLOOKUP(A13,'Trial Balance '!$A$5:$H$448, 2, 0), " ")</f>
        <v> </v>
      </c>
      <c r="C13" s="90" t="s">
        <v>596</v>
      </c>
      <c r="D13" s="91"/>
      <c r="E13" s="92" t="n">
        <f aca="true" t="array" ref="E13:E13">SUMPRODUCT(IFERROR(VLOOKUP(ROW(INDIRECT(LEFT(A13,FIND("-",A13)-1)&amp;":"&amp;RIGHT(A13,LEN(A13)-FIND("-",A13)))),'Trial Balance '!$A$5:$H$448,5,FALSE()),0)) - SUMPRODUCT(IFERROR(VLOOKUP(ROW(INDIRECT(LEFT(A13,FIND("-",A13)-1)&amp;":"&amp;RIGHT(A13,LEN(A13)-FIND("-",A13)))),'Trial Balance '!$A$5:$H$448,6,FALSE()),0)) + IFERROR(VLOOKUP(A13,'Trial Balance '!$A$5:$H$448, 5, 0), 0) - IFERROR(VLOOKUP(A13,'Trial Balance '!$A$5:$H$448, 6, 0), 0)</f>
        <v>0</v>
      </c>
      <c r="F13" s="92" t="n">
        <f aca="false">BRC!F48</f>
        <v>0</v>
      </c>
      <c r="G13" s="94" t="str">
        <f aca="false">IF(A13 = "", "", IF(E13 = F13, "✔", "✘"))</f>
        <v/>
      </c>
      <c r="H13" s="92" t="n">
        <f aca="false">IFERROR(E13-F13,0)</f>
        <v>0</v>
      </c>
      <c r="I13" s="92" t="n">
        <f aca="true" t="array" ref="I13:I13">SUMPRODUCT(IFERROR(VLOOKUP(ROW(INDIRECT(LEFT(A13,FIND("-",A13)-1)&amp;":"&amp;RIGHT(A13,LEN(A13)-FIND("-",A13)))),'Trial Balance '!$A$5:$H$448,7,FALSE()),0)) + IFERROR(VLOOKUP(A13,'Trial Balance '!$A$5:$H$448, 7, 0), 0)</f>
        <v>0</v>
      </c>
      <c r="J13" s="92" t="n">
        <f aca="false">IFERROR(E13-I13,0)</f>
        <v>0</v>
      </c>
      <c r="K13" s="95" t="str">
        <f aca="false">IF(J13&gt;0,"Ç",IF(J13&lt;0,"È","Æ"))</f>
        <v>Æ</v>
      </c>
      <c r="L13" s="96" t="s">
        <v>597</v>
      </c>
      <c r="M13" s="97" t="n">
        <f aca="false">IFERROR(VLOOKUP(IFERROR(TRIM(LEFT(C13,FIND("(",C13)-2)),C13),rhiddenlinkdata,12,FALSE()),0)</f>
        <v>0</v>
      </c>
      <c r="N13" s="98" t="s">
        <v>598</v>
      </c>
      <c r="O13" s="99" t="n">
        <f aca="false">IFERROR(VLOOKUP(IFERROR(TRIM(LEFT(C13,FIND("(",C13)-2)),C13),rsdcount,2,FALSE()),0)</f>
        <v>0</v>
      </c>
      <c r="P13" s="100" t="str">
        <f aca="false">IFERROR(VLOOKUP(VLOOKUP(IFERROR(LEFT(C13,FIND("(",C13)-2),C13),rhiddenlinkdata,15,FALSE()),jobstatuslookup,2,FALSE()),IFERROR(IF(VLOOKUP(IFERROR(LEFT(C13,FIND("(",C13)-2),C13),rhiddenlinkdata,3,FALSE())=1,"Not started",""),""))</f>
        <v/>
      </c>
      <c r="Q13" s="84"/>
      <c r="R13" s="101"/>
      <c r="T13" s="102"/>
    </row>
    <row r="14" customFormat="false" ht="14.25" hidden="false" customHeight="true" outlineLevel="0" collapsed="false">
      <c r="A14" s="88"/>
      <c r="B14" s="89" t="str">
        <f aca="false">IFERROR(VLOOKUP(A14,'Trial Balance '!$A$5:$H$448, 2, 0), " ")</f>
        <v> </v>
      </c>
      <c r="C14" s="90" t="s">
        <v>596</v>
      </c>
      <c r="D14" s="91"/>
      <c r="E14" s="92" t="n">
        <f aca="true" t="array" ref="E14:E14">SUMPRODUCT(IFERROR(VLOOKUP(ROW(INDIRECT(LEFT(A14,FIND("-",A14)-1)&amp;":"&amp;RIGHT(A14,LEN(A14)-FIND("-",A14)))),'Trial Balance '!$A$5:$H$448,5,FALSE()),0)) - SUMPRODUCT(IFERROR(VLOOKUP(ROW(INDIRECT(LEFT(A14,FIND("-",A14)-1)&amp;":"&amp;RIGHT(A14,LEN(A14)-FIND("-",A14)))),'Trial Balance '!$A$5:$H$448,6,FALSE()),0)) + IFERROR(VLOOKUP(A14,'Trial Balance '!$A$5:$H$448, 5, 0), 0) - IFERROR(VLOOKUP(A14,'Trial Balance '!$A$5:$H$448, 6, 0), 0)</f>
        <v>0</v>
      </c>
      <c r="F14" s="92" t="n">
        <f aca="false">BRC!F72</f>
        <v>0</v>
      </c>
      <c r="G14" s="94" t="str">
        <f aca="false">IF(A14 = "", "", IF(E14 = F14, "✔", "✘"))</f>
        <v/>
      </c>
      <c r="H14" s="92" t="n">
        <f aca="false">IFERROR(E14-F14,0)</f>
        <v>0</v>
      </c>
      <c r="I14" s="92" t="n">
        <f aca="true" t="array" ref="I14:I14">SUMPRODUCT(IFERROR(VLOOKUP(ROW(INDIRECT(LEFT(A14,FIND("-",A14)-1)&amp;":"&amp;RIGHT(A14,LEN(A14)-FIND("-",A14)))),'Trial Balance '!$A$5:$H$448,7,FALSE()),0)) + IFERROR(VLOOKUP(A14,'Trial Balance '!$A$5:$H$448, 7, 0), 0)</f>
        <v>0</v>
      </c>
      <c r="J14" s="92" t="n">
        <f aca="false">IFERROR(E14-I14,0)</f>
        <v>0</v>
      </c>
      <c r="K14" s="95" t="str">
        <f aca="false">IF(J14&gt;0,"Ç",IF(J14&lt;0,"È","Æ"))</f>
        <v>Æ</v>
      </c>
      <c r="L14" s="96" t="s">
        <v>597</v>
      </c>
      <c r="M14" s="97" t="n">
        <f aca="false">IFERROR(VLOOKUP(IFERROR(TRIM(LEFT(C14,FIND("(",C14)-2)),C14),rhiddenlinkdata,12,FALSE()),0)</f>
        <v>0</v>
      </c>
      <c r="N14" s="98" t="s">
        <v>598</v>
      </c>
      <c r="O14" s="99" t="n">
        <f aca="false">IFERROR(VLOOKUP(IFERROR(TRIM(LEFT(C14,FIND("(",C14)-2)),C14),rsdcount,2,FALSE()),0)</f>
        <v>0</v>
      </c>
      <c r="P14" s="100" t="str">
        <f aca="false">IFERROR(VLOOKUP(VLOOKUP(IFERROR(LEFT(C14,FIND("(",C14)-2),C14),rhiddenlinkdata,15,FALSE()),jobstatuslookup,2,FALSE()),IFERROR(IF(VLOOKUP(IFERROR(LEFT(C14,FIND("(",C14)-2),C14),rhiddenlinkdata,3,FALSE())=1,"Not started",""),""))</f>
        <v/>
      </c>
      <c r="Q14" s="84"/>
      <c r="R14" s="101"/>
      <c r="T14" s="102"/>
    </row>
    <row r="15" customFormat="false" ht="14.25" hidden="false" customHeight="true" outlineLevel="0" collapsed="false">
      <c r="A15" s="88"/>
      <c r="B15" s="89" t="str">
        <f aca="false">IFERROR(VLOOKUP(A15,'Trial Balance '!$A$5:$H$448, 2, 0), " ")</f>
        <v> </v>
      </c>
      <c r="C15" s="90" t="s">
        <v>596</v>
      </c>
      <c r="D15" s="91"/>
      <c r="E15" s="92" t="n">
        <f aca="true" t="array" ref="E15:E15">SUMPRODUCT(IFERROR(VLOOKUP(ROW(INDIRECT(LEFT(A15,FIND("-",A15)-1)&amp;":"&amp;RIGHT(A15,LEN(A15)-FIND("-",A15)))),'Trial Balance '!$A$5:$H$448,5,FALSE()),0)) - SUMPRODUCT(IFERROR(VLOOKUP(ROW(INDIRECT(LEFT(A15,FIND("-",A15)-1)&amp;":"&amp;RIGHT(A15,LEN(A15)-FIND("-",A15)))),'Trial Balance '!$A$5:$H$448,6,FALSE()),0)) + IFERROR(VLOOKUP(A15,'Trial Balance '!$A$5:$H$448, 5, 0), 0) - IFERROR(VLOOKUP(A15,'Trial Balance '!$A$5:$H$448, 6, 0), 0)</f>
        <v>0</v>
      </c>
      <c r="F15" s="92" t="n">
        <f aca="false">BRC!F96</f>
        <v>0</v>
      </c>
      <c r="G15" s="94" t="str">
        <f aca="false">IF(A15 = "", "", IF(E15 = F15, "✔", "✘"))</f>
        <v/>
      </c>
      <c r="H15" s="92" t="n">
        <f aca="false">IFERROR(E15-F15,0)</f>
        <v>0</v>
      </c>
      <c r="I15" s="92" t="n">
        <f aca="true" t="array" ref="I15:I15">SUMPRODUCT(IFERROR(VLOOKUP(ROW(INDIRECT(LEFT(A15,FIND("-",A15)-1)&amp;":"&amp;RIGHT(A15,LEN(A15)-FIND("-",A15)))),'Trial Balance '!$A$5:$H$448,7,FALSE()),0)) + IFERROR(VLOOKUP(A15,'Trial Balance '!$A$5:$H$448, 7, 0), 0)</f>
        <v>0</v>
      </c>
      <c r="J15" s="92" t="n">
        <f aca="false">IFERROR(E15-I15,0)</f>
        <v>0</v>
      </c>
      <c r="K15" s="95" t="str">
        <f aca="false">IF(J15&gt;0,"Ç",IF(J15&lt;0,"È","Æ"))</f>
        <v>Æ</v>
      </c>
      <c r="L15" s="96" t="s">
        <v>597</v>
      </c>
      <c r="M15" s="97" t="n">
        <f aca="false">IFERROR(VLOOKUP(IFERROR(TRIM(LEFT(C15,FIND("(",C15)-2)),C15),rhiddenlinkdata,12,FALSE()),0)</f>
        <v>0</v>
      </c>
      <c r="N15" s="98" t="s">
        <v>598</v>
      </c>
      <c r="O15" s="99" t="n">
        <f aca="false">IFERROR(VLOOKUP(IFERROR(TRIM(LEFT(C15,FIND("(",C15)-2)),C15),rsdcount,2,FALSE()),0)</f>
        <v>0</v>
      </c>
      <c r="P15" s="100" t="str">
        <f aca="false">IFERROR(VLOOKUP(VLOOKUP(IFERROR(LEFT(C15,FIND("(",C15)-2),C15),rhiddenlinkdata,15,FALSE()),jobstatuslookup,2,FALSE()),IFERROR(IF(VLOOKUP(IFERROR(LEFT(C15,FIND("(",C15)-2),C15),rhiddenlinkdata,3,FALSE())=1,"Not started",""),""))</f>
        <v/>
      </c>
      <c r="Q15" s="84"/>
      <c r="R15" s="101"/>
      <c r="T15" s="102"/>
    </row>
    <row r="16" customFormat="false" ht="14.25" hidden="false" customHeight="true" outlineLevel="0" collapsed="false">
      <c r="A16" s="88"/>
      <c r="B16" s="89" t="str">
        <f aca="false">IFERROR(VLOOKUP(A16,'Trial Balance '!$A$5:$H$448, 2, 0), " ")</f>
        <v> </v>
      </c>
      <c r="C16" s="90" t="s">
        <v>596</v>
      </c>
      <c r="D16" s="91"/>
      <c r="E16" s="92" t="n">
        <f aca="true" t="array" ref="E16:E16">SUMPRODUCT(IFERROR(VLOOKUP(ROW(INDIRECT(LEFT(A16,FIND("-",A16)-1)&amp;":"&amp;RIGHT(A16,LEN(A16)-FIND("-",A16)))),'Trial Balance '!$A$5:$H$448,5,FALSE()),0)) - SUMPRODUCT(IFERROR(VLOOKUP(ROW(INDIRECT(LEFT(A16,FIND("-",A16)-1)&amp;":"&amp;RIGHT(A16,LEN(A16)-FIND("-",A16)))),'Trial Balance '!$A$5:$H$448,6,FALSE()),0)) + IFERROR(VLOOKUP(A16,'Trial Balance '!$A$5:$H$448, 5, 0), 0) - IFERROR(VLOOKUP(A16,'Trial Balance '!$A$5:$H$448, 6, 0), 0)</f>
        <v>0</v>
      </c>
      <c r="F16" s="92" t="n">
        <f aca="false">BRC!F120</f>
        <v>0</v>
      </c>
      <c r="G16" s="94" t="str">
        <f aca="false">IF(A16 = "", "", IF(E16 = F16, "✔", "✘"))</f>
        <v/>
      </c>
      <c r="H16" s="92" t="n">
        <f aca="false">IFERROR(E16-F16,0)</f>
        <v>0</v>
      </c>
      <c r="I16" s="92" t="n">
        <f aca="true" t="array" ref="I16:I16">SUMPRODUCT(IFERROR(VLOOKUP(ROW(INDIRECT(LEFT(A16,FIND("-",A16)-1)&amp;":"&amp;RIGHT(A16,LEN(A16)-FIND("-",A16)))),'Trial Balance '!$A$5:$H$448,7,FALSE()),0)) + IFERROR(VLOOKUP(A16,'Trial Balance '!$A$5:$H$448, 7, 0), 0)</f>
        <v>0</v>
      </c>
      <c r="J16" s="92" t="n">
        <f aca="false">IFERROR(E16-I16,0)</f>
        <v>0</v>
      </c>
      <c r="K16" s="95" t="str">
        <f aca="false">IF(J16&gt;0,"Ç",IF(J16&lt;0,"È","Æ"))</f>
        <v>Æ</v>
      </c>
      <c r="L16" s="96" t="s">
        <v>597</v>
      </c>
      <c r="M16" s="97" t="n">
        <f aca="false">IFERROR(VLOOKUP(IFERROR(TRIM(LEFT(C16,FIND("(",C16)-2)),C16),rhiddenlinkdata,12,FALSE()),0)</f>
        <v>0</v>
      </c>
      <c r="N16" s="98" t="s">
        <v>598</v>
      </c>
      <c r="O16" s="99" t="n">
        <f aca="false">IFERROR(VLOOKUP(IFERROR(TRIM(LEFT(C16,FIND("(",C16)-2)),C16),rsdcount,2,FALSE()),0)</f>
        <v>0</v>
      </c>
      <c r="P16" s="100" t="str">
        <f aca="false">IFERROR(VLOOKUP(VLOOKUP(IFERROR(LEFT(C16,FIND("(",C16)-2),C16),rhiddenlinkdata,15,FALSE()),jobstatuslookup,2,FALSE()),IFERROR(IF(VLOOKUP(IFERROR(LEFT(C16,FIND("(",C16)-2),C16),rhiddenlinkdata,3,FALSE())=1,"Not started",""),""))</f>
        <v/>
      </c>
      <c r="Q16" s="84"/>
      <c r="R16" s="101"/>
      <c r="T16" s="102"/>
    </row>
    <row r="17" customFormat="false" ht="14.25" hidden="false" customHeight="true" outlineLevel="0" collapsed="false">
      <c r="A17" s="88"/>
      <c r="B17" s="89" t="str">
        <f aca="false">IFERROR(VLOOKUP(A17,'Trial Balance '!$A$5:$H$448, 2, 0), " ")</f>
        <v> </v>
      </c>
      <c r="C17" s="90" t="s">
        <v>596</v>
      </c>
      <c r="D17" s="91"/>
      <c r="E17" s="92" t="n">
        <f aca="true" t="array" ref="E17:E17">SUMPRODUCT(IFERROR(VLOOKUP(ROW(INDIRECT(LEFT(A17,FIND("-",A17)-1)&amp;":"&amp;RIGHT(A17,LEN(A17)-FIND("-",A17)))),'Trial Balance '!$A$5:$H$448,5,FALSE()),0)) - SUMPRODUCT(IFERROR(VLOOKUP(ROW(INDIRECT(LEFT(A17,FIND("-",A17)-1)&amp;":"&amp;RIGHT(A17,LEN(A17)-FIND("-",A17)))),'Trial Balance '!$A$5:$H$448,6,FALSE()),0)) + IFERROR(VLOOKUP(A17,'Trial Balance '!$A$5:$H$448, 5, 0), 0) - IFERROR(VLOOKUP(A17,'Trial Balance '!$A$5:$H$448, 6, 0), 0)</f>
        <v>0</v>
      </c>
      <c r="F17" s="92" t="n">
        <f aca="false">BRC!F144</f>
        <v>0</v>
      </c>
      <c r="G17" s="94" t="str">
        <f aca="false">IF(A17 = "", "", IF(E17 = F17, "✔", "✘"))</f>
        <v/>
      </c>
      <c r="H17" s="92" t="n">
        <f aca="false">IFERROR(E17-F17,0)</f>
        <v>0</v>
      </c>
      <c r="I17" s="92" t="n">
        <f aca="true" t="array" ref="I17:I17">SUMPRODUCT(IFERROR(VLOOKUP(ROW(INDIRECT(LEFT(A17,FIND("-",A17)-1)&amp;":"&amp;RIGHT(A17,LEN(A17)-FIND("-",A17)))),'Trial Balance '!$A$5:$H$448,7,FALSE()),0)) + IFERROR(VLOOKUP(A17,'Trial Balance '!$A$5:$H$448, 7, 0), 0)</f>
        <v>0</v>
      </c>
      <c r="J17" s="92" t="n">
        <f aca="false">IFERROR(E17-I17,0)</f>
        <v>0</v>
      </c>
      <c r="K17" s="95" t="str">
        <f aca="false">IF(J17&gt;0,"Ç",IF(J17&lt;0,"È","Æ"))</f>
        <v>Æ</v>
      </c>
      <c r="L17" s="96" t="s">
        <v>597</v>
      </c>
      <c r="M17" s="97" t="n">
        <f aca="false">IFERROR(VLOOKUP(IFERROR(TRIM(LEFT(C17,FIND("(",C17)-2)),C17),rhiddenlinkdata,12,FALSE()),0)</f>
        <v>0</v>
      </c>
      <c r="N17" s="98" t="s">
        <v>598</v>
      </c>
      <c r="O17" s="99" t="n">
        <f aca="false">IFERROR(VLOOKUP(IFERROR(TRIM(LEFT(C17,FIND("(",C17)-2)),C17),rsdcount,2,FALSE()),0)</f>
        <v>0</v>
      </c>
      <c r="P17" s="100" t="str">
        <f aca="false">IFERROR(VLOOKUP(VLOOKUP(IFERROR(LEFT(C17,FIND("(",C17)-2),C17),rhiddenlinkdata,15,FALSE()),jobstatuslookup,2,FALSE()),IFERROR(IF(VLOOKUP(IFERROR(LEFT(C17,FIND("(",C17)-2),C17),rhiddenlinkdata,3,FALSE())=1,"Not started",""),""))</f>
        <v/>
      </c>
      <c r="Q17" s="84"/>
      <c r="R17" s="101"/>
      <c r="T17" s="102"/>
    </row>
    <row r="18" customFormat="false" ht="14.25" hidden="false" customHeight="true" outlineLevel="0" collapsed="false">
      <c r="A18" s="103"/>
      <c r="B18" s="89" t="str">
        <f aca="false">IFERROR(VLOOKUP(A18,'Trial Balance '!$A$5:$H$448, 2, 0), " ")</f>
        <v> </v>
      </c>
      <c r="C18" s="90" t="s">
        <v>599</v>
      </c>
      <c r="D18" s="91"/>
      <c r="E18" s="92" t="n">
        <f aca="true" t="array" ref="E18:E18">SUMPRODUCT(IFERROR(VLOOKUP(ROW(INDIRECT(LEFT(A18,FIND("-",A18)-1)&amp;":"&amp;RIGHT(A18,LEN(A18)-FIND("-",A18)))),'Trial Balance '!$A$5:$H$448,5,FALSE()),0)) - SUMPRODUCT(IFERROR(VLOOKUP(ROW(INDIRECT(LEFT(A18,FIND("-",A18)-1)&amp;":"&amp;RIGHT(A18,LEN(A18)-FIND("-",A18)))),'Trial Balance '!$A$5:$H$448,6,FALSE()),0)) + IFERROR(VLOOKUP(A18,'Trial Balance '!$A$5:$H$448, 5, 0), 0) - IFERROR(VLOOKUP(A18,'Trial Balance '!$A$5:$H$448, 6, 0), 0)</f>
        <v>0</v>
      </c>
      <c r="F18" s="92" t="n">
        <f aca="false">ACR!H15</f>
        <v>0</v>
      </c>
      <c r="G18" s="94" t="str">
        <f aca="false">IF(A18 = "", "", IF(E18 = F18, "✔", "✘"))</f>
        <v/>
      </c>
      <c r="H18" s="92" t="n">
        <f aca="false">IFERROR(E18-F18,0)</f>
        <v>0</v>
      </c>
      <c r="I18" s="92" t="n">
        <f aca="true" t="array" ref="I18:I18">SUMPRODUCT(IFERROR(VLOOKUP(ROW(INDIRECT(LEFT(A18,FIND("-",A18)-1)&amp;":"&amp;RIGHT(A18,LEN(A18)-FIND("-",A18)))),'Trial Balance '!$A$5:$H$448,7,FALSE()),0)) + IFERROR(VLOOKUP(A18,'Trial Balance '!$A$5:$H$448, 7, 0), 0)</f>
        <v>0</v>
      </c>
      <c r="J18" s="92" t="n">
        <f aca="false">IFERROR(E18-I18,0)</f>
        <v>0</v>
      </c>
      <c r="K18" s="95" t="str">
        <f aca="false">IF(J18&gt;0,"Ç",IF(J18&lt;0,"È","Æ"))</f>
        <v>Æ</v>
      </c>
      <c r="L18" s="96" t="s">
        <v>597</v>
      </c>
      <c r="M18" s="97" t="n">
        <f aca="false">IFERROR(VLOOKUP(IFERROR(TRIM(LEFT(C18,FIND("(",C18)-2)),C18),rhiddenlinkdata,12,FALSE()),0)</f>
        <v>0</v>
      </c>
      <c r="N18" s="98" t="s">
        <v>598</v>
      </c>
      <c r="O18" s="99" t="n">
        <f aca="false">IFERROR(VLOOKUP(IFERROR(TRIM(LEFT(C18,FIND("(",C18)-2)),C18),rsdcount,2,FALSE()),0)</f>
        <v>0</v>
      </c>
      <c r="P18" s="100" t="str">
        <f aca="false">IFERROR(VLOOKUP(VLOOKUP(IFERROR(LEFT(C18,FIND("(",C18)-2),C18),rhiddenlinkdata,15,FALSE()),jobstatuslookup,2,FALSE()),IFERROR(IF(VLOOKUP(IFERROR(LEFT(C18,FIND("(",C18)-2),C18),rhiddenlinkdata,3,FALSE())=1,"Not started",""),""))</f>
        <v/>
      </c>
      <c r="Q18" s="84"/>
      <c r="R18" s="101"/>
    </row>
    <row r="19" customFormat="false" ht="14.25" hidden="false" customHeight="true" outlineLevel="0" collapsed="false">
      <c r="A19" s="88"/>
      <c r="B19" s="89" t="str">
        <f aca="false">IFERROR(VLOOKUP(A19,'Trial Balance '!$A$5:$H$448, 2, 0), " ")</f>
        <v> </v>
      </c>
      <c r="C19" s="90" t="s">
        <v>600</v>
      </c>
      <c r="D19" s="91"/>
      <c r="E19" s="92" t="n">
        <f aca="true" t="array" ref="E19:E19">SUMPRODUCT(IFERROR(VLOOKUP(ROW(INDIRECT(LEFT(A19,FIND("-",A19)-1)&amp;":"&amp;RIGHT(A19,LEN(A19)-FIND("-",A19)))),'Trial Balance '!$A$5:$H$448,5,FALSE()),0)) - SUMPRODUCT(IFERROR(VLOOKUP(ROW(INDIRECT(LEFT(A19,FIND("-",A19)-1)&amp;":"&amp;RIGHT(A19,LEN(A19)-FIND("-",A19)))),'Trial Balance '!$A$5:$H$448,6,FALSE()),0)) + IFERROR(VLOOKUP(A19,'Trial Balance '!$A$5:$H$448, 5, 0), 0) - IFERROR(VLOOKUP(A19,'Trial Balance '!$A$5:$H$448, 6, 0), 0)</f>
        <v>0</v>
      </c>
      <c r="F19" s="92" t="n">
        <f aca="false">+OCA!E12</f>
        <v>0</v>
      </c>
      <c r="G19" s="94" t="str">
        <f aca="false">IF(A19 = "", "", IF(E19 = F19, "✔", "✘"))</f>
        <v/>
      </c>
      <c r="H19" s="92" t="n">
        <f aca="false">IFERROR(E19-F19,0)</f>
        <v>0</v>
      </c>
      <c r="I19" s="92" t="n">
        <f aca="true" t="array" ref="I19:I19">SUMPRODUCT(IFERROR(VLOOKUP(ROW(INDIRECT(LEFT(A19,FIND("-",A19)-1)&amp;":"&amp;RIGHT(A19,LEN(A19)-FIND("-",A19)))),'Trial Balance '!$A$5:$H$448,7,FALSE()),0)) + IFERROR(VLOOKUP(A19,'Trial Balance '!$A$5:$H$448, 7, 0), 0)</f>
        <v>0</v>
      </c>
      <c r="J19" s="92" t="n">
        <f aca="false">IFERROR(E19-I19,0)</f>
        <v>0</v>
      </c>
      <c r="K19" s="95" t="str">
        <f aca="false">IF(J19&gt;0,"Ç",IF(J19&lt;0,"È","Æ"))</f>
        <v>Æ</v>
      </c>
      <c r="L19" s="96" t="s">
        <v>597</v>
      </c>
      <c r="M19" s="97" t="n">
        <f aca="false">IFERROR(VLOOKUP(IFERROR(TRIM(LEFT(C19,FIND("(",C19)-2)),C19),rhiddenlinkdata,12,FALSE()),0)</f>
        <v>0</v>
      </c>
      <c r="N19" s="98" t="s">
        <v>598</v>
      </c>
      <c r="O19" s="99" t="n">
        <f aca="false">IFERROR(VLOOKUP(IFERROR(TRIM(LEFT(C19,FIND("(",C19)-2)),C19),rsdcount,2,FALSE()),0)</f>
        <v>0</v>
      </c>
      <c r="P19" s="100" t="str">
        <f aca="false">IFERROR(VLOOKUP(VLOOKUP(IFERROR(LEFT(C19,FIND("(",C19)-2),C19),rhiddenlinkdata,15,FALSE()),jobstatuslookup,2,FALSE()),IFERROR(IF(VLOOKUP(IFERROR(LEFT(C19,FIND("(",C19)-2),C19),rhiddenlinkdata,3,FALSE())=1,"Not started",""),""))</f>
        <v/>
      </c>
      <c r="Q19" s="84"/>
      <c r="R19" s="101"/>
    </row>
    <row r="20" customFormat="false" ht="14.25" hidden="false" customHeight="true" outlineLevel="0" collapsed="false">
      <c r="A20" s="88"/>
      <c r="B20" s="89" t="str">
        <f aca="false">IFERROR(VLOOKUP(A20,'Trial Balance '!$A$5:$H$448, 2, 0), " ")</f>
        <v> </v>
      </c>
      <c r="C20" s="90" t="s">
        <v>600</v>
      </c>
      <c r="D20" s="91"/>
      <c r="E20" s="92" t="n">
        <f aca="true" t="array" ref="E20:E20">SUMPRODUCT(IFERROR(VLOOKUP(ROW(INDIRECT(LEFT(A20,FIND("-",A20)-1)&amp;":"&amp;RIGHT(A20,LEN(A20)-FIND("-",A20)))),'Trial Balance '!$A$5:$H$448,5,FALSE()),0)) - SUMPRODUCT(IFERROR(VLOOKUP(ROW(INDIRECT(LEFT(A20,FIND("-",A20)-1)&amp;":"&amp;RIGHT(A20,LEN(A20)-FIND("-",A20)))),'Trial Balance '!$A$5:$H$448,6,FALSE()),0)) + IFERROR(VLOOKUP(A20,'Trial Balance '!$A$5:$H$448, 5, 0), 0) - IFERROR(VLOOKUP(A20,'Trial Balance '!$A$5:$H$448, 6, 0), 0)</f>
        <v>0</v>
      </c>
      <c r="F20" s="92" t="n">
        <f aca="false">+OCA!E25</f>
        <v>0</v>
      </c>
      <c r="G20" s="94" t="str">
        <f aca="false">IF(A20 = "", "", IF(E20 = F20, "✔", "✘"))</f>
        <v/>
      </c>
      <c r="H20" s="92" t="n">
        <f aca="false">IFERROR(E20-F20,0)</f>
        <v>0</v>
      </c>
      <c r="I20" s="92" t="n">
        <f aca="true" t="array" ref="I20:I20">SUMPRODUCT(IFERROR(VLOOKUP(ROW(INDIRECT(LEFT(A20,FIND("-",A20)-1)&amp;":"&amp;RIGHT(A20,LEN(A20)-FIND("-",A20)))),'Trial Balance '!$A$5:$H$448,7,FALSE()),0)) + IFERROR(VLOOKUP(A20,'Trial Balance '!$A$5:$H$448, 7, 0), 0)</f>
        <v>0</v>
      </c>
      <c r="J20" s="92" t="n">
        <f aca="false">IFERROR(E20-I20,0)</f>
        <v>0</v>
      </c>
      <c r="K20" s="95" t="str">
        <f aca="false">IF(J20&gt;0,"Ç",IF(J20&lt;0,"È","Æ"))</f>
        <v>Æ</v>
      </c>
      <c r="L20" s="96" t="s">
        <v>597</v>
      </c>
      <c r="M20" s="97" t="n">
        <f aca="false">IFERROR(VLOOKUP(IFERROR(TRIM(LEFT(C20,FIND("(",C20)-2)),C20),rhiddenlinkdata,12,FALSE()),0)</f>
        <v>0</v>
      </c>
      <c r="N20" s="98" t="s">
        <v>598</v>
      </c>
      <c r="O20" s="99" t="n">
        <f aca="false">IFERROR(VLOOKUP(IFERROR(TRIM(LEFT(C20,FIND("(",C20)-2)),C20),rsdcount,2,FALSE()),0)</f>
        <v>0</v>
      </c>
      <c r="P20" s="100" t="str">
        <f aca="false">IFERROR(VLOOKUP(VLOOKUP(IFERROR(LEFT(C20,FIND("(",C20)-2),C20),rhiddenlinkdata,15,FALSE()),jobstatuslookup,2,FALSE()),IFERROR(IF(VLOOKUP(IFERROR(LEFT(C20,FIND("(",C20)-2),C20),rhiddenlinkdata,3,FALSE())=1,"Not started",""),""))</f>
        <v/>
      </c>
      <c r="Q20" s="84"/>
      <c r="R20" s="101"/>
    </row>
    <row r="21" customFormat="false" ht="14.25" hidden="false" customHeight="true" outlineLevel="0" collapsed="false">
      <c r="A21" s="88"/>
      <c r="B21" s="89" t="str">
        <f aca="false">IFERROR(VLOOKUP(A21,'Trial Balance '!$A$5:$H$448, 2, 0), " ")</f>
        <v> </v>
      </c>
      <c r="C21" s="90" t="s">
        <v>600</v>
      </c>
      <c r="D21" s="91"/>
      <c r="E21" s="92" t="n">
        <f aca="true" t="array" ref="E21:E21">SUMPRODUCT(IFERROR(VLOOKUP(ROW(INDIRECT(LEFT(A21,FIND("-",A21)-1)&amp;":"&amp;RIGHT(A21,LEN(A21)-FIND("-",A21)))),'Trial Balance '!$A$5:$H$448,5,FALSE()),0)) - SUMPRODUCT(IFERROR(VLOOKUP(ROW(INDIRECT(LEFT(A21,FIND("-",A21)-1)&amp;":"&amp;RIGHT(A21,LEN(A21)-FIND("-",A21)))),'Trial Balance '!$A$5:$H$448,6,FALSE()),0)) + IFERROR(VLOOKUP(A21,'Trial Balance '!$A$5:$H$448, 5, 0), 0) - IFERROR(VLOOKUP(A21,'Trial Balance '!$A$5:$H$448, 6, 0), 0)</f>
        <v>0</v>
      </c>
      <c r="F21" s="92" t="n">
        <f aca="false">+OCA!E37</f>
        <v>0</v>
      </c>
      <c r="G21" s="94" t="str">
        <f aca="false">IF(A21 = "", "", IF(E21 = F21, "✔", "✘"))</f>
        <v/>
      </c>
      <c r="H21" s="92" t="n">
        <f aca="false">IFERROR(E21-F21,0)</f>
        <v>0</v>
      </c>
      <c r="I21" s="92" t="n">
        <f aca="true" t="array" ref="I21:I21">SUMPRODUCT(IFERROR(VLOOKUP(ROW(INDIRECT(LEFT(A21,FIND("-",A21)-1)&amp;":"&amp;RIGHT(A21,LEN(A21)-FIND("-",A21)))),'Trial Balance '!$A$5:$H$448,7,FALSE()),0)) + IFERROR(VLOOKUP(A21,'Trial Balance '!$A$5:$H$448, 7, 0), 0)</f>
        <v>0</v>
      </c>
      <c r="J21" s="92" t="n">
        <f aca="false">IFERROR(E21-I21,0)</f>
        <v>0</v>
      </c>
      <c r="K21" s="95" t="str">
        <f aca="false">IF(J21&gt;0,"Ç",IF(J21&lt;0,"È","Æ"))</f>
        <v>Æ</v>
      </c>
      <c r="L21" s="96" t="s">
        <v>597</v>
      </c>
      <c r="M21" s="97" t="n">
        <f aca="false">IFERROR(VLOOKUP(C21,rhiddenlinkdata,12,FALSE()),0)</f>
        <v>0</v>
      </c>
      <c r="N21" s="98" t="s">
        <v>598</v>
      </c>
      <c r="O21" s="99" t="n">
        <f aca="false">IFERROR(VLOOKUP(IFERROR(TRIM(LEFT(C21,FIND("(",C21)-2)),C21),rsdcount,2,FALSE()),0)</f>
        <v>0</v>
      </c>
      <c r="P21" s="100" t="str">
        <f aca="false">IFERROR(VLOOKUP(VLOOKUP(IFERROR(LEFT(C21,FIND("(",C21)-2),C21),rhiddenlinkdata,15,FALSE()),jobstatuslookup,2,FALSE()),IFERROR(IF(VLOOKUP(IFERROR(LEFT(C21,FIND("(",C21)-2),C21),rhiddenlinkdata,3,FALSE())=1,"Not started",""),""))</f>
        <v/>
      </c>
      <c r="Q21" s="84"/>
      <c r="R21" s="101"/>
    </row>
    <row r="22" customFormat="false" ht="14.25" hidden="false" customHeight="true" outlineLevel="0" collapsed="false">
      <c r="A22" s="88"/>
      <c r="B22" s="89" t="str">
        <f aca="false">IFERROR(VLOOKUP(A22,'Trial Balance '!$A$5:$H$448, 2, 0), " ")</f>
        <v> </v>
      </c>
      <c r="C22" s="90" t="s">
        <v>600</v>
      </c>
      <c r="D22" s="91"/>
      <c r="E22" s="92" t="n">
        <f aca="true" t="array" ref="E22:E22">SUMPRODUCT(IFERROR(VLOOKUP(ROW(INDIRECT(LEFT(A22,FIND("-",A22)-1)&amp;":"&amp;RIGHT(A22,LEN(A22)-FIND("-",A22)))),'Trial Balance '!$A$5:$H$448,5,FALSE()),0)) - SUMPRODUCT(IFERROR(VLOOKUP(ROW(INDIRECT(LEFT(A22,FIND("-",A22)-1)&amp;":"&amp;RIGHT(A22,LEN(A22)-FIND("-",A22)))),'Trial Balance '!$A$5:$H$448,6,FALSE()),0)) + IFERROR(VLOOKUP(A22,'Trial Balance '!$A$5:$H$448, 5, 0), 0) - IFERROR(VLOOKUP(A22,'Trial Balance '!$A$5:$H$448, 6, 0), 0)</f>
        <v>0</v>
      </c>
      <c r="F22" s="92" t="n">
        <f aca="false">+OCA!E49</f>
        <v>0</v>
      </c>
      <c r="G22" s="94" t="str">
        <f aca="false">IF(A22 = "", "", IF(E22 = F22, "✔", "✘"))</f>
        <v/>
      </c>
      <c r="H22" s="92" t="n">
        <f aca="false">IFERROR(E22-F22,0)</f>
        <v>0</v>
      </c>
      <c r="I22" s="92" t="n">
        <f aca="true" t="array" ref="I22:I22">SUMPRODUCT(IFERROR(VLOOKUP(ROW(INDIRECT(LEFT(A22,FIND("-",A22)-1)&amp;":"&amp;RIGHT(A22,LEN(A22)-FIND("-",A22)))),'Trial Balance '!$A$5:$H$448,7,FALSE()),0)) + IFERROR(VLOOKUP(A22,'Trial Balance '!$A$5:$H$448, 7, 0), 0)</f>
        <v>0</v>
      </c>
      <c r="J22" s="92" t="n">
        <f aca="false">IFERROR(E22-I22,0)</f>
        <v>0</v>
      </c>
      <c r="K22" s="95" t="str">
        <f aca="false">IF(J22&gt;0,"Ç",IF(J22&lt;0,"È","Æ"))</f>
        <v>Æ</v>
      </c>
      <c r="L22" s="96" t="s">
        <v>597</v>
      </c>
      <c r="M22" s="97" t="n">
        <f aca="false">IFERROR(VLOOKUP(C22,rhiddenlinkdata,12,FALSE()),0)</f>
        <v>0</v>
      </c>
      <c r="N22" s="98" t="s">
        <v>598</v>
      </c>
      <c r="O22" s="99" t="n">
        <v>0</v>
      </c>
      <c r="P22" s="100"/>
      <c r="Q22" s="84"/>
      <c r="R22" s="101"/>
    </row>
    <row r="23" customFormat="false" ht="14.25" hidden="false" customHeight="true" outlineLevel="0" collapsed="false">
      <c r="A23" s="88"/>
      <c r="B23" s="89" t="str">
        <f aca="false">IFERROR(VLOOKUP(A23,'Trial Balance '!$A$5:$H$448, 2, 0), " ")</f>
        <v> </v>
      </c>
      <c r="C23" s="90" t="s">
        <v>600</v>
      </c>
      <c r="D23" s="91"/>
      <c r="E23" s="92" t="n">
        <f aca="true" t="array" ref="E23:E23">SUMPRODUCT(IFERROR(VLOOKUP(ROW(INDIRECT(LEFT(A23,FIND("-",A23)-1)&amp;":"&amp;RIGHT(A23,LEN(A23)-FIND("-",A23)))),'Trial Balance '!$A$5:$H$448,5,FALSE()),0)) - SUMPRODUCT(IFERROR(VLOOKUP(ROW(INDIRECT(LEFT(A23,FIND("-",A23)-1)&amp;":"&amp;RIGHT(A23,LEN(A23)-FIND("-",A23)))),'Trial Balance '!$A$5:$H$448,6,FALSE()),0)) + IFERROR(VLOOKUP(A23,'Trial Balance '!$A$5:$H$448, 5, 0), 0) - IFERROR(VLOOKUP(A23,'Trial Balance '!$A$5:$H$448, 6, 0), 0)</f>
        <v>0</v>
      </c>
      <c r="F23" s="92" t="n">
        <f aca="false">+OCA!E61</f>
        <v>0</v>
      </c>
      <c r="G23" s="94" t="str">
        <f aca="false">IF(A23 = "", "", IF(E23 = F23, "✔", "✘"))</f>
        <v/>
      </c>
      <c r="H23" s="92" t="n">
        <f aca="false">IFERROR(E23-F23,0)</f>
        <v>0</v>
      </c>
      <c r="I23" s="92" t="n">
        <f aca="true" t="array" ref="I23:I23">SUMPRODUCT(IFERROR(VLOOKUP(ROW(INDIRECT(LEFT(A23,FIND("-",A23)-1)&amp;":"&amp;RIGHT(A23,LEN(A23)-FIND("-",A23)))),'Trial Balance '!$A$5:$H$448,7,FALSE()),0)) + IFERROR(VLOOKUP(A23,'Trial Balance '!$A$5:$H$448, 7, 0), 0)</f>
        <v>0</v>
      </c>
      <c r="J23" s="92" t="n">
        <f aca="false">IFERROR(E23-I23,0)</f>
        <v>0</v>
      </c>
      <c r="K23" s="95" t="str">
        <f aca="false">IF(J23&gt;0,"Ç",IF(J23&lt;0,"È","Æ"))</f>
        <v>Æ</v>
      </c>
      <c r="L23" s="96" t="s">
        <v>597</v>
      </c>
      <c r="M23" s="97" t="n">
        <f aca="false">IFERROR(VLOOKUP(C23,rhiddenlinkdata,12,FALSE()),0)</f>
        <v>0</v>
      </c>
      <c r="N23" s="98" t="s">
        <v>598</v>
      </c>
      <c r="O23" s="99" t="n">
        <f aca="false">IFERROR(VLOOKUP(IFERROR(TRIM(LEFT(C23,FIND("(",C23)-2)),C23),rsdcount,2,FALSE()),0)</f>
        <v>0</v>
      </c>
      <c r="P23" s="100" t="str">
        <f aca="false">IFERROR(VLOOKUP(VLOOKUP(IFERROR(LEFT(C23,FIND("(",C23)-2),C23),rhiddenlinkdata,15,FALSE()),jobstatuslookup,2,FALSE()),IFERROR(IF(VLOOKUP(IFERROR(LEFT(C23,FIND("(",C23)-2),C23),rhiddenlinkdata,3,FALSE())=1,"Not started",""),""))</f>
        <v/>
      </c>
      <c r="Q23" s="84"/>
      <c r="R23" s="101"/>
    </row>
    <row r="24" customFormat="false" ht="14.25" hidden="false" customHeight="true" outlineLevel="0" collapsed="false">
      <c r="A24" s="88"/>
      <c r="B24" s="89" t="str">
        <f aca="false">IFERROR(VLOOKUP(A24,'Trial Balance '!$A$5:$H$448, 2, 0), " ")</f>
        <v> </v>
      </c>
      <c r="C24" s="90" t="s">
        <v>601</v>
      </c>
      <c r="D24" s="91"/>
      <c r="E24" s="92" t="n">
        <f aca="true" t="array" ref="E24:E24">SUMPRODUCT(IFERROR(VLOOKUP(ROW(INDIRECT(LEFT(A24,FIND("-",A24)-1)&amp;":"&amp;RIGHT(A24,LEN(A24)-FIND("-",A24)))),'Trial Balance '!$A$5:$H$448,5,FALSE()),0)) - SUMPRODUCT(IFERROR(VLOOKUP(ROW(INDIRECT(LEFT(A24,FIND("-",A24)-1)&amp;":"&amp;RIGHT(A24,LEN(A24)-FIND("-",A24)))),'Trial Balance '!$A$5:$H$448,6,FALSE()),0)) + IFERROR(VLOOKUP(A24,'Trial Balance '!$A$5:$H$448, 5, 0), 0) - IFERROR(VLOOKUP(A24,'Trial Balance '!$A$5:$H$448, 6, 0), 0)</f>
        <v>0</v>
      </c>
      <c r="F24" s="92" t="n">
        <f aca="false">OAS!E19</f>
        <v>0</v>
      </c>
      <c r="G24" s="94" t="str">
        <f aca="false">IF(A24 = "", "", IF(E24 = F24, "✔", "✘"))</f>
        <v/>
      </c>
      <c r="H24" s="92" t="n">
        <f aca="false">IFERROR(E24-F24,0)</f>
        <v>0</v>
      </c>
      <c r="I24" s="92" t="n">
        <f aca="true" t="array" ref="I24:I24">SUMPRODUCT(IFERROR(VLOOKUP(ROW(INDIRECT(LEFT(A24,FIND("-",A24)-1)&amp;":"&amp;RIGHT(A24,LEN(A24)-FIND("-",A24)))),'Trial Balance '!$A$5:$H$448,7,FALSE()),0)) + IFERROR(VLOOKUP(A24,'Trial Balance '!$A$5:$H$448, 7, 0), 0)</f>
        <v>0</v>
      </c>
      <c r="J24" s="92" t="n">
        <f aca="false">IFERROR(E24-I24,0)</f>
        <v>0</v>
      </c>
      <c r="K24" s="95" t="str">
        <f aca="false">IF(J24&lt;0,"Ç",IF(J24&gt;0,"È","Æ"))</f>
        <v>Æ</v>
      </c>
      <c r="L24" s="96" t="s">
        <v>597</v>
      </c>
      <c r="M24" s="97" t="n">
        <f aca="false">IFERROR(VLOOKUP(IFERROR(TRIM(LEFT(C24,FIND("(",C24)-2)),C24),rhiddenlinkdata,12,FALSE()),0)</f>
        <v>0</v>
      </c>
      <c r="N24" s="98" t="s">
        <v>598</v>
      </c>
      <c r="O24" s="99" t="n">
        <v>0</v>
      </c>
      <c r="P24" s="100" t="str">
        <f aca="false">IFERROR(VLOOKUP(VLOOKUP(IFERROR(LEFT(C24,FIND("(",C24)-2),C24),rhiddenlinkdata,15,FALSE()),jobstatuslookup,2,FALSE()),IFERROR(IF(VLOOKUP(IFERROR(LEFT(C24,FIND("(",C24)-2),C24),rhiddenlinkdata,3,FALSE())=1,"Not started",""),""))</f>
        <v/>
      </c>
      <c r="Q24" s="84"/>
      <c r="R24" s="101"/>
    </row>
    <row r="25" customFormat="false" ht="14.25" hidden="false" customHeight="true" outlineLevel="0" collapsed="false">
      <c r="A25" s="69"/>
      <c r="B25" s="69" t="s">
        <v>602</v>
      </c>
      <c r="C25" s="69"/>
      <c r="D25" s="69"/>
      <c r="E25" s="92" t="n">
        <f aca="false">SUM(E12:E24)</f>
        <v>0</v>
      </c>
      <c r="F25" s="69"/>
      <c r="G25" s="69"/>
      <c r="H25" s="69"/>
      <c r="I25" s="69"/>
      <c r="J25" s="69"/>
      <c r="K25" s="69"/>
      <c r="L25" s="69"/>
      <c r="M25" s="69"/>
      <c r="N25" s="69"/>
      <c r="O25" s="69"/>
      <c r="P25" s="69"/>
      <c r="Q25" s="77"/>
    </row>
    <row r="26" customFormat="false" ht="12.75" hidden="false" customHeight="false" outlineLevel="0" collapsed="false">
      <c r="E26" s="104"/>
      <c r="Q26" s="77"/>
    </row>
    <row r="27" customFormat="false" ht="12.75" hidden="false" customHeight="false" outlineLevel="0" collapsed="false">
      <c r="A27" s="69"/>
      <c r="B27" s="69"/>
      <c r="C27" s="69"/>
      <c r="D27" s="69"/>
      <c r="E27" s="70"/>
      <c r="F27" s="69"/>
      <c r="G27" s="69"/>
      <c r="H27" s="69"/>
      <c r="I27" s="69"/>
      <c r="J27" s="69"/>
      <c r="K27" s="69"/>
      <c r="L27" s="69"/>
      <c r="M27" s="69"/>
      <c r="N27" s="69"/>
      <c r="O27" s="69"/>
      <c r="P27" s="69"/>
      <c r="Q27" s="69"/>
    </row>
    <row r="28" customFormat="false" ht="27.75" hidden="false" customHeight="true" outlineLevel="0" collapsed="false">
      <c r="A28" s="65" t="s">
        <v>603</v>
      </c>
      <c r="B28" s="65"/>
      <c r="C28" s="65"/>
      <c r="D28" s="65"/>
      <c r="E28" s="66"/>
      <c r="F28" s="65"/>
      <c r="G28" s="65"/>
      <c r="H28" s="65"/>
      <c r="I28" s="65"/>
      <c r="J28" s="65"/>
      <c r="K28" s="65"/>
      <c r="L28" s="65"/>
      <c r="M28" s="65"/>
      <c r="N28" s="65"/>
      <c r="O28" s="68"/>
      <c r="P28" s="68"/>
      <c r="Q28" s="68"/>
    </row>
    <row r="29" customFormat="false" ht="12.75" hidden="false" customHeight="false" outlineLevel="0" collapsed="false">
      <c r="A29" s="69"/>
      <c r="B29" s="69"/>
      <c r="C29" s="69"/>
      <c r="D29" s="69"/>
      <c r="E29" s="70"/>
      <c r="F29" s="69"/>
      <c r="G29" s="69"/>
      <c r="H29" s="69"/>
      <c r="I29" s="69"/>
      <c r="J29" s="69"/>
      <c r="K29" s="69"/>
      <c r="L29" s="69"/>
      <c r="M29" s="69"/>
      <c r="N29" s="69"/>
      <c r="O29" s="69"/>
      <c r="P29" s="69"/>
      <c r="Q29" s="71"/>
    </row>
    <row r="30" customFormat="false" ht="18" hidden="false" customHeight="true" outlineLevel="0" collapsed="false">
      <c r="E30" s="73" t="s">
        <v>584</v>
      </c>
      <c r="F30" s="73"/>
      <c r="G30" s="73"/>
      <c r="H30" s="73"/>
      <c r="I30" s="73" t="s">
        <v>585</v>
      </c>
      <c r="J30" s="73"/>
      <c r="K30" s="73"/>
      <c r="L30" s="74"/>
      <c r="M30" s="75"/>
      <c r="N30" s="76"/>
      <c r="O30" s="75"/>
      <c r="Q30" s="77"/>
    </row>
    <row r="31" customFormat="false" ht="15" hidden="false" customHeight="true" outlineLevel="0" collapsed="false">
      <c r="A31" s="78" t="s">
        <v>586</v>
      </c>
      <c r="B31" s="78" t="s">
        <v>12</v>
      </c>
      <c r="C31" s="78" t="s">
        <v>587</v>
      </c>
      <c r="D31" s="78"/>
      <c r="E31" s="79" t="s">
        <v>588</v>
      </c>
      <c r="F31" s="78" t="s">
        <v>589</v>
      </c>
      <c r="G31" s="78" t="s">
        <v>590</v>
      </c>
      <c r="H31" s="78" t="s">
        <v>591</v>
      </c>
      <c r="I31" s="81" t="s">
        <v>592</v>
      </c>
      <c r="J31" s="78" t="s">
        <v>591</v>
      </c>
      <c r="K31" s="78"/>
      <c r="L31" s="82" t="s">
        <v>593</v>
      </c>
      <c r="M31" s="82"/>
      <c r="N31" s="83" t="s">
        <v>594</v>
      </c>
      <c r="O31" s="83"/>
      <c r="P31" s="78" t="s">
        <v>595</v>
      </c>
      <c r="Q31" s="84"/>
    </row>
    <row r="32" customFormat="false" ht="12.75" hidden="false" customHeight="false" outlineLevel="0" collapsed="false">
      <c r="A32" s="85"/>
      <c r="B32" s="85"/>
      <c r="C32" s="85"/>
      <c r="D32" s="85"/>
      <c r="E32" s="86"/>
      <c r="F32" s="85"/>
      <c r="G32" s="85"/>
      <c r="H32" s="85"/>
      <c r="I32" s="85"/>
      <c r="J32" s="85"/>
      <c r="K32" s="85"/>
      <c r="P32" s="85"/>
      <c r="Q32" s="77"/>
    </row>
    <row r="33" customFormat="false" ht="14.25" hidden="false" customHeight="true" outlineLevel="0" collapsed="false">
      <c r="A33" s="88"/>
      <c r="B33" s="89" t="str">
        <f aca="false">IFERROR(VLOOKUP(A33,'Trial Balance '!$A$5:$H$448, 2, 0), " ")</f>
        <v> </v>
      </c>
      <c r="C33" s="90" t="s">
        <v>604</v>
      </c>
      <c r="D33" s="105"/>
      <c r="E33" s="92" t="n">
        <f aca="true" t="array" ref="E33:E33">SUMPRODUCT(IFERROR(VLOOKUP(ROW(INDIRECT(LEFT(A33,FIND("-",A33)-1)&amp;":"&amp;RIGHT(A33,LEN(A33)-FIND("-",A33)))),'Trial Balance '!$A$5:$H$448,5,FALSE()),0)) - SUMPRODUCT(IFERROR(VLOOKUP(ROW(INDIRECT(LEFT(A33,FIND("-",A33)-1)&amp;":"&amp;RIGHT(A33,LEN(A33)-FIND("-",A33)))),'Trial Balance '!$A$5:$H$448,6,FALSE()),0)) + IFERROR(VLOOKUP(A33,'Trial Balance '!$A$5:$H$448, 5, 0), 0) - IFERROR(VLOOKUP(A33,'Trial Balance '!$A$5:$H$448, 6, 0), 0)</f>
        <v>0</v>
      </c>
      <c r="F33" s="92" t="n">
        <f aca="false">GRC!L105</f>
        <v>0</v>
      </c>
      <c r="G33" s="94" t="str">
        <f aca="false">IF(A33 = "", "", IF(E33 = F33, "✔", "✘"))</f>
        <v/>
      </c>
      <c r="H33" s="92" t="n">
        <f aca="false">IFERROR(E33-F33,0)</f>
        <v>0</v>
      </c>
      <c r="I33" s="92" t="n">
        <f aca="true" t="array" ref="I33:I33">SUMPRODUCT(IFERROR(VLOOKUP(ROW(INDIRECT(LEFT(A33,FIND("-",A33)-1)&amp;":"&amp;RIGHT(A33,LEN(A33)-FIND("-",A33)))),'Trial Balance '!$A$5:$H$448,7,FALSE()),0)) + IFERROR(VLOOKUP(A33,'Trial Balance '!$A$5:$H$448, 7, 0), 0)</f>
        <v>0</v>
      </c>
      <c r="J33" s="92" t="n">
        <f aca="false">IFERROR(E33-I33,0)</f>
        <v>0</v>
      </c>
      <c r="K33" s="106" t="str">
        <f aca="false">IF(J33&lt;0,"Ç",IF(J33&gt;0,"È","Æ"))</f>
        <v>Æ</v>
      </c>
      <c r="L33" s="107" t="s">
        <v>597</v>
      </c>
      <c r="M33" s="97" t="n">
        <f aca="false">IFERROR(VLOOKUP(IFERROR(TRIM(LEFT(C33,FIND("(",C33)-2)),C33),rhiddenlinkdata,12,FALSE()),0)</f>
        <v>0</v>
      </c>
      <c r="N33" s="98" t="s">
        <v>598</v>
      </c>
      <c r="O33" s="99" t="n">
        <v>0</v>
      </c>
      <c r="P33" s="100"/>
      <c r="Q33" s="84"/>
      <c r="R33" s="101"/>
    </row>
    <row r="34" customFormat="false" ht="14.25" hidden="false" customHeight="true" outlineLevel="0" collapsed="false">
      <c r="A34" s="103"/>
      <c r="B34" s="89" t="str">
        <f aca="false">IFERROR(VLOOKUP(A34,'Trial Balance '!$A$5:$H$448, 2, 0), " ")</f>
        <v> </v>
      </c>
      <c r="C34" s="90" t="s">
        <v>605</v>
      </c>
      <c r="D34" s="105"/>
      <c r="E34" s="92" t="n">
        <f aca="true" t="array" ref="E34:E34">SUMPRODUCT(IFERROR(VLOOKUP(ROW(INDIRECT(LEFT(A34,FIND("-",A34)-1)&amp;":"&amp;RIGHT(A34,LEN(A34)-FIND("-",A34)))),'Trial Balance '!$A$5:$H$448,5,FALSE()),0)) - SUMPRODUCT(IFERROR(VLOOKUP(ROW(INDIRECT(LEFT(A34,FIND("-",A34)-1)&amp;":"&amp;RIGHT(A34,LEN(A34)-FIND("-",A34)))),'Trial Balance '!$A$5:$H$448,6,FALSE()),0)) + IFERROR(VLOOKUP(A34,'Trial Balance '!$A$5:$H$448, 5, 0), 0) - IFERROR(VLOOKUP(A34,'Trial Balance '!$A$5:$H$448, 6, 0), 0)</f>
        <v>0</v>
      </c>
      <c r="F34" s="92" t="n">
        <f aca="false">+ACP!H15</f>
        <v>0</v>
      </c>
      <c r="G34" s="94" t="str">
        <f aca="false">IF(A34 = "", "", IF(E34 = F34, "✔", "✘"))</f>
        <v/>
      </c>
      <c r="H34" s="92" t="n">
        <f aca="false">IFERROR(E34-F34,0)</f>
        <v>0</v>
      </c>
      <c r="I34" s="92" t="n">
        <f aca="true" t="array" ref="I34:I34">SUMPRODUCT(IFERROR(VLOOKUP(ROW(INDIRECT(LEFT(A34,FIND("-",A34)-1)&amp;":"&amp;RIGHT(A34,LEN(A34)-FIND("-",A34)))),'Trial Balance '!$A$5:$H$448,7,FALSE()),0)) + IFERROR(VLOOKUP(A34,'Trial Balance '!$A$5:$H$448, 7, 0), 0)</f>
        <v>0</v>
      </c>
      <c r="J34" s="92" t="n">
        <f aca="false">IFERROR(E34-I34,0)</f>
        <v>0</v>
      </c>
      <c r="K34" s="106" t="str">
        <f aca="false">IF(J34&lt;0,"Ç",IF(J34&gt;0,"È","Æ"))</f>
        <v>Æ</v>
      </c>
      <c r="L34" s="107" t="s">
        <v>597</v>
      </c>
      <c r="M34" s="97" t="n">
        <f aca="false">IFERROR(VLOOKUP(IFERROR(TRIM(LEFT(C34,FIND("(",C34)-2)),C34),rhiddenlinkdata,12,FALSE()),0)</f>
        <v>0</v>
      </c>
      <c r="N34" s="98" t="s">
        <v>598</v>
      </c>
      <c r="O34" s="99" t="n">
        <v>0</v>
      </c>
      <c r="P34" s="100"/>
      <c r="Q34" s="84"/>
      <c r="R34" s="101"/>
    </row>
    <row r="35" customFormat="false" ht="14.25" hidden="false" customHeight="true" outlineLevel="0" collapsed="false">
      <c r="A35" s="103"/>
      <c r="B35" s="89" t="str">
        <f aca="false">IFERROR(VLOOKUP(A35,'Trial Balance '!$A$5:$H$448, 2, 0), " ")</f>
        <v> </v>
      </c>
      <c r="C35" s="90" t="s">
        <v>606</v>
      </c>
      <c r="D35" s="105"/>
      <c r="E35" s="92" t="n">
        <f aca="true" t="array" ref="E35:E35">SUMPRODUCT(IFERROR(VLOOKUP(ROW(INDIRECT(LEFT(A35,FIND("-",A35)-1)&amp;":"&amp;RIGHT(A35,LEN(A35)-FIND("-",A35)))),'Trial Balance '!$A$5:$H$448,5,FALSE()),0)) - SUMPRODUCT(IFERROR(VLOOKUP(ROW(INDIRECT(LEFT(A35,FIND("-",A35)-1)&amp;":"&amp;RIGHT(A35,LEN(A35)-FIND("-",A35)))),'Trial Balance '!$A$5:$H$448,6,FALSE()),0)) + IFERROR(VLOOKUP(A35,'Trial Balance '!$A$5:$H$448, 5, 0), 0) - IFERROR(VLOOKUP(A35,'Trial Balance '!$A$5:$H$448, 6, 0), 0)</f>
        <v>0</v>
      </c>
      <c r="F35" s="92" t="n">
        <f aca="false">+OCL!E17</f>
        <v>0</v>
      </c>
      <c r="G35" s="94" t="str">
        <f aca="false">IF(A35 = "", "", IF(E35 = F35, "✔", "✘"))</f>
        <v/>
      </c>
      <c r="H35" s="92" t="n">
        <f aca="false">IFERROR(E35-F35,0)</f>
        <v>0</v>
      </c>
      <c r="I35" s="92" t="n">
        <f aca="true" t="array" ref="I35:I35">SUMPRODUCT(IFERROR(VLOOKUP(ROW(INDIRECT(LEFT(A35,FIND("-",A35)-1)&amp;":"&amp;RIGHT(A35,LEN(A35)-FIND("-",A35)))),'Trial Balance '!$A$5:$H$448,7,FALSE()),0)) + IFERROR(VLOOKUP(A35,'Trial Balance '!$A$5:$H$448, 7, 0), 0)</f>
        <v>0</v>
      </c>
      <c r="J35" s="92" t="n">
        <f aca="false">IFERROR(E35-I35,0)</f>
        <v>0</v>
      </c>
      <c r="K35" s="106" t="str">
        <f aca="false">IF(J35&lt;0,"Ç",IF(J35&gt;0,"È","Æ"))</f>
        <v>Æ</v>
      </c>
      <c r="L35" s="107" t="s">
        <v>597</v>
      </c>
      <c r="M35" s="97" t="n">
        <f aca="false">IFERROR(VLOOKUP(IFERROR(TRIM(LEFT(C35,FIND("(",C35)-2)),C35),rhiddenlinkdata,12,FALSE()),0)</f>
        <v>0</v>
      </c>
      <c r="N35" s="98" t="s">
        <v>598</v>
      </c>
      <c r="O35" s="99" t="n">
        <v>0</v>
      </c>
      <c r="P35" s="100"/>
      <c r="Q35" s="84"/>
      <c r="R35" s="101"/>
    </row>
    <row r="36" customFormat="false" ht="14.25" hidden="false" customHeight="true" outlineLevel="0" collapsed="false">
      <c r="A36" s="88"/>
      <c r="B36" s="89" t="str">
        <f aca="false">IFERROR(VLOOKUP(A36,'Trial Balance '!$A$5:$H$448, 2, 0), " ")</f>
        <v> </v>
      </c>
      <c r="C36" s="90" t="s">
        <v>554</v>
      </c>
      <c r="D36" s="105"/>
      <c r="E36" s="92" t="n">
        <f aca="true" t="array" ref="E36:E36">SUMPRODUCT(IFERROR(VLOOKUP(ROW(INDIRECT(LEFT(A36,FIND("-",A36)-1)&amp;":"&amp;RIGHT(A36,LEN(A36)-FIND("-",A36)))),'Trial Balance '!$A$5:$H$448,5,FALSE()),0)) - SUMPRODUCT(IFERROR(VLOOKUP(ROW(INDIRECT(LEFT(A36,FIND("-",A36)-1)&amp;":"&amp;RIGHT(A36,LEN(A36)-FIND("-",A36)))),'Trial Balance '!$A$5:$H$448,6,FALSE()),0)) + IFERROR(VLOOKUP(A36,'Trial Balance '!$A$5:$H$448, 5, 0), 0) - IFERROR(VLOOKUP(A36,'Trial Balance '!$A$5:$H$448, 6, 0), 0)</f>
        <v>0</v>
      </c>
      <c r="F36" s="92" t="n">
        <f aca="false">+ITD!J59</f>
        <v>-0</v>
      </c>
      <c r="G36" s="94" t="str">
        <f aca="false">IF(A36 = "", "", IF(E36 = F36, "✔", "✘"))</f>
        <v/>
      </c>
      <c r="H36" s="92" t="n">
        <f aca="false">IFERROR(E36-F36,0)</f>
        <v>0</v>
      </c>
      <c r="I36" s="92" t="n">
        <f aca="true" t="array" ref="I36:I36">SUMPRODUCT(IFERROR(VLOOKUP(ROW(INDIRECT(LEFT(A36,FIND("-",A36)-1)&amp;":"&amp;RIGHT(A36,LEN(A36)-FIND("-",A36)))),'Trial Balance '!$A$5:$H$448,7,FALSE()),0)) + IFERROR(VLOOKUP(A36,'Trial Balance '!$A$5:$H$448, 7, 0), 0)</f>
        <v>0</v>
      </c>
      <c r="J36" s="92" t="n">
        <f aca="false">IFERROR(E36-I36,0)</f>
        <v>0</v>
      </c>
      <c r="K36" s="106" t="str">
        <f aca="false">IF(J36&lt;0,"Ç",IF(J36&gt;0,"È","Æ"))</f>
        <v>Æ</v>
      </c>
      <c r="L36" s="107" t="s">
        <v>597</v>
      </c>
      <c r="M36" s="97" t="n">
        <f aca="false">IFERROR(VLOOKUP(IFERROR(TRIM(LEFT(C36,FIND("(",C36)-2)),C36),rhiddenlinkdata,12,FALSE()),0)</f>
        <v>0</v>
      </c>
      <c r="N36" s="98" t="s">
        <v>598</v>
      </c>
      <c r="O36" s="99" t="n">
        <v>0</v>
      </c>
      <c r="P36" s="100"/>
      <c r="Q36" s="84"/>
      <c r="R36" s="101"/>
    </row>
    <row r="37" customFormat="false" ht="14.25" hidden="false" customHeight="true" outlineLevel="0" collapsed="false">
      <c r="A37" s="88"/>
      <c r="B37" s="89" t="str">
        <f aca="false">IFERROR(VLOOKUP(A37,'Trial Balance '!$A$5:$H$448, 2, 0), " ")</f>
        <v> </v>
      </c>
      <c r="C37" s="90" t="s">
        <v>607</v>
      </c>
      <c r="D37" s="105"/>
      <c r="E37" s="92" t="n">
        <f aca="true" t="array" ref="E37:E37">SUMPRODUCT(IFERROR(VLOOKUP(ROW(INDIRECT(LEFT(A37,FIND("-",A37)-1)&amp;":"&amp;RIGHT(A37,LEN(A37)-FIND("-",A37)))),'Trial Balance '!$A$5:$H$448,5,FALSE()),0)) - SUMPRODUCT(IFERROR(VLOOKUP(ROW(INDIRECT(LEFT(A37,FIND("-",A37)-1)&amp;":"&amp;RIGHT(A37,LEN(A37)-FIND("-",A37)))),'Trial Balance '!$A$5:$H$448,6,FALSE()),0)) + IFERROR(VLOOKUP(A37,'Trial Balance '!$A$5:$H$448, 5, 0), 0) - IFERROR(VLOOKUP(A37,'Trial Balance '!$A$5:$H$448, 6, 0), 0)</f>
        <v>0</v>
      </c>
      <c r="F37" s="92" t="n">
        <f aca="false">TLN!I105</f>
        <v>0</v>
      </c>
      <c r="G37" s="94" t="str">
        <f aca="false">IF(A37 = "", "", IF(E37 = F37, "✔", "✘"))</f>
        <v/>
      </c>
      <c r="H37" s="92" t="n">
        <f aca="false">IFERROR(E37-F37,0)</f>
        <v>0</v>
      </c>
      <c r="I37" s="92" t="n">
        <f aca="true" t="array" ref="I37:I37">SUMPRODUCT(IFERROR(VLOOKUP(ROW(INDIRECT(LEFT(A37,FIND("-",A37)-1)&amp;":"&amp;RIGHT(A37,LEN(A37)-FIND("-",A37)))),'Trial Balance '!$A$5:$H$448,7,FALSE()),0)) + IFERROR(VLOOKUP(A37,'Trial Balance '!$A$5:$H$448, 7, 0), 0)</f>
        <v>0</v>
      </c>
      <c r="J37" s="92" t="n">
        <f aca="false">IFERROR(E37-I37,0)</f>
        <v>0</v>
      </c>
      <c r="K37" s="106" t="str">
        <f aca="false">IF(J37&gt;0,"Ç",IF(J37&lt;0,"È","Æ"))</f>
        <v>Æ</v>
      </c>
      <c r="L37" s="107"/>
      <c r="M37" s="99"/>
      <c r="N37" s="108"/>
      <c r="O37" s="99"/>
      <c r="P37" s="100"/>
      <c r="Q37" s="77"/>
      <c r="R37" s="101"/>
    </row>
    <row r="38" customFormat="false" ht="14.25" hidden="false" customHeight="true" outlineLevel="0" collapsed="false">
      <c r="A38" s="88"/>
      <c r="B38" s="89" t="str">
        <f aca="false">IFERROR(VLOOKUP(A38,'Trial Balance '!$A$5:$H$448, 2, 0), " ")</f>
        <v> </v>
      </c>
      <c r="C38" s="90" t="s">
        <v>552</v>
      </c>
      <c r="D38" s="105"/>
      <c r="E38" s="92" t="n">
        <f aca="true" t="array" ref="E38:E38">SUMPRODUCT(IFERROR(VLOOKUP(ROW(INDIRECT(LEFT(A38,FIND("-",A38)-1)&amp;":"&amp;RIGHT(A38,LEN(A38)-FIND("-",A38)))),'Trial Balance '!$A$5:$H$448,5,FALSE()),0)) - SUMPRODUCT(IFERROR(VLOOKUP(ROW(INDIRECT(LEFT(A38,FIND("-",A38)-1)&amp;":"&amp;RIGHT(A38,LEN(A38)-FIND("-",A38)))),'Trial Balance '!$A$5:$H$448,6,FALSE()),0)) + IFERROR(VLOOKUP(A38,'Trial Balance '!$A$5:$H$448, 5, 0), 0) - IFERROR(VLOOKUP(A38,'Trial Balance '!$A$5:$H$448, 6, 0), 0)</f>
        <v>0</v>
      </c>
      <c r="F38" s="92" t="n">
        <f aca="false">HPL!E59</f>
        <v>0</v>
      </c>
      <c r="G38" s="94" t="str">
        <f aca="false">IF(A38 = "", "", IF(E38 = F38, "✔", "✘"))</f>
        <v/>
      </c>
      <c r="H38" s="92" t="n">
        <f aca="false">IFERROR(E38-F38,0)</f>
        <v>0</v>
      </c>
      <c r="I38" s="92" t="n">
        <f aca="true" t="array" ref="I38:I38">SUMPRODUCT(IFERROR(VLOOKUP(ROW(INDIRECT(LEFT(A38,FIND("-",A38)-1)&amp;":"&amp;RIGHT(A38,LEN(A38)-FIND("-",A38)))),'Trial Balance '!$A$5:$H$448,7,FALSE()),0)) + IFERROR(VLOOKUP(A38,'Trial Balance '!$A$5:$H$448, 7, 0), 0)</f>
        <v>0</v>
      </c>
      <c r="J38" s="92" t="n">
        <f aca="false">IFERROR(E38-I38,0)</f>
        <v>0</v>
      </c>
      <c r="K38" s="109" t="str">
        <f aca="false">IF(J38&gt;0,"Ç",IF(J38&lt;0,"È","Æ"))</f>
        <v>Æ</v>
      </c>
      <c r="L38" s="107"/>
      <c r="M38" s="99"/>
      <c r="N38" s="108"/>
      <c r="O38" s="99"/>
      <c r="P38" s="100"/>
      <c r="Q38" s="77"/>
      <c r="R38" s="101"/>
    </row>
    <row r="39" customFormat="false" ht="14.25" hidden="false" customHeight="true" outlineLevel="0" collapsed="false">
      <c r="A39" s="69"/>
      <c r="B39" s="69" t="s">
        <v>608</v>
      </c>
      <c r="C39" s="69"/>
      <c r="D39" s="69"/>
      <c r="E39" s="92" t="n">
        <f aca="false">SUM(E32:E38)</f>
        <v>0</v>
      </c>
      <c r="F39" s="69"/>
      <c r="G39" s="69"/>
      <c r="H39" s="69"/>
      <c r="I39" s="69"/>
      <c r="J39" s="69"/>
      <c r="K39" s="69"/>
      <c r="L39" s="69"/>
      <c r="M39" s="69"/>
      <c r="N39" s="69"/>
      <c r="O39" s="69"/>
      <c r="P39" s="69"/>
      <c r="Q39" s="77"/>
    </row>
    <row r="40" customFormat="false" ht="12.75" hidden="false" customHeight="false" outlineLevel="0" collapsed="false">
      <c r="E40" s="104"/>
      <c r="Q40" s="77"/>
    </row>
    <row r="41" customFormat="false" ht="12.75" hidden="false" customHeight="false" outlineLevel="0" collapsed="false">
      <c r="A41" s="69"/>
      <c r="B41" s="69"/>
      <c r="C41" s="69"/>
      <c r="D41" s="69"/>
      <c r="E41" s="70"/>
      <c r="F41" s="69"/>
      <c r="G41" s="69"/>
      <c r="H41" s="69"/>
      <c r="I41" s="69"/>
      <c r="J41" s="69"/>
      <c r="K41" s="69"/>
      <c r="L41" s="69"/>
      <c r="M41" s="69"/>
      <c r="N41" s="69"/>
      <c r="O41" s="69"/>
      <c r="P41" s="69"/>
      <c r="Q41" s="69"/>
    </row>
    <row r="42" customFormat="false" ht="37.5" hidden="false" customHeight="true" outlineLevel="0" collapsed="false">
      <c r="A42" s="65" t="s">
        <v>609</v>
      </c>
      <c r="B42" s="65"/>
      <c r="C42" s="65"/>
      <c r="D42" s="65"/>
      <c r="E42" s="66"/>
      <c r="F42" s="65"/>
      <c r="G42" s="65"/>
      <c r="H42" s="65"/>
      <c r="I42" s="65"/>
      <c r="J42" s="65"/>
      <c r="K42" s="65"/>
      <c r="L42" s="65"/>
      <c r="M42" s="65"/>
      <c r="N42" s="65"/>
      <c r="O42" s="68"/>
      <c r="P42" s="68"/>
      <c r="Q42" s="68"/>
    </row>
    <row r="43" customFormat="false" ht="12.75" hidden="false" customHeight="false" outlineLevel="0" collapsed="false">
      <c r="A43" s="69"/>
      <c r="B43" s="69"/>
      <c r="C43" s="69"/>
      <c r="D43" s="69"/>
      <c r="E43" s="70"/>
      <c r="F43" s="69"/>
      <c r="G43" s="69"/>
      <c r="H43" s="69"/>
      <c r="I43" s="69"/>
      <c r="J43" s="69"/>
      <c r="K43" s="69"/>
      <c r="L43" s="69"/>
      <c r="M43" s="69"/>
      <c r="N43" s="69"/>
      <c r="O43" s="69"/>
      <c r="P43" s="69"/>
      <c r="Q43" s="71"/>
    </row>
    <row r="44" customFormat="false" ht="18" hidden="false" customHeight="true" outlineLevel="0" collapsed="false">
      <c r="E44" s="73" t="s">
        <v>584</v>
      </c>
      <c r="F44" s="73"/>
      <c r="G44" s="73"/>
      <c r="H44" s="73"/>
      <c r="I44" s="73" t="s">
        <v>585</v>
      </c>
      <c r="J44" s="73"/>
      <c r="K44" s="73"/>
      <c r="L44" s="74"/>
      <c r="M44" s="75"/>
      <c r="N44" s="76"/>
      <c r="O44" s="75"/>
      <c r="Q44" s="77"/>
    </row>
    <row r="45" customFormat="false" ht="15" hidden="false" customHeight="true" outlineLevel="0" collapsed="false">
      <c r="A45" s="78" t="s">
        <v>586</v>
      </c>
      <c r="B45" s="78" t="s">
        <v>12</v>
      </c>
      <c r="C45" s="78" t="s">
        <v>587</v>
      </c>
      <c r="D45" s="78"/>
      <c r="E45" s="79" t="s">
        <v>588</v>
      </c>
      <c r="F45" s="78" t="s">
        <v>589</v>
      </c>
      <c r="G45" s="78" t="s">
        <v>590</v>
      </c>
      <c r="H45" s="78" t="s">
        <v>591</v>
      </c>
      <c r="I45" s="81" t="s">
        <v>592</v>
      </c>
      <c r="J45" s="78" t="s">
        <v>591</v>
      </c>
      <c r="K45" s="78"/>
      <c r="L45" s="82" t="s">
        <v>593</v>
      </c>
      <c r="M45" s="82"/>
      <c r="N45" s="83" t="s">
        <v>594</v>
      </c>
      <c r="O45" s="83"/>
      <c r="P45" s="78" t="s">
        <v>595</v>
      </c>
      <c r="Q45" s="84"/>
    </row>
    <row r="46" customFormat="false" ht="12.75" hidden="false" customHeight="false" outlineLevel="0" collapsed="false">
      <c r="A46" s="85"/>
      <c r="B46" s="85"/>
      <c r="C46" s="85"/>
      <c r="D46" s="85"/>
      <c r="E46" s="86"/>
      <c r="F46" s="85"/>
      <c r="G46" s="85"/>
      <c r="H46" s="85"/>
      <c r="I46" s="85"/>
      <c r="J46" s="85"/>
      <c r="K46" s="85"/>
      <c r="P46" s="85"/>
      <c r="Q46" s="77"/>
    </row>
    <row r="47" customFormat="false" ht="14.25" hidden="false" customHeight="true" outlineLevel="0" collapsed="false">
      <c r="A47" s="88"/>
      <c r="B47" s="89" t="str">
        <f aca="false">IFERROR(VLOOKUP(A47,'Trial Balance '!$A$5:$H$448, 2, 0), " ")</f>
        <v> </v>
      </c>
      <c r="C47" s="110" t="s">
        <v>610</v>
      </c>
      <c r="D47" s="105"/>
      <c r="E47" s="92" t="n">
        <f aca="true" t="array" ref="E47:E47">SUMPRODUCT(IFERROR(VLOOKUP(ROW(INDIRECT(LEFT(A47,FIND("-",A47)-1)&amp;":"&amp;RIGHT(A47,LEN(A47)-FIND("-",A47)))),'Trial Balance '!$A$5:$H$448,5,FALSE()),0)) - SUMPRODUCT(IFERROR(VLOOKUP(ROW(INDIRECT(LEFT(A47,FIND("-",A47)-1)&amp;":"&amp;RIGHT(A47,LEN(A47)-FIND("-",A47)))),'Trial Balance '!$A$5:$H$448,6,FALSE()),0)) + IFERROR(VLOOKUP(A47,'Trial Balance '!$A$5:$H$448, 5, 0), 0) - IFERROR(VLOOKUP(A47,'Trial Balance '!$A$5:$H$448, 6, 0), 0)</f>
        <v>0</v>
      </c>
      <c r="F47" s="92" t="n">
        <f aca="false">+OIN!I18</f>
        <v>0</v>
      </c>
      <c r="G47" s="94" t="str">
        <f aca="false">IF(A47 = "", "", IF(E47 = F47, "✔", "✘"))</f>
        <v/>
      </c>
      <c r="H47" s="111" t="n">
        <f aca="false">IFERROR(E47-F47,0)</f>
        <v>0</v>
      </c>
      <c r="I47" s="92" t="n">
        <f aca="true" t="array" ref="I47:I47">SUMPRODUCT(IFERROR(VLOOKUP(ROW(INDIRECT(LEFT(A47,FIND("-",A47)-1)&amp;":"&amp;RIGHT(A47,LEN(A47)-FIND("-",A47)))),'Trial Balance '!$A$5:$H$448,7,FALSE()),0)) + IFERROR(VLOOKUP(A47,'Trial Balance '!$A$5:$H$448, 7, 0), 0)</f>
        <v>0</v>
      </c>
      <c r="J47" s="92" t="n">
        <f aca="false">IFERROR(E47-I47,0)</f>
        <v>0</v>
      </c>
      <c r="K47" s="95" t="str">
        <f aca="false">IF(J47&gt;0,"Ç",IF(J47&lt;0,"È","Æ"))</f>
        <v>Æ</v>
      </c>
      <c r="L47" s="96" t="s">
        <v>597</v>
      </c>
      <c r="M47" s="97" t="n">
        <f aca="false">IFERROR(VLOOKUP(IFERROR(TRIM(LEFT(C47,FIND("(",C47)-2)),C47),rhiddenlinkdata,12,FALSE()),0)</f>
        <v>0</v>
      </c>
      <c r="N47" s="98" t="s">
        <v>598</v>
      </c>
      <c r="O47" s="99" t="n">
        <f aca="false">IFERROR(VLOOKUP(IFERROR(TRIM(LEFT(C47,FIND("(",C47)-2)),C47),rsdcount,2,FALSE()),0)</f>
        <v>0</v>
      </c>
      <c r="P47" s="100" t="str">
        <f aca="false">IFERROR(VLOOKUP(VLOOKUP(IFERROR(LEFT(C47,FIND("(",C47)-2),C47),rhiddenlinkdata,15,FALSE()),jobstatuslookup,2,FALSE()),IFERROR(IF(VLOOKUP(IFERROR(LEFT(C47,FIND("(",C47)-2),C47),rhiddenlinkdata,3,FALSE())=1,"Not started",""),""))</f>
        <v/>
      </c>
      <c r="Q47" s="84"/>
      <c r="R47" s="101"/>
    </row>
    <row r="48" customFormat="false" ht="14.25" hidden="false" customHeight="true" outlineLevel="0" collapsed="false">
      <c r="A48" s="88"/>
      <c r="B48" s="89" t="str">
        <f aca="false">IFERROR(VLOOKUP(A48,'Trial Balance '!$A$5:$H$448, 2, 0), " ")</f>
        <v> </v>
      </c>
      <c r="C48" s="110" t="s">
        <v>610</v>
      </c>
      <c r="D48" s="105"/>
      <c r="E48" s="92" t="n">
        <f aca="true" t="array" ref="E48:E48">SUMPRODUCT(IFERROR(VLOOKUP(ROW(INDIRECT(LEFT(A48,FIND("-",A48)-1)&amp;":"&amp;RIGHT(A48,LEN(A48)-FIND("-",A48)))),'Trial Balance '!$A$5:$H$448,5,FALSE()),0)) - SUMPRODUCT(IFERROR(VLOOKUP(ROW(INDIRECT(LEFT(A48,FIND("-",A48)-1)&amp;":"&amp;RIGHT(A48,LEN(A48)-FIND("-",A48)))),'Trial Balance '!$A$5:$H$448,6,FALSE()),0)) + IFERROR(VLOOKUP(A48,'Trial Balance '!$A$5:$H$448, 5, 0), 0) - IFERROR(VLOOKUP(A48,'Trial Balance '!$A$5:$H$448, 6, 0), 0)</f>
        <v>0</v>
      </c>
      <c r="F48" s="92" t="n">
        <f aca="false">+OIN!I35</f>
        <v>107888.75</v>
      </c>
      <c r="G48" s="94" t="str">
        <f aca="false">IF(A48 = "", "", IF(E48 = F48, "✔", "✘"))</f>
        <v/>
      </c>
      <c r="H48" s="111" t="n">
        <f aca="false">IFERROR(E48-F48,0)</f>
        <v>-107888.75</v>
      </c>
      <c r="I48" s="92" t="n">
        <f aca="true" t="array" ref="I48:I48">SUMPRODUCT(IFERROR(VLOOKUP(ROW(INDIRECT(LEFT(A48,FIND("-",A48)-1)&amp;":"&amp;RIGHT(A48,LEN(A48)-FIND("-",A48)))),'Trial Balance '!$A$5:$H$448,7,FALSE()),0)) + IFERROR(VLOOKUP(A48,'Trial Balance '!$A$5:$H$448, 7, 0), 0)</f>
        <v>0</v>
      </c>
      <c r="J48" s="92" t="n">
        <f aca="false">IFERROR(E48-I48,0)</f>
        <v>0</v>
      </c>
      <c r="K48" s="95" t="str">
        <f aca="false">IF(J48&gt;0,"Ç",IF(J48&lt;0,"È","Æ"))</f>
        <v>Æ</v>
      </c>
      <c r="L48" s="96" t="s">
        <v>597</v>
      </c>
      <c r="M48" s="97" t="n">
        <f aca="false">IFERROR(VLOOKUP(IFERROR(TRIM(LEFT(C48,FIND("(",C48)-2)),C48),rhiddenlinkdata,12,FALSE()),0)</f>
        <v>0</v>
      </c>
      <c r="N48" s="98" t="s">
        <v>598</v>
      </c>
      <c r="O48" s="99" t="n">
        <f aca="false">IFERROR(VLOOKUP(IFERROR(TRIM(LEFT(C48,FIND("(",C48)-2)),C48),rsdcount,2,FALSE()),0)</f>
        <v>0</v>
      </c>
      <c r="P48" s="100" t="str">
        <f aca="false">IFERROR(VLOOKUP(VLOOKUP(IFERROR(LEFT(C48,FIND("(",C48)-2),C48),rhiddenlinkdata,15,FALSE()),jobstatuslookup,2,FALSE()),IFERROR(IF(VLOOKUP(IFERROR(LEFT(C48,FIND("(",C48)-2),C48),rhiddenlinkdata,3,FALSE())=1,"Not started",""),""))</f>
        <v/>
      </c>
      <c r="Q48" s="84"/>
      <c r="R48" s="101"/>
    </row>
    <row r="49" customFormat="false" ht="14.25" hidden="false" customHeight="true" outlineLevel="0" collapsed="false">
      <c r="A49" s="88"/>
      <c r="B49" s="89" t="str">
        <f aca="false">IFERROR(VLOOKUP(A49,'Trial Balance '!$A$5:$H$448, 2, 0), " ")</f>
        <v> </v>
      </c>
      <c r="C49" s="110" t="s">
        <v>610</v>
      </c>
      <c r="D49" s="105"/>
      <c r="E49" s="92" t="n">
        <f aca="true" t="array" ref="E49:E49">SUMPRODUCT(IFERROR(VLOOKUP(ROW(INDIRECT(LEFT(A49,FIND("-",A49)-1)&amp;":"&amp;RIGHT(A49,LEN(A49)-FIND("-",A49)))),'Trial Balance '!$A$5:$H$448,5,FALSE()),0)) - SUMPRODUCT(IFERROR(VLOOKUP(ROW(INDIRECT(LEFT(A49,FIND("-",A49)-1)&amp;":"&amp;RIGHT(A49,LEN(A49)-FIND("-",A49)))),'Trial Balance '!$A$5:$H$448,6,FALSE()),0)) + IFERROR(VLOOKUP(A49,'Trial Balance '!$A$5:$H$448, 5, 0), 0) - IFERROR(VLOOKUP(A49,'Trial Balance '!$A$5:$H$448, 6, 0), 0)</f>
        <v>0</v>
      </c>
      <c r="F49" s="92" t="n">
        <f aca="false">+OIN!I69</f>
        <v>0</v>
      </c>
      <c r="G49" s="94" t="str">
        <f aca="false">IF(A49 = "", "", IF(E49 = F49, "✔", "✘"))</f>
        <v/>
      </c>
      <c r="H49" s="111" t="n">
        <f aca="false">IFERROR(E49-F49,0)</f>
        <v>0</v>
      </c>
      <c r="I49" s="92" t="n">
        <f aca="true" t="array" ref="I49:I49">SUMPRODUCT(IFERROR(VLOOKUP(ROW(INDIRECT(LEFT(A49,FIND("-",A49)-1)&amp;":"&amp;RIGHT(A49,LEN(A49)-FIND("-",A49)))),'Trial Balance '!$A$5:$H$448,7,FALSE()),0)) + IFERROR(VLOOKUP(A49,'Trial Balance '!$A$5:$H$448, 7, 0), 0)</f>
        <v>0</v>
      </c>
      <c r="J49" s="92" t="n">
        <f aca="false">IFERROR(E49-I49,0)</f>
        <v>0</v>
      </c>
      <c r="K49" s="95" t="str">
        <f aca="false">IF(J49&lt;0,"Ç",IF(J49&gt;0,"È","Æ"))</f>
        <v>Æ</v>
      </c>
      <c r="L49" s="96" t="s">
        <v>597</v>
      </c>
      <c r="M49" s="97" t="n">
        <f aca="false">IFERROR(VLOOKUP(IFERROR(TRIM(LEFT(C49,FIND("(",C49)-2)),C49),rhiddenlinkdata,12,FALSE()),0)</f>
        <v>0</v>
      </c>
      <c r="N49" s="98" t="s">
        <v>598</v>
      </c>
      <c r="O49" s="99" t="n">
        <f aca="false">IFERROR(VLOOKUP(IFERROR(TRIM(LEFT(C49,FIND("(",C49)-2)),C49),rsdcount,2,FALSE()),0)</f>
        <v>0</v>
      </c>
      <c r="P49" s="100" t="str">
        <f aca="false">IFERROR(VLOOKUP(VLOOKUP(IFERROR(LEFT(C49,FIND("(",C49)-2),C49),rhiddenlinkdata,15,FALSE()),jobstatuslookup,2,FALSE()),IFERROR(IF(VLOOKUP(IFERROR(LEFT(C49,FIND("(",C49)-2),C49),rhiddenlinkdata,3,FALSE())=1,"Not started",""),""))</f>
        <v/>
      </c>
      <c r="Q49" s="84"/>
      <c r="R49" s="101"/>
    </row>
    <row r="50" customFormat="false" ht="14.25" hidden="false" customHeight="true" outlineLevel="0" collapsed="false">
      <c r="A50" s="88"/>
      <c r="B50" s="89" t="str">
        <f aca="false">IFERROR(VLOOKUP(A50,'Trial Balance '!$A$5:$H$448, 2, 0), " ")</f>
        <v> </v>
      </c>
      <c r="C50" s="110" t="s">
        <v>610</v>
      </c>
      <c r="D50" s="105"/>
      <c r="E50" s="92" t="n">
        <f aca="true" t="array" ref="E50:E50">SUMPRODUCT(IFERROR(VLOOKUP(ROW(INDIRECT(LEFT(A50,FIND("-",A50)-1)&amp;":"&amp;RIGHT(A50,LEN(A50)-FIND("-",A50)))),'Trial Balance '!$A$5:$H$448,5,FALSE()),0)) - SUMPRODUCT(IFERROR(VLOOKUP(ROW(INDIRECT(LEFT(A50,FIND("-",A50)-1)&amp;":"&amp;RIGHT(A50,LEN(A50)-FIND("-",A50)))),'Trial Balance '!$A$5:$H$448,6,FALSE()),0)) + IFERROR(VLOOKUP(A50,'Trial Balance '!$A$5:$H$448, 5, 0), 0) - IFERROR(VLOOKUP(A50,'Trial Balance '!$A$5:$H$448, 6, 0), 0)</f>
        <v>0</v>
      </c>
      <c r="F50" s="92" t="n">
        <f aca="false">+OIN!I86</f>
        <v>0</v>
      </c>
      <c r="G50" s="94" t="str">
        <f aca="false">IF(A50 = "", "", IF(E50 = F50, "✔", "✘"))</f>
        <v/>
      </c>
      <c r="H50" s="111" t="n">
        <f aca="false">IFERROR(E50-F50,0)</f>
        <v>0</v>
      </c>
      <c r="I50" s="92" t="n">
        <f aca="true" t="array" ref="I50:I50">SUMPRODUCT(IFERROR(VLOOKUP(ROW(INDIRECT(LEFT(A50,FIND("-",A50)-1)&amp;":"&amp;RIGHT(A50,LEN(A50)-FIND("-",A50)))),'Trial Balance '!$A$5:$H$448,7,FALSE()),0)) + IFERROR(VLOOKUP(A50,'Trial Balance '!$A$5:$H$448, 7, 0), 0)</f>
        <v>0</v>
      </c>
      <c r="J50" s="92" t="n">
        <f aca="false">IFERROR(E50-I50,0)</f>
        <v>0</v>
      </c>
      <c r="K50" s="95" t="str">
        <f aca="false">IF(J50&lt;0,"Ç",IF(J50&gt;0,"È","Æ"))</f>
        <v>Æ</v>
      </c>
      <c r="L50" s="96" t="s">
        <v>597</v>
      </c>
      <c r="M50" s="97" t="n">
        <f aca="false">IFERROR(VLOOKUP(C50,rhiddenlinkdata,12,FALSE()),0)</f>
        <v>0</v>
      </c>
      <c r="N50" s="98" t="s">
        <v>598</v>
      </c>
      <c r="O50" s="99" t="n">
        <f aca="false">IFERROR(VLOOKUP(IFERROR(TRIM(LEFT(C50,FIND("(",C50)-2)),C50),rsdcount,2,FALSE()),0)</f>
        <v>0</v>
      </c>
      <c r="P50" s="100" t="str">
        <f aca="false">IFERROR(VLOOKUP(VLOOKUP(IFERROR(LEFT(C50,FIND("(",C50)-2),C50),rhiddenlinkdata,15,FALSE()),jobstatuslookup,2,FALSE()),IFERROR(IF(VLOOKUP(IFERROR(LEFT(C50,FIND("(",C50)-2),C50),rhiddenlinkdata,3,FALSE())=1,"Not started",""),""))</f>
        <v/>
      </c>
      <c r="Q50" s="84"/>
      <c r="R50" s="101"/>
    </row>
    <row r="51" customFormat="false" ht="14.25" hidden="false" customHeight="true" outlineLevel="0" collapsed="false">
      <c r="A51" s="88"/>
      <c r="B51" s="89" t="str">
        <f aca="false">IFERROR(VLOOKUP(A51,'Trial Balance '!$A$5:$H$448, 2, 0), " ")</f>
        <v> </v>
      </c>
      <c r="C51" s="110" t="s">
        <v>610</v>
      </c>
      <c r="D51" s="105"/>
      <c r="E51" s="92" t="n">
        <f aca="true" t="array" ref="E51:E51">SUMPRODUCT(IFERROR(VLOOKUP(ROW(INDIRECT(LEFT(A51,FIND("-",A51)-1)&amp;":"&amp;RIGHT(A51,LEN(A51)-FIND("-",A51)))),'Trial Balance '!$A$5:$H$448,5,FALSE()),0)) - SUMPRODUCT(IFERROR(VLOOKUP(ROW(INDIRECT(LEFT(A51,FIND("-",A51)-1)&amp;":"&amp;RIGHT(A51,LEN(A51)-FIND("-",A51)))),'Trial Balance '!$A$5:$H$448,6,FALSE()),0)) + IFERROR(VLOOKUP(A51,'Trial Balance '!$A$5:$H$448, 5, 0), 0) - IFERROR(VLOOKUP(A51,'Trial Balance '!$A$5:$H$448, 6, 0), 0)</f>
        <v>0</v>
      </c>
      <c r="F51" s="92" t="n">
        <f aca="false">+OIN!I103</f>
        <v>122635.8</v>
      </c>
      <c r="G51" s="94" t="str">
        <f aca="false">IF(A51 = "", "", IF(E51 = F51, "✔", "✘"))</f>
        <v/>
      </c>
      <c r="H51" s="111" t="n">
        <f aca="false">IFERROR(E51-F51,0)</f>
        <v>-122635.8</v>
      </c>
      <c r="I51" s="92" t="n">
        <f aca="true" t="array" ref="I51:I51">SUMPRODUCT(IFERROR(VLOOKUP(ROW(INDIRECT(LEFT(A51,FIND("-",A51)-1)&amp;":"&amp;RIGHT(A51,LEN(A51)-FIND("-",A51)))),'Trial Balance '!$A$5:$H$448,7,FALSE()),0)) + IFERROR(VLOOKUP(A51,'Trial Balance '!$A$5:$H$448, 7, 0), 0)</f>
        <v>0</v>
      </c>
      <c r="J51" s="92" t="n">
        <f aca="false">IFERROR(E51-I51,0)</f>
        <v>0</v>
      </c>
      <c r="K51" s="95" t="str">
        <f aca="false">IF(J51&lt;0,"Ç",IF(J51&gt;0,"È","Æ"))</f>
        <v>Æ</v>
      </c>
      <c r="L51" s="96" t="s">
        <v>597</v>
      </c>
      <c r="M51" s="97" t="n">
        <f aca="false">IFERROR(VLOOKUP(C51,rhiddenlinkdata,12,FALSE()),0)</f>
        <v>0</v>
      </c>
      <c r="N51" s="98" t="s">
        <v>598</v>
      </c>
      <c r="O51" s="99" t="n">
        <f aca="false">IFERROR(VLOOKUP(IFERROR(TRIM(LEFT(C51,FIND("(",C51)-2)),C51),rsdcount,2,FALSE()),0)</f>
        <v>0</v>
      </c>
      <c r="P51" s="100" t="str">
        <f aca="false">IFERROR(VLOOKUP(VLOOKUP(IFERROR(LEFT(C51,FIND("(",C51)-2),C51),rhiddenlinkdata,15,FALSE()),jobstatuslookup,2,FALSE()),IFERROR(IF(VLOOKUP(IFERROR(LEFT(C51,FIND("(",C51)-2),C51),rhiddenlinkdata,3,FALSE())=1,"Not started",""),""))</f>
        <v/>
      </c>
      <c r="Q51" s="84"/>
      <c r="R51" s="101"/>
    </row>
    <row r="52" customFormat="false" ht="14.25" hidden="false" customHeight="true" outlineLevel="0" collapsed="false">
      <c r="A52" s="88"/>
      <c r="B52" s="89" t="str">
        <f aca="false">IF(A52 = "", "",FIA!C2)</f>
        <v/>
      </c>
      <c r="C52" s="110" t="s">
        <v>611</v>
      </c>
      <c r="D52" s="105"/>
      <c r="E52" s="92" t="n">
        <f aca="true" t="array" ref="E52:E52">SUMPRODUCT(IFERROR(VLOOKUP(ROW(INDIRECT(LEFT(A52,FIND("-",A52)-1)&amp;":"&amp;RIGHT(A52,LEN(A52)-FIND("-",A52)))),'Trial Balance '!$A$5:$H$448,5,FALSE()),0)) - SUMPRODUCT(IFERROR(VLOOKUP(ROW(INDIRECT(LEFT(A52,FIND("-",A52)-1)&amp;":"&amp;RIGHT(A52,LEN(A52)-FIND("-",A52)))),'Trial Balance '!$A$5:$H$448,6,FALSE()),0)) + IFERROR(VLOOKUP(A52,'Trial Balance '!$A$5:$H$448, 5, 0), 0) - IFERROR(VLOOKUP(A52,'Trial Balance '!$A$5:$H$448, 6, 0), 0)</f>
        <v>0</v>
      </c>
      <c r="F52" s="92" t="n">
        <f aca="false">FIA!F15</f>
        <v>0</v>
      </c>
      <c r="G52" s="94" t="str">
        <f aca="false">IF(A52 = "", "", IF(E52 = F52, "✔", "✘"))</f>
        <v/>
      </c>
      <c r="H52" s="111" t="n">
        <f aca="false">IFERROR(E52-F52,0)</f>
        <v>0</v>
      </c>
      <c r="I52" s="92" t="n">
        <f aca="true" t="array" ref="I52:I52">SUMPRODUCT(IFERROR(VLOOKUP(ROW(INDIRECT(LEFT(A52,FIND("-",A52)-1)&amp;":"&amp;RIGHT(A52,LEN(A52)-FIND("-",A52)))),'Trial Balance '!$A$5:$H$448,7,FALSE()),0)) + IFERROR(VLOOKUP(A52,'Trial Balance '!$A$5:$H$448, 7, 0), 0)</f>
        <v>0</v>
      </c>
      <c r="J52" s="92" t="n">
        <f aca="false">IFERROR(E52-I52,0)</f>
        <v>0</v>
      </c>
      <c r="K52" s="95" t="str">
        <f aca="false">IF(J52&gt;0,"Ç",IF(J52&lt;0,"È","Æ"))</f>
        <v>Æ</v>
      </c>
      <c r="L52" s="96" t="s">
        <v>597</v>
      </c>
      <c r="M52" s="97" t="n">
        <f aca="false">IFERROR(VLOOKUP(IFERROR(TRIM(LEFT(C52,FIND("(",C52)-2)),C52),rhiddenlinkdata,12,FALSE()),0)</f>
        <v>0</v>
      </c>
      <c r="N52" s="98" t="s">
        <v>598</v>
      </c>
      <c r="O52" s="99" t="n">
        <f aca="false">IFERROR(VLOOKUP(IFERROR(TRIM(LEFT(C52,FIND("(",C52)-2)),C52),rsdcount,2,FALSE()),0)</f>
        <v>0</v>
      </c>
      <c r="P52" s="100" t="str">
        <f aca="false">IFERROR(VLOOKUP(VLOOKUP(IFERROR(LEFT(C52,FIND("(",C52)-2),C52),rhiddenlinkdata,15,FALSE()),jobstatuslookup,2,FALSE()),IFERROR(IF(VLOOKUP(IFERROR(LEFT(C52,FIND("(",C52)-2),C52),rhiddenlinkdata,3,FALSE())=1,"Not started",""),""))</f>
        <v/>
      </c>
      <c r="Q52" s="84"/>
      <c r="R52" s="101"/>
    </row>
    <row r="53" customFormat="false" ht="14.25" hidden="false" customHeight="true" outlineLevel="0" collapsed="false">
      <c r="A53" s="88"/>
      <c r="B53" s="89" t="str">
        <f aca="false">IFERROR(VLOOKUP(A53,'Trial Balance '!$A$5:$H$448, 2, 0), " ")</f>
        <v> </v>
      </c>
      <c r="C53" s="110" t="s">
        <v>612</v>
      </c>
      <c r="D53" s="105"/>
      <c r="E53" s="92" t="n">
        <f aca="true" t="array" ref="E53:E53">SUMPRODUCT(IFERROR(VLOOKUP(ROW(INDIRECT(LEFT(A53,FIND("-",A53)-1)&amp;":"&amp;RIGHT(A53,LEN(A53)-FIND("-",A53)))),'Trial Balance '!$A$5:$H$448,5,FALSE()),0)) - SUMPRODUCT(IFERROR(VLOOKUP(ROW(INDIRECT(LEFT(A53,FIND("-",A53)-1)&amp;":"&amp;RIGHT(A53,LEN(A53)-FIND("-",A53)))),'Trial Balance '!$A$5:$H$448,6,FALSE()),0)) + IFERROR(VLOOKUP(A53,'Trial Balance '!$A$5:$H$448, 5, 0), 0) - IFERROR(VLOOKUP(A53,'Trial Balance '!$A$5:$H$448, 6, 0), 0)</f>
        <v>0</v>
      </c>
      <c r="F53" s="92" t="n">
        <f aca="false">+IIS!E12</f>
        <v>0</v>
      </c>
      <c r="G53" s="94" t="str">
        <f aca="false">IF(A53 = "", "", IF(E53 = F53, "✔", "✘"))</f>
        <v/>
      </c>
      <c r="H53" s="111" t="n">
        <f aca="false">IFERROR(E53-F53,0)</f>
        <v>0</v>
      </c>
      <c r="I53" s="92" t="n">
        <f aca="true" t="array" ref="I53:I53">SUMPRODUCT(IFERROR(VLOOKUP(ROW(INDIRECT(LEFT(A53,FIND("-",A53)-1)&amp;":"&amp;RIGHT(A53,LEN(A53)-FIND("-",A53)))),'Trial Balance '!$A$5:$H$448,7,FALSE()),0)) + IFERROR(VLOOKUP(A53,'Trial Balance '!$A$5:$H$448, 7, 0), 0)</f>
        <v>0</v>
      </c>
      <c r="J53" s="92" t="n">
        <f aca="false">IFERROR(E53-I53,0)</f>
        <v>0</v>
      </c>
      <c r="K53" s="95" t="str">
        <f aca="false">IF(J53&lt;0,"Ç",IF(J53&gt;0,"È","Æ"))</f>
        <v>Æ</v>
      </c>
      <c r="L53" s="96" t="s">
        <v>597</v>
      </c>
      <c r="M53" s="97" t="n">
        <f aca="false">IFERROR(VLOOKUP(IFERROR(TRIM(LEFT(C53,FIND("(",C53)-2)),C53),rhiddenlinkdata,12,FALSE()),0)</f>
        <v>0</v>
      </c>
      <c r="N53" s="98" t="s">
        <v>598</v>
      </c>
      <c r="O53" s="99" t="n">
        <f aca="false">IFERROR(VLOOKUP(IFERROR(TRIM(LEFT(C53,FIND("(",C53)-2)),C53),rsdcount,2,FALSE()),0)</f>
        <v>0</v>
      </c>
      <c r="P53" s="100" t="str">
        <f aca="false">IFERROR(VLOOKUP(VLOOKUP(IFERROR(LEFT(C53,FIND("(",C53)-2),C53),rhiddenlinkdata,15,FALSE()),jobstatuslookup,2,FALSE()),IFERROR(IF(VLOOKUP(IFERROR(LEFT(C53,FIND("(",C53)-2),C53),rhiddenlinkdata,3,FALSE())=1,"Not started",""),""))</f>
        <v/>
      </c>
      <c r="Q53" s="84"/>
      <c r="R53" s="101"/>
    </row>
    <row r="54" customFormat="false" ht="14.25" hidden="false" customHeight="true" outlineLevel="0" collapsed="false">
      <c r="A54" s="88"/>
      <c r="B54" s="89" t="str">
        <f aca="false">IFERROR(VLOOKUP(A54,'Trial Balance '!$A$5:$H$448, 2, 0), " ")</f>
        <v> </v>
      </c>
      <c r="C54" s="110" t="s">
        <v>612</v>
      </c>
      <c r="D54" s="105"/>
      <c r="E54" s="92" t="n">
        <f aca="true" t="array" ref="E54:E54">SUMPRODUCT(IFERROR(VLOOKUP(ROW(INDIRECT(LEFT(A54,FIND("-",A54)-1)&amp;":"&amp;RIGHT(A54,LEN(A54)-FIND("-",A54)))),'Trial Balance '!$A$5:$H$448,5,FALSE()),0)) - SUMPRODUCT(IFERROR(VLOOKUP(ROW(INDIRECT(LEFT(A54,FIND("-",A54)-1)&amp;":"&amp;RIGHT(A54,LEN(A54)-FIND("-",A54)))),'Trial Balance '!$A$5:$H$448,6,FALSE()),0)) + IFERROR(VLOOKUP(A54,'Trial Balance '!$A$5:$H$448, 5, 0), 0) - IFERROR(VLOOKUP(A54,'Trial Balance '!$A$5:$H$448, 6, 0), 0)</f>
        <v>0</v>
      </c>
      <c r="F54" s="92" t="n">
        <f aca="false">+IIS!E24</f>
        <v>0</v>
      </c>
      <c r="G54" s="94" t="str">
        <f aca="false">IF(A54 = "", "", IF(E54 = F54, "✔", "✘"))</f>
        <v/>
      </c>
      <c r="H54" s="111" t="n">
        <f aca="false">IFERROR(E54-F54,0)</f>
        <v>0</v>
      </c>
      <c r="I54" s="92" t="n">
        <f aca="true" t="array" ref="I54:I54">SUMPRODUCT(IFERROR(VLOOKUP(ROW(INDIRECT(LEFT(A54,FIND("-",A54)-1)&amp;":"&amp;RIGHT(A54,LEN(A54)-FIND("-",A54)))),'Trial Balance '!$A$5:$H$448,7,FALSE()),0)) + IFERROR(VLOOKUP(A54,'Trial Balance '!$A$5:$H$448, 7, 0), 0)</f>
        <v>0</v>
      </c>
      <c r="J54" s="92" t="n">
        <f aca="false">IFERROR(E54-I54,0)</f>
        <v>0</v>
      </c>
      <c r="K54" s="95" t="str">
        <f aca="false">IF(J54&lt;0,"Ç",IF(J54&gt;0,"È","Æ"))</f>
        <v>Æ</v>
      </c>
      <c r="L54" s="96" t="s">
        <v>597</v>
      </c>
      <c r="M54" s="97" t="n">
        <f aca="false">IFERROR(VLOOKUP(IFERROR(TRIM(LEFT(C54,FIND("(",C54)-2)),C54),rhiddenlinkdata,12,FALSE()),0)</f>
        <v>0</v>
      </c>
      <c r="N54" s="98" t="s">
        <v>598</v>
      </c>
      <c r="O54" s="99" t="n">
        <f aca="false">IFERROR(VLOOKUP(IFERROR(TRIM(LEFT(C54,FIND("(",C54)-2)),C54),rsdcount,2,FALSE()),0)</f>
        <v>0</v>
      </c>
      <c r="P54" s="100" t="str">
        <f aca="false">IFERROR(VLOOKUP(VLOOKUP(IFERROR(LEFT(C54,FIND("(",C54)-2),C54),rhiddenlinkdata,15,FALSE()),jobstatuslookup,2,FALSE()),IFERROR(IF(VLOOKUP(IFERROR(LEFT(C54,FIND("(",C54)-2),C54),rhiddenlinkdata,3,FALSE())=1,"Not started",""),""))</f>
        <v/>
      </c>
      <c r="Q54" s="84"/>
      <c r="R54" s="101"/>
    </row>
    <row r="55" customFormat="false" ht="14.25" hidden="false" customHeight="true" outlineLevel="0" collapsed="false">
      <c r="A55" s="88"/>
      <c r="B55" s="89" t="str">
        <f aca="false">IFERROR(VLOOKUP(A55,'Trial Balance '!$A$5:$H$448, 2, 0), " ")</f>
        <v> </v>
      </c>
      <c r="C55" s="110" t="s">
        <v>612</v>
      </c>
      <c r="D55" s="105"/>
      <c r="E55" s="92" t="n">
        <f aca="true" t="array" ref="E55:E55">SUMPRODUCT(IFERROR(VLOOKUP(ROW(INDIRECT(LEFT(A55,FIND("-",A55)-1)&amp;":"&amp;RIGHT(A55,LEN(A55)-FIND("-",A55)))),'Trial Balance '!$A$5:$H$448,5,FALSE()),0)) - SUMPRODUCT(IFERROR(VLOOKUP(ROW(INDIRECT(LEFT(A55,FIND("-",A55)-1)&amp;":"&amp;RIGHT(A55,LEN(A55)-FIND("-",A55)))),'Trial Balance '!$A$5:$H$448,6,FALSE()),0)) + IFERROR(VLOOKUP(A55,'Trial Balance '!$A$5:$H$448, 5, 0), 0) - IFERROR(VLOOKUP(A55,'Trial Balance '!$A$5:$H$448, 6, 0), 0)</f>
        <v>0</v>
      </c>
      <c r="F55" s="92" t="n">
        <f aca="false">+IIS!E36</f>
        <v>0</v>
      </c>
      <c r="G55" s="94" t="str">
        <f aca="false">IF(A55 = "", "", IF(E55 = F55, "✔", "✘"))</f>
        <v/>
      </c>
      <c r="H55" s="111" t="n">
        <f aca="false">IFERROR(E55-F55,0)</f>
        <v>0</v>
      </c>
      <c r="I55" s="92" t="n">
        <f aca="true" t="array" ref="I55:I55">SUMPRODUCT(IFERROR(VLOOKUP(ROW(INDIRECT(LEFT(A55,FIND("-",A55)-1)&amp;":"&amp;RIGHT(A55,LEN(A55)-FIND("-",A55)))),'Trial Balance '!$A$5:$H$448,7,FALSE()),0)) + IFERROR(VLOOKUP(A55,'Trial Balance '!$A$5:$H$448, 7, 0), 0)</f>
        <v>0</v>
      </c>
      <c r="J55" s="92" t="n">
        <f aca="false">IFERROR(E55-I55,0)</f>
        <v>0</v>
      </c>
      <c r="K55" s="95" t="str">
        <f aca="false">IF(J55&lt;0,"Ç",IF(J55&gt;0,"È","Æ"))</f>
        <v>Æ</v>
      </c>
      <c r="L55" s="96" t="s">
        <v>597</v>
      </c>
      <c r="M55" s="97" t="n">
        <f aca="false">IFERROR(VLOOKUP(IFERROR(TRIM(LEFT(C55,FIND("(",C55)-2)),C55),rhiddenlinkdata,12,FALSE()),0)</f>
        <v>0</v>
      </c>
      <c r="N55" s="98" t="s">
        <v>598</v>
      </c>
      <c r="O55" s="99" t="n">
        <f aca="false">IFERROR(VLOOKUP(IFERROR(TRIM(LEFT(C55,FIND("(",C55)-2)),C55),rsdcount,2,FALSE()),0)</f>
        <v>0</v>
      </c>
      <c r="P55" s="100" t="str">
        <f aca="false">IFERROR(VLOOKUP(VLOOKUP(IFERROR(LEFT(C55,FIND("(",C55)-2),C55),rhiddenlinkdata,15,FALSE()),jobstatuslookup,2,FALSE()),IFERROR(IF(VLOOKUP(IFERROR(LEFT(C55,FIND("(",C55)-2),C55),rhiddenlinkdata,3,FALSE())=1,"Not started",""),""))</f>
        <v/>
      </c>
      <c r="Q55" s="84"/>
      <c r="R55" s="101"/>
    </row>
    <row r="56" customFormat="false" ht="14.25" hidden="false" customHeight="true" outlineLevel="0" collapsed="false">
      <c r="A56" s="88"/>
      <c r="B56" s="89" t="str">
        <f aca="false">IFERROR(VLOOKUP(A56,'Trial Balance '!$A$5:$H$448, 2, 0), " ")</f>
        <v> </v>
      </c>
      <c r="C56" s="110" t="s">
        <v>612</v>
      </c>
      <c r="D56" s="105"/>
      <c r="E56" s="92" t="n">
        <f aca="true" t="array" ref="E56:E56">SUMPRODUCT(IFERROR(VLOOKUP(ROW(INDIRECT(LEFT(A56,FIND("-",A56)-1)&amp;":"&amp;RIGHT(A56,LEN(A56)-FIND("-",A56)))),'Trial Balance '!$A$5:$H$448,5,FALSE()),0)) - SUMPRODUCT(IFERROR(VLOOKUP(ROW(INDIRECT(LEFT(A56,FIND("-",A56)-1)&amp;":"&amp;RIGHT(A56,LEN(A56)-FIND("-",A56)))),'Trial Balance '!$A$5:$H$448,6,FALSE()),0)) + IFERROR(VLOOKUP(A56,'Trial Balance '!$A$5:$H$448, 5, 0), 0) - IFERROR(VLOOKUP(A56,'Trial Balance '!$A$5:$H$448, 6, 0), 0)</f>
        <v>0</v>
      </c>
      <c r="F56" s="92" t="n">
        <f aca="false">+IIS!E48</f>
        <v>0</v>
      </c>
      <c r="G56" s="94" t="str">
        <f aca="false">IF(A56 = "", "", IF(E56 = F56, "✔", "✘"))</f>
        <v/>
      </c>
      <c r="H56" s="111" t="n">
        <f aca="false">IFERROR(E56-F56,0)</f>
        <v>0</v>
      </c>
      <c r="I56" s="92" t="n">
        <f aca="true" t="array" ref="I56:I56">SUMPRODUCT(IFERROR(VLOOKUP(ROW(INDIRECT(LEFT(A56,FIND("-",A56)-1)&amp;":"&amp;RIGHT(A56,LEN(A56)-FIND("-",A56)))),'Trial Balance '!$A$5:$H$448,7,FALSE()),0)) + IFERROR(VLOOKUP(A56,'Trial Balance '!$A$5:$H$448, 7, 0), 0)</f>
        <v>0</v>
      </c>
      <c r="J56" s="92" t="n">
        <f aca="false">IFERROR(E56-I56,0)</f>
        <v>0</v>
      </c>
      <c r="K56" s="95" t="str">
        <f aca="false">IF(J56&lt;0,"Ç",IF(J56&gt;0,"È","Æ"))</f>
        <v>Æ</v>
      </c>
      <c r="L56" s="96" t="s">
        <v>597</v>
      </c>
      <c r="M56" s="97" t="n">
        <f aca="false">IFERROR(VLOOKUP(IFERROR(TRIM(LEFT(C56,FIND("(",C56)-2)),C56),rhiddenlinkdata,12,FALSE()),0)</f>
        <v>0</v>
      </c>
      <c r="N56" s="98" t="s">
        <v>598</v>
      </c>
      <c r="O56" s="99" t="n">
        <f aca="false">IFERROR(VLOOKUP(IFERROR(TRIM(LEFT(C56,FIND("(",C56)-2)),C56),rsdcount,2,FALSE()),0)</f>
        <v>0</v>
      </c>
      <c r="P56" s="100" t="str">
        <f aca="false">IFERROR(VLOOKUP(VLOOKUP(IFERROR(LEFT(C56,FIND("(",C56)-2),C56),rhiddenlinkdata,15,FALSE()),jobstatuslookup,2,FALSE()),IFERROR(IF(VLOOKUP(IFERROR(LEFT(C56,FIND("(",C56)-2),C56),rhiddenlinkdata,3,FALSE())=1,"Not started",""),""))</f>
        <v/>
      </c>
      <c r="Q56" s="84"/>
      <c r="R56" s="101"/>
    </row>
    <row r="57" customFormat="false" ht="14.25" hidden="false" customHeight="true" outlineLevel="0" collapsed="false">
      <c r="A57" s="88"/>
      <c r="B57" s="89" t="str">
        <f aca="false">IFERROR(VLOOKUP(A57,'Trial Balance '!$A$5:$H$448, 2, 0), " ")</f>
        <v> </v>
      </c>
      <c r="C57" s="110" t="s">
        <v>612</v>
      </c>
      <c r="D57" s="105"/>
      <c r="E57" s="92" t="n">
        <f aca="true" t="array" ref="E57:E57">SUMPRODUCT(IFERROR(VLOOKUP(ROW(INDIRECT(LEFT(A57,FIND("-",A57)-1)&amp;":"&amp;RIGHT(A57,LEN(A57)-FIND("-",A57)))),'Trial Balance '!$A$5:$H$448,5,FALSE()),0)) - SUMPRODUCT(IFERROR(VLOOKUP(ROW(INDIRECT(LEFT(A57,FIND("-",A57)-1)&amp;":"&amp;RIGHT(A57,LEN(A57)-FIND("-",A57)))),'Trial Balance '!$A$5:$H$448,6,FALSE()),0)) + IFERROR(VLOOKUP(A57,'Trial Balance '!$A$5:$H$448, 5, 0), 0) - IFERROR(VLOOKUP(A57,'Trial Balance '!$A$5:$H$448, 6, 0), 0)</f>
        <v>0</v>
      </c>
      <c r="F57" s="92" t="n">
        <f aca="false">+IIS!E60</f>
        <v>0</v>
      </c>
      <c r="G57" s="94" t="str">
        <f aca="false">IF(A57 = "", "", IF(E57 = F57, "✔", "✘"))</f>
        <v/>
      </c>
      <c r="H57" s="111" t="n">
        <f aca="false">IFERROR(E57-F57,0)</f>
        <v>0</v>
      </c>
      <c r="I57" s="92" t="n">
        <f aca="true" t="array" ref="I57:I57">SUMPRODUCT(IFERROR(VLOOKUP(ROW(INDIRECT(LEFT(A57,FIND("-",A57)-1)&amp;":"&amp;RIGHT(A57,LEN(A57)-FIND("-",A57)))),'Trial Balance '!$A$5:$H$448,7,FALSE()),0)) + IFERROR(VLOOKUP(A57,'Trial Balance '!$A$5:$H$448, 7, 0), 0)</f>
        <v>0</v>
      </c>
      <c r="J57" s="92" t="n">
        <f aca="false">IFERROR(E57-I57,0)</f>
        <v>0</v>
      </c>
      <c r="K57" s="95" t="str">
        <f aca="false">IF(J57&lt;0,"Ç",IF(J57&gt;0,"È","Æ"))</f>
        <v>Æ</v>
      </c>
      <c r="L57" s="96" t="s">
        <v>597</v>
      </c>
      <c r="M57" s="97" t="n">
        <f aca="false">IFERROR(VLOOKUP(IFERROR(TRIM(LEFT(C57,FIND("(",C57)-2)),C57),rhiddenlinkdata,12,FALSE()),0)</f>
        <v>0</v>
      </c>
      <c r="N57" s="98" t="s">
        <v>598</v>
      </c>
      <c r="O57" s="99" t="n">
        <f aca="false">IFERROR(VLOOKUP(IFERROR(TRIM(LEFT(C57,FIND("(",C57)-2)),C57),rsdcount,2,FALSE()),0)</f>
        <v>0</v>
      </c>
      <c r="P57" s="100" t="str">
        <f aca="false">IFERROR(VLOOKUP(VLOOKUP(IFERROR(LEFT(C57,FIND("(",C57)-2),C57),rhiddenlinkdata,15,FALSE()),jobstatuslookup,2,FALSE()),IFERROR(IF(VLOOKUP(IFERROR(LEFT(C57,FIND("(",C57)-2),C57),rhiddenlinkdata,3,FALSE())=1,"Not started",""),""))</f>
        <v/>
      </c>
      <c r="Q57" s="84"/>
      <c r="R57" s="101"/>
    </row>
    <row r="58" customFormat="false" ht="14.25" hidden="false" customHeight="true" outlineLevel="0" collapsed="false">
      <c r="A58" s="88"/>
      <c r="B58" s="89" t="str">
        <f aca="false">IFERROR(VLOOKUP(A58,'Trial Balance '!$A$5:$H$448, 2, 0), " ")</f>
        <v> </v>
      </c>
      <c r="C58" s="110" t="s">
        <v>612</v>
      </c>
      <c r="D58" s="105"/>
      <c r="E58" s="92" t="n">
        <f aca="true" t="array" ref="E58:E58">SUMPRODUCT(IFERROR(VLOOKUP(ROW(INDIRECT(LEFT(A58,FIND("-",A58)-1)&amp;":"&amp;RIGHT(A58,LEN(A58)-FIND("-",A58)))),'Trial Balance '!$A$5:$H$448,5,FALSE()),0)) - SUMPRODUCT(IFERROR(VLOOKUP(ROW(INDIRECT(LEFT(A58,FIND("-",A58)-1)&amp;":"&amp;RIGHT(A58,LEN(A58)-FIND("-",A58)))),'Trial Balance '!$A$5:$H$448,6,FALSE()),0)) + IFERROR(VLOOKUP(A58,'Trial Balance '!$A$5:$H$448, 5, 0), 0) - IFERROR(VLOOKUP(A58,'Trial Balance '!$A$5:$H$448, 6, 0), 0)</f>
        <v>0</v>
      </c>
      <c r="F58" s="92" t="n">
        <f aca="false">+IIS!E72</f>
        <v>0</v>
      </c>
      <c r="G58" s="94" t="str">
        <f aca="false">IF(A58 = "", "", IF(E58 = F58, "✔", "✘"))</f>
        <v/>
      </c>
      <c r="H58" s="111" t="n">
        <f aca="false">IFERROR(E58-F58,0)</f>
        <v>0</v>
      </c>
      <c r="I58" s="92" t="n">
        <f aca="true" t="array" ref="I58:I58">SUMPRODUCT(IFERROR(VLOOKUP(ROW(INDIRECT(LEFT(A58,FIND("-",A58)-1)&amp;":"&amp;RIGHT(A58,LEN(A58)-FIND("-",A58)))),'Trial Balance '!$A$5:$H$448,7,FALSE()),0)) + IFERROR(VLOOKUP(A58,'Trial Balance '!$A$5:$H$448, 7, 0), 0)</f>
        <v>0</v>
      </c>
      <c r="J58" s="92" t="n">
        <f aca="false">IFERROR(E58-I58,0)</f>
        <v>0</v>
      </c>
      <c r="K58" s="95" t="str">
        <f aca="false">IF(J58&lt;0,"Ç",IF(J58&gt;0,"È","Æ"))</f>
        <v>Æ</v>
      </c>
      <c r="L58" s="96" t="s">
        <v>597</v>
      </c>
      <c r="M58" s="97" t="n">
        <f aca="false">IFERROR(VLOOKUP(IFERROR(TRIM(LEFT(C58,FIND("(",C58)-2)),C58),rhiddenlinkdata,12,FALSE()),0)</f>
        <v>0</v>
      </c>
      <c r="N58" s="98" t="s">
        <v>598</v>
      </c>
      <c r="O58" s="99" t="n">
        <f aca="false">IFERROR(VLOOKUP(IFERROR(TRIM(LEFT(C58,FIND("(",C58)-2)),C58),rsdcount,2,FALSE()),0)</f>
        <v>0</v>
      </c>
      <c r="P58" s="100" t="str">
        <f aca="false">IFERROR(VLOOKUP(VLOOKUP(IFERROR(LEFT(C58,FIND("(",C58)-2),C58),rhiddenlinkdata,15,FALSE()),jobstatuslookup,2,FALSE()),IFERROR(IF(VLOOKUP(IFERROR(LEFT(C58,FIND("(",C58)-2),C58),rhiddenlinkdata,3,FALSE())=1,"Not started",""),""))</f>
        <v/>
      </c>
      <c r="Q58" s="84"/>
      <c r="R58" s="101"/>
    </row>
    <row r="59" customFormat="false" ht="14.25" hidden="false" customHeight="true" outlineLevel="0" collapsed="false">
      <c r="A59" s="88"/>
      <c r="B59" s="89" t="str">
        <f aca="false">IFERROR(VLOOKUP(A59,'Trial Balance '!$A$5:$H$448, 2, 0), " ")</f>
        <v> </v>
      </c>
      <c r="C59" s="110" t="s">
        <v>612</v>
      </c>
      <c r="D59" s="105"/>
      <c r="E59" s="92" t="n">
        <f aca="true" t="array" ref="E59:E59">SUMPRODUCT(IFERROR(VLOOKUP(ROW(INDIRECT(LEFT(A59,FIND("-",A59)-1)&amp;":"&amp;RIGHT(A59,LEN(A59)-FIND("-",A59)))),'Trial Balance '!$A$5:$H$448,5,FALSE()),0)) - SUMPRODUCT(IFERROR(VLOOKUP(ROW(INDIRECT(LEFT(A59,FIND("-",A59)-1)&amp;":"&amp;RIGHT(A59,LEN(A59)-FIND("-",A59)))),'Trial Balance '!$A$5:$H$448,6,FALSE()),0)) + IFERROR(VLOOKUP(A59,'Trial Balance '!$A$5:$H$448, 5, 0), 0) - IFERROR(VLOOKUP(A59,'Trial Balance '!$A$5:$H$448, 6, 0), 0)</f>
        <v>0</v>
      </c>
      <c r="F59" s="92" t="n">
        <f aca="false">+IIS!E84</f>
        <v>0</v>
      </c>
      <c r="G59" s="94" t="str">
        <f aca="false">IF(A59 = "", "", IF(E59 = F59, "✔", "✘"))</f>
        <v/>
      </c>
      <c r="H59" s="111" t="n">
        <f aca="false">IFERROR(E59-F59,0)</f>
        <v>0</v>
      </c>
      <c r="I59" s="92" t="n">
        <f aca="true" t="array" ref="I59:I59">SUMPRODUCT(IFERROR(VLOOKUP(ROW(INDIRECT(LEFT(A59,FIND("-",A59)-1)&amp;":"&amp;RIGHT(A59,LEN(A59)-FIND("-",A59)))),'Trial Balance '!$A$5:$H$448,7,FALSE()),0)) + IFERROR(VLOOKUP(A59,'Trial Balance '!$A$5:$H$448, 7, 0), 0)</f>
        <v>0</v>
      </c>
      <c r="J59" s="92" t="n">
        <f aca="false">IFERROR(E59-I59,0)</f>
        <v>0</v>
      </c>
      <c r="K59" s="95" t="str">
        <f aca="false">IF(J59&lt;0,"Ç",IF(J59&gt;0,"È","Æ"))</f>
        <v>Æ</v>
      </c>
      <c r="L59" s="96" t="s">
        <v>597</v>
      </c>
      <c r="M59" s="97" t="n">
        <f aca="false">IFERROR(VLOOKUP(IFERROR(TRIM(LEFT(C59,FIND("(",C59)-2)),C59),rhiddenlinkdata,12,FALSE()),0)</f>
        <v>0</v>
      </c>
      <c r="N59" s="98" t="s">
        <v>598</v>
      </c>
      <c r="O59" s="99" t="n">
        <f aca="false">IFERROR(VLOOKUP(IFERROR(TRIM(LEFT(C59,FIND("(",C59)-2)),C59),rsdcount,2,FALSE()),0)</f>
        <v>0</v>
      </c>
      <c r="P59" s="100" t="str">
        <f aca="false">IFERROR(VLOOKUP(VLOOKUP(IFERROR(LEFT(C59,FIND("(",C59)-2),C59),rhiddenlinkdata,15,FALSE()),jobstatuslookup,2,FALSE()),IFERROR(IF(VLOOKUP(IFERROR(LEFT(C59,FIND("(",C59)-2),C59),rhiddenlinkdata,3,FALSE())=1,"Not started",""),""))</f>
        <v/>
      </c>
      <c r="Q59" s="84"/>
      <c r="R59" s="101"/>
    </row>
    <row r="60" customFormat="false" ht="20.25" hidden="false" customHeight="true" outlineLevel="0" collapsed="false">
      <c r="A60" s="112"/>
      <c r="B60" s="89"/>
      <c r="C60" s="110"/>
      <c r="D60" s="113"/>
      <c r="E60" s="114"/>
      <c r="F60" s="115"/>
      <c r="G60" s="116"/>
      <c r="H60" s="92" t="n">
        <f aca="false">IFERROR(E60-F60,0)</f>
        <v>0</v>
      </c>
      <c r="I60" s="87"/>
      <c r="J60" s="92" t="n">
        <f aca="false">IFERROR(E60-I60,0)</f>
        <v>0</v>
      </c>
      <c r="K60" s="95" t="str">
        <f aca="false">IF(J60&gt;0,"Ç",IF(J60&lt;0,"È","Æ"))</f>
        <v>Æ</v>
      </c>
      <c r="L60" s="96" t="s">
        <v>597</v>
      </c>
      <c r="M60" s="97" t="n">
        <f aca="false">IFERROR(VLOOKUP(IFERROR(TRIM(LEFT(C60,FIND("(",C60)-2)),C60),rhiddenlinkdata,12,FALSE()),0)</f>
        <v>0</v>
      </c>
      <c r="N60" s="98" t="s">
        <v>598</v>
      </c>
      <c r="O60" s="99" t="n">
        <v>0</v>
      </c>
      <c r="P60" s="100"/>
      <c r="Q60" s="84"/>
    </row>
    <row r="61" customFormat="false" ht="14.25" hidden="false" customHeight="true" outlineLevel="0" collapsed="false">
      <c r="A61" s="69"/>
      <c r="B61" s="69" t="s">
        <v>613</v>
      </c>
      <c r="C61" s="69"/>
      <c r="D61" s="69"/>
      <c r="E61" s="92" t="n">
        <f aca="false">SUM(E47:E60)</f>
        <v>0</v>
      </c>
      <c r="F61" s="69"/>
      <c r="G61" s="69"/>
      <c r="H61" s="69"/>
      <c r="I61" s="69"/>
      <c r="J61" s="69"/>
      <c r="K61" s="69"/>
      <c r="L61" s="69"/>
      <c r="M61" s="69"/>
      <c r="N61" s="69"/>
      <c r="O61" s="69"/>
      <c r="P61" s="69"/>
      <c r="Q61" s="77"/>
    </row>
    <row r="62" customFormat="false" ht="12.75" hidden="false" customHeight="false" outlineLevel="0" collapsed="false">
      <c r="E62" s="104"/>
      <c r="Q62" s="77"/>
    </row>
    <row r="63" customFormat="false" ht="12.75" hidden="false" customHeight="false" outlineLevel="0" collapsed="false">
      <c r="A63" s="69"/>
      <c r="B63" s="69"/>
      <c r="C63" s="69"/>
      <c r="D63" s="69"/>
      <c r="E63" s="70"/>
      <c r="F63" s="69"/>
      <c r="G63" s="69"/>
      <c r="H63" s="69"/>
      <c r="I63" s="69"/>
      <c r="J63" s="69"/>
      <c r="K63" s="69"/>
      <c r="L63" s="69"/>
      <c r="M63" s="69"/>
      <c r="N63" s="69"/>
      <c r="O63" s="69"/>
      <c r="P63" s="69"/>
      <c r="Q63" s="69"/>
    </row>
    <row r="64" customFormat="false" ht="35.25" hidden="false" customHeight="true" outlineLevel="0" collapsed="false">
      <c r="A64" s="65" t="s">
        <v>614</v>
      </c>
      <c r="B64" s="65"/>
      <c r="C64" s="65"/>
      <c r="D64" s="65"/>
      <c r="E64" s="66"/>
      <c r="F64" s="65"/>
      <c r="G64" s="65"/>
      <c r="H64" s="65"/>
      <c r="I64" s="65"/>
      <c r="J64" s="65"/>
      <c r="K64" s="65"/>
      <c r="L64" s="65"/>
      <c r="M64" s="65"/>
      <c r="N64" s="65"/>
      <c r="O64" s="68"/>
      <c r="P64" s="68"/>
      <c r="Q64" s="68"/>
    </row>
    <row r="65" customFormat="false" ht="12.75" hidden="false" customHeight="false" outlineLevel="0" collapsed="false">
      <c r="A65" s="69"/>
      <c r="B65" s="69"/>
      <c r="C65" s="69"/>
      <c r="D65" s="69"/>
      <c r="E65" s="70"/>
      <c r="F65" s="69"/>
      <c r="G65" s="69"/>
      <c r="H65" s="69"/>
      <c r="I65" s="69"/>
      <c r="J65" s="69"/>
      <c r="K65" s="69"/>
      <c r="L65" s="69"/>
      <c r="M65" s="69"/>
      <c r="N65" s="69"/>
      <c r="O65" s="69"/>
      <c r="P65" s="69"/>
      <c r="Q65" s="71"/>
    </row>
    <row r="66" customFormat="false" ht="18" hidden="false" customHeight="true" outlineLevel="0" collapsed="false">
      <c r="E66" s="73" t="s">
        <v>584</v>
      </c>
      <c r="F66" s="73"/>
      <c r="G66" s="73"/>
      <c r="H66" s="73"/>
      <c r="I66" s="73" t="s">
        <v>585</v>
      </c>
      <c r="J66" s="73"/>
      <c r="K66" s="73"/>
      <c r="L66" s="74"/>
      <c r="M66" s="75"/>
      <c r="N66" s="76"/>
      <c r="O66" s="75"/>
      <c r="Q66" s="77"/>
    </row>
    <row r="67" customFormat="false" ht="15" hidden="false" customHeight="true" outlineLevel="0" collapsed="false">
      <c r="A67" s="78" t="s">
        <v>586</v>
      </c>
      <c r="B67" s="78" t="s">
        <v>12</v>
      </c>
      <c r="C67" s="78" t="s">
        <v>587</v>
      </c>
      <c r="D67" s="78"/>
      <c r="E67" s="79" t="s">
        <v>588</v>
      </c>
      <c r="F67" s="78" t="s">
        <v>589</v>
      </c>
      <c r="G67" s="78" t="s">
        <v>590</v>
      </c>
      <c r="H67" s="78" t="s">
        <v>591</v>
      </c>
      <c r="I67" s="81" t="s">
        <v>592</v>
      </c>
      <c r="J67" s="78" t="s">
        <v>591</v>
      </c>
      <c r="K67" s="78"/>
      <c r="L67" s="82" t="s">
        <v>593</v>
      </c>
      <c r="M67" s="82"/>
      <c r="N67" s="83" t="s">
        <v>594</v>
      </c>
      <c r="O67" s="83"/>
      <c r="P67" s="78" t="s">
        <v>595</v>
      </c>
      <c r="Q67" s="84"/>
    </row>
    <row r="68" customFormat="false" ht="12.75" hidden="false" customHeight="false" outlineLevel="0" collapsed="false">
      <c r="A68" s="85"/>
      <c r="B68" s="85"/>
      <c r="C68" s="85"/>
      <c r="D68" s="85"/>
      <c r="E68" s="86"/>
      <c r="F68" s="85"/>
      <c r="G68" s="85"/>
      <c r="H68" s="85"/>
      <c r="I68" s="85"/>
      <c r="J68" s="85"/>
      <c r="K68" s="85"/>
      <c r="L68" s="85"/>
      <c r="M68" s="85"/>
      <c r="N68" s="85"/>
      <c r="O68" s="85"/>
      <c r="P68" s="85"/>
      <c r="Q68" s="77"/>
    </row>
    <row r="69" customFormat="false" ht="14.25" hidden="false" customHeight="true" outlineLevel="0" collapsed="false">
      <c r="A69" s="88"/>
      <c r="B69" s="89" t="str">
        <f aca="false">IFERROR(VLOOKUP(A69,'Trial Balance '!$A$5:$H$448, 2, 0), " ")</f>
        <v> </v>
      </c>
      <c r="C69" s="110" t="s">
        <v>607</v>
      </c>
      <c r="D69" s="105"/>
      <c r="E69" s="92" t="n">
        <f aca="true" t="array" ref="E69:E69">SUMPRODUCT(IFERROR(VLOOKUP(ROW(INDIRECT(LEFT(A69,FIND("-",A69)-1)&amp;":"&amp;RIGHT(A69,LEN(A69)-FIND("-",A69)))),'Trial Balance '!$A$5:$H$448,5,FALSE()),0)) - SUMPRODUCT(IFERROR(VLOOKUP(ROW(INDIRECT(LEFT(A69,FIND("-",A69)-1)&amp;":"&amp;RIGHT(A69,LEN(A69)-FIND("-",A69)))),'Trial Balance '!$A$5:$H$448,6,FALSE()),0)) + IFERROR(VLOOKUP(A69,'Trial Balance '!$A$5:$H$448, 5, 0), 0) - IFERROR(VLOOKUP(A69,'Trial Balance '!$A$5:$H$448, 6, 0), 0)</f>
        <v>0</v>
      </c>
      <c r="F69" s="92" t="n">
        <f aca="false">+TLN!I109</f>
        <v>0</v>
      </c>
      <c r="G69" s="94" t="str">
        <f aca="false">IF(A69 = "", "", IF(E69 = F69, "✔", "✘"))</f>
        <v/>
      </c>
      <c r="H69" s="92" t="n">
        <f aca="false">IFERROR(E69-F69,0)</f>
        <v>0</v>
      </c>
      <c r="I69" s="92" t="n">
        <f aca="true" t="array" ref="I69:I69">SUMPRODUCT(IFERROR(VLOOKUP(ROW(INDIRECT(LEFT(A69,FIND("-",A69)-1)&amp;":"&amp;RIGHT(A69,LEN(A69)-FIND("-",A69)))),'Trial Balance '!$A$5:$H$448,7,FALSE()),0)) + IFERROR(VLOOKUP(A69,'Trial Balance '!$A$5:$H$448, 7, 0), 0)</f>
        <v>0</v>
      </c>
      <c r="J69" s="92" t="n">
        <f aca="false">IFERROR(E69-I69,0)</f>
        <v>0</v>
      </c>
      <c r="K69" s="95" t="str">
        <f aca="false">IF(J69&lt;0,"Ç",IF(J69&gt;0,"È","Æ"))</f>
        <v>Æ</v>
      </c>
      <c r="L69" s="96" t="s">
        <v>597</v>
      </c>
      <c r="M69" s="97" t="n">
        <f aca="false">IFERROR(VLOOKUP(IFERROR(TRIM(LEFT(C69,FIND("(",C69)-2)),C69),rhiddenlinkdata,12,FALSE()),0)</f>
        <v>0</v>
      </c>
      <c r="N69" s="98" t="s">
        <v>598</v>
      </c>
      <c r="O69" s="99" t="n">
        <v>0</v>
      </c>
      <c r="P69" s="100"/>
      <c r="Q69" s="84"/>
      <c r="R69" s="101"/>
    </row>
    <row r="70" customFormat="false" ht="14.25" hidden="false" customHeight="true" outlineLevel="0" collapsed="false">
      <c r="A70" s="88"/>
      <c r="B70" s="89" t="str">
        <f aca="false">IFERROR(VLOOKUP(A70,'Trial Balance '!$A$5:$H$448, 2, 0), " ")</f>
        <v> </v>
      </c>
      <c r="C70" s="110" t="s">
        <v>552</v>
      </c>
      <c r="D70" s="105"/>
      <c r="E70" s="92" t="n">
        <f aca="true" t="array" ref="E70:E70">SUMPRODUCT(IFERROR(VLOOKUP(ROW(INDIRECT(LEFT(A70,FIND("-",A70)-1)&amp;":"&amp;RIGHT(A70,LEN(A70)-FIND("-",A70)))),'Trial Balance '!$A$5:$H$448,5,FALSE()),0)) - SUMPRODUCT(IFERROR(VLOOKUP(ROW(INDIRECT(LEFT(A70,FIND("-",A70)-1)&amp;":"&amp;RIGHT(A70,LEN(A70)-FIND("-",A70)))),'Trial Balance '!$A$5:$H$448,6,FALSE()),0)) + IFERROR(VLOOKUP(A70,'Trial Balance '!$A$5:$H$448, 5, 0), 0) - IFERROR(VLOOKUP(A70,'Trial Balance '!$A$5:$H$448, 6, 0), 0)</f>
        <v>0</v>
      </c>
      <c r="F70" s="92" t="n">
        <f aca="false">+HPL!K59</f>
        <v>0</v>
      </c>
      <c r="G70" s="94" t="str">
        <f aca="false">IF(A70 = "", "", IF(E70 = F70, "✔", "✘"))</f>
        <v/>
      </c>
      <c r="H70" s="92" t="n">
        <f aca="false">IFERROR(E70-F70,0)</f>
        <v>0</v>
      </c>
      <c r="I70" s="92" t="n">
        <f aca="true" t="array" ref="I70:I70">SUMPRODUCT(IFERROR(VLOOKUP(ROW(INDIRECT(LEFT(A70,FIND("-",A70)-1)&amp;":"&amp;RIGHT(A70,LEN(A70)-FIND("-",A70)))),'Trial Balance '!$A$5:$H$448,7,FALSE()),0)) + IFERROR(VLOOKUP(A70,'Trial Balance '!$A$5:$H$448, 7, 0), 0)</f>
        <v>0</v>
      </c>
      <c r="J70" s="92" t="n">
        <f aca="false">IFERROR(E70-I70,0)</f>
        <v>0</v>
      </c>
      <c r="K70" s="95" t="str">
        <f aca="false">IF(J70&lt;0,"Ç",IF(J70&gt;0,"È","Æ"))</f>
        <v>Æ</v>
      </c>
      <c r="L70" s="96" t="s">
        <v>597</v>
      </c>
      <c r="M70" s="97" t="n">
        <f aca="false">IFERROR(VLOOKUP(IFERROR(TRIM(LEFT(C70,FIND("(",C70)-2)),C70),rhiddenlinkdata,12,FALSE()),0)</f>
        <v>0</v>
      </c>
      <c r="N70" s="98" t="s">
        <v>598</v>
      </c>
      <c r="O70" s="99" t="n">
        <v>0</v>
      </c>
      <c r="P70" s="100"/>
      <c r="Q70" s="84"/>
      <c r="R70" s="101"/>
    </row>
    <row r="71" customFormat="false" ht="20.25" hidden="false" customHeight="true" outlineLevel="0" collapsed="false">
      <c r="A71" s="112"/>
      <c r="B71" s="89"/>
      <c r="C71" s="110"/>
      <c r="D71" s="113"/>
      <c r="E71" s="114"/>
      <c r="F71" s="115"/>
      <c r="G71" s="116"/>
      <c r="H71" s="92" t="n">
        <f aca="false">IFERROR(E71-F71,0)</f>
        <v>0</v>
      </c>
      <c r="I71" s="87"/>
      <c r="J71" s="92" t="n">
        <f aca="false">IFERROR(E71-I71,0)</f>
        <v>0</v>
      </c>
      <c r="K71" s="95" t="str">
        <f aca="false">IF(J71&gt;0,"Ç",IF(J71&lt;0,"È","Æ"))</f>
        <v>Æ</v>
      </c>
      <c r="L71" s="96" t="s">
        <v>597</v>
      </c>
      <c r="M71" s="97" t="n">
        <f aca="false">IFERROR(VLOOKUP(IFERROR(TRIM(LEFT(C71,FIND("(",C71)-2)),C71),rhiddenlinkdata,12,FALSE()),0)</f>
        <v>0</v>
      </c>
      <c r="N71" s="98" t="s">
        <v>598</v>
      </c>
      <c r="O71" s="99" t="n">
        <v>0</v>
      </c>
      <c r="P71" s="100"/>
      <c r="Q71" s="84"/>
    </row>
    <row r="72" customFormat="false" ht="14.25" hidden="false" customHeight="true" outlineLevel="0" collapsed="false">
      <c r="A72" s="69"/>
      <c r="B72" s="69" t="s">
        <v>615</v>
      </c>
      <c r="C72" s="69"/>
      <c r="D72" s="69"/>
      <c r="E72" s="92" t="n">
        <f aca="false">SUM(E69:E71)</f>
        <v>0</v>
      </c>
      <c r="F72" s="69"/>
      <c r="G72" s="69"/>
      <c r="H72" s="69"/>
      <c r="I72" s="69"/>
      <c r="J72" s="69"/>
      <c r="K72" s="69"/>
      <c r="L72" s="69"/>
      <c r="M72" s="69"/>
      <c r="N72" s="69"/>
      <c r="O72" s="69"/>
      <c r="P72" s="69"/>
      <c r="Q72" s="77"/>
    </row>
    <row r="73" customFormat="false" ht="12.75" hidden="false" customHeight="false" outlineLevel="0" collapsed="false">
      <c r="E73" s="104"/>
      <c r="Q73" s="77"/>
    </row>
    <row r="74" customFormat="false" ht="12.75" hidden="false" customHeight="false" outlineLevel="0" collapsed="false">
      <c r="A74" s="69"/>
      <c r="B74" s="69"/>
      <c r="C74" s="69"/>
      <c r="D74" s="69"/>
      <c r="E74" s="70"/>
      <c r="F74" s="69"/>
      <c r="G74" s="69"/>
      <c r="H74" s="69"/>
      <c r="I74" s="69"/>
      <c r="J74" s="69"/>
      <c r="K74" s="69"/>
      <c r="L74" s="69"/>
      <c r="M74" s="69"/>
      <c r="N74" s="69"/>
      <c r="O74" s="69"/>
      <c r="P74" s="69"/>
      <c r="Q74" s="69"/>
    </row>
    <row r="75" customFormat="false" ht="39" hidden="false" customHeight="true" outlineLevel="0" collapsed="false">
      <c r="A75" s="65" t="s">
        <v>616</v>
      </c>
      <c r="B75" s="65"/>
      <c r="C75" s="65"/>
      <c r="D75" s="65"/>
      <c r="E75" s="66"/>
      <c r="F75" s="65"/>
      <c r="G75" s="65"/>
      <c r="H75" s="65"/>
      <c r="I75" s="65"/>
      <c r="J75" s="65"/>
      <c r="K75" s="65"/>
      <c r="L75" s="65"/>
      <c r="M75" s="65"/>
      <c r="N75" s="65"/>
      <c r="O75" s="68"/>
      <c r="P75" s="68"/>
      <c r="Q75" s="68"/>
    </row>
    <row r="76" customFormat="false" ht="12.75" hidden="false" customHeight="false" outlineLevel="0" collapsed="false">
      <c r="A76" s="69"/>
      <c r="B76" s="69"/>
      <c r="C76" s="69"/>
      <c r="D76" s="69"/>
      <c r="E76" s="70"/>
      <c r="F76" s="69"/>
      <c r="G76" s="69"/>
      <c r="H76" s="69"/>
      <c r="I76" s="69"/>
      <c r="J76" s="69"/>
      <c r="K76" s="69"/>
      <c r="L76" s="69"/>
      <c r="M76" s="69"/>
      <c r="N76" s="69"/>
      <c r="O76" s="69"/>
      <c r="P76" s="69"/>
      <c r="Q76" s="71"/>
    </row>
    <row r="77" customFormat="false" ht="18" hidden="false" customHeight="true" outlineLevel="0" collapsed="false">
      <c r="E77" s="73" t="s">
        <v>584</v>
      </c>
      <c r="F77" s="73"/>
      <c r="G77" s="73"/>
      <c r="H77" s="73"/>
      <c r="I77" s="73" t="s">
        <v>585</v>
      </c>
      <c r="J77" s="73"/>
      <c r="K77" s="73"/>
      <c r="L77" s="74"/>
      <c r="M77" s="75"/>
      <c r="N77" s="76"/>
      <c r="O77" s="75"/>
      <c r="Q77" s="77"/>
    </row>
    <row r="78" customFormat="false" ht="15" hidden="false" customHeight="true" outlineLevel="0" collapsed="false">
      <c r="A78" s="78" t="s">
        <v>586</v>
      </c>
      <c r="B78" s="78" t="s">
        <v>12</v>
      </c>
      <c r="C78" s="78" t="s">
        <v>587</v>
      </c>
      <c r="D78" s="78"/>
      <c r="E78" s="79" t="s">
        <v>588</v>
      </c>
      <c r="F78" s="78" t="s">
        <v>589</v>
      </c>
      <c r="G78" s="78" t="s">
        <v>590</v>
      </c>
      <c r="H78" s="78" t="s">
        <v>591</v>
      </c>
      <c r="I78" s="81" t="s">
        <v>592</v>
      </c>
      <c r="J78" s="78" t="s">
        <v>591</v>
      </c>
      <c r="K78" s="78"/>
      <c r="L78" s="82" t="s">
        <v>593</v>
      </c>
      <c r="M78" s="82"/>
      <c r="N78" s="83" t="s">
        <v>594</v>
      </c>
      <c r="O78" s="83"/>
      <c r="P78" s="78" t="s">
        <v>595</v>
      </c>
      <c r="Q78" s="84"/>
    </row>
    <row r="79" customFormat="false" ht="12.75" hidden="false" customHeight="false" outlineLevel="0" collapsed="false">
      <c r="A79" s="85"/>
      <c r="B79" s="85"/>
      <c r="C79" s="85"/>
      <c r="D79" s="85"/>
      <c r="E79" s="86"/>
      <c r="F79" s="85"/>
      <c r="G79" s="85"/>
      <c r="H79" s="85"/>
      <c r="I79" s="85"/>
      <c r="J79" s="85"/>
      <c r="K79" s="85"/>
      <c r="L79" s="85"/>
      <c r="M79" s="85"/>
      <c r="N79" s="85"/>
      <c r="O79" s="85"/>
      <c r="P79" s="85"/>
      <c r="Q79" s="77"/>
    </row>
    <row r="80" customFormat="false" ht="14.25" hidden="false" customHeight="true" outlineLevel="0" collapsed="false">
      <c r="A80" s="88"/>
      <c r="B80" s="89" t="str">
        <f aca="false">IFERROR(VLOOKUP(A80,'Trial Balance '!$A$5:$H$448, 2, 0), " ")</f>
        <v> </v>
      </c>
      <c r="C80" s="110" t="s">
        <v>562</v>
      </c>
      <c r="D80" s="105"/>
      <c r="E80" s="92" t="n">
        <f aca="true" t="array" ref="E80:E80">SUMPRODUCT(IFERROR(VLOOKUP(ROW(INDIRECT(LEFT(A80,FIND("-",A80)-1)&amp;":"&amp;RIGHT(A80,LEN(A80)-FIND("-",A80)))),'Trial Balance '!$A$5:$H$448,5,FALSE()),0)) - SUMPRODUCT(IFERROR(VLOOKUP(ROW(INDIRECT(LEFT(A80,FIND("-",A80)-1)&amp;":"&amp;RIGHT(A80,LEN(A80)-FIND("-",A80)))),'Trial Balance '!$A$5:$H$448,6,FALSE()),0)) + IFERROR(VLOOKUP(A80,'Trial Balance '!$A$5:$H$448, 5, 0), 0) - IFERROR(VLOOKUP(A80,'Trial Balance '!$A$5:$H$448, 6, 0), 0)</f>
        <v>0</v>
      </c>
      <c r="F80" s="92" t="n">
        <f aca="false">+RES!N8</f>
        <v>0</v>
      </c>
      <c r="G80" s="94" t="str">
        <f aca="false">IF(A80 = "", "", IF(E80 = F80, "✔", "✘"))</f>
        <v/>
      </c>
      <c r="H80" s="92" t="n">
        <f aca="false">IFERROR(E80-F80,0)</f>
        <v>0</v>
      </c>
      <c r="I80" s="92" t="n">
        <f aca="true" t="array" ref="I80:I80">SUMPRODUCT(IFERROR(VLOOKUP(ROW(INDIRECT(LEFT(A80,FIND("-",A80)-1)&amp;":"&amp;RIGHT(A80,LEN(A80)-FIND("-",A80)))),'Trial Balance '!$A$5:$H$448,7,FALSE()),0)) + IFERROR(VLOOKUP(A80,'Trial Balance '!$A$5:$H$448, 7, 0), 0)</f>
        <v>0</v>
      </c>
      <c r="J80" s="92" t="n">
        <f aca="false">IFERROR(E80-I80,0)</f>
        <v>0</v>
      </c>
      <c r="K80" s="95" t="str">
        <f aca="false">IF(J80&lt;0,"Ç",IF(J80&gt;0,"È","Æ"))</f>
        <v>Æ</v>
      </c>
      <c r="L80" s="96" t="s">
        <v>597</v>
      </c>
      <c r="M80" s="97" t="n">
        <f aca="false">IFERROR(VLOOKUP(IFERROR(TRIM(LEFT(C80,FIND("(",C80)-2)),C80),rhiddenlinkdata,12,FALSE()),0)</f>
        <v>0</v>
      </c>
      <c r="N80" s="98" t="s">
        <v>598</v>
      </c>
      <c r="O80" s="99" t="n">
        <f aca="false">IFERROR(VLOOKUP(IFERROR(TRIM(LEFT(C80,FIND("(",C80)-2)),C80),rsdcount,2,FALSE()),0)</f>
        <v>0</v>
      </c>
      <c r="P80" s="100" t="str">
        <f aca="false">IFERROR(VLOOKUP(VLOOKUP(IFERROR(LEFT(C80,FIND("(",C80)-2),C80),rhiddenlinkdata,15,FALSE()),jobstatuslookup,2,FALSE()),IFERROR(IF(VLOOKUP(IFERROR(LEFT(C80,FIND("(",C80)-2),C80),rhiddenlinkdata,3,FALSE())=1,"Not started",""),""))</f>
        <v/>
      </c>
      <c r="Q80" s="84"/>
      <c r="R80" s="101"/>
    </row>
    <row r="81" customFormat="false" ht="14.25" hidden="false" customHeight="true" outlineLevel="0" collapsed="false">
      <c r="A81" s="88"/>
      <c r="B81" s="89" t="str">
        <f aca="false">IFERROR(VLOOKUP(A81,'[1]Trial Balance '!$A$5:$G$600, 2, 0), " ")</f>
        <v> </v>
      </c>
      <c r="C81" s="110" t="s">
        <v>564</v>
      </c>
      <c r="D81" s="105"/>
      <c r="E81" s="92" t="n">
        <f aca="true" t="array" ref="E81:E81">SUMPRODUCT(IFERROR(VLOOKUP(ROW(INDIRECT(LEFT(A81,FIND("-",A81)-1)&amp;":"&amp;RIGHT(A81,LEN(A81)-FIND("-",A81)))),'Trial Balance '!$A$5:$H$448,5,FALSE()),0)) - SUMPRODUCT(IFERROR(VLOOKUP(ROW(INDIRECT(LEFT(A81,FIND("-",A81)-1)&amp;":"&amp;RIGHT(A81,LEN(A81)-FIND("-",A81)))),'Trial Balance '!$A$5:$H$448,6,FALSE()),0)) + IFERROR(VLOOKUP(A81,'Trial Balance '!$A$5:$H$448, 5, 0), 0) - IFERROR(VLOOKUP(A81,'Trial Balance '!$A$5:$H$448, 6, 0), 0)</f>
        <v>0</v>
      </c>
      <c r="F81" s="92" t="n">
        <f aca="false">-SRC!G39</f>
        <v>0</v>
      </c>
      <c r="G81" s="94" t="str">
        <f aca="false">IF(A81 = "", "", IF(E81 = F81, "✔", "✘"))</f>
        <v/>
      </c>
      <c r="H81" s="92" t="n">
        <f aca="false">IFERROR(E81-F81,0)</f>
        <v>0</v>
      </c>
      <c r="I81" s="92" t="n">
        <f aca="true" t="array" ref="I81:I81">SUMPRODUCT(IFERROR(VLOOKUP(ROW(INDIRECT(LEFT(A81,FIND("-",A81)-1)&amp;":"&amp;RIGHT(A81,LEN(A81)-FIND("-",A81)))),'Trial Balance '!$A$5:$H$448,7,FALSE()),0)) + IFERROR(VLOOKUP(A81,'Trial Balance '!$A$5:$H$448, 7, 0), 0)</f>
        <v>0</v>
      </c>
      <c r="J81" s="92" t="n">
        <f aca="false">IFERROR(E81-I81,0)</f>
        <v>0</v>
      </c>
      <c r="K81" s="95" t="str">
        <f aca="false">IF(J81&lt;0,"Ç",IF(J81&gt;0,"È","Æ"))</f>
        <v>Æ</v>
      </c>
      <c r="L81" s="96"/>
      <c r="M81" s="97"/>
      <c r="N81" s="98"/>
      <c r="O81" s="99"/>
      <c r="P81" s="100"/>
      <c r="Q81" s="84"/>
      <c r="R81" s="101"/>
    </row>
    <row r="82" customFormat="false" ht="14.25" hidden="false" customHeight="true" outlineLevel="0" collapsed="false">
      <c r="A82" s="88"/>
      <c r="B82" s="89" t="str">
        <f aca="false">IFERROR(VLOOKUP(A82,'Trial Balance '!$A$5:$H$448, 2, 0), " ")</f>
        <v> </v>
      </c>
      <c r="C82" s="110" t="s">
        <v>566</v>
      </c>
      <c r="D82" s="105"/>
      <c r="E82" s="92" t="n">
        <f aca="true" t="array" ref="E82:E82">SUMPRODUCT(IFERROR(VLOOKUP(ROW(INDIRECT(LEFT(A82,FIND("-",A82)-1)&amp;":"&amp;RIGHT(A82,LEN(A82)-FIND("-",A82)))),'Trial Balance '!$A$5:$H$448,5,FALSE()),0)) - SUMPRODUCT(IFERROR(VLOOKUP(ROW(INDIRECT(LEFT(A82,FIND("-",A82)-1)&amp;":"&amp;RIGHT(A82,LEN(A82)-FIND("-",A82)))),'Trial Balance '!$A$5:$H$448,6,FALSE()),0)) + IFERROR(VLOOKUP(A82,'Trial Balance '!$A$5:$H$448, 5, 0), 0) - IFERROR(VLOOKUP(A82,'Trial Balance '!$A$5:$H$448, 6, 0), 0)</f>
        <v>0</v>
      </c>
      <c r="F82" s="92" t="n">
        <f aca="false">+OIC!J21</f>
        <v>0</v>
      </c>
      <c r="G82" s="94" t="str">
        <f aca="false">IF(A82 = "", "", IF(E82 = F82, "✔", "✘"))</f>
        <v/>
      </c>
      <c r="H82" s="92" t="n">
        <f aca="false">IFERROR(E82-F82,0)</f>
        <v>0</v>
      </c>
      <c r="I82" s="92" t="n">
        <f aca="true" t="array" ref="I82:I82">SUMPRODUCT(IFERROR(VLOOKUP(ROW(INDIRECT(LEFT(A82,FIND("-",A82)-1)&amp;":"&amp;RIGHT(A82,LEN(A82)-FIND("-",A82)))),'Trial Balance '!$A$5:$H$448,7,FALSE()),0)) + IFERROR(VLOOKUP(A82,'Trial Balance '!$A$5:$H$448, 7, 0), 0)</f>
        <v>0</v>
      </c>
      <c r="J82" s="92" t="n">
        <f aca="false">IFERROR(E82-I82,0)</f>
        <v>0</v>
      </c>
      <c r="K82" s="95" t="str">
        <f aca="false">IF(J82&lt;0,"Ç",IF(J82&gt;0,"È","Æ"))</f>
        <v>Æ</v>
      </c>
      <c r="L82" s="96" t="s">
        <v>597</v>
      </c>
      <c r="M82" s="97" t="n">
        <f aca="false">IFERROR(VLOOKUP(IFERROR(TRIM(LEFT(C82,FIND("(",C82)-2)),C82),rhiddenlinkdata,12,FALSE()),0)</f>
        <v>0</v>
      </c>
      <c r="N82" s="98" t="s">
        <v>598</v>
      </c>
      <c r="O82" s="99" t="n">
        <f aca="false">IFERROR(VLOOKUP(IFERROR(TRIM(LEFT(C82,FIND("(",C82)-2)),C82),rsdcount,2,FALSE()),0)</f>
        <v>0</v>
      </c>
      <c r="P82" s="100" t="str">
        <f aca="false">IFERROR(VLOOKUP(VLOOKUP(IFERROR(LEFT(C82,FIND("(",C82)-2),C82),rhiddenlinkdata,15,FALSE()),jobstatuslookup,2,FALSE()),IFERROR(IF(VLOOKUP(IFERROR(LEFT(C82,FIND("(",C82)-2),C82),rhiddenlinkdata,3,FALSE())=1,"Not started",""),""))</f>
        <v/>
      </c>
      <c r="Q82" s="84"/>
      <c r="R82" s="101"/>
    </row>
    <row r="83" customFormat="false" ht="14.25" hidden="false" customHeight="true" outlineLevel="0" collapsed="false">
      <c r="A83" s="88"/>
      <c r="B83" s="89" t="str">
        <f aca="false">IFERROR(VLOOKUP(A83,'Trial Balance '!$A$5:$H$448, 2, 0), " ")</f>
        <v> </v>
      </c>
      <c r="C83" s="110" t="s">
        <v>566</v>
      </c>
      <c r="D83" s="105"/>
      <c r="E83" s="92" t="n">
        <f aca="true" t="array" ref="E83:E83">SUMPRODUCT(IFERROR(VLOOKUP(ROW(INDIRECT(LEFT(A83,FIND("-",A83)-1)&amp;":"&amp;RIGHT(A83,LEN(A83)-FIND("-",A83)))),'Trial Balance '!$A$5:$H$448,5,FALSE()),0)) - SUMPRODUCT(IFERROR(VLOOKUP(ROW(INDIRECT(LEFT(A83,FIND("-",A83)-1)&amp;":"&amp;RIGHT(A83,LEN(A83)-FIND("-",A83)))),'Trial Balance '!$A$5:$H$448,6,FALSE()),0)) + IFERROR(VLOOKUP(A83,'Trial Balance '!$A$5:$H$448, 5, 0), 0) - IFERROR(VLOOKUP(A83,'Trial Balance '!$A$5:$H$448, 6, 0), 0)</f>
        <v>0</v>
      </c>
      <c r="F83" s="92" t="n">
        <f aca="false">+OIC!J37</f>
        <v>0</v>
      </c>
      <c r="G83" s="94" t="str">
        <f aca="false">IF(A83 = "", "", IF(E83 = F83, "✔", "✘"))</f>
        <v/>
      </c>
      <c r="H83" s="92" t="n">
        <f aca="false">IFERROR(E83-F83,0)</f>
        <v>0</v>
      </c>
      <c r="I83" s="92" t="n">
        <f aca="true" t="array" ref="I83:I83">SUMPRODUCT(IFERROR(VLOOKUP(ROW(INDIRECT(LEFT(A83,FIND("-",A83)-1)&amp;":"&amp;RIGHT(A83,LEN(A83)-FIND("-",A83)))),'Trial Balance '!$A$5:$H$448,7,FALSE()),0)) + IFERROR(VLOOKUP(A83,'Trial Balance '!$A$5:$H$448, 7, 0), 0)</f>
        <v>0</v>
      </c>
      <c r="J83" s="92" t="n">
        <f aca="false">IFERROR(E83-I83,0)</f>
        <v>0</v>
      </c>
      <c r="K83" s="95" t="str">
        <f aca="false">IF(J83&lt;0,"Ç",IF(J83&gt;0,"È","Æ"))</f>
        <v>Æ</v>
      </c>
      <c r="L83" s="96" t="s">
        <v>597</v>
      </c>
      <c r="M83" s="97" t="n">
        <f aca="false">IFERROR(VLOOKUP(IFERROR(TRIM(LEFT(C83,FIND("(",C83)-2)),C83),rhiddenlinkdata,12,FALSE()),0)</f>
        <v>0</v>
      </c>
      <c r="N83" s="98" t="s">
        <v>598</v>
      </c>
      <c r="O83" s="99" t="n">
        <f aca="false">IFERROR(VLOOKUP(IFERROR(TRIM(LEFT(C83,FIND("(",C83)-2)),C83),rsdcount,2,FALSE()),0)</f>
        <v>0</v>
      </c>
      <c r="P83" s="100" t="str">
        <f aca="false">IFERROR(VLOOKUP(VLOOKUP(IFERROR(LEFT(C83,FIND("(",C83)-2),C83),rhiddenlinkdata,15,FALSE()),jobstatuslookup,2,FALSE()),IFERROR(IF(VLOOKUP(IFERROR(LEFT(C83,FIND("(",C83)-2),C83),rhiddenlinkdata,3,FALSE())=1,"Not started",""),""))</f>
        <v/>
      </c>
      <c r="Q83" s="84"/>
      <c r="R83" s="101"/>
    </row>
    <row r="84" customFormat="false" ht="14.25" hidden="false" customHeight="true" outlineLevel="0" collapsed="false">
      <c r="A84" s="88"/>
      <c r="B84" s="89" t="str">
        <f aca="false">IFERROR(VLOOKUP(A84,'Trial Balance '!$A$5:$H$448, 2, 0), " ")</f>
        <v> </v>
      </c>
      <c r="C84" s="110" t="s">
        <v>617</v>
      </c>
      <c r="D84" s="105"/>
      <c r="E84" s="92" t="n">
        <f aca="true" t="array" ref="E84:E84">SUMPRODUCT(IFERROR(VLOOKUP(ROW(INDIRECT(LEFT(A84,FIND("-",A84)-1)&amp;":"&amp;RIGHT(A84,LEN(A84)-FIND("-",A84)))),'Trial Balance '!$A$5:$H$448,5,FALSE()),0)) - SUMPRODUCT(IFERROR(VLOOKUP(ROW(INDIRECT(LEFT(A84,FIND("-",A84)-1)&amp;":"&amp;RIGHT(A84,LEN(A84)-FIND("-",A84)))),'Trial Balance '!$A$5:$H$448,6,FALSE()),0)) + IFERROR(VLOOKUP(A84,'Trial Balance '!$A$5:$H$448, 5, 0), 0) - IFERROR(VLOOKUP(A84,'Trial Balance '!$A$5:$H$448, 6, 0), 0)</f>
        <v>0</v>
      </c>
      <c r="F84" s="92" t="n">
        <f aca="false">+IIC!I15</f>
        <v>-3933.3</v>
      </c>
      <c r="G84" s="94" t="str">
        <f aca="false">IF(A84 = "", "", IF(E84 = F84, "✔", "✘"))</f>
        <v/>
      </c>
      <c r="H84" s="92" t="n">
        <f aca="false">IFERROR(E84-F84,0)</f>
        <v>3933.3</v>
      </c>
      <c r="I84" s="92" t="n">
        <f aca="true" t="array" ref="I84:I84">SUMPRODUCT(IFERROR(VLOOKUP(ROW(INDIRECT(LEFT(A84,FIND("-",A84)-1)&amp;":"&amp;RIGHT(A84,LEN(A84)-FIND("-",A84)))),'Trial Balance '!$A$5:$H$448,7,FALSE()),0)) + IFERROR(VLOOKUP(A84,'Trial Balance '!$A$5:$H$448, 7, 0), 0)</f>
        <v>0</v>
      </c>
      <c r="J84" s="92" t="n">
        <f aca="false">IFERROR(E84-I84,0)</f>
        <v>0</v>
      </c>
      <c r="K84" s="95" t="str">
        <f aca="false">IF(J84&lt;0,"Ç",IF(J84&gt;0,"È","Æ"))</f>
        <v>Æ</v>
      </c>
      <c r="L84" s="96" t="s">
        <v>597</v>
      </c>
      <c r="M84" s="97" t="n">
        <f aca="false">IFERROR(VLOOKUP(IFERROR(TRIM(LEFT(C84,FIND("(",C84)-2)),C84),rhiddenlinkdata,12,FALSE()),0)</f>
        <v>0</v>
      </c>
      <c r="N84" s="98" t="s">
        <v>598</v>
      </c>
      <c r="O84" s="99" t="n">
        <f aca="false">IFERROR(VLOOKUP(IFERROR(TRIM(LEFT(C84,FIND("(",C84)-2)),C84),rsdcount,2,FALSE()),0)</f>
        <v>0</v>
      </c>
      <c r="P84" s="100" t="str">
        <f aca="false">IFERROR(VLOOKUP(VLOOKUP(IFERROR(LEFT(C84,FIND("(",C84)-2),C84),rhiddenlinkdata,15,FALSE()),jobstatuslookup,2,FALSE()),IFERROR(IF(VLOOKUP(IFERROR(LEFT(C84,FIND("(",C84)-2),C84),rhiddenlinkdata,3,FALSE())=1,"Not started",""),""))</f>
        <v/>
      </c>
      <c r="Q84" s="84"/>
      <c r="R84" s="101"/>
    </row>
    <row r="85" customFormat="false" ht="14.25" hidden="false" customHeight="true" outlineLevel="0" collapsed="false">
      <c r="A85" s="88"/>
      <c r="B85" s="89" t="str">
        <f aca="false">IFERROR(VLOOKUP(A85,'Trial Balance '!$A$5:$H$448, 2, 0), " ")</f>
        <v> </v>
      </c>
      <c r="C85" s="110" t="s">
        <v>617</v>
      </c>
      <c r="D85" s="105"/>
      <c r="E85" s="92" t="n">
        <f aca="true" t="array" ref="E85:E85">SUMPRODUCT(IFERROR(VLOOKUP(ROW(INDIRECT(LEFT(A85,FIND("-",A85)-1)&amp;":"&amp;RIGHT(A85,LEN(A85)-FIND("-",A85)))),'Trial Balance '!$A$5:$H$448,5,FALSE()),0)) - SUMPRODUCT(IFERROR(VLOOKUP(ROW(INDIRECT(LEFT(A85,FIND("-",A85)-1)&amp;":"&amp;RIGHT(A85,LEN(A85)-FIND("-",A85)))),'Trial Balance '!$A$5:$H$448,6,FALSE()),0)) + IFERROR(VLOOKUP(A85,'Trial Balance '!$A$5:$H$448, 5, 0), 0) - IFERROR(VLOOKUP(A85,'Trial Balance '!$A$5:$H$448, 6, 0), 0)</f>
        <v>0</v>
      </c>
      <c r="F85" s="92" t="n">
        <f aca="false">+IIC!I30</f>
        <v>0</v>
      </c>
      <c r="G85" s="94" t="str">
        <f aca="false">IF(A85 = "", "", IF(E85 = F85, "✔", "✘"))</f>
        <v/>
      </c>
      <c r="H85" s="92" t="n">
        <f aca="false">IFERROR(E85-F85,0)</f>
        <v>0</v>
      </c>
      <c r="I85" s="92" t="n">
        <f aca="true" t="array" ref="I85:I85">SUMPRODUCT(IFERROR(VLOOKUP(ROW(INDIRECT(LEFT(A85,FIND("-",A85)-1)&amp;":"&amp;RIGHT(A85,LEN(A85)-FIND("-",A85)))),'Trial Balance '!$A$5:$H$448,7,FALSE()),0)) + IFERROR(VLOOKUP(A85,'Trial Balance '!$A$5:$H$448, 7, 0), 0)</f>
        <v>0</v>
      </c>
      <c r="J85" s="92" t="n">
        <f aca="false">IFERROR(E85-I85,0)</f>
        <v>0</v>
      </c>
      <c r="K85" s="95" t="str">
        <f aca="false">IF(J85&lt;0,"Ç",IF(J85&gt;0,"È","Æ"))</f>
        <v>Æ</v>
      </c>
      <c r="L85" s="96" t="s">
        <v>597</v>
      </c>
      <c r="M85" s="97" t="n">
        <f aca="false">IFERROR(VLOOKUP(IFERROR(TRIM(LEFT(C85,FIND("(",C85)-2)),C85),rhiddenlinkdata,12,FALSE()),0)</f>
        <v>0</v>
      </c>
      <c r="N85" s="98" t="s">
        <v>598</v>
      </c>
      <c r="O85" s="99" t="n">
        <f aca="false">IFERROR(VLOOKUP(IFERROR(TRIM(LEFT(C85,FIND("(",C85)-2)),C85),rsdcount,2,FALSE()),0)</f>
        <v>0</v>
      </c>
      <c r="P85" s="100" t="str">
        <f aca="false">IFERROR(VLOOKUP(VLOOKUP(IFERROR(LEFT(C85,FIND("(",C85)-2),C85),rhiddenlinkdata,15,FALSE()),jobstatuslookup,2,FALSE()),IFERROR(IF(VLOOKUP(IFERROR(LEFT(C85,FIND("(",C85)-2),C85),rhiddenlinkdata,3,FALSE())=1,"Not started",""),""))</f>
        <v/>
      </c>
      <c r="Q85" s="84"/>
      <c r="R85" s="101"/>
    </row>
    <row r="86" customFormat="false" ht="14.25" hidden="false" customHeight="true" outlineLevel="0" collapsed="false">
      <c r="A86" s="88"/>
      <c r="B86" s="89" t="str">
        <f aca="false">IFERROR(VLOOKUP(A86,'Trial Balance '!$A$5:$H$448, 2, 0), " ")</f>
        <v> </v>
      </c>
      <c r="C86" s="110" t="s">
        <v>617</v>
      </c>
      <c r="D86" s="105"/>
      <c r="E86" s="92" t="n">
        <f aca="true" t="array" ref="E86:E86">SUMPRODUCT(IFERROR(VLOOKUP(ROW(INDIRECT(LEFT(A86,FIND("-",A86)-1)&amp;":"&amp;RIGHT(A86,LEN(A86)-FIND("-",A86)))),'Trial Balance '!$A$5:$H$448,5,FALSE()),0)) - SUMPRODUCT(IFERROR(VLOOKUP(ROW(INDIRECT(LEFT(A86,FIND("-",A86)-1)&amp;":"&amp;RIGHT(A86,LEN(A86)-FIND("-",A86)))),'Trial Balance '!$A$5:$H$448,6,FALSE()),0)) + IFERROR(VLOOKUP(A86,'Trial Balance '!$A$5:$H$448, 5, 0), 0) - IFERROR(VLOOKUP(A86,'Trial Balance '!$A$5:$H$448, 6, 0), 0)</f>
        <v>0</v>
      </c>
      <c r="F86" s="92" t="n">
        <f aca="false">+IIC!I45</f>
        <v>0</v>
      </c>
      <c r="G86" s="94" t="str">
        <f aca="false">IF(A86 = "", "", IF(E86 = F86, "✔", "✘"))</f>
        <v/>
      </c>
      <c r="H86" s="92" t="n">
        <f aca="false">IFERROR(E86-F86,0)</f>
        <v>0</v>
      </c>
      <c r="I86" s="92" t="n">
        <f aca="true" t="array" ref="I86:I86">SUMPRODUCT(IFERROR(VLOOKUP(ROW(INDIRECT(LEFT(A86,FIND("-",A86)-1)&amp;":"&amp;RIGHT(A86,LEN(A86)-FIND("-",A86)))),'Trial Balance '!$A$5:$H$448,7,FALSE()),0)) + IFERROR(VLOOKUP(A86,'Trial Balance '!$A$5:$H$448, 7, 0), 0)</f>
        <v>0</v>
      </c>
      <c r="J86" s="92" t="n">
        <f aca="false">IFERROR(E86-I86,0)</f>
        <v>0</v>
      </c>
      <c r="K86" s="95" t="str">
        <f aca="false">IF(J86&lt;0,"Ç",IF(J86&gt;0,"È","Æ"))</f>
        <v>Æ</v>
      </c>
      <c r="L86" s="96" t="s">
        <v>597</v>
      </c>
      <c r="M86" s="97" t="n">
        <f aca="false">IFERROR(VLOOKUP(IFERROR(TRIM(LEFT(C86,FIND("(",C86)-2)),C86),rhiddenlinkdata,12,FALSE()),0)</f>
        <v>0</v>
      </c>
      <c r="N86" s="98" t="s">
        <v>598</v>
      </c>
      <c r="O86" s="99" t="n">
        <f aca="false">IFERROR(VLOOKUP(IFERROR(TRIM(LEFT(C86,FIND("(",C86)-2)),C86),rsdcount,2,FALSE()),0)</f>
        <v>0</v>
      </c>
      <c r="P86" s="100" t="str">
        <f aca="false">IFERROR(VLOOKUP(VLOOKUP(IFERROR(LEFT(C86,FIND("(",C86)-2),C86),rhiddenlinkdata,15,FALSE()),jobstatuslookup,2,FALSE()),IFERROR(IF(VLOOKUP(IFERROR(LEFT(C86,FIND("(",C86)-2),C86),rhiddenlinkdata,3,FALSE())=1,"Not started",""),""))</f>
        <v/>
      </c>
      <c r="Q86" s="84"/>
      <c r="R86" s="101"/>
    </row>
    <row r="87" customFormat="false" ht="14.25" hidden="false" customHeight="true" outlineLevel="0" collapsed="false">
      <c r="A87" s="88"/>
      <c r="B87" s="89" t="str">
        <f aca="false">IFERROR(VLOOKUP(A87,'Trial Balance '!$A$5:$H$448, 2, 0), " ")</f>
        <v> </v>
      </c>
      <c r="C87" s="110" t="s">
        <v>617</v>
      </c>
      <c r="D87" s="105"/>
      <c r="E87" s="92" t="n">
        <f aca="true" t="array" ref="E87:E87">SUMPRODUCT(IFERROR(VLOOKUP(ROW(INDIRECT(LEFT(A87,FIND("-",A87)-1)&amp;":"&amp;RIGHT(A87,LEN(A87)-FIND("-",A87)))),'Trial Balance '!$A$5:$H$448,5,FALSE()),0)) - SUMPRODUCT(IFERROR(VLOOKUP(ROW(INDIRECT(LEFT(A87,FIND("-",A87)-1)&amp;":"&amp;RIGHT(A87,LEN(A87)-FIND("-",A87)))),'Trial Balance '!$A$5:$H$448,6,FALSE()),0)) + IFERROR(VLOOKUP(A87,'Trial Balance '!$A$5:$H$448, 5, 0), 0) - IFERROR(VLOOKUP(A87,'Trial Balance '!$A$5:$H$448, 6, 0), 0)</f>
        <v>0</v>
      </c>
      <c r="F87" s="92" t="n">
        <f aca="false">+IIC!I60</f>
        <v>0</v>
      </c>
      <c r="G87" s="94" t="str">
        <f aca="false">IF(A87 = "", "", IF(E87 = F87, "✔", "✘"))</f>
        <v/>
      </c>
      <c r="H87" s="92" t="n">
        <f aca="false">IFERROR(E87-F87,0)</f>
        <v>0</v>
      </c>
      <c r="I87" s="92" t="n">
        <f aca="true" t="array" ref="I87:I87">SUMPRODUCT(IFERROR(VLOOKUP(ROW(INDIRECT(LEFT(A87,FIND("-",A87)-1)&amp;":"&amp;RIGHT(A87,LEN(A87)-FIND("-",A87)))),'Trial Balance '!$A$5:$H$448,7,FALSE()),0)) + IFERROR(VLOOKUP(A87,'Trial Balance '!$A$5:$H$448, 7, 0), 0)</f>
        <v>0</v>
      </c>
      <c r="J87" s="92" t="n">
        <f aca="false">IFERROR(E87-I87,0)</f>
        <v>0</v>
      </c>
      <c r="K87" s="95" t="str">
        <f aca="false">IF(J87&lt;0,"Ç",IF(J87&gt;0,"È","Æ"))</f>
        <v>Æ</v>
      </c>
      <c r="L87" s="96" t="s">
        <v>597</v>
      </c>
      <c r="M87" s="97" t="n">
        <f aca="false">IFERROR(VLOOKUP(IFERROR(TRIM(LEFT(C87,FIND("(",C87)-2)),C87),rhiddenlinkdata,12,FALSE()),0)</f>
        <v>0</v>
      </c>
      <c r="N87" s="98" t="s">
        <v>598</v>
      </c>
      <c r="O87" s="99" t="n">
        <f aca="false">IFERROR(VLOOKUP(IFERROR(TRIM(LEFT(C87,FIND("(",C87)-2)),C87),rsdcount,2,FALSE()),0)</f>
        <v>0</v>
      </c>
      <c r="P87" s="100" t="str">
        <f aca="false">IFERROR(VLOOKUP(VLOOKUP(IFERROR(LEFT(C87,FIND("(",C87)-2),C87),rhiddenlinkdata,15,FALSE()),jobstatuslookup,2,FALSE()),IFERROR(IF(VLOOKUP(IFERROR(LEFT(C87,FIND("(",C87)-2),C87),rhiddenlinkdata,3,FALSE())=1,"Not started",""),""))</f>
        <v/>
      </c>
      <c r="Q87" s="84"/>
      <c r="R87" s="101"/>
    </row>
    <row r="88" customFormat="false" ht="14.25" hidden="false" customHeight="true" outlineLevel="0" collapsed="false">
      <c r="A88" s="88"/>
      <c r="B88" s="89" t="str">
        <f aca="false">IFERROR(VLOOKUP(A88,'Trial Balance '!$A$5:$H$448, 2, 0), " ")</f>
        <v> </v>
      </c>
      <c r="C88" s="110" t="s">
        <v>617</v>
      </c>
      <c r="D88" s="105"/>
      <c r="E88" s="92" t="n">
        <f aca="true" t="array" ref="E88:E88">SUMPRODUCT(IFERROR(VLOOKUP(ROW(INDIRECT(LEFT(A88,FIND("-",A88)-1)&amp;":"&amp;RIGHT(A88,LEN(A88)-FIND("-",A88)))),'Trial Balance '!$A$5:$H$448,5,FALSE()),0)) - SUMPRODUCT(IFERROR(VLOOKUP(ROW(INDIRECT(LEFT(A88,FIND("-",A88)-1)&amp;":"&amp;RIGHT(A88,LEN(A88)-FIND("-",A88)))),'Trial Balance '!$A$5:$H$448,6,FALSE()),0)) + IFERROR(VLOOKUP(A88,'Trial Balance '!$A$5:$H$448, 5, 0), 0) - IFERROR(VLOOKUP(A88,'Trial Balance '!$A$5:$H$448, 6, 0), 0)</f>
        <v>0</v>
      </c>
      <c r="F88" s="92" t="n">
        <f aca="false">+IIC!I75</f>
        <v>0</v>
      </c>
      <c r="G88" s="94" t="str">
        <f aca="false">IF(A88 = "", "", IF(E88 = F88, "✔", "✘"))</f>
        <v/>
      </c>
      <c r="H88" s="92" t="n">
        <f aca="false">IFERROR(E88-F88,0)</f>
        <v>0</v>
      </c>
      <c r="I88" s="92" t="n">
        <f aca="true" t="array" ref="I88:I88">SUMPRODUCT(IFERROR(VLOOKUP(ROW(INDIRECT(LEFT(A88,FIND("-",A88)-1)&amp;":"&amp;RIGHT(A88,LEN(A88)-FIND("-",A88)))),'Trial Balance '!$A$5:$H$448,7,FALSE()),0)) + IFERROR(VLOOKUP(A88,'Trial Balance '!$A$5:$H$448, 7, 0), 0)</f>
        <v>0</v>
      </c>
      <c r="J88" s="92" t="n">
        <f aca="false">IFERROR(E88-I88,0)</f>
        <v>0</v>
      </c>
      <c r="K88" s="95" t="str">
        <f aca="false">IF(J88&lt;0,"Ç",IF(J88&gt;0,"È","Æ"))</f>
        <v>Æ</v>
      </c>
      <c r="L88" s="96" t="s">
        <v>597</v>
      </c>
      <c r="M88" s="97" t="n">
        <f aca="false">IFERROR(VLOOKUP(IFERROR(TRIM(LEFT(C88,FIND("(",C88)-2)),C88),rhiddenlinkdata,12,FALSE()),0)</f>
        <v>0</v>
      </c>
      <c r="N88" s="98" t="s">
        <v>598</v>
      </c>
      <c r="O88" s="99" t="n">
        <f aca="false">IFERROR(VLOOKUP(IFERROR(TRIM(LEFT(C88,FIND("(",C88)-2)),C88),rsdcount,2,FALSE()),0)</f>
        <v>0</v>
      </c>
      <c r="P88" s="100" t="str">
        <f aca="false">IFERROR(VLOOKUP(VLOOKUP(IFERROR(LEFT(C88,FIND("(",C88)-2),C88),rhiddenlinkdata,15,FALSE()),jobstatuslookup,2,FALSE()),IFERROR(IF(VLOOKUP(IFERROR(LEFT(C88,FIND("(",C88)-2),C88),rhiddenlinkdata,3,FALSE())=1,"Not started",""),""))</f>
        <v/>
      </c>
      <c r="Q88" s="84"/>
      <c r="R88" s="101"/>
    </row>
    <row r="89" customFormat="false" ht="14.25" hidden="false" customHeight="true" outlineLevel="0" collapsed="false">
      <c r="A89" s="88"/>
      <c r="B89" s="89" t="str">
        <f aca="false">IFERROR(VLOOKUP(A89,'Trial Balance '!$A$5:$H$448, 2, 0), " ")</f>
        <v> </v>
      </c>
      <c r="C89" s="110" t="s">
        <v>617</v>
      </c>
      <c r="D89" s="105"/>
      <c r="E89" s="92" t="n">
        <f aca="true" t="array" ref="E89:E89">SUMPRODUCT(IFERROR(VLOOKUP(ROW(INDIRECT(LEFT(A89,FIND("-",A89)-1)&amp;":"&amp;RIGHT(A89,LEN(A89)-FIND("-",A89)))),'Trial Balance '!$A$5:$H$448,5,FALSE()),0)) - SUMPRODUCT(IFERROR(VLOOKUP(ROW(INDIRECT(LEFT(A89,FIND("-",A89)-1)&amp;":"&amp;RIGHT(A89,LEN(A89)-FIND("-",A89)))),'Trial Balance '!$A$5:$H$448,6,FALSE()),0)) + IFERROR(VLOOKUP(A89,'Trial Balance '!$A$5:$H$448, 5, 0), 0) - IFERROR(VLOOKUP(A89,'Trial Balance '!$A$5:$H$448, 6, 0), 0)</f>
        <v>0</v>
      </c>
      <c r="F89" s="92" t="n">
        <f aca="false">+IIC!J91</f>
        <v>0</v>
      </c>
      <c r="G89" s="94" t="str">
        <f aca="false">IF(A89 = "", "", IF(E89 = F89, "✔", "✘"))</f>
        <v/>
      </c>
      <c r="H89" s="92" t="n">
        <f aca="false">IFERROR(E89-F89,0)</f>
        <v>0</v>
      </c>
      <c r="I89" s="92" t="n">
        <f aca="true" t="array" ref="I89:I89">SUMPRODUCT(IFERROR(VLOOKUP(ROW(INDIRECT(LEFT(A89,FIND("-",A89)-1)&amp;":"&amp;RIGHT(A89,LEN(A89)-FIND("-",A89)))),'Trial Balance '!$A$5:$H$448,7,FALSE()),0)) + IFERROR(VLOOKUP(A89,'Trial Balance '!$A$5:$H$448, 7, 0), 0)</f>
        <v>0</v>
      </c>
      <c r="J89" s="92" t="n">
        <f aca="false">IFERROR(E89-I89,0)</f>
        <v>0</v>
      </c>
      <c r="K89" s="95" t="str">
        <f aca="false">IF(J89&gt;0,"Ç",IF(J89&lt;0,"È","Æ"))</f>
        <v>Æ</v>
      </c>
      <c r="L89" s="96" t="s">
        <v>597</v>
      </c>
      <c r="M89" s="97" t="n">
        <f aca="false">IFERROR(VLOOKUP(IFERROR(TRIM(LEFT(C89,FIND("(",C89)-2)),C89),rhiddenlinkdata,12,FALSE()),0)</f>
        <v>0</v>
      </c>
      <c r="N89" s="98" t="s">
        <v>598</v>
      </c>
      <c r="O89" s="99" t="n">
        <f aca="false">IFERROR(VLOOKUP(IFERROR(TRIM(LEFT(C89,FIND("(",C89)-2)),C89),rsdcount,2,FALSE()),0)</f>
        <v>0</v>
      </c>
      <c r="P89" s="100" t="str">
        <f aca="false">IFERROR(VLOOKUP(VLOOKUP(IFERROR(LEFT(C89,FIND("(",C89)-2),C89),rhiddenlinkdata,15,FALSE()),jobstatuslookup,2,FALSE()),IFERROR(IF(VLOOKUP(IFERROR(LEFT(C89,FIND("(",C89)-2),C89),rhiddenlinkdata,3,FALSE())=1,"Not started",""),""))</f>
        <v/>
      </c>
      <c r="Q89" s="84"/>
      <c r="R89" s="101"/>
    </row>
    <row r="90" customFormat="false" ht="14.25" hidden="false" customHeight="true" outlineLevel="0" collapsed="false">
      <c r="A90" s="88"/>
      <c r="B90" s="89" t="str">
        <f aca="false">IFERROR(VLOOKUP(A90,'Trial Balance '!$A$5:$H$448, 2, 0), " ")</f>
        <v> </v>
      </c>
      <c r="C90" s="110" t="s">
        <v>618</v>
      </c>
      <c r="D90" s="105"/>
      <c r="E90" s="92" t="n">
        <f aca="true" t="array" ref="E90:E90">SUMPRODUCT(IFERROR(VLOOKUP(ROW(INDIRECT(LEFT(A90,FIND("-",A90)-1)&amp;":"&amp;RIGHT(A90,LEN(A90)-FIND("-",A90)))),'Trial Balance '!$A$5:$H$448,5,FALSE()),0)) - SUMPRODUCT(IFERROR(VLOOKUP(ROW(INDIRECT(LEFT(A90,FIND("-",A90)-1)&amp;":"&amp;RIGHT(A90,LEN(A90)-FIND("-",A90)))),'Trial Balance '!$A$5:$H$448,6,FALSE()),0)) + IFERROR(VLOOKUP(A90,'Trial Balance '!$A$5:$H$448, 5, 0), 0) - IFERROR(VLOOKUP(A90,'Trial Balance '!$A$5:$H$448, 6, 0), 0)</f>
        <v>0</v>
      </c>
      <c r="F90" s="92" t="n">
        <f aca="false">WRC!H39</f>
        <v>0</v>
      </c>
      <c r="G90" s="94" t="str">
        <f aca="false">IF(A90 = "", "", IF(E90 = F90, "✔", "✘"))</f>
        <v/>
      </c>
      <c r="H90" s="92" t="n">
        <f aca="false">IFERROR(E90-F90,0)</f>
        <v>0</v>
      </c>
      <c r="I90" s="92" t="n">
        <f aca="true" t="array" ref="I90:I90">SUMPRODUCT(IFERROR(VLOOKUP(ROW(INDIRECT(LEFT(A90,FIND("-",A90)-1)&amp;":"&amp;RIGHT(A90,LEN(A90)-FIND("-",A90)))),'Trial Balance '!$A$5:$H$448,7,FALSE()),0)) + IFERROR(VLOOKUP(A90,'Trial Balance '!$A$5:$H$448, 7, 0), 0)</f>
        <v>0</v>
      </c>
      <c r="J90" s="92" t="n">
        <f aca="false">IFERROR(E90-I90,0)</f>
        <v>0</v>
      </c>
      <c r="K90" s="95" t="str">
        <f aca="false">IF(J90&gt;0,"Ç",IF(J90&lt;0,"È","Æ"))</f>
        <v>Æ</v>
      </c>
      <c r="L90" s="96" t="s">
        <v>597</v>
      </c>
      <c r="M90" s="97" t="n">
        <f aca="false">IFERROR(VLOOKUP(IFERROR(TRIM(LEFT(C90,FIND("(",C90)-2)),C90),rhiddenlinkdata,12,FALSE()),0)</f>
        <v>0</v>
      </c>
      <c r="N90" s="98" t="s">
        <v>598</v>
      </c>
      <c r="O90" s="99" t="n">
        <f aca="false">IFERROR(VLOOKUP(IFERROR(TRIM(LEFT(C90,FIND("(",C90)-2)),C90),rsdcount,2,FALSE()),0)</f>
        <v>0</v>
      </c>
      <c r="P90" s="100" t="str">
        <f aca="false">IFERROR(VLOOKUP(VLOOKUP(IFERROR(LEFT(C90,FIND("(",C90)-2),C90),rhiddenlinkdata,15,FALSE()),jobstatuslookup,2,FALSE()),IFERROR(IF(VLOOKUP(IFERROR(LEFT(C90,FIND("(",C90)-2),C90),rhiddenlinkdata,3,FALSE())=1,"Not started",""),""))</f>
        <v/>
      </c>
      <c r="Q90" s="84"/>
      <c r="R90" s="101"/>
    </row>
    <row r="91" customFormat="false" ht="14.25" hidden="false" customHeight="true" outlineLevel="0" collapsed="false">
      <c r="A91" s="88"/>
      <c r="B91" s="89" t="str">
        <f aca="false">IFERROR(VLOOKUP(A91,'Trial Balance '!$A$5:$H$448, 2, 0), " ")</f>
        <v> </v>
      </c>
      <c r="C91" s="110" t="s">
        <v>62</v>
      </c>
      <c r="D91" s="105"/>
      <c r="E91" s="92" t="n">
        <f aca="true" t="array" ref="E91:E91">SUMPRODUCT(IFERROR(VLOOKUP(ROW(INDIRECT(LEFT(A91,FIND("-",A91)-1)&amp;":"&amp;RIGHT(A91,LEN(A91)-FIND("-",A91)))),'Trial Balance '!$A$5:$H$448,5,FALSE()),0)) - SUMPRODUCT(IFERROR(VLOOKUP(ROW(INDIRECT(LEFT(A91,FIND("-",A91)-1)&amp;":"&amp;RIGHT(A91,LEN(A91)-FIND("-",A91)))),'Trial Balance '!$A$5:$H$448,6,FALSE()),0)) + IFERROR(VLOOKUP(A91,'Trial Balance '!$A$5:$H$448, 5, 0), 0) - IFERROR(VLOOKUP(A91,'Trial Balance '!$A$5:$H$448, 6, 0), 0)</f>
        <v>0</v>
      </c>
      <c r="F91" s="92" t="n">
        <f aca="false">+EXP!F13</f>
        <v>0</v>
      </c>
      <c r="G91" s="94" t="str">
        <f aca="false">IF(A91 = "", "", IF(E91 = F91, "✔", "✘"))</f>
        <v/>
      </c>
      <c r="H91" s="92" t="n">
        <f aca="false">IFERROR(E91-F91,0)</f>
        <v>0</v>
      </c>
      <c r="I91" s="92" t="n">
        <f aca="true" t="array" ref="I91:I91">SUMPRODUCT(IFERROR(VLOOKUP(ROW(INDIRECT(LEFT(A91,FIND("-",A91)-1)&amp;":"&amp;RIGHT(A91,LEN(A91)-FIND("-",A91)))),'Trial Balance '!$A$5:$H$448,7,FALSE()),0)) + IFERROR(VLOOKUP(A91,'Trial Balance '!$A$5:$H$448, 7, 0), 0)</f>
        <v>0</v>
      </c>
      <c r="J91" s="92" t="n">
        <f aca="false">IFERROR(E91-I91,0)</f>
        <v>0</v>
      </c>
      <c r="K91" s="95" t="str">
        <f aca="false">IF(J91&gt;0,"Ç",IF(J91&lt;0,"È","Æ"))</f>
        <v>Æ</v>
      </c>
      <c r="L91" s="96" t="s">
        <v>597</v>
      </c>
      <c r="M91" s="97" t="n">
        <f aca="false">IFERROR(VLOOKUP(IFERROR(TRIM(LEFT(C91,FIND("(",C91)-2)),C91),rhiddenlinkdata,12,FALSE()),0)</f>
        <v>0</v>
      </c>
      <c r="N91" s="98" t="s">
        <v>598</v>
      </c>
      <c r="O91" s="99" t="n">
        <f aca="false">IFERROR(VLOOKUP(IFERROR(TRIM(LEFT(C91,FIND("(",C91)-2)),C91),rsdcount,2,FALSE()),0)</f>
        <v>0</v>
      </c>
      <c r="P91" s="100" t="str">
        <f aca="false">IFERROR(VLOOKUP(VLOOKUP(IFERROR(LEFT(C91,FIND("(",C91)-2),C91),rhiddenlinkdata,15,FALSE()),jobstatuslookup,2,FALSE()),IFERROR(IF(VLOOKUP(IFERROR(LEFT(C91,FIND("(",C91)-2),C91),rhiddenlinkdata,3,FALSE())=1,"Not started",""),""))</f>
        <v/>
      </c>
      <c r="Q91" s="84"/>
      <c r="R91" s="101"/>
    </row>
    <row r="92" customFormat="false" ht="14.25" hidden="false" customHeight="true" outlineLevel="0" collapsed="false">
      <c r="A92" s="88"/>
      <c r="B92" s="89" t="str">
        <f aca="false">IFERROR(VLOOKUP(A92,'Trial Balance '!$A$5:$H$448, 2, 0), " ")</f>
        <v> </v>
      </c>
      <c r="C92" s="110" t="s">
        <v>62</v>
      </c>
      <c r="D92" s="105"/>
      <c r="E92" s="92" t="n">
        <f aca="true" t="array" ref="E92:E92">SUMPRODUCT(IFERROR(VLOOKUP(ROW(INDIRECT(LEFT(A92,FIND("-",A92)-1)&amp;":"&amp;RIGHT(A92,LEN(A92)-FIND("-",A92)))),'Trial Balance '!$A$5:$H$448,5,FALSE()),0)) - SUMPRODUCT(IFERROR(VLOOKUP(ROW(INDIRECT(LEFT(A92,FIND("-",A92)-1)&amp;":"&amp;RIGHT(A92,LEN(A92)-FIND("-",A92)))),'Trial Balance '!$A$5:$H$448,6,FALSE()),0)) + IFERROR(VLOOKUP(A92,'Trial Balance '!$A$5:$H$448, 5, 0), 0) - IFERROR(VLOOKUP(A92,'Trial Balance '!$A$5:$H$448, 6, 0), 0)</f>
        <v>0</v>
      </c>
      <c r="F92" s="92" t="n">
        <f aca="false">+EXP!F25</f>
        <v>0</v>
      </c>
      <c r="G92" s="94" t="str">
        <f aca="false">IF(A92 = "", "", IF(E92 = F92, "✔", "✘"))</f>
        <v/>
      </c>
      <c r="H92" s="92" t="n">
        <f aca="false">IFERROR(E92-F92,0)</f>
        <v>0</v>
      </c>
      <c r="I92" s="92" t="n">
        <f aca="true" t="array" ref="I92:I92">SUMPRODUCT(IFERROR(VLOOKUP(ROW(INDIRECT(LEFT(A92,FIND("-",A92)-1)&amp;":"&amp;RIGHT(A92,LEN(A92)-FIND("-",A92)))),'Trial Balance '!$A$5:$H$448,7,FALSE()),0)) + IFERROR(VLOOKUP(A92,'Trial Balance '!$A$5:$H$448, 7, 0), 0)</f>
        <v>0</v>
      </c>
      <c r="J92" s="92" t="n">
        <f aca="false">IFERROR(E92-I92,0)</f>
        <v>0</v>
      </c>
      <c r="K92" s="95" t="str">
        <f aca="false">IF(J92&gt;0,"Ç",IF(J92&lt;0,"È","Æ"))</f>
        <v>Æ</v>
      </c>
      <c r="L92" s="96" t="s">
        <v>597</v>
      </c>
      <c r="M92" s="97" t="n">
        <f aca="false">IFERROR(VLOOKUP(IFERROR(TRIM(LEFT(C92,FIND("(",C92)-2)),C92),rhiddenlinkdata,12,FALSE()),0)</f>
        <v>0</v>
      </c>
      <c r="N92" s="98" t="s">
        <v>598</v>
      </c>
      <c r="O92" s="99" t="n">
        <f aca="false">IFERROR(VLOOKUP(IFERROR(TRIM(LEFT(C92,FIND("(",C92)-2)),C92),rsdcount,2,FALSE()),0)</f>
        <v>0</v>
      </c>
      <c r="P92" s="100" t="str">
        <f aca="false">IFERROR(VLOOKUP(VLOOKUP(IFERROR(LEFT(C92,FIND("(",C92)-2),C92),rhiddenlinkdata,15,FALSE()),jobstatuslookup,2,FALSE()),IFERROR(IF(VLOOKUP(IFERROR(LEFT(C92,FIND("(",C92)-2),C92),rhiddenlinkdata,3,FALSE())=1,"Not started",""),""))</f>
        <v/>
      </c>
      <c r="Q92" s="84"/>
      <c r="R92" s="101"/>
    </row>
    <row r="93" customFormat="false" ht="14.25" hidden="false" customHeight="true" outlineLevel="0" collapsed="false">
      <c r="A93" s="103"/>
      <c r="B93" s="89" t="str">
        <f aca="false">IFERROR(VLOOKUP(A93,'Trial Balance '!$A$5:$H$448, 2, 0), " ")</f>
        <v> </v>
      </c>
      <c r="C93" s="110" t="s">
        <v>62</v>
      </c>
      <c r="D93" s="105"/>
      <c r="E93" s="92" t="n">
        <f aca="true" t="array" ref="E93:E93">SUMPRODUCT(IFERROR(VLOOKUP(ROW(INDIRECT(LEFT(A93,FIND("-",A93)-1)&amp;":"&amp;RIGHT(A93,LEN(A93)-FIND("-",A93)))),'Trial Balance '!$A$5:$H$448,5,FALSE()),0)) - SUMPRODUCT(IFERROR(VLOOKUP(ROW(INDIRECT(LEFT(A93,FIND("-",A93)-1)&amp;":"&amp;RIGHT(A93,LEN(A93)-FIND("-",A93)))),'Trial Balance '!$A$5:$H$448,6,FALSE()),0)) + IFERROR(VLOOKUP(A93,'Trial Balance '!$A$5:$H$448, 5, 0), 0) - IFERROR(VLOOKUP(A93,'Trial Balance '!$A$5:$H$448, 6, 0), 0)</f>
        <v>0</v>
      </c>
      <c r="F93" s="92" t="n">
        <f aca="false">+EXP!F37</f>
        <v>0</v>
      </c>
      <c r="G93" s="94" t="str">
        <f aca="false">IF(A93 = "", "", IF(E93 = F93, "✔", "✘"))</f>
        <v/>
      </c>
      <c r="H93" s="92" t="n">
        <f aca="false">IFERROR(E93-F93,0)</f>
        <v>0</v>
      </c>
      <c r="I93" s="92" t="n">
        <f aca="true" t="array" ref="I93:I93">SUMPRODUCT(IFERROR(VLOOKUP(ROW(INDIRECT(LEFT(A93,FIND("-",A93)-1)&amp;":"&amp;RIGHT(A93,LEN(A93)-FIND("-",A93)))),'Trial Balance '!$A$5:$H$448,7,FALSE()),0)) + IFERROR(VLOOKUP(A93,'Trial Balance '!$A$5:$H$448, 7, 0), 0)</f>
        <v>0</v>
      </c>
      <c r="J93" s="92" t="n">
        <f aca="false">IFERROR(E93-I93,0)</f>
        <v>0</v>
      </c>
      <c r="K93" s="95" t="str">
        <f aca="false">IF(J93&gt;0,"Ç",IF(J93&lt;0,"È","Æ"))</f>
        <v>Æ</v>
      </c>
      <c r="L93" s="96" t="s">
        <v>597</v>
      </c>
      <c r="M93" s="97" t="n">
        <f aca="false">IFERROR(VLOOKUP(IFERROR(TRIM(LEFT(C93,FIND("(",C93)-2)),C93),rhiddenlinkdata,12,FALSE()),0)</f>
        <v>0</v>
      </c>
      <c r="N93" s="98" t="s">
        <v>598</v>
      </c>
      <c r="O93" s="99" t="n">
        <f aca="false">IFERROR(VLOOKUP(IFERROR(TRIM(LEFT(C93,FIND("(",C93)-2)),C93),rsdcount,2,FALSE()),0)</f>
        <v>0</v>
      </c>
      <c r="P93" s="100" t="str">
        <f aca="false">IFERROR(VLOOKUP(VLOOKUP(IFERROR(LEFT(C93,FIND("(",C93)-2),C93),rhiddenlinkdata,15,FALSE()),jobstatuslookup,2,FALSE()),IFERROR(IF(VLOOKUP(IFERROR(LEFT(C93,FIND("(",C93)-2),C93),rhiddenlinkdata,3,FALSE())=1,"Not started",""),""))</f>
        <v/>
      </c>
      <c r="Q93" s="84"/>
      <c r="R93" s="101"/>
    </row>
    <row r="94" customFormat="false" ht="14.25" hidden="false" customHeight="true" outlineLevel="0" collapsed="false">
      <c r="A94" s="88"/>
      <c r="B94" s="89" t="str">
        <f aca="false">IFERROR(VLOOKUP(A94,'Trial Balance '!$A$5:$H$448, 2, 0), " ")</f>
        <v> </v>
      </c>
      <c r="C94" s="110" t="s">
        <v>62</v>
      </c>
      <c r="D94" s="105"/>
      <c r="E94" s="92" t="n">
        <f aca="true" t="array" ref="E94:E94">SUMPRODUCT(IFERROR(VLOOKUP(ROW(INDIRECT(LEFT(A94,FIND("-",A94)-1)&amp;":"&amp;RIGHT(A94,LEN(A94)-FIND("-",A94)))),'Trial Balance '!$A$5:$H$448,5,FALSE()),0)) - SUMPRODUCT(IFERROR(VLOOKUP(ROW(INDIRECT(LEFT(A94,FIND("-",A94)-1)&amp;":"&amp;RIGHT(A94,LEN(A94)-FIND("-",A94)))),'Trial Balance '!$A$5:$H$448,6,FALSE()),0)) + IFERROR(VLOOKUP(A94,'Trial Balance '!$A$5:$H$448, 5, 0), 0) - IFERROR(VLOOKUP(A94,'Trial Balance '!$A$5:$H$448, 6, 0), 0)</f>
        <v>0</v>
      </c>
      <c r="F94" s="92" t="n">
        <f aca="false">+EXP!F49</f>
        <v>0</v>
      </c>
      <c r="G94" s="94" t="str">
        <f aca="false">IF(A94 = "", "", IF(E94 = F94, "✔", "✘"))</f>
        <v/>
      </c>
      <c r="H94" s="92" t="n">
        <f aca="false">IFERROR(E94-F94,0)</f>
        <v>0</v>
      </c>
      <c r="I94" s="92" t="n">
        <f aca="true" t="array" ref="I94:I94">SUMPRODUCT(IFERROR(VLOOKUP(ROW(INDIRECT(LEFT(A94,FIND("-",A94)-1)&amp;":"&amp;RIGHT(A94,LEN(A94)-FIND("-",A94)))),'Trial Balance '!$A$5:$H$448,7,FALSE()),0)) + IFERROR(VLOOKUP(A94,'Trial Balance '!$A$5:$H$448, 7, 0), 0)</f>
        <v>0</v>
      </c>
      <c r="J94" s="92" t="n">
        <f aca="false">IFERROR(E94-I94,0)</f>
        <v>0</v>
      </c>
      <c r="K94" s="95" t="str">
        <f aca="false">IF(J94&gt;0,"Ç",IF(J94&lt;0,"È","Æ"))</f>
        <v>Æ</v>
      </c>
      <c r="L94" s="96" t="s">
        <v>597</v>
      </c>
      <c r="M94" s="97" t="n">
        <f aca="false">IFERROR(VLOOKUP(IFERROR(TRIM(LEFT(C94,FIND("(",C94)-2)),C94),rhiddenlinkdata,12,FALSE()),0)</f>
        <v>0</v>
      </c>
      <c r="N94" s="98" t="s">
        <v>598</v>
      </c>
      <c r="O94" s="99" t="n">
        <f aca="false">IFERROR(VLOOKUP(IFERROR(TRIM(LEFT(C94,FIND("(",C94)-2)),C94),rsdcount,2,FALSE()),0)</f>
        <v>0</v>
      </c>
      <c r="P94" s="100" t="str">
        <f aca="false">IFERROR(VLOOKUP(VLOOKUP(IFERROR(LEFT(C94,FIND("(",C94)-2),C94),rhiddenlinkdata,15,FALSE()),jobstatuslookup,2,FALSE()),IFERROR(IF(VLOOKUP(IFERROR(LEFT(C94,FIND("(",C94)-2),C94),rhiddenlinkdata,3,FALSE())=1,"Not started",""),""))</f>
        <v/>
      </c>
      <c r="Q94" s="84"/>
      <c r="R94" s="101"/>
    </row>
    <row r="95" customFormat="false" ht="14.25" hidden="false" customHeight="true" outlineLevel="0" collapsed="false">
      <c r="A95" s="88"/>
      <c r="B95" s="89" t="str">
        <f aca="false">IFERROR(VLOOKUP(A95,'Trial Balance '!$A$5:$H$448, 2, 0), " ")</f>
        <v> </v>
      </c>
      <c r="C95" s="110" t="s">
        <v>62</v>
      </c>
      <c r="D95" s="105"/>
      <c r="E95" s="92" t="n">
        <f aca="true" t="array" ref="E95:E95">SUMPRODUCT(IFERROR(VLOOKUP(ROW(INDIRECT(LEFT(A95,FIND("-",A95)-1)&amp;":"&amp;RIGHT(A95,LEN(A95)-FIND("-",A95)))),'Trial Balance '!$A$5:$H$448,5,FALSE()),0)) - SUMPRODUCT(IFERROR(VLOOKUP(ROW(INDIRECT(LEFT(A95,FIND("-",A95)-1)&amp;":"&amp;RIGHT(A95,LEN(A95)-FIND("-",A95)))),'Trial Balance '!$A$5:$H$448,6,FALSE()),0)) + IFERROR(VLOOKUP(A95,'Trial Balance '!$A$5:$H$448, 5, 0), 0) - IFERROR(VLOOKUP(A95,'Trial Balance '!$A$5:$H$448, 6, 0), 0)</f>
        <v>0</v>
      </c>
      <c r="F95" s="92" t="n">
        <f aca="false">+EXP!F61</f>
        <v>0</v>
      </c>
      <c r="G95" s="94" t="str">
        <f aca="false">IF(A95 = "", "", IF(E95 = F95, "✔", "✘"))</f>
        <v/>
      </c>
      <c r="H95" s="92" t="n">
        <f aca="false">IFERROR(E95-F95,0)</f>
        <v>0</v>
      </c>
      <c r="I95" s="92" t="n">
        <f aca="true" t="array" ref="I95:I95">SUMPRODUCT(IFERROR(VLOOKUP(ROW(INDIRECT(LEFT(A95,FIND("-",A95)-1)&amp;":"&amp;RIGHT(A95,LEN(A95)-FIND("-",A95)))),'Trial Balance '!$A$5:$H$448,7,FALSE()),0)) + IFERROR(VLOOKUP(A95,'Trial Balance '!$A$5:$H$448, 7, 0), 0)</f>
        <v>0</v>
      </c>
      <c r="J95" s="92" t="n">
        <f aca="false">IFERROR(E95-I95,0)</f>
        <v>0</v>
      </c>
      <c r="K95" s="95" t="str">
        <f aca="false">IF(J95&gt;0,"Ç",IF(J95&lt;0,"È","Æ"))</f>
        <v>Æ</v>
      </c>
      <c r="L95" s="96" t="s">
        <v>597</v>
      </c>
      <c r="M95" s="97" t="n">
        <f aca="false">IFERROR(VLOOKUP(IFERROR(TRIM(LEFT(C95,FIND("(",C95)-2)),C95),rhiddenlinkdata,12,FALSE()),0)</f>
        <v>0</v>
      </c>
      <c r="N95" s="98" t="s">
        <v>598</v>
      </c>
      <c r="O95" s="99" t="n">
        <f aca="false">IFERROR(VLOOKUP(IFERROR(TRIM(LEFT(C95,FIND("(",C95)-2)),C95),rsdcount,2,FALSE()),0)</f>
        <v>0</v>
      </c>
      <c r="P95" s="100" t="str">
        <f aca="false">IFERROR(VLOOKUP(VLOOKUP(IFERROR(LEFT(C95,FIND("(",C95)-2),C95),rhiddenlinkdata,15,FALSE()),jobstatuslookup,2,FALSE()),IFERROR(IF(VLOOKUP(IFERROR(LEFT(C95,FIND("(",C95)-2),C95),rhiddenlinkdata,3,FALSE())=1,"Not started",""),""))</f>
        <v/>
      </c>
      <c r="Q95" s="84"/>
      <c r="R95" s="101"/>
    </row>
    <row r="96" customFormat="false" ht="14.25" hidden="false" customHeight="true" outlineLevel="0" collapsed="false">
      <c r="A96" s="88"/>
      <c r="B96" s="89" t="str">
        <f aca="false">IFERROR(VLOOKUP(A96,'Trial Balance '!$A$5:$H$448, 2, 0), " ")</f>
        <v> </v>
      </c>
      <c r="C96" s="110" t="s">
        <v>62</v>
      </c>
      <c r="D96" s="105"/>
      <c r="E96" s="92" t="n">
        <f aca="true" t="array" ref="E96:E96">SUMPRODUCT(IFERROR(VLOOKUP(ROW(INDIRECT(LEFT(A96,FIND("-",A96)-1)&amp;":"&amp;RIGHT(A96,LEN(A96)-FIND("-",A96)))),'Trial Balance '!$A$5:$H$448,5,FALSE()),0)) - SUMPRODUCT(IFERROR(VLOOKUP(ROW(INDIRECT(LEFT(A96,FIND("-",A96)-1)&amp;":"&amp;RIGHT(A96,LEN(A96)-FIND("-",A96)))),'Trial Balance '!$A$5:$H$448,6,FALSE()),0)) + IFERROR(VLOOKUP(A96,'Trial Balance '!$A$5:$H$448, 5, 0), 0) - IFERROR(VLOOKUP(A96,'Trial Balance '!$A$5:$H$448, 6, 0), 0)</f>
        <v>0</v>
      </c>
      <c r="F96" s="92" t="n">
        <f aca="false">+EXP!F73</f>
        <v>0</v>
      </c>
      <c r="G96" s="94" t="str">
        <f aca="false">IF(A96 = "", "", IF(E96 = F96, "✔", "✘"))</f>
        <v/>
      </c>
      <c r="H96" s="92" t="n">
        <f aca="false">IFERROR(E96-F96,0)</f>
        <v>0</v>
      </c>
      <c r="I96" s="92" t="n">
        <f aca="true" t="array" ref="I96:I96">SUMPRODUCT(IFERROR(VLOOKUP(ROW(INDIRECT(LEFT(A96,FIND("-",A96)-1)&amp;":"&amp;RIGHT(A96,LEN(A96)-FIND("-",A96)))),'Trial Balance '!$A$5:$H$448,7,FALSE()),0)) + IFERROR(VLOOKUP(A96,'Trial Balance '!$A$5:$H$448, 7, 0), 0)</f>
        <v>0</v>
      </c>
      <c r="J96" s="92" t="n">
        <f aca="false">IFERROR(E96-I96,0)</f>
        <v>0</v>
      </c>
      <c r="K96" s="95" t="str">
        <f aca="false">IF(J96&gt;0,"Ç",IF(J96&lt;0,"È","Æ"))</f>
        <v>Æ</v>
      </c>
      <c r="L96" s="96" t="s">
        <v>597</v>
      </c>
      <c r="M96" s="97" t="n">
        <f aca="false">IFERROR(VLOOKUP(IFERROR(TRIM(LEFT(C96,FIND("(",C96)-2)),C96),rhiddenlinkdata,12,FALSE()),0)</f>
        <v>0</v>
      </c>
      <c r="N96" s="98" t="s">
        <v>598</v>
      </c>
      <c r="O96" s="99" t="n">
        <f aca="false">IFERROR(VLOOKUP(IFERROR(TRIM(LEFT(C96,FIND("(",C96)-2)),C96),rsdcount,2,FALSE()),0)</f>
        <v>0</v>
      </c>
      <c r="P96" s="100" t="str">
        <f aca="false">IFERROR(VLOOKUP(VLOOKUP(IFERROR(LEFT(C96,FIND("(",C96)-2),C96),rhiddenlinkdata,15,FALSE()),jobstatuslookup,2,FALSE()),IFERROR(IF(VLOOKUP(IFERROR(LEFT(C96,FIND("(",C96)-2),C96),rhiddenlinkdata,3,FALSE())=1,"Not started",""),""))</f>
        <v/>
      </c>
      <c r="Q96" s="84"/>
      <c r="R96" s="101"/>
    </row>
    <row r="97" customFormat="false" ht="14.25" hidden="false" customHeight="true" outlineLevel="0" collapsed="false">
      <c r="A97" s="88"/>
      <c r="B97" s="89" t="str">
        <f aca="false">IFERROR(VLOOKUP(A97,'Trial Balance '!$A$5:$H$448, 2, 0), " ")</f>
        <v> </v>
      </c>
      <c r="C97" s="110" t="s">
        <v>62</v>
      </c>
      <c r="D97" s="105"/>
      <c r="E97" s="92" t="n">
        <f aca="true" t="array" ref="E97:E97">SUMPRODUCT(IFERROR(VLOOKUP(ROW(INDIRECT(LEFT(A97,FIND("-",A97)-1)&amp;":"&amp;RIGHT(A97,LEN(A97)-FIND("-",A97)))),'Trial Balance '!$A$5:$H$448,5,FALSE()),0)) - SUMPRODUCT(IFERROR(VLOOKUP(ROW(INDIRECT(LEFT(A97,FIND("-",A97)-1)&amp;":"&amp;RIGHT(A97,LEN(A97)-FIND("-",A97)))),'Trial Balance '!$A$5:$H$448,6,FALSE()),0)) + IFERROR(VLOOKUP(A97,'Trial Balance '!$A$5:$H$448, 5, 0), 0) - IFERROR(VLOOKUP(A97,'Trial Balance '!$A$5:$H$448, 6, 0), 0)</f>
        <v>0</v>
      </c>
      <c r="F97" s="92" t="n">
        <f aca="false">+EXP!F85</f>
        <v>0</v>
      </c>
      <c r="G97" s="94" t="str">
        <f aca="false">IF(A97 = "", "", IF(E97 = F97, "✔", "✘"))</f>
        <v/>
      </c>
      <c r="H97" s="92" t="n">
        <f aca="false">IFERROR(E97-F97,0)</f>
        <v>0</v>
      </c>
      <c r="I97" s="92" t="n">
        <f aca="true" t="array" ref="I97:I97">SUMPRODUCT(IFERROR(VLOOKUP(ROW(INDIRECT(LEFT(A97,FIND("-",A97)-1)&amp;":"&amp;RIGHT(A97,LEN(A97)-FIND("-",A97)))),'Trial Balance '!$A$5:$H$448,7,FALSE()),0)) + IFERROR(VLOOKUP(A97,'Trial Balance '!$A$5:$H$448, 7, 0), 0)</f>
        <v>0</v>
      </c>
      <c r="J97" s="92" t="n">
        <f aca="false">IFERROR(E97-I97,0)</f>
        <v>0</v>
      </c>
      <c r="K97" s="95" t="str">
        <f aca="false">IF(J97&gt;0,"Ç",IF(J97&lt;0,"È","Æ"))</f>
        <v>Æ</v>
      </c>
      <c r="L97" s="96" t="s">
        <v>597</v>
      </c>
      <c r="M97" s="97" t="n">
        <f aca="false">IFERROR(VLOOKUP(IFERROR(TRIM(LEFT(C97,FIND("(",C97)-2)),C97),rhiddenlinkdata,12,FALSE()),0)</f>
        <v>0</v>
      </c>
      <c r="N97" s="98" t="s">
        <v>598</v>
      </c>
      <c r="O97" s="99" t="n">
        <f aca="false">IFERROR(VLOOKUP(IFERROR(TRIM(LEFT(C97,FIND("(",C97)-2)),C97),rsdcount,2,FALSE()),0)</f>
        <v>0</v>
      </c>
      <c r="P97" s="100" t="str">
        <f aca="false">IFERROR(VLOOKUP(VLOOKUP(IFERROR(LEFT(C97,FIND("(",C97)-2),C97),rhiddenlinkdata,15,FALSE()),jobstatuslookup,2,FALSE()),IFERROR(IF(VLOOKUP(IFERROR(LEFT(C97,FIND("(",C97)-2),C97),rhiddenlinkdata,3,FALSE())=1,"Not started",""),""))</f>
        <v/>
      </c>
      <c r="Q97" s="84"/>
      <c r="R97" s="101"/>
    </row>
    <row r="98" customFormat="false" ht="14.25" hidden="false" customHeight="true" outlineLevel="0" collapsed="false">
      <c r="A98" s="88"/>
      <c r="B98" s="89" t="str">
        <f aca="false">IFERROR(VLOOKUP(A98,'Trial Balance '!$A$5:$H$448, 2, 0), " ")</f>
        <v> </v>
      </c>
      <c r="C98" s="110" t="s">
        <v>62</v>
      </c>
      <c r="D98" s="105"/>
      <c r="E98" s="92" t="n">
        <f aca="true" t="array" ref="E98:E98">SUMPRODUCT(IFERROR(VLOOKUP(ROW(INDIRECT(LEFT(A98,FIND("-",A98)-1)&amp;":"&amp;RIGHT(A98,LEN(A98)-FIND("-",A98)))),'Trial Balance '!$A$5:$H$448,5,FALSE()),0)) - SUMPRODUCT(IFERROR(VLOOKUP(ROW(INDIRECT(LEFT(A98,FIND("-",A98)-1)&amp;":"&amp;RIGHT(A98,LEN(A98)-FIND("-",A98)))),'Trial Balance '!$A$5:$H$448,6,FALSE()),0)) + IFERROR(VLOOKUP(A98,'Trial Balance '!$A$5:$H$448, 5, 0), 0) - IFERROR(VLOOKUP(A98,'Trial Balance '!$A$5:$H$448, 6, 0), 0)</f>
        <v>0</v>
      </c>
      <c r="F98" s="92" t="n">
        <f aca="false">+EXP!F97</f>
        <v>0</v>
      </c>
      <c r="G98" s="94" t="str">
        <f aca="false">IF(A98 = "", "", IF(E98 = F98, "✔", "✘"))</f>
        <v/>
      </c>
      <c r="H98" s="92" t="n">
        <f aca="false">IFERROR(E98-F98,0)</f>
        <v>0</v>
      </c>
      <c r="I98" s="92" t="n">
        <f aca="true" t="array" ref="I98:I98">SUMPRODUCT(IFERROR(VLOOKUP(ROW(INDIRECT(LEFT(A98,FIND("-",A98)-1)&amp;":"&amp;RIGHT(A98,LEN(A98)-FIND("-",A98)))),'Trial Balance '!$A$5:$H$448,7,FALSE()),0)) + IFERROR(VLOOKUP(A98,'Trial Balance '!$A$5:$H$448, 7, 0), 0)</f>
        <v>0</v>
      </c>
      <c r="J98" s="92" t="n">
        <f aca="false">IFERROR(E98-I98,0)</f>
        <v>0</v>
      </c>
      <c r="K98" s="95" t="str">
        <f aca="false">IF(J98&gt;0,"Ç",IF(J98&lt;0,"È","Æ"))</f>
        <v>Æ</v>
      </c>
      <c r="L98" s="96" t="s">
        <v>597</v>
      </c>
      <c r="M98" s="97" t="n">
        <f aca="false">IFERROR(VLOOKUP(IFERROR(TRIM(LEFT(C98,FIND("(",C98)-2)),C98),rhiddenlinkdata,12,FALSE()),0)</f>
        <v>0</v>
      </c>
      <c r="N98" s="98" t="s">
        <v>598</v>
      </c>
      <c r="O98" s="99" t="n">
        <f aca="false">IFERROR(VLOOKUP(IFERROR(TRIM(LEFT(C98,FIND("(",C98)-2)),C98),rsdcount,2,FALSE()),0)</f>
        <v>0</v>
      </c>
      <c r="P98" s="100" t="str">
        <f aca="false">IFERROR(VLOOKUP(VLOOKUP(IFERROR(LEFT(C98,FIND("(",C98)-2),C98),rhiddenlinkdata,15,FALSE()),jobstatuslookup,2,FALSE()),IFERROR(IF(VLOOKUP(IFERROR(LEFT(C98,FIND("(",C98)-2),C98),rhiddenlinkdata,3,FALSE())=1,"Not started",""),""))</f>
        <v/>
      </c>
      <c r="Q98" s="84"/>
      <c r="R98" s="101"/>
    </row>
    <row r="99" customFormat="false" ht="14.25" hidden="false" customHeight="true" outlineLevel="0" collapsed="false">
      <c r="A99" s="88"/>
      <c r="B99" s="89" t="str">
        <f aca="false">IFERROR(VLOOKUP(A99,'Trial Balance '!$A$5:$H$448, 2, 0), " ")</f>
        <v> </v>
      </c>
      <c r="C99" s="110" t="s">
        <v>62</v>
      </c>
      <c r="D99" s="105"/>
      <c r="E99" s="92" t="n">
        <f aca="true" t="array" ref="E99:E99">SUMPRODUCT(IFERROR(VLOOKUP(ROW(INDIRECT(LEFT(A99,FIND("-",A99)-1)&amp;":"&amp;RIGHT(A99,LEN(A99)-FIND("-",A99)))),'Trial Balance '!$A$5:$H$448,5,FALSE()),0)) - SUMPRODUCT(IFERROR(VLOOKUP(ROW(INDIRECT(LEFT(A99,FIND("-",A99)-1)&amp;":"&amp;RIGHT(A99,LEN(A99)-FIND("-",A99)))),'Trial Balance '!$A$5:$H$448,6,FALSE()),0)) + IFERROR(VLOOKUP(A99,'Trial Balance '!$A$5:$H$448, 5, 0), 0) - IFERROR(VLOOKUP(A99,'Trial Balance '!$A$5:$H$448, 6, 0), 0)</f>
        <v>0</v>
      </c>
      <c r="F99" s="92" t="n">
        <f aca="false">+EXP!F109</f>
        <v>0</v>
      </c>
      <c r="G99" s="94" t="str">
        <f aca="false">IF(A99 = "", "", IF(E99 = F99, "✔", "✘"))</f>
        <v/>
      </c>
      <c r="H99" s="92" t="n">
        <f aca="false">IFERROR(E99-F99,0)</f>
        <v>0</v>
      </c>
      <c r="I99" s="92" t="n">
        <f aca="true" t="array" ref="I99:I99">SUMPRODUCT(IFERROR(VLOOKUP(ROW(INDIRECT(LEFT(A99,FIND("-",A99)-1)&amp;":"&amp;RIGHT(A99,LEN(A99)-FIND("-",A99)))),'Trial Balance '!$A$5:$H$448,7,FALSE()),0)) + IFERROR(VLOOKUP(A99,'Trial Balance '!$A$5:$H$448, 7, 0), 0)</f>
        <v>0</v>
      </c>
      <c r="J99" s="92" t="n">
        <f aca="false">IFERROR(E99-I99,0)</f>
        <v>0</v>
      </c>
      <c r="K99" s="95" t="str">
        <f aca="false">IF(J99&gt;0,"Ç",IF(J99&lt;0,"È","Æ"))</f>
        <v>Æ</v>
      </c>
      <c r="L99" s="96" t="s">
        <v>597</v>
      </c>
      <c r="M99" s="97" t="n">
        <f aca="false">IFERROR(VLOOKUP(IFERROR(TRIM(LEFT(C99,FIND("(",C99)-2)),C99),rhiddenlinkdata,12,FALSE()),0)</f>
        <v>0</v>
      </c>
      <c r="N99" s="98" t="s">
        <v>598</v>
      </c>
      <c r="O99" s="99" t="n">
        <f aca="false">IFERROR(VLOOKUP(IFERROR(TRIM(LEFT(C99,FIND("(",C99)-2)),C99),rsdcount,2,FALSE()),0)</f>
        <v>0</v>
      </c>
      <c r="P99" s="100" t="str">
        <f aca="false">IFERROR(VLOOKUP(VLOOKUP(IFERROR(LEFT(C99,FIND("(",C99)-2),C99),rhiddenlinkdata,15,FALSE()),jobstatuslookup,2,FALSE()),IFERROR(IF(VLOOKUP(IFERROR(LEFT(C99,FIND("(",C99)-2),C99),rhiddenlinkdata,3,FALSE())=1,"Not started",""),""))</f>
        <v/>
      </c>
      <c r="Q99" s="84"/>
      <c r="R99" s="101"/>
    </row>
    <row r="100" customFormat="false" ht="14.25" hidden="false" customHeight="true" outlineLevel="0" collapsed="false">
      <c r="A100" s="88"/>
      <c r="B100" s="89" t="str">
        <f aca="false">IFERROR(VLOOKUP(A100,'Trial Balance '!$A$5:$H$448, 2, 0), " ")</f>
        <v> </v>
      </c>
      <c r="C100" s="110" t="s">
        <v>62</v>
      </c>
      <c r="D100" s="105"/>
      <c r="E100" s="92" t="n">
        <f aca="true" t="array" ref="E100:E100">SUMPRODUCT(IFERROR(VLOOKUP(ROW(INDIRECT(LEFT(A100,FIND("-",A100)-1)&amp;":"&amp;RIGHT(A100,LEN(A100)-FIND("-",A100)))),'Trial Balance '!$A$5:$H$448,5,FALSE()),0)) - SUMPRODUCT(IFERROR(VLOOKUP(ROW(INDIRECT(LEFT(A100,FIND("-",A100)-1)&amp;":"&amp;RIGHT(A100,LEN(A100)-FIND("-",A100)))),'Trial Balance '!$A$5:$H$448,6,FALSE()),0)) + IFERROR(VLOOKUP(A100,'Trial Balance '!$A$5:$H$448, 5, 0), 0) - IFERROR(VLOOKUP(A100,'Trial Balance '!$A$5:$H$448, 6, 0), 0)</f>
        <v>0</v>
      </c>
      <c r="F100" s="92" t="n">
        <f aca="false">+EXP!F121</f>
        <v>0</v>
      </c>
      <c r="G100" s="94" t="str">
        <f aca="false">IF(A100 = "", "", IF(E100 = F100, "✔", "✘"))</f>
        <v/>
      </c>
      <c r="H100" s="92" t="n">
        <f aca="false">IFERROR(E100-F100,0)</f>
        <v>0</v>
      </c>
      <c r="I100" s="92" t="n">
        <f aca="true" t="array" ref="I100:I100">SUMPRODUCT(IFERROR(VLOOKUP(ROW(INDIRECT(LEFT(A100,FIND("-",A100)-1)&amp;":"&amp;RIGHT(A100,LEN(A100)-FIND("-",A100)))),'Trial Balance '!$A$5:$H$448,7,FALSE()),0)) + IFERROR(VLOOKUP(A100,'Trial Balance '!$A$5:$H$448, 7, 0), 0)</f>
        <v>0</v>
      </c>
      <c r="J100" s="92" t="n">
        <f aca="false">IFERROR(E100-I100,0)</f>
        <v>0</v>
      </c>
      <c r="K100" s="95" t="str">
        <f aca="false">IF(J100&gt;0,"Ç",IF(J100&lt;0,"È","Æ"))</f>
        <v>Æ</v>
      </c>
      <c r="L100" s="96" t="s">
        <v>597</v>
      </c>
      <c r="M100" s="97" t="n">
        <f aca="false">IFERROR(VLOOKUP(IFERROR(TRIM(LEFT(C100,FIND("(",C100)-2)),C100),rhiddenlinkdata,12,FALSE()),0)</f>
        <v>0</v>
      </c>
      <c r="N100" s="98" t="s">
        <v>598</v>
      </c>
      <c r="O100" s="99" t="n">
        <f aca="false">IFERROR(VLOOKUP(IFERROR(TRIM(LEFT(C100,FIND("(",C100)-2)),C100),rsdcount,2,FALSE()),0)</f>
        <v>0</v>
      </c>
      <c r="P100" s="100" t="str">
        <f aca="false">IFERROR(VLOOKUP(VLOOKUP(IFERROR(LEFT(C100,FIND("(",C100)-2),C100),rhiddenlinkdata,15,FALSE()),jobstatuslookup,2,FALSE()),IFERROR(IF(VLOOKUP(IFERROR(LEFT(C100,FIND("(",C100)-2),C100),rhiddenlinkdata,3,FALSE())=1,"Not started",""),""))</f>
        <v/>
      </c>
      <c r="Q100" s="84"/>
      <c r="R100" s="101"/>
    </row>
    <row r="101" customFormat="false" ht="14.25" hidden="false" customHeight="true" outlineLevel="0" collapsed="false">
      <c r="A101" s="88"/>
      <c r="B101" s="89" t="str">
        <f aca="false">IFERROR(VLOOKUP(A101,'Trial Balance '!$A$5:$H$448, 2, 0), " ")</f>
        <v> </v>
      </c>
      <c r="C101" s="110" t="s">
        <v>62</v>
      </c>
      <c r="D101" s="105"/>
      <c r="E101" s="92" t="n">
        <f aca="true" t="array" ref="E101:E101">SUMPRODUCT(IFERROR(VLOOKUP(ROW(INDIRECT(LEFT(A101,FIND("-",A101)-1)&amp;":"&amp;RIGHT(A101,LEN(A101)-FIND("-",A101)))),'Trial Balance '!$A$5:$H$448,5,FALSE()),0)) - SUMPRODUCT(IFERROR(VLOOKUP(ROW(INDIRECT(LEFT(A101,FIND("-",A101)-1)&amp;":"&amp;RIGHT(A101,LEN(A101)-FIND("-",A101)))),'Trial Balance '!$A$5:$H$448,6,FALSE()),0)) + IFERROR(VLOOKUP(A101,'Trial Balance '!$A$5:$H$448, 5, 0), 0) - IFERROR(VLOOKUP(A101,'Trial Balance '!$A$5:$H$448, 6, 0), 0)</f>
        <v>0</v>
      </c>
      <c r="F101" s="92" t="n">
        <f aca="false">+EXP!F133</f>
        <v>0</v>
      </c>
      <c r="G101" s="94" t="str">
        <f aca="false">IF(A101 = "", "", IF(E101 = F101, "✔", "✘"))</f>
        <v/>
      </c>
      <c r="H101" s="92" t="n">
        <f aca="false">IFERROR(E101-F101,0)</f>
        <v>0</v>
      </c>
      <c r="I101" s="92" t="n">
        <f aca="true" t="array" ref="I101:I101">SUMPRODUCT(IFERROR(VLOOKUP(ROW(INDIRECT(LEFT(A101,FIND("-",A101)-1)&amp;":"&amp;RIGHT(A101,LEN(A101)-FIND("-",A101)))),'Trial Balance '!$A$5:$H$448,7,FALSE()),0)) + IFERROR(VLOOKUP(A101,'Trial Balance '!$A$5:$H$448, 7, 0), 0)</f>
        <v>0</v>
      </c>
      <c r="J101" s="92" t="n">
        <f aca="false">IFERROR(E101-I101,0)</f>
        <v>0</v>
      </c>
      <c r="K101" s="95" t="str">
        <f aca="false">IF(J101&gt;0,"Ç",IF(J101&lt;0,"È","Æ"))</f>
        <v>Æ</v>
      </c>
      <c r="L101" s="96" t="s">
        <v>597</v>
      </c>
      <c r="M101" s="97" t="n">
        <f aca="false">IFERROR(VLOOKUP(IFERROR(TRIM(LEFT(C101,FIND("(",C101)-2)),C101),rhiddenlinkdata,12,FALSE()),0)</f>
        <v>0</v>
      </c>
      <c r="N101" s="98" t="s">
        <v>598</v>
      </c>
      <c r="O101" s="99" t="n">
        <f aca="false">IFERROR(VLOOKUP(IFERROR(TRIM(LEFT(C101,FIND("(",C101)-2)),C101),rsdcount,2,FALSE()),0)</f>
        <v>0</v>
      </c>
      <c r="P101" s="100" t="str">
        <f aca="false">IFERROR(VLOOKUP(VLOOKUP(IFERROR(LEFT(C101,FIND("(",C101)-2),C101),rhiddenlinkdata,15,FALSE()),jobstatuslookup,2,FALSE()),IFERROR(IF(VLOOKUP(IFERROR(LEFT(C101,FIND("(",C101)-2),C101),rhiddenlinkdata,3,FALSE())=1,"Not started",""),""))</f>
        <v/>
      </c>
      <c r="Q101" s="84"/>
      <c r="R101" s="101"/>
    </row>
    <row r="102" customFormat="false" ht="14.25" hidden="false" customHeight="true" outlineLevel="0" collapsed="false">
      <c r="A102" s="88"/>
      <c r="B102" s="89" t="str">
        <f aca="false">IFERROR(VLOOKUP(A102,'Trial Balance '!$A$5:$H$448, 2, 0), " ")</f>
        <v> </v>
      </c>
      <c r="C102" s="110" t="s">
        <v>62</v>
      </c>
      <c r="D102" s="105"/>
      <c r="E102" s="92" t="n">
        <f aca="true" t="array" ref="E102:E102">SUMPRODUCT(IFERROR(VLOOKUP(ROW(INDIRECT(LEFT(A102,FIND("-",A102)-1)&amp;":"&amp;RIGHT(A102,LEN(A102)-FIND("-",A102)))),'Trial Balance '!$A$5:$H$448,5,FALSE()),0)) - SUMPRODUCT(IFERROR(VLOOKUP(ROW(INDIRECT(LEFT(A102,FIND("-",A102)-1)&amp;":"&amp;RIGHT(A102,LEN(A102)-FIND("-",A102)))),'Trial Balance '!$A$5:$H$448,6,FALSE()),0)) + IFERROR(VLOOKUP(A102,'Trial Balance '!$A$5:$H$448, 5, 0), 0) - IFERROR(VLOOKUP(A102,'Trial Balance '!$A$5:$H$448, 6, 0), 0)</f>
        <v>0</v>
      </c>
      <c r="F102" s="92" t="n">
        <f aca="false">+EXP!F145</f>
        <v>0</v>
      </c>
      <c r="G102" s="94" t="str">
        <f aca="false">IF(A102 = "", "", IF(E102 = F102, "✔", "✘"))</f>
        <v/>
      </c>
      <c r="H102" s="92" t="n">
        <f aca="false">IFERROR(E102-F102,0)</f>
        <v>0</v>
      </c>
      <c r="I102" s="92" t="n">
        <f aca="true" t="array" ref="I102:I102">SUMPRODUCT(IFERROR(VLOOKUP(ROW(INDIRECT(LEFT(A102,FIND("-",A102)-1)&amp;":"&amp;RIGHT(A102,LEN(A102)-FIND("-",A102)))),'Trial Balance '!$A$5:$H$448,7,FALSE()),0)) + IFERROR(VLOOKUP(A102,'Trial Balance '!$A$5:$H$448, 7, 0), 0)</f>
        <v>0</v>
      </c>
      <c r="J102" s="92" t="n">
        <f aca="false">IFERROR(E102-I102,0)</f>
        <v>0</v>
      </c>
      <c r="K102" s="95" t="str">
        <f aca="false">IF(J102&gt;0,"Ç",IF(J102&lt;0,"È","Æ"))</f>
        <v>Æ</v>
      </c>
      <c r="L102" s="96" t="s">
        <v>597</v>
      </c>
      <c r="M102" s="97" t="n">
        <f aca="false">IFERROR(VLOOKUP(IFERROR(TRIM(LEFT(C102,FIND("(",C102)-2)),C102),rhiddenlinkdata,12,FALSE()),0)</f>
        <v>0</v>
      </c>
      <c r="N102" s="98" t="s">
        <v>598</v>
      </c>
      <c r="O102" s="99" t="n">
        <f aca="false">IFERROR(VLOOKUP(IFERROR(TRIM(LEFT(C102,FIND("(",C102)-2)),C102),rsdcount,2,FALSE()),0)</f>
        <v>0</v>
      </c>
      <c r="P102" s="100" t="str">
        <f aca="false">IFERROR(VLOOKUP(VLOOKUP(IFERROR(LEFT(C102,FIND("(",C102)-2),C102),rhiddenlinkdata,15,FALSE()),jobstatuslookup,2,FALSE()),IFERROR(IF(VLOOKUP(IFERROR(LEFT(C102,FIND("(",C102)-2),C102),rhiddenlinkdata,3,FALSE())=1,"Not started",""),""))</f>
        <v/>
      </c>
      <c r="Q102" s="84"/>
      <c r="R102" s="101"/>
    </row>
    <row r="103" customFormat="false" ht="14.25" hidden="false" customHeight="true" outlineLevel="0" collapsed="false">
      <c r="A103" s="88"/>
      <c r="B103" s="89" t="str">
        <f aca="false">IFERROR(VLOOKUP(A103,'Trial Balance '!$A$5:$H$448, 2, 0), " ")</f>
        <v> </v>
      </c>
      <c r="C103" s="110" t="s">
        <v>62</v>
      </c>
      <c r="D103" s="105"/>
      <c r="E103" s="92" t="n">
        <f aca="true" t="array" ref="E103:E103">SUMPRODUCT(IFERROR(VLOOKUP(ROW(INDIRECT(LEFT(A103,FIND("-",A103)-1)&amp;":"&amp;RIGHT(A103,LEN(A103)-FIND("-",A103)))),'Trial Balance '!$A$5:$H$448,5,FALSE()),0)) - SUMPRODUCT(IFERROR(VLOOKUP(ROW(INDIRECT(LEFT(A103,FIND("-",A103)-1)&amp;":"&amp;RIGHT(A103,LEN(A103)-FIND("-",A103)))),'Trial Balance '!$A$5:$H$448,6,FALSE()),0)) + IFERROR(VLOOKUP(A103,'Trial Balance '!$A$5:$H$448, 5, 0), 0) - IFERROR(VLOOKUP(A103,'Trial Balance '!$A$5:$H$448, 6, 0), 0)</f>
        <v>0</v>
      </c>
      <c r="F103" s="92" t="n">
        <f aca="false">+EXP!F157</f>
        <v>0</v>
      </c>
      <c r="G103" s="94" t="str">
        <f aca="false">IF(A103 = "", "", IF(E103 = F103, "✔", "✘"))</f>
        <v/>
      </c>
      <c r="H103" s="92" t="n">
        <f aca="false">IFERROR(E103-F103,0)</f>
        <v>0</v>
      </c>
      <c r="I103" s="92" t="n">
        <f aca="true" t="array" ref="I103:I103">SUMPRODUCT(IFERROR(VLOOKUP(ROW(INDIRECT(LEFT(A103,FIND("-",A103)-1)&amp;":"&amp;RIGHT(A103,LEN(A103)-FIND("-",A103)))),'Trial Balance '!$A$5:$H$448,7,FALSE()),0)) + IFERROR(VLOOKUP(A103,'Trial Balance '!$A$5:$H$448, 7, 0), 0)</f>
        <v>0</v>
      </c>
      <c r="J103" s="92" t="n">
        <f aca="false">IFERROR(E103-I103,0)</f>
        <v>0</v>
      </c>
      <c r="K103" s="95" t="str">
        <f aca="false">IF(J103&gt;0,"Ç",IF(J103&lt;0,"È","Æ"))</f>
        <v>Æ</v>
      </c>
      <c r="L103" s="96" t="s">
        <v>597</v>
      </c>
      <c r="M103" s="97" t="n">
        <f aca="false">IFERROR(VLOOKUP(IFERROR(TRIM(LEFT(C103,FIND("(",C103)-2)),C103),rhiddenlinkdata,12,FALSE()),0)</f>
        <v>0</v>
      </c>
      <c r="N103" s="98" t="s">
        <v>598</v>
      </c>
      <c r="O103" s="99" t="n">
        <f aca="false">IFERROR(VLOOKUP(IFERROR(TRIM(LEFT(C103,FIND("(",C103)-2)),C103),rsdcount,2,FALSE()),0)</f>
        <v>0</v>
      </c>
      <c r="P103" s="100" t="str">
        <f aca="false">IFERROR(VLOOKUP(VLOOKUP(IFERROR(LEFT(C103,FIND("(",C103)-2),C103),rhiddenlinkdata,15,FALSE()),jobstatuslookup,2,FALSE()),IFERROR(IF(VLOOKUP(IFERROR(LEFT(C103,FIND("(",C103)-2),C103),rhiddenlinkdata,3,FALSE())=1,"Not started",""),""))</f>
        <v/>
      </c>
      <c r="Q103" s="84"/>
      <c r="R103" s="101"/>
    </row>
    <row r="104" customFormat="false" ht="14.25" hidden="false" customHeight="true" outlineLevel="0" collapsed="false">
      <c r="A104" s="88"/>
      <c r="B104" s="89" t="str">
        <f aca="false">IFERROR(VLOOKUP(A104,'Trial Balance '!$A$5:$H$448, 2, 0), " ")</f>
        <v> </v>
      </c>
      <c r="C104" s="110" t="s">
        <v>574</v>
      </c>
      <c r="D104" s="105"/>
      <c r="E104" s="92" t="n">
        <f aca="true" t="array" ref="E104:E104">SUMPRODUCT(IFERROR(VLOOKUP(ROW(INDIRECT(LEFT(A104,FIND("-",A104)-1)&amp;":"&amp;RIGHT(A104,LEN(A104)-FIND("-",A104)))),'Trial Balance '!$A$5:$H$448,5,FALSE()),0)) - SUMPRODUCT(IFERROR(VLOOKUP(ROW(INDIRECT(LEFT(A104,FIND("-",A104)-1)&amp;":"&amp;RIGHT(A104,LEN(A104)-FIND("-",A104)))),'Trial Balance '!$A$5:$H$448,6,FALSE()),0)) + IFERROR(VLOOKUP(A104,'Trial Balance '!$A$5:$H$448, 5, 0), 0) - IFERROR(VLOOKUP(A104,'Trial Balance '!$A$5:$H$448, 6, 0), 0)</f>
        <v>0</v>
      </c>
      <c r="F104" s="92" t="n">
        <f aca="false">+ENT!E25</f>
        <v>0</v>
      </c>
      <c r="G104" s="94" t="str">
        <f aca="false">IF(A104 = "", "", IF(E104 = F104, "✔", "✘"))</f>
        <v/>
      </c>
      <c r="H104" s="92" t="n">
        <f aca="false">IFERROR(E104-F104,0)</f>
        <v>0</v>
      </c>
      <c r="I104" s="92" t="n">
        <f aca="true" t="array" ref="I104:I104">SUMPRODUCT(IFERROR(VLOOKUP(ROW(INDIRECT(LEFT(A104,FIND("-",A104)-1)&amp;":"&amp;RIGHT(A104,LEN(A104)-FIND("-",A104)))),'Trial Balance '!$A$5:$H$448,7,FALSE()),0)) + IFERROR(VLOOKUP(A104,'Trial Balance '!$A$5:$H$448, 7, 0), 0)</f>
        <v>0</v>
      </c>
      <c r="J104" s="92" t="n">
        <f aca="false">IFERROR(E104-I104,0)</f>
        <v>0</v>
      </c>
      <c r="K104" s="95" t="str">
        <f aca="false">IF(J104&gt;0,"Ç",IF(J104&lt;0,"È","Æ"))</f>
        <v>Æ</v>
      </c>
      <c r="L104" s="96" t="s">
        <v>597</v>
      </c>
      <c r="M104" s="97" t="n">
        <f aca="false">IFERROR(VLOOKUP(IFERROR(TRIM(LEFT(C104,FIND("(",C104)-2)),C104),rhiddenlinkdata,12,FALSE()),0)</f>
        <v>0</v>
      </c>
      <c r="N104" s="98" t="s">
        <v>598</v>
      </c>
      <c r="O104" s="99" t="n">
        <f aca="false">IFERROR(VLOOKUP(IFERROR(TRIM(LEFT(C104,FIND("(",C104)-2)),C104),rsdcount,2,FALSE()),0)</f>
        <v>0</v>
      </c>
      <c r="P104" s="100" t="str">
        <f aca="false">IFERROR(VLOOKUP(VLOOKUP(IFERROR(LEFT(C104,FIND("(",C104)-2),C104),rhiddenlinkdata,15,FALSE()),jobstatuslookup,2,FALSE()),IFERROR(IF(VLOOKUP(IFERROR(LEFT(C104,FIND("(",C104)-2),C104),rhiddenlinkdata,3,FALSE())=1,"Not started",""),""))</f>
        <v/>
      </c>
      <c r="Q104" s="84"/>
      <c r="R104" s="101"/>
    </row>
    <row r="105" customFormat="false" ht="14.25" hidden="false" customHeight="true" outlineLevel="0" collapsed="false">
      <c r="A105" s="88"/>
      <c r="B105" s="89" t="str">
        <f aca="false">IFERROR(VLOOKUP(A105,'Trial Balance '!$A$5:$H$448, 2, 0), " ")</f>
        <v> </v>
      </c>
      <c r="C105" s="110" t="s">
        <v>575</v>
      </c>
      <c r="D105" s="105"/>
      <c r="E105" s="92" t="n">
        <f aca="true" t="array" ref="E105:E105">SUMPRODUCT(IFERROR(VLOOKUP(ROW(INDIRECT(LEFT(A105,FIND("-",A105)-1)&amp;":"&amp;RIGHT(A105,LEN(A105)-FIND("-",A105)))),'Trial Balance '!$A$5:$H$448,5,FALSE()),0)) - SUMPRODUCT(IFERROR(VLOOKUP(ROW(INDIRECT(LEFT(A105,FIND("-",A105)-1)&amp;":"&amp;RIGHT(A105,LEN(A105)-FIND("-",A105)))),'Trial Balance '!$A$5:$H$448,6,FALSE()),0)) + IFERROR(VLOOKUP(A105,'Trial Balance '!$A$5:$H$448, 5, 0), 0) - IFERROR(VLOOKUP(A105,'Trial Balance '!$A$5:$H$448, 6, 0), 0)</f>
        <v>0</v>
      </c>
      <c r="F105" s="92" t="n">
        <f aca="false">+HOM!H35</f>
        <v>0</v>
      </c>
      <c r="G105" s="94" t="str">
        <f aca="false">IF(A105 = "", "", IF(E105 = F105, "✔", "✘"))</f>
        <v/>
      </c>
      <c r="H105" s="92" t="n">
        <f aca="false">IFERROR(E105-F105,0)</f>
        <v>0</v>
      </c>
      <c r="I105" s="92" t="n">
        <f aca="true" t="array" ref="I105:I105">SUMPRODUCT(IFERROR(VLOOKUP(ROW(INDIRECT(LEFT(A105,FIND("-",A105)-1)&amp;":"&amp;RIGHT(A105,LEN(A105)-FIND("-",A105)))),'Trial Balance '!$A$5:$H$448,7,FALSE()),0)) + IFERROR(VLOOKUP(A105,'Trial Balance '!$A$5:$H$448, 7, 0), 0)</f>
        <v>0</v>
      </c>
      <c r="J105" s="92" t="n">
        <f aca="false">IFERROR(E105-I105,0)</f>
        <v>0</v>
      </c>
      <c r="K105" s="95" t="str">
        <f aca="false">IF(J105&gt;0,"Ç",IF(J105&lt;0,"È","Æ"))</f>
        <v>Æ</v>
      </c>
      <c r="L105" s="96" t="s">
        <v>597</v>
      </c>
      <c r="M105" s="97" t="n">
        <f aca="false">IFERROR(VLOOKUP(IFERROR(TRIM(LEFT(C105,FIND("(",C105)-2)),C105),rhiddenlinkdata,12,FALSE()),0)</f>
        <v>0</v>
      </c>
      <c r="N105" s="98" t="s">
        <v>598</v>
      </c>
      <c r="O105" s="99" t="n">
        <f aca="false">IFERROR(VLOOKUP(IFERROR(TRIM(LEFT(C105,FIND("(",C105)-2)),C105),rsdcount,2,FALSE()),0)</f>
        <v>0</v>
      </c>
      <c r="P105" s="100" t="str">
        <f aca="false">IFERROR(VLOOKUP(VLOOKUP(IFERROR(LEFT(C105,FIND("(",C105)-2),C105),rhiddenlinkdata,15,FALSE()),jobstatuslookup,2,FALSE()),IFERROR(IF(VLOOKUP(IFERROR(LEFT(C105,FIND("(",C105)-2),C105),rhiddenlinkdata,3,FALSE())=1,"Not started",""),""))</f>
        <v/>
      </c>
      <c r="Q105" s="84"/>
      <c r="R105" s="101"/>
    </row>
    <row r="106" customFormat="false" ht="14.25" hidden="false" customHeight="true" outlineLevel="0" collapsed="false">
      <c r="A106" s="88"/>
      <c r="B106" s="89" t="str">
        <f aca="false">IFERROR(VLOOKUP(A106,'Trial Balance '!$A$5:$H$448, 2, 0), " ")</f>
        <v> </v>
      </c>
      <c r="C106" s="110" t="s">
        <v>579</v>
      </c>
      <c r="D106" s="105"/>
      <c r="E106" s="92" t="n">
        <f aca="true" t="array" ref="E106:E106">SUMPRODUCT(IFERROR(VLOOKUP(ROW(INDIRECT(LEFT(A106,FIND("-",A106)-1)&amp;":"&amp;RIGHT(A106,LEN(A106)-FIND("-",A106)))),'Trial Balance '!$A$5:$H$448,5,FALSE()),0)) - SUMPRODUCT(IFERROR(VLOOKUP(ROW(INDIRECT(LEFT(A106,FIND("-",A106)-1)&amp;":"&amp;RIGHT(A106,LEN(A106)-FIND("-",A106)))),'Trial Balance '!$A$5:$H$448,6,FALSE()),0)) + IFERROR(VLOOKUP(A106,'Trial Balance '!$A$5:$H$448, 5, 0), 0) - IFERROR(VLOOKUP(A106,'Trial Balance '!$A$5:$H$448, 6, 0), 0)</f>
        <v>0</v>
      </c>
      <c r="F106" s="92" t="n">
        <f aca="false">+ACT!G28</f>
        <v>0</v>
      </c>
      <c r="G106" s="94" t="str">
        <f aca="false">IF(A106 = "", "", IF(E106 = F106, "✔", "✘"))</f>
        <v/>
      </c>
      <c r="H106" s="92" t="n">
        <f aca="false">IFERROR(E106-F106,0)</f>
        <v>0</v>
      </c>
      <c r="I106" s="92" t="n">
        <f aca="true" t="array" ref="I106:I106">SUMPRODUCT(IFERROR(VLOOKUP(ROW(INDIRECT(LEFT(A106,FIND("-",A106)-1)&amp;":"&amp;RIGHT(A106,LEN(A106)-FIND("-",A106)))),'Trial Balance '!$A$5:$H$448,7,FALSE()),0)) + IFERROR(VLOOKUP(A106,'Trial Balance '!$A$5:$H$448, 7, 0), 0)</f>
        <v>0</v>
      </c>
      <c r="J106" s="92" t="n">
        <f aca="false">IFERROR(E106-I106,0)</f>
        <v>0</v>
      </c>
      <c r="K106" s="95" t="str">
        <f aca="false">IF(J106&gt;0,"Ç",IF(J106&lt;0,"È","Æ"))</f>
        <v>Æ</v>
      </c>
      <c r="L106" s="96" t="s">
        <v>597</v>
      </c>
      <c r="M106" s="97" t="n">
        <f aca="false">IFERROR(VLOOKUP(IFERROR(TRIM(LEFT(C106,FIND("(",C106)-2)),C106),rhiddenlinkdata,12,FALSE()),0)</f>
        <v>0</v>
      </c>
      <c r="N106" s="98" t="s">
        <v>598</v>
      </c>
      <c r="O106" s="99" t="n">
        <f aca="false">IFERROR(VLOOKUP(IFERROR(TRIM(LEFT(C106,FIND("(",C106)-2)),C106),rsdcount,2,FALSE()),0)</f>
        <v>0</v>
      </c>
      <c r="P106" s="100" t="str">
        <f aca="false">IFERROR(VLOOKUP(VLOOKUP(IFERROR(LEFT(C106,FIND("(",C106)-2),C106),rhiddenlinkdata,15,FALSE()),jobstatuslookup,2,FALSE()),IFERROR(IF(VLOOKUP(IFERROR(LEFT(C106,FIND("(",C106)-2),C106),rhiddenlinkdata,3,FALSE())=1,"Not started",""),""))</f>
        <v/>
      </c>
      <c r="Q106" s="84"/>
      <c r="R106" s="101"/>
    </row>
    <row r="107" customFormat="false" ht="20.25" hidden="false" customHeight="true" outlineLevel="0" collapsed="false">
      <c r="A107" s="112"/>
      <c r="B107" s="89"/>
      <c r="C107" s="110"/>
      <c r="D107" s="113"/>
      <c r="E107" s="114"/>
      <c r="F107" s="115"/>
      <c r="G107" s="116"/>
      <c r="H107" s="92" t="n">
        <f aca="false">IFERROR(E107-F107,0)</f>
        <v>0</v>
      </c>
      <c r="I107" s="87"/>
      <c r="J107" s="92" t="n">
        <f aca="false">IFERROR(E107-I107,0)</f>
        <v>0</v>
      </c>
      <c r="K107" s="95" t="str">
        <f aca="false">IF(J107&gt;0,"Ç",IF(J107&lt;0,"È","Æ"))</f>
        <v>Æ</v>
      </c>
      <c r="L107" s="96" t="s">
        <v>597</v>
      </c>
      <c r="M107" s="117" t="n">
        <f aca="false">IFERROR(VLOOKUP(C107,rhiddenlinkdata,12,FALSE()),0)</f>
        <v>0</v>
      </c>
      <c r="N107" s="98" t="s">
        <v>598</v>
      </c>
      <c r="O107" s="99" t="n">
        <v>0</v>
      </c>
      <c r="P107" s="100"/>
      <c r="Q107" s="84"/>
    </row>
    <row r="108" customFormat="false" ht="14.25" hidden="false" customHeight="true" outlineLevel="0" collapsed="false">
      <c r="A108" s="69"/>
      <c r="B108" s="69" t="s">
        <v>619</v>
      </c>
      <c r="C108" s="69"/>
      <c r="D108" s="69"/>
      <c r="E108" s="92" t="n">
        <f aca="false">SUM(E80:E107)</f>
        <v>0</v>
      </c>
      <c r="F108" s="69"/>
      <c r="G108" s="69"/>
      <c r="H108" s="69"/>
      <c r="I108" s="69"/>
      <c r="J108" s="69"/>
      <c r="K108" s="69"/>
      <c r="L108" s="69"/>
      <c r="M108" s="69"/>
      <c r="N108" s="69"/>
      <c r="O108" s="99"/>
      <c r="P108" s="69"/>
      <c r="Q108" s="77"/>
    </row>
    <row r="109" customFormat="false" ht="12.75" hidden="false" customHeight="false" outlineLevel="0" collapsed="false">
      <c r="E109" s="104"/>
      <c r="Q109" s="77"/>
    </row>
    <row r="110" customFormat="false" ht="12.75" hidden="false" customHeight="false" outlineLevel="0" collapsed="false">
      <c r="A110" s="69"/>
      <c r="B110" s="69"/>
      <c r="C110" s="69"/>
      <c r="D110" s="69"/>
      <c r="E110" s="70"/>
      <c r="F110" s="69"/>
      <c r="G110" s="69"/>
      <c r="H110" s="69"/>
      <c r="I110" s="69"/>
      <c r="J110" s="69"/>
      <c r="K110" s="69"/>
      <c r="L110" s="69"/>
      <c r="M110" s="69"/>
      <c r="N110" s="69"/>
      <c r="O110" s="69"/>
      <c r="P110" s="69"/>
      <c r="Q110" s="69"/>
    </row>
    <row r="111" customFormat="false" ht="15" hidden="false" customHeight="true" outlineLevel="0" collapsed="false">
      <c r="A111" s="65" t="s">
        <v>620</v>
      </c>
      <c r="B111" s="65"/>
      <c r="C111" s="65"/>
      <c r="D111" s="65"/>
      <c r="E111" s="66"/>
      <c r="F111" s="65"/>
      <c r="G111" s="65"/>
      <c r="H111" s="65"/>
      <c r="I111" s="65"/>
      <c r="J111" s="65"/>
      <c r="K111" s="65"/>
      <c r="L111" s="65"/>
      <c r="M111" s="65"/>
      <c r="N111" s="65"/>
      <c r="O111" s="68"/>
      <c r="P111" s="68"/>
      <c r="Q111" s="68"/>
    </row>
    <row r="112" customFormat="false" ht="12.75" hidden="false" customHeight="false" outlineLevel="0" collapsed="false">
      <c r="A112" s="69"/>
      <c r="B112" s="69"/>
      <c r="C112" s="69"/>
      <c r="D112" s="69"/>
      <c r="E112" s="70"/>
      <c r="F112" s="69"/>
      <c r="G112" s="69"/>
      <c r="H112" s="69"/>
      <c r="I112" s="69"/>
      <c r="J112" s="69"/>
      <c r="K112" s="69"/>
      <c r="L112" s="69"/>
      <c r="M112" s="69"/>
      <c r="N112" s="69"/>
      <c r="O112" s="69"/>
      <c r="P112" s="69"/>
      <c r="Q112" s="71"/>
    </row>
    <row r="113" customFormat="false" ht="18" hidden="false" customHeight="true" outlineLevel="0" collapsed="false">
      <c r="E113" s="73" t="s">
        <v>584</v>
      </c>
      <c r="F113" s="73"/>
      <c r="G113" s="73"/>
      <c r="H113" s="73"/>
      <c r="I113" s="73" t="s">
        <v>585</v>
      </c>
      <c r="J113" s="73"/>
      <c r="K113" s="73"/>
      <c r="L113" s="74"/>
      <c r="M113" s="75"/>
      <c r="N113" s="76"/>
      <c r="O113" s="75"/>
      <c r="Q113" s="77"/>
    </row>
    <row r="114" customFormat="false" ht="15" hidden="false" customHeight="true" outlineLevel="0" collapsed="false">
      <c r="A114" s="78" t="s">
        <v>586</v>
      </c>
      <c r="B114" s="78" t="s">
        <v>12</v>
      </c>
      <c r="C114" s="78" t="s">
        <v>587</v>
      </c>
      <c r="D114" s="78"/>
      <c r="E114" s="79" t="s">
        <v>588</v>
      </c>
      <c r="F114" s="78" t="s">
        <v>589</v>
      </c>
      <c r="G114" s="78" t="s">
        <v>590</v>
      </c>
      <c r="H114" s="78" t="s">
        <v>591</v>
      </c>
      <c r="I114" s="81" t="s">
        <v>592</v>
      </c>
      <c r="J114" s="78" t="s">
        <v>591</v>
      </c>
      <c r="K114" s="78"/>
      <c r="L114" s="82" t="s">
        <v>593</v>
      </c>
      <c r="M114" s="82"/>
      <c r="N114" s="83" t="s">
        <v>594</v>
      </c>
      <c r="O114" s="83"/>
      <c r="P114" s="78" t="s">
        <v>595</v>
      </c>
      <c r="Q114" s="84"/>
    </row>
    <row r="115" customFormat="false" ht="12.75" hidden="false" customHeight="false" outlineLevel="0" collapsed="false">
      <c r="A115" s="85"/>
      <c r="B115" s="85"/>
      <c r="C115" s="85"/>
      <c r="D115" s="85"/>
      <c r="E115" s="86"/>
      <c r="F115" s="85"/>
      <c r="G115" s="85"/>
      <c r="H115" s="85"/>
      <c r="I115" s="85"/>
      <c r="J115" s="85"/>
      <c r="K115" s="85"/>
      <c r="L115" s="85"/>
      <c r="M115" s="85"/>
      <c r="N115" s="85"/>
      <c r="O115" s="85"/>
      <c r="P115" s="85"/>
      <c r="Q115" s="77"/>
    </row>
    <row r="116" customFormat="false" ht="14.25" hidden="false" customHeight="true" outlineLevel="0" collapsed="false">
      <c r="A116" s="103" t="s">
        <v>621</v>
      </c>
      <c r="B116" s="89" t="str">
        <f aca="false">IF(A116 = "", "", CAC!C4)</f>
        <v>Enter Shareholder Name</v>
      </c>
      <c r="C116" s="110" t="s">
        <v>622</v>
      </c>
      <c r="D116" s="105"/>
      <c r="E116" s="92" t="n">
        <f aca="true" t="array" ref="E116:E116">SUMPRODUCT(IFERROR(VLOOKUP(ROW(INDIRECT(LEFT(A116,FIND("-",A116)-1)&amp;":"&amp;RIGHT(A116,LEN(A116)-FIND("-",A116)))),'Trial Balance '!$A$5:$H$448,5,FALSE()),0)) - SUMPRODUCT(IFERROR(VLOOKUP(ROW(INDIRECT(LEFT(A116,FIND("-",A116)-1)&amp;":"&amp;RIGHT(A116,LEN(A116)-FIND("-",A116)))),'Trial Balance '!$A$5:$H$448,6,FALSE()),0)) + IFERROR(VLOOKUP(A116,'Trial Balance '!$A$5:$H$448, 5, 0), 0) - IFERROR(VLOOKUP(A116,'Trial Balance '!$A$5:$H$448, 6, 0), 0)</f>
        <v>251302.010000001</v>
      </c>
      <c r="F116" s="92" t="n">
        <f aca="false">CAC!H33</f>
        <v>251302.01</v>
      </c>
      <c r="G116" s="94" t="str">
        <f aca="false">IF(A116 = "", "", IF(E116 = F116, "✔", "✘"))</f>
        <v>✔</v>
      </c>
      <c r="H116" s="92" t="n">
        <f aca="false">IFERROR(E116-F116,0)</f>
        <v>0</v>
      </c>
      <c r="I116" s="92" t="n">
        <f aca="true" t="array" ref="I116:I116">SUMPRODUCT(IFERROR(VLOOKUP(ROW(INDIRECT(LEFT(A116,FIND("-",A116)-1)&amp;":"&amp;RIGHT(A116,LEN(A116)-FIND("-",A116)))),'Trial Balance '!$A$5:$H$448,7,FALSE()),0)) + IFERROR(VLOOKUP(A116,'Trial Balance '!$A$5:$H$448, 7, 0), 0)</f>
        <v>-510985.97</v>
      </c>
      <c r="J116" s="92" t="n">
        <f aca="false">IFERROR(E116-I116,0)</f>
        <v>762287.980000001</v>
      </c>
      <c r="K116" s="95" t="str">
        <f aca="false">IF(J116&lt;0,"Ç",IF(J116&gt;0,"È","Æ"))</f>
        <v>È</v>
      </c>
      <c r="L116" s="96" t="s">
        <v>597</v>
      </c>
      <c r="M116" s="97" t="n">
        <f aca="false">IFERROR(VLOOKUP(IFERROR(TRIM(LEFT(C116,FIND("(",C116)-2)),C116),rhiddenlinkdata,12,FALSE()),0)</f>
        <v>0</v>
      </c>
      <c r="N116" s="98" t="s">
        <v>598</v>
      </c>
      <c r="O116" s="99" t="n">
        <v>0</v>
      </c>
      <c r="P116" s="100"/>
      <c r="Q116" s="84"/>
      <c r="R116" s="101"/>
    </row>
    <row r="117" customFormat="false" ht="14.25" hidden="false" customHeight="true" outlineLevel="0" collapsed="false">
      <c r="A117" s="103"/>
      <c r="B117" s="89" t="str">
        <f aca="false">IF(A117="","",CAC!C38)</f>
        <v/>
      </c>
      <c r="C117" s="110" t="s">
        <v>622</v>
      </c>
      <c r="D117" s="105"/>
      <c r="E117" s="92" t="n">
        <f aca="true" t="array" ref="E117:E117">SUMPRODUCT(IFERROR(VLOOKUP(ROW(INDIRECT(LEFT(A117,FIND("-",A117)-1)&amp;":"&amp;RIGHT(A117,LEN(A117)-FIND("-",A117)))),'Trial Balance '!$A$5:$H$448,5,FALSE()),0)) - SUMPRODUCT(IFERROR(VLOOKUP(ROW(INDIRECT(LEFT(A117,FIND("-",A117)-1)&amp;":"&amp;RIGHT(A117,LEN(A117)-FIND("-",A117)))),'Trial Balance '!$A$5:$H$448,6,FALSE()),0)) + IFERROR(VLOOKUP(A117,'Trial Balance '!$A$5:$H$448, 5, 0), 0) - IFERROR(VLOOKUP(A117,'Trial Balance '!$A$5:$H$448, 6, 0), 0)</f>
        <v>0</v>
      </c>
      <c r="F117" s="92" t="n">
        <f aca="false">CAC!H67</f>
        <v>0</v>
      </c>
      <c r="G117" s="94" t="str">
        <f aca="false">IF(A117 = "", "", IF(E117 = F117, "✔", "✘"))</f>
        <v/>
      </c>
      <c r="H117" s="92" t="n">
        <f aca="false">IFERROR(E117-F117,0)</f>
        <v>0</v>
      </c>
      <c r="I117" s="92" t="n">
        <f aca="true" t="array" ref="I117:I117">SUMPRODUCT(IFERROR(VLOOKUP(ROW(INDIRECT(LEFT(A117,FIND("-",A117)-1)&amp;":"&amp;RIGHT(A117,LEN(A117)-FIND("-",A117)))),'Trial Balance '!$A$5:$H$448,7,FALSE()),0)) + IFERROR(VLOOKUP(A117,'Trial Balance '!$A$5:$H$448, 7, 0), 0)</f>
        <v>0</v>
      </c>
      <c r="J117" s="92" t="n">
        <f aca="false">IFERROR(E117-I117,0)</f>
        <v>0</v>
      </c>
      <c r="K117" s="95" t="str">
        <f aca="false">IF(J117&lt;0,"Ç",IF(J117&gt;0,"È","Æ"))</f>
        <v>Æ</v>
      </c>
      <c r="L117" s="96" t="s">
        <v>597</v>
      </c>
      <c r="M117" s="97" t="n">
        <f aca="false">IFERROR(VLOOKUP(IFERROR(TRIM(LEFT(C117,FIND("(",C117)-2)),C117),rhiddenlinkdata,12,FALSE()),0)</f>
        <v>0</v>
      </c>
      <c r="N117" s="98" t="s">
        <v>598</v>
      </c>
      <c r="O117" s="99" t="n">
        <v>0</v>
      </c>
      <c r="P117" s="100"/>
      <c r="Q117" s="84"/>
      <c r="R117" s="101"/>
    </row>
    <row r="118" customFormat="false" ht="14.25" hidden="false" customHeight="true" outlineLevel="0" collapsed="false">
      <c r="A118" s="103" t="n">
        <v>785</v>
      </c>
      <c r="B118" s="118" t="str">
        <f aca="false">IF(A118="","",RLP!B4)</f>
        <v>Bravo Trust</v>
      </c>
      <c r="C118" s="110" t="s">
        <v>623</v>
      </c>
      <c r="D118" s="105"/>
      <c r="E118" s="92" t="n">
        <f aca="true" t="array" ref="E118:E118">SUMPRODUCT(IFERROR(VLOOKUP(ROW(INDIRECT(LEFT(A118,FIND("-",A118)-1)&amp;":"&amp;RIGHT(A118,LEN(A118)-FIND("-",A118)))),'Trial Balance '!$A$5:$H$448,5,FALSE()),0)) - SUMPRODUCT(IFERROR(VLOOKUP(ROW(INDIRECT(LEFT(A118,FIND("-",A118)-1)&amp;":"&amp;RIGHT(A118,LEN(A118)-FIND("-",A118)))),'Trial Balance '!$A$5:$H$448,6,FALSE()),0)) + IFERROR(VLOOKUP(A118,'Trial Balance '!$A$5:$H$448, 5, 0), 0) - IFERROR(VLOOKUP(A118,'Trial Balance '!$A$5:$H$448, 6, 0), 0)</f>
        <v>1352104.44</v>
      </c>
      <c r="F118" s="92" t="n">
        <f aca="false">RLP!E36</f>
        <v>1352104.44</v>
      </c>
      <c r="G118" s="94" t="str">
        <f aca="false">IF(A118 = "", "", IF(E118 = F118, "✔", "✘"))</f>
        <v>✔</v>
      </c>
      <c r="H118" s="92" t="n">
        <f aca="false">IFERROR(E118-F118,0)</f>
        <v>0</v>
      </c>
      <c r="I118" s="92" t="n">
        <f aca="true" t="array" ref="I118:I118">SUMPRODUCT(IFERROR(VLOOKUP(ROW(INDIRECT(LEFT(A118,FIND("-",A118)-1)&amp;":"&amp;RIGHT(A118,LEN(A118)-FIND("-",A118)))),'Trial Balance '!$A$5:$H$448,7,FALSE()),0)) + IFERROR(VLOOKUP(A118,'Trial Balance '!$A$5:$H$448, 7, 0), 0)</f>
        <v>815235.67</v>
      </c>
      <c r="J118" s="92"/>
      <c r="K118" s="95" t="str">
        <f aca="false">IF(J118&lt;0,"Ç",IF(J118&gt;0,"È","Æ"))</f>
        <v>Æ</v>
      </c>
      <c r="L118" s="96"/>
      <c r="M118" s="97"/>
      <c r="N118" s="98"/>
      <c r="O118" s="99"/>
      <c r="P118" s="100"/>
      <c r="Q118" s="84"/>
      <c r="R118" s="101"/>
    </row>
    <row r="119" customFormat="false" ht="20.25" hidden="false" customHeight="true" outlineLevel="0" collapsed="false">
      <c r="A119" s="112"/>
      <c r="B119" s="89"/>
      <c r="C119" s="110"/>
      <c r="D119" s="113"/>
      <c r="E119" s="114"/>
      <c r="F119" s="115"/>
      <c r="G119" s="116"/>
      <c r="H119" s="92" t="n">
        <f aca="false">IFERROR(E119-F119,0)</f>
        <v>0</v>
      </c>
      <c r="I119" s="87"/>
      <c r="J119" s="92" t="n">
        <f aca="false">IFERROR(E119-I119,0)</f>
        <v>0</v>
      </c>
      <c r="K119" s="95" t="str">
        <f aca="false">IF(J119&gt;0,"Ç",IF(J119&lt;0,"È","Æ"))</f>
        <v>Æ</v>
      </c>
      <c r="L119" s="96" t="s">
        <v>597</v>
      </c>
      <c r="M119" s="117" t="n">
        <f aca="false">IFERROR(VLOOKUP(C119,rhiddenlinkdata,12,FALSE()),0)</f>
        <v>0</v>
      </c>
      <c r="N119" s="98" t="s">
        <v>598</v>
      </c>
      <c r="O119" s="99" t="n">
        <v>0</v>
      </c>
      <c r="P119" s="100"/>
      <c r="Q119" s="84"/>
    </row>
    <row r="120" customFormat="false" ht="14.25" hidden="false" customHeight="true" outlineLevel="0" collapsed="false">
      <c r="A120" s="69"/>
      <c r="B120" s="119" t="s">
        <v>624</v>
      </c>
      <c r="C120" s="69"/>
      <c r="D120" s="69"/>
      <c r="E120" s="92" t="n">
        <f aca="false">SUM(E116:E119)</f>
        <v>1603406.45</v>
      </c>
      <c r="F120" s="69"/>
      <c r="G120" s="69"/>
      <c r="H120" s="69"/>
      <c r="I120" s="69"/>
      <c r="J120" s="69"/>
      <c r="K120" s="69"/>
      <c r="L120" s="69"/>
      <c r="M120" s="69"/>
      <c r="N120" s="69"/>
      <c r="O120" s="99"/>
      <c r="P120" s="69"/>
      <c r="Q120" s="77"/>
    </row>
    <row r="121" customFormat="false" ht="12.75" hidden="false" customHeight="false" outlineLevel="0" collapsed="false">
      <c r="E121" s="104"/>
      <c r="Q121" s="77"/>
    </row>
    <row r="122" customFormat="false" ht="12.75" hidden="false" customHeight="false" outlineLevel="0" collapsed="false">
      <c r="A122" s="69"/>
      <c r="B122" s="69"/>
      <c r="C122" s="69"/>
      <c r="D122" s="69"/>
      <c r="E122" s="70"/>
      <c r="F122" s="69"/>
      <c r="G122" s="69"/>
      <c r="H122" s="69"/>
      <c r="I122" s="69"/>
      <c r="J122" s="69"/>
      <c r="K122" s="69"/>
      <c r="L122" s="69"/>
      <c r="M122" s="69"/>
      <c r="N122" s="69"/>
      <c r="O122" s="69"/>
      <c r="P122" s="69"/>
      <c r="Q122" s="69"/>
    </row>
    <row r="124" customFormat="false" ht="15" hidden="false" customHeight="true" outlineLevel="0" collapsed="false">
      <c r="A124" s="65" t="s">
        <v>625</v>
      </c>
      <c r="B124" s="65"/>
      <c r="C124" s="65"/>
      <c r="D124" s="65"/>
      <c r="E124" s="66"/>
      <c r="F124" s="65"/>
      <c r="G124" s="65"/>
      <c r="H124" s="65"/>
      <c r="I124" s="65"/>
      <c r="J124" s="65"/>
      <c r="K124" s="65"/>
      <c r="L124" s="65"/>
      <c r="M124" s="65"/>
      <c r="N124" s="65"/>
      <c r="O124" s="68"/>
      <c r="P124" s="68"/>
      <c r="Q124" s="68"/>
    </row>
    <row r="125" customFormat="false" ht="12.75" hidden="false" customHeight="false" outlineLevel="0" collapsed="false">
      <c r="A125" s="69"/>
      <c r="B125" s="69"/>
      <c r="C125" s="69"/>
      <c r="D125" s="69"/>
      <c r="E125" s="70"/>
      <c r="F125" s="69"/>
      <c r="G125" s="69"/>
      <c r="H125" s="69"/>
      <c r="I125" s="69"/>
      <c r="J125" s="69"/>
      <c r="K125" s="69"/>
      <c r="L125" s="69"/>
      <c r="M125" s="69"/>
      <c r="N125" s="69"/>
      <c r="O125" s="69"/>
      <c r="P125" s="69"/>
      <c r="Q125" s="71"/>
    </row>
    <row r="126" customFormat="false" ht="18" hidden="false" customHeight="true" outlineLevel="0" collapsed="false">
      <c r="E126" s="73" t="s">
        <v>584</v>
      </c>
      <c r="F126" s="73"/>
      <c r="G126" s="73"/>
      <c r="H126" s="73"/>
      <c r="I126" s="73" t="s">
        <v>585</v>
      </c>
      <c r="J126" s="73"/>
      <c r="K126" s="73"/>
      <c r="L126" s="74"/>
      <c r="M126" s="75"/>
      <c r="N126" s="76"/>
      <c r="O126" s="75"/>
      <c r="Q126" s="77"/>
    </row>
    <row r="127" customFormat="false" ht="15" hidden="false" customHeight="true" outlineLevel="0" collapsed="false">
      <c r="A127" s="78" t="s">
        <v>586</v>
      </c>
      <c r="B127" s="78" t="s">
        <v>12</v>
      </c>
      <c r="C127" s="78" t="s">
        <v>587</v>
      </c>
      <c r="D127" s="78"/>
      <c r="E127" s="79" t="s">
        <v>588</v>
      </c>
      <c r="F127" s="78" t="s">
        <v>589</v>
      </c>
      <c r="G127" s="78" t="s">
        <v>590</v>
      </c>
      <c r="H127" s="78" t="s">
        <v>591</v>
      </c>
      <c r="I127" s="81" t="s">
        <v>592</v>
      </c>
      <c r="J127" s="78" t="s">
        <v>591</v>
      </c>
      <c r="K127" s="78"/>
      <c r="L127" s="82" t="s">
        <v>593</v>
      </c>
      <c r="M127" s="82"/>
      <c r="N127" s="83" t="s">
        <v>594</v>
      </c>
      <c r="O127" s="83"/>
      <c r="P127" s="78" t="s">
        <v>595</v>
      </c>
      <c r="Q127" s="84"/>
    </row>
    <row r="128" customFormat="false" ht="12.75" hidden="false" customHeight="false" outlineLevel="0" collapsed="false">
      <c r="A128" s="85"/>
      <c r="B128" s="85"/>
      <c r="C128" s="85"/>
      <c r="D128" s="85"/>
      <c r="E128" s="86"/>
      <c r="F128" s="85"/>
      <c r="G128" s="85"/>
      <c r="H128" s="85"/>
      <c r="I128" s="85"/>
      <c r="J128" s="85"/>
      <c r="K128" s="85"/>
      <c r="L128" s="85"/>
      <c r="M128" s="85"/>
      <c r="N128" s="85"/>
      <c r="O128" s="85"/>
      <c r="P128" s="85"/>
      <c r="Q128" s="77"/>
    </row>
    <row r="129" customFormat="false" ht="14.25" hidden="false" customHeight="true" outlineLevel="0" collapsed="false">
      <c r="A129" s="103"/>
      <c r="B129" s="89" t="str">
        <f aca="false">IF(A129 = "", "","Profit")</f>
        <v/>
      </c>
      <c r="C129" s="110" t="s">
        <v>558</v>
      </c>
      <c r="D129" s="105"/>
      <c r="E129" s="92" t="n">
        <f aca="true" t="array" ref="E129:E129">SUMPRODUCT(IFERROR(VLOOKUP(ROW(INDIRECT(LEFT(A129,FIND("-",A129)-1)&amp;":"&amp;RIGHT(A129,LEN(A129)-FIND("-",A129)))),'Trial Balance '!A5:H448,5,FALSE()),0)) - SUMPRODUCT(IFERROR(VLOOKUP(ROW(INDIRECT(LEFT(A129,FIND("-",A129)-1)&amp;":"&amp;RIGHT(A129,LEN(A129)-FIND("-",A129)))),'Trial Balance '!A5:H448,6,FALSE()),0)) + IFERROR(VLOOKUP(A129,'Trial Balance '!$A$5:$H$448, 5, 0), 0) - IFERROR(VLOOKUP(A129,'Trial Balance '!$A$5:$H$448, 6, 0), 0)</f>
        <v>0</v>
      </c>
      <c r="F129" s="92"/>
      <c r="G129" s="94"/>
      <c r="H129" s="92" t="n">
        <f aca="false">IFERROR(E129-F129,0)</f>
        <v>0</v>
      </c>
      <c r="I129" s="92" t="n">
        <f aca="true" t="array" ref="I129:I129">SUMPRODUCT(IFERROR(VLOOKUP(ROW(INDIRECT(LEFT(A129,FIND("-",A129)-1)&amp;":"&amp;RIGHT(A129,LEN(A129)-FIND("-",A129)))),'Trial Balance '!$A$5:$H$448,7,FALSE()),0)) + IFERROR(VLOOKUP(A129,'Trial Balance '!$A$5:$H$448, 7, 0), 0)</f>
        <v>0</v>
      </c>
      <c r="J129" s="92" t="n">
        <f aca="false">IFERROR(E129-I129,0)</f>
        <v>0</v>
      </c>
      <c r="K129" s="95" t="str">
        <f aca="false">IF(J129&lt;0,"Ç",IF(J129&gt;0,"È","Æ"))</f>
        <v>Æ</v>
      </c>
      <c r="L129" s="96" t="s">
        <v>597</v>
      </c>
      <c r="M129" s="97" t="n">
        <f aca="false">IFERROR(VLOOKUP(IFERROR(TRIM(LEFT(C129,FIND("(",C129)-2)),C129),rhiddenlinkdata,12,FALSE()),0)</f>
        <v>0</v>
      </c>
      <c r="N129" s="98" t="s">
        <v>598</v>
      </c>
      <c r="O129" s="99" t="n">
        <v>0</v>
      </c>
      <c r="P129" s="100"/>
      <c r="Q129" s="84"/>
      <c r="R129" s="101"/>
    </row>
    <row r="130" customFormat="false" ht="14.25" hidden="false" customHeight="true" outlineLevel="0" collapsed="false">
      <c r="A130" s="103"/>
      <c r="B130" s="89" t="str">
        <f aca="false">IF(A130 = "", "","Retained Earnings")</f>
        <v/>
      </c>
      <c r="C130" s="110" t="s">
        <v>558</v>
      </c>
      <c r="D130" s="105"/>
      <c r="E130" s="92" t="n">
        <f aca="true" t="array" ref="E130:E130">SUMPRODUCT(IFERROR(VLOOKUP(ROW(INDIRECT(LEFT(A130,FIND("-",A130)-1)&amp;":"&amp;RIGHT(A130,LEN(A130)-FIND("-",A130)))),'Trial Balance '!A5:H449,5,FALSE()),0)) - SUMPRODUCT(IFERROR(VLOOKUP(ROW(INDIRECT(LEFT(A130,FIND("-",A130)-1)&amp;":"&amp;RIGHT(A130,LEN(A130)-FIND("-",A130)))),'Trial Balance '!A5:H449,6,FALSE()),0)) + IFERROR(VLOOKUP(A130,'Trial Balance '!$A$5:$H$448, 5, 0), 0) - IFERROR(VLOOKUP(A130,'Trial Balance '!$A$5:$H$448, 6, 0), 0)</f>
        <v>0</v>
      </c>
      <c r="F130" s="92"/>
      <c r="G130" s="94"/>
      <c r="H130" s="92" t="n">
        <f aca="false">IFERROR(E130-F130,0)</f>
        <v>0</v>
      </c>
      <c r="I130" s="92" t="n">
        <f aca="true" t="array" ref="I130:I130">SUMPRODUCT(IFERROR(VLOOKUP(ROW(INDIRECT(LEFT(A130,FIND("-",A130)-1)&amp;":"&amp;RIGHT(A130,LEN(A130)-FIND("-",A130)))),'Trial Balance '!$A$5:$H$448,7,FALSE()),0)) + IFERROR(VLOOKUP(A130,'Trial Balance '!$A$5:$H$448, 7, 0), 0)</f>
        <v>0</v>
      </c>
      <c r="J130" s="92" t="n">
        <f aca="false">IFERROR(E130-I130,0)</f>
        <v>0</v>
      </c>
      <c r="K130" s="95" t="str">
        <f aca="false">IF(J130&lt;0,"Ç",IF(J130&gt;0,"È","Æ"))</f>
        <v>Æ</v>
      </c>
      <c r="L130" s="96" t="s">
        <v>597</v>
      </c>
      <c r="M130" s="97" t="n">
        <f aca="false">IFERROR(VLOOKUP(IFERROR(TRIM(LEFT(C130,FIND("(",C130)-2)),C130),rhiddenlinkdata,12,FALSE()),0)</f>
        <v>0</v>
      </c>
      <c r="N130" s="98" t="s">
        <v>598</v>
      </c>
      <c r="O130" s="99" t="n">
        <v>0</v>
      </c>
      <c r="P130" s="100"/>
      <c r="Q130" s="84"/>
      <c r="R130" s="101"/>
    </row>
    <row r="131" customFormat="false" ht="14.25" hidden="false" customHeight="true" outlineLevel="0" collapsed="false">
      <c r="A131" s="69"/>
      <c r="B131" s="119" t="s">
        <v>626</v>
      </c>
      <c r="C131" s="69"/>
      <c r="D131" s="69"/>
      <c r="E131" s="92" t="n">
        <f aca="false">SUM(E129:E130)</f>
        <v>0</v>
      </c>
      <c r="F131" s="92" t="n">
        <f aca="false">-IRE!J25</f>
        <v>0</v>
      </c>
      <c r="G131" s="94" t="str">
        <f aca="false">IF(A130="","",IF(E131=F131,"✔","✘"))</f>
        <v/>
      </c>
      <c r="H131" s="69"/>
      <c r="I131" s="69"/>
      <c r="J131" s="69"/>
      <c r="K131" s="69"/>
      <c r="L131" s="69"/>
      <c r="M131" s="69"/>
      <c r="N131" s="69"/>
      <c r="O131" s="99"/>
      <c r="P131" s="69"/>
      <c r="Q131" s="77"/>
    </row>
    <row r="132" customFormat="false" ht="12.75" hidden="false" customHeight="false" outlineLevel="0" collapsed="false">
      <c r="E132" s="104"/>
      <c r="Q132" s="77"/>
    </row>
    <row r="134" customFormat="false" ht="12.75" hidden="false" customHeight="false" outlineLevel="0" collapsed="false">
      <c r="E134" s="53" t="n">
        <f aca="false" t="array" ref="E134:E134">SUMPRODUCT(IFERROR(INDEX('Trial Balance '!F:F, MATCH(TRIM(_xlfn.textsplit(A129, ",")), 'Trial Balance '!A:A, 0)) - INDEX('Trial Balance '!G:G, MATCH(TRIM(_xlfn.textsplit(A129, ",")), 'Trial Balance '!A:A, 0)), 0))</f>
        <v>0</v>
      </c>
    </row>
  </sheetData>
  <autoFilter ref="A10:Q131">
    <filterColumn colId="0" hiddenButton="1"/>
    <filterColumn colId="1" hiddenButton="1"/>
    <filterColumn colId="2" hiddenButton="1"/>
    <filterColumn colId="3" hiddenButton="1"/>
  </autoFilter>
  <mergeCells count="53">
    <mergeCell ref="A2:K2"/>
    <mergeCell ref="K6:L6"/>
    <mergeCell ref="O6:Q6"/>
    <mergeCell ref="O7:Q7"/>
    <mergeCell ref="A9:B9"/>
    <mergeCell ref="E9:H9"/>
    <mergeCell ref="I9:K9"/>
    <mergeCell ref="C10:D10"/>
    <mergeCell ref="J10:K10"/>
    <mergeCell ref="L10:M10"/>
    <mergeCell ref="N10:O10"/>
    <mergeCell ref="O28:Q28"/>
    <mergeCell ref="E30:H30"/>
    <mergeCell ref="I30:K30"/>
    <mergeCell ref="C31:D31"/>
    <mergeCell ref="J31:K31"/>
    <mergeCell ref="L31:M31"/>
    <mergeCell ref="N31:O31"/>
    <mergeCell ref="O42:Q42"/>
    <mergeCell ref="E44:H44"/>
    <mergeCell ref="I44:K44"/>
    <mergeCell ref="C45:D45"/>
    <mergeCell ref="J45:K45"/>
    <mergeCell ref="L45:M45"/>
    <mergeCell ref="N45:O45"/>
    <mergeCell ref="O64:Q64"/>
    <mergeCell ref="E66:H66"/>
    <mergeCell ref="I66:K66"/>
    <mergeCell ref="C67:D67"/>
    <mergeCell ref="J67:K67"/>
    <mergeCell ref="L67:M67"/>
    <mergeCell ref="N67:O67"/>
    <mergeCell ref="O75:Q75"/>
    <mergeCell ref="E77:H77"/>
    <mergeCell ref="I77:K77"/>
    <mergeCell ref="C78:D78"/>
    <mergeCell ref="J78:K78"/>
    <mergeCell ref="L78:M78"/>
    <mergeCell ref="N78:O78"/>
    <mergeCell ref="O111:Q111"/>
    <mergeCell ref="E113:H113"/>
    <mergeCell ref="I113:K113"/>
    <mergeCell ref="C114:D114"/>
    <mergeCell ref="J114:K114"/>
    <mergeCell ref="L114:M114"/>
    <mergeCell ref="N114:O114"/>
    <mergeCell ref="O124:Q124"/>
    <mergeCell ref="E126:H126"/>
    <mergeCell ref="I126:K126"/>
    <mergeCell ref="C127:D127"/>
    <mergeCell ref="J127:K127"/>
    <mergeCell ref="L127:M127"/>
    <mergeCell ref="N127:O127"/>
  </mergeCells>
  <conditionalFormatting sqref="C24">
    <cfRule type="expression" priority="2" aboveAverage="0" equalAverage="0" bottom="0" percent="0" rank="0" text="" dxfId="10">
      <formula>VLOOKUP("G2",rhiddenlinkdata,3,0)=1</formula>
    </cfRule>
  </conditionalFormatting>
  <conditionalFormatting sqref="G33:G38">
    <cfRule type="expression" priority="3" aboveAverage="0" equalAverage="0" bottom="0" percent="0" rank="0" text="" dxfId="11">
      <formula>E33 &lt;&gt; F33</formula>
    </cfRule>
    <cfRule type="expression" priority="4" aboveAverage="0" equalAverage="0" bottom="0" percent="0" rank="0" text="" dxfId="12">
      <formula>E33=F33</formula>
    </cfRule>
  </conditionalFormatting>
  <conditionalFormatting sqref="C47:C59">
    <cfRule type="expression" priority="5" aboveAverage="0" equalAverage="0" bottom="0" percent="0" rank="0" text="" dxfId="13">
      <formula>VLOOKUP("G2",rhiddenlinkdata,3,0)=1</formula>
    </cfRule>
  </conditionalFormatting>
  <conditionalFormatting sqref="H12">
    <cfRule type="expression" priority="6" aboveAverage="0" equalAverage="0" bottom="0" percent="0" rank="0" text="" dxfId="14">
      <formula>"E16&lt;&gt;F16"</formula>
    </cfRule>
  </conditionalFormatting>
  <conditionalFormatting sqref="G12:G24 G47:G59 G69:G70 G80:G106 G116:G118 G129:G131">
    <cfRule type="expression" priority="7" aboveAverage="0" equalAverage="0" bottom="0" percent="0" rank="0" text="" dxfId="15">
      <formula>E12 &lt;&gt; F12</formula>
    </cfRule>
    <cfRule type="expression" priority="8" aboveAverage="0" equalAverage="0" bottom="0" percent="0" rank="0" text="" dxfId="16">
      <formula>E12=F12</formula>
    </cfRule>
  </conditionalFormatting>
  <conditionalFormatting sqref="P12:P24 P33:P38 P47:P60 P69:P71 P80:P107 P116:P119 P129:P130">
    <cfRule type="expression" priority="9" aboveAverage="0" equalAverage="0" bottom="0" percent="0" rank="0" text="" dxfId="17">
      <formula>$P12="Complete"</formula>
    </cfRule>
    <cfRule type="expression" priority="10" aboveAverage="0" equalAverage="0" bottom="0" percent="0" rank="0" text="" dxfId="18">
      <formula>$P12="Level 2 review"</formula>
    </cfRule>
    <cfRule type="expression" priority="11" aboveAverage="0" equalAverage="0" bottom="0" percent="0" rank="0" text="" dxfId="19">
      <formula>$P12="Level 1 review"</formula>
    </cfRule>
    <cfRule type="expression" priority="12" aboveAverage="0" equalAverage="0" bottom="0" percent="0" rank="0" text="" dxfId="20">
      <formula>$P12="Rework required"</formula>
    </cfRule>
    <cfRule type="expression" priority="13" aboveAverage="0" equalAverage="0" bottom="0" percent="0" rank="0" text="" dxfId="21">
      <formula>$P12="Needs review"</formula>
    </cfRule>
    <cfRule type="expression" priority="14" aboveAverage="0" equalAverage="0" bottom="0" percent="0" rank="0" text="" dxfId="22">
      <formula>$P12="In progress"</formula>
    </cfRule>
    <cfRule type="expression" priority="15" aboveAverage="0" equalAverage="0" bottom="0" percent="0" rank="0" text="" dxfId="23">
      <formula>$P12="Not started"</formula>
    </cfRule>
  </conditionalFormatting>
  <conditionalFormatting sqref="N12:N24 N33:N38 N47:N60 N69:N71 N80:N107 N116:N119 N129:N130">
    <cfRule type="expression" priority="16" aboveAverage="0" equalAverage="0" bottom="0" percent="0" rank="0" text="" dxfId="24">
      <formula>$O12=0</formula>
    </cfRule>
  </conditionalFormatting>
  <conditionalFormatting sqref="K12:K24 K33:K38 K47:K60 K69:K71 K80:K107 K116:K119 K129:K130">
    <cfRule type="expression" priority="17" aboveAverage="0" equalAverage="0" bottom="0" percent="0" rank="0" text="" dxfId="25">
      <formula>$K12="Æ"</formula>
    </cfRule>
    <cfRule type="expression" priority="18" aboveAverage="0" equalAverage="0" bottom="0" percent="0" rank="0" text="" dxfId="26">
      <formula>$K12="È"</formula>
    </cfRule>
    <cfRule type="expression" priority="19" aboveAverage="0" equalAverage="0" bottom="0" percent="0" rank="0" text="" dxfId="27">
      <formula>$K12="Ç"</formula>
    </cfRule>
  </conditionalFormatting>
  <conditionalFormatting sqref="L12:L24 L33:L38 L47:L60 L69:L71 L80:L107 L116:L119 L129:L130">
    <cfRule type="expression" priority="20" aboveAverage="0" equalAverage="0" bottom="0" percent="0" rank="0" text="" dxfId="28">
      <formula>$M12=0</formula>
    </cfRule>
  </conditionalFormatting>
  <conditionalFormatting sqref="G60 G71 G107 G119">
    <cfRule type="expression" priority="21" aboveAverage="0" equalAverage="0" bottom="0" percent="0" rank="0" text="" dxfId="29">
      <formula>$G60="P"</formula>
    </cfRule>
  </conditionalFormatting>
  <conditionalFormatting sqref="C12:C24 C33:C38 C53:C60 C69:C71 C80:C89 C107 C116:C119 C129:C130">
    <cfRule type="expression" priority="22" aboveAverage="0" equalAverage="0" bottom="0" percent="0" rank="0" text="" dxfId="30">
      <formula>VLOOKUP($C12,rhiddenlinkdata,3,0)=1</formula>
    </cfRule>
  </conditionalFormatting>
  <conditionalFormatting sqref="C104:C106">
    <cfRule type="expression" priority="23" aboveAverage="0" equalAverage="0" bottom="0" percent="0" rank="0" text="" dxfId="31">
      <formula>VLOOKUP("I2",rhiddenlinkdata,3,0)=1</formula>
    </cfRule>
  </conditionalFormatting>
  <conditionalFormatting sqref="C90:C103">
    <cfRule type="expression" priority="24" aboveAverage="0" equalAverage="0" bottom="0" percent="0" rank="0" text="" dxfId="32">
      <formula>VLOOKUP("I1",rhiddenlinkdata,3,0)=1</formula>
    </cfRule>
  </conditionalFormatting>
  <dataValidations count="1">
    <dataValidation allowBlank="true" errorStyle="stop" operator="between" showDropDown="false" showErrorMessage="true" showInputMessage="true" sqref="P12:P24 P33:P38 P47:P60 P69:P71 P80:P107 P116:P119 P129:P130" type="list">
      <formula1>jobstatus</formula1>
      <formula2>0</formula2>
    </dataValidation>
  </dataValidations>
  <hyperlinks>
    <hyperlink ref="L12" location="Hidden!A1" display="("/>
    <hyperlink ref="N12" location="Hidden!A1" display=""/>
    <hyperlink ref="L13" location="Hidden!A1" display="("/>
    <hyperlink ref="N13" location="Hidden!A1" display=""/>
    <hyperlink ref="L14" location="Hidden!A1" display="("/>
    <hyperlink ref="N14" location="Hidden!A1" display=""/>
    <hyperlink ref="L15" location="Hidden!A1" display="("/>
    <hyperlink ref="N15" location="Hidden!A1" display=""/>
    <hyperlink ref="L16" location="Hidden!A1" display="("/>
    <hyperlink ref="N16" location="Hidden!A1" display=""/>
    <hyperlink ref="L17" location="Hidden!A1" display="("/>
    <hyperlink ref="N17" location="Hidden!A1" display=""/>
    <hyperlink ref="L18" location="Hidden!A1" display="("/>
    <hyperlink ref="N18" location="Hidden!A1" display=""/>
    <hyperlink ref="L19" location="Hidden!A1" display="("/>
    <hyperlink ref="N19" location="Hidden!A1" display=""/>
    <hyperlink ref="L20" location="Hidden!A1" display="("/>
    <hyperlink ref="N20" location="Hidden!A1" display=""/>
    <hyperlink ref="L21" location="Hidden!A1" display="("/>
    <hyperlink ref="N21" location="Hidden!A1" display=""/>
    <hyperlink ref="L22" location="Hidden!A1" display="("/>
    <hyperlink ref="N22" location="Hidden!A1" display=""/>
    <hyperlink ref="L23" location="Hidden!A1" display="("/>
    <hyperlink ref="N23" location="Hidden!A1" display=""/>
    <hyperlink ref="L24" location="Hidden!A1" display="("/>
    <hyperlink ref="N24" location="Hidden!A1" display=""/>
    <hyperlink ref="L33" location="Hidden!A1" display="("/>
    <hyperlink ref="N33" location="Hidden!A1" display=""/>
    <hyperlink ref="L34" location="Hidden!A1" display="("/>
    <hyperlink ref="N34" location="Hidden!A1" display=""/>
    <hyperlink ref="L35" location="Hidden!A1" display="("/>
    <hyperlink ref="N35" location="Hidden!A1" display=""/>
    <hyperlink ref="L36" location="Hidden!A1" display="("/>
    <hyperlink ref="N36" location="Hidden!A1" display=""/>
    <hyperlink ref="L47" location="Hidden!A1" display="("/>
    <hyperlink ref="N47" location="Hidden!A1" display=""/>
    <hyperlink ref="L48" location="Hidden!A1" display="("/>
    <hyperlink ref="N48" location="Hidden!A1" display=""/>
    <hyperlink ref="L49" location="Hidden!A1" display="("/>
    <hyperlink ref="N49" location="Hidden!A1" display=""/>
    <hyperlink ref="L50" location="Hidden!A1" display="("/>
    <hyperlink ref="N50" location="Hidden!A1" display=""/>
    <hyperlink ref="L51" location="Hidden!A1" display="("/>
    <hyperlink ref="N51" location="Hidden!A1" display=""/>
    <hyperlink ref="L52" location="Hidden!A1" display="("/>
    <hyperlink ref="N52" location="Hidden!A1" display=""/>
    <hyperlink ref="L53" location="Hidden!A1" display="("/>
    <hyperlink ref="N53" location="Hidden!A1" display=""/>
    <hyperlink ref="L54" location="Hidden!A1" display="("/>
    <hyperlink ref="N54" location="Hidden!A1" display=""/>
    <hyperlink ref="L55" location="Hidden!A1" display="("/>
    <hyperlink ref="N55" location="Hidden!A1" display=""/>
    <hyperlink ref="L56" location="Hidden!A1" display="("/>
    <hyperlink ref="N56" location="Hidden!A1" display=""/>
    <hyperlink ref="L57" location="Hidden!A1" display="("/>
    <hyperlink ref="N57" location="Hidden!A1" display=""/>
    <hyperlink ref="L58" location="Hidden!A1" display="("/>
    <hyperlink ref="N58" location="Hidden!A1" display=""/>
    <hyperlink ref="L59" location="Hidden!A1" display="("/>
    <hyperlink ref="N59" location="Hidden!A1" display=""/>
    <hyperlink ref="L60" location="Hidden!A1" display="("/>
    <hyperlink ref="N60" location="Hidden!A1" display=""/>
    <hyperlink ref="L69" location="Hidden!A1" display="("/>
    <hyperlink ref="N69" location="Hidden!A1" display=""/>
    <hyperlink ref="L70" location="Hidden!A1" display="("/>
    <hyperlink ref="N70" location="Hidden!A1" display=""/>
    <hyperlink ref="L71" location="Hidden!A1" display="("/>
    <hyperlink ref="N71" location="Hidden!A1" display=""/>
    <hyperlink ref="L80" location="Hidden!A1" display="("/>
    <hyperlink ref="N80" location="Hidden!A1" display=""/>
    <hyperlink ref="L82" location="Hidden!A1" display="("/>
    <hyperlink ref="N82" location="Hidden!A1" display=""/>
    <hyperlink ref="L83" location="Hidden!A1" display="("/>
    <hyperlink ref="N83" location="Hidden!A1" display=""/>
    <hyperlink ref="L84" location="Hidden!A1" display="("/>
    <hyperlink ref="N84" location="Hidden!A1" display=""/>
    <hyperlink ref="L85" location="Hidden!A1" display="("/>
    <hyperlink ref="N85" location="Hidden!A1" display=""/>
    <hyperlink ref="L86" location="Hidden!A1" display="("/>
    <hyperlink ref="N86" location="Hidden!A1" display=""/>
    <hyperlink ref="L87" location="Hidden!A1" display="("/>
    <hyperlink ref="N87" location="Hidden!A1" display=""/>
    <hyperlink ref="L88" location="Hidden!A1" display="("/>
    <hyperlink ref="N88" location="Hidden!A1" display=""/>
    <hyperlink ref="L89" location="Hidden!A1" display="("/>
    <hyperlink ref="N89" location="Hidden!A1" display=""/>
    <hyperlink ref="L90" location="Hidden!A1" display="("/>
    <hyperlink ref="N90" location="Hidden!A1" display=""/>
    <hyperlink ref="L91" location="Hidden!A1" display="("/>
    <hyperlink ref="N91" location="Hidden!A1" display=""/>
    <hyperlink ref="L92" location="Hidden!A1" display="("/>
    <hyperlink ref="N92" location="Hidden!A1" display=""/>
    <hyperlink ref="L93" location="Hidden!A1" display="("/>
    <hyperlink ref="N93" location="Hidden!A1" display=""/>
    <hyperlink ref="L94" location="Hidden!A1" display="("/>
    <hyperlink ref="N94" location="Hidden!A1" display=""/>
    <hyperlink ref="L95" location="Hidden!A1" display="("/>
    <hyperlink ref="N95" location="Hidden!A1" display=""/>
    <hyperlink ref="L96" location="Hidden!A1" display="("/>
    <hyperlink ref="N96" location="Hidden!A1" display=""/>
    <hyperlink ref="L97" location="Hidden!A1" display="("/>
    <hyperlink ref="N97" location="Hidden!A1" display=""/>
    <hyperlink ref="L98" location="Hidden!A1" display="("/>
    <hyperlink ref="N98" location="Hidden!A1" display=""/>
    <hyperlink ref="L99" location="Hidden!A1" display="("/>
    <hyperlink ref="N99" location="Hidden!A1" display=""/>
    <hyperlink ref="L100" location="Hidden!A1" display="("/>
    <hyperlink ref="N100" location="Hidden!A1" display=""/>
    <hyperlink ref="L101" location="Hidden!A1" display="("/>
    <hyperlink ref="N101" location="Hidden!A1" display=""/>
    <hyperlink ref="L102" location="Hidden!A1" display="("/>
    <hyperlink ref="N102" location="Hidden!A1" display=""/>
    <hyperlink ref="L103" location="Hidden!A1" display="("/>
    <hyperlink ref="N103" location="Hidden!A1" display=""/>
    <hyperlink ref="L104" location="Hidden!A1" display="("/>
    <hyperlink ref="N104" location="Hidden!A1" display=""/>
    <hyperlink ref="L105" location="Hidden!A1" display="("/>
    <hyperlink ref="N105" location="Hidden!A1" display=""/>
    <hyperlink ref="L106" location="Hidden!A1" display="("/>
    <hyperlink ref="N106" location="Hidden!A1" display=""/>
    <hyperlink ref="L107" location="Hidden!A1" display="("/>
    <hyperlink ref="N107" location="Hidden!A1" display=""/>
    <hyperlink ref="L116" location="Hidden!A1" display="("/>
    <hyperlink ref="N116" location="Hidden!A1" display=""/>
    <hyperlink ref="L117" location="Hidden!A1" display="("/>
    <hyperlink ref="N117" location="Hidden!A1" display=""/>
    <hyperlink ref="L119" location="Hidden!A1" display="("/>
    <hyperlink ref="N119" location="Hidden!A1" display=""/>
    <hyperlink ref="L129" location="Hidden!A1" display="("/>
    <hyperlink ref="N129" location="Hidden!A1" display=""/>
    <hyperlink ref="L130" location="Hidden!A1" display="("/>
    <hyperlink ref="N130" location="Hidden!A1" display=""/>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5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9.14453125" defaultRowHeight="14.25" zeroHeight="false" outlineLevelRow="0" outlineLevelCol="0"/>
  <cols>
    <col collapsed="false" customWidth="true" hidden="false" outlineLevel="0" max="2" min="1" style="1" width="20.14"/>
    <col collapsed="false" customWidth="true" hidden="false" outlineLevel="0" max="3" min="3" style="1" width="7.86"/>
    <col collapsed="false" customWidth="true" hidden="false" outlineLevel="0" max="4" min="4" style="1" width="11"/>
    <col collapsed="false" customWidth="true" hidden="false" outlineLevel="0" max="5" min="5" style="1" width="15.86"/>
    <col collapsed="false" customWidth="true" hidden="false" outlineLevel="0" max="6" min="6" style="1" width="16.86"/>
    <col collapsed="false" customWidth="true" hidden="false" outlineLevel="0" max="7" min="7" style="1" width="13"/>
    <col collapsed="false" customWidth="true" hidden="false" outlineLevel="0" max="8" min="8" style="1" width="9.86"/>
    <col collapsed="false" customWidth="false" hidden="false" outlineLevel="0" max="16384" min="9" style="1" width="9.14"/>
  </cols>
  <sheetData>
    <row r="1" s="6" customFormat="true" ht="15" hidden="false" customHeight="true" outlineLevel="0" collapsed="false">
      <c r="A1" s="120"/>
      <c r="B1" s="120"/>
      <c r="C1" s="120"/>
    </row>
    <row r="2" s="6" customFormat="true" ht="20.25" hidden="false" customHeight="true" outlineLevel="0" collapsed="false">
      <c r="A2" s="24" t="s">
        <v>517</v>
      </c>
      <c r="B2" s="24"/>
      <c r="C2" s="24"/>
      <c r="D2" s="24"/>
      <c r="E2" s="24"/>
      <c r="F2" s="24"/>
    </row>
    <row r="4" customFormat="false" ht="15" hidden="false" customHeight="true" outlineLevel="0" collapsed="false">
      <c r="A4" s="121" t="s">
        <v>627</v>
      </c>
      <c r="B4" s="121"/>
      <c r="C4" s="121"/>
      <c r="D4" s="122"/>
      <c r="E4" s="123"/>
      <c r="F4" s="124"/>
      <c r="G4" s="125"/>
      <c r="H4" s="126" t="s">
        <v>628</v>
      </c>
    </row>
    <row r="5" customFormat="false" ht="15" hidden="false" customHeight="true" outlineLevel="0" collapsed="false">
      <c r="A5" s="127"/>
      <c r="B5" s="127"/>
      <c r="C5" s="127"/>
      <c r="D5" s="128"/>
      <c r="E5" s="129"/>
      <c r="F5" s="130"/>
      <c r="G5" s="125"/>
    </row>
    <row r="6" customFormat="false" ht="15" hidden="false" customHeight="true" outlineLevel="0" collapsed="false">
      <c r="A6" s="127" t="s">
        <v>629</v>
      </c>
      <c r="B6" s="127"/>
      <c r="C6" s="127"/>
      <c r="D6" s="128"/>
      <c r="E6" s="131"/>
      <c r="F6" s="132"/>
      <c r="G6" s="125"/>
    </row>
    <row r="7" customFormat="false" ht="15" hidden="false" customHeight="true" outlineLevel="0" collapsed="false">
      <c r="A7" s="133" t="s">
        <v>630</v>
      </c>
      <c r="B7" s="133"/>
      <c r="C7" s="133"/>
      <c r="D7" s="134"/>
      <c r="E7" s="135"/>
      <c r="F7" s="132"/>
      <c r="G7" s="125"/>
    </row>
    <row r="8" customFormat="false" ht="15" hidden="false" customHeight="true" outlineLevel="0" collapsed="false">
      <c r="A8" s="133" t="s">
        <v>631</v>
      </c>
      <c r="B8" s="133"/>
      <c r="C8" s="133"/>
      <c r="D8" s="128"/>
      <c r="E8" s="135"/>
      <c r="F8" s="132"/>
      <c r="G8" s="125"/>
    </row>
    <row r="9" customFormat="false" ht="15" hidden="false" customHeight="true" outlineLevel="0" collapsed="false">
      <c r="A9" s="133" t="s">
        <v>632</v>
      </c>
      <c r="B9" s="133"/>
      <c r="C9" s="133"/>
      <c r="D9" s="134"/>
      <c r="E9" s="135"/>
      <c r="F9" s="132"/>
      <c r="G9" s="125"/>
    </row>
    <row r="10" customFormat="false" ht="15" hidden="false" customHeight="true" outlineLevel="0" collapsed="false">
      <c r="A10" s="133"/>
      <c r="B10" s="133"/>
      <c r="C10" s="133"/>
      <c r="D10" s="128"/>
      <c r="E10" s="136"/>
      <c r="F10" s="132"/>
      <c r="G10" s="125"/>
    </row>
    <row r="11" customFormat="false" ht="15" hidden="false" customHeight="true" outlineLevel="0" collapsed="false">
      <c r="A11" s="133"/>
      <c r="B11" s="133"/>
      <c r="C11" s="133"/>
      <c r="D11" s="128"/>
      <c r="E11" s="137"/>
      <c r="F11" s="132"/>
      <c r="G11" s="125"/>
    </row>
    <row r="12" customFormat="false" ht="15" hidden="false" customHeight="true" outlineLevel="0" collapsed="false">
      <c r="A12" s="133"/>
      <c r="B12" s="133"/>
      <c r="C12" s="133"/>
      <c r="D12" s="128"/>
      <c r="E12" s="135"/>
      <c r="F12" s="132"/>
      <c r="G12" s="125"/>
    </row>
    <row r="13" customFormat="false" ht="15" hidden="false" customHeight="true" outlineLevel="0" collapsed="false">
      <c r="A13" s="127" t="s">
        <v>633</v>
      </c>
      <c r="B13" s="127"/>
      <c r="C13" s="127"/>
      <c r="D13" s="128"/>
      <c r="E13" s="138"/>
      <c r="F13" s="139" t="n">
        <f aca="false">SUM(E7:E12)</f>
        <v>0</v>
      </c>
      <c r="G13" s="125"/>
    </row>
    <row r="14" customFormat="false" ht="15" hidden="false" customHeight="true" outlineLevel="0" collapsed="false">
      <c r="A14" s="140"/>
      <c r="B14" s="140"/>
      <c r="C14" s="140"/>
      <c r="D14" s="128"/>
      <c r="E14" s="129"/>
      <c r="F14" s="141"/>
      <c r="G14" s="125"/>
    </row>
    <row r="15" customFormat="false" ht="15" hidden="false" customHeight="true" outlineLevel="0" collapsed="false">
      <c r="A15" s="127" t="s">
        <v>634</v>
      </c>
      <c r="B15" s="127"/>
      <c r="C15" s="127"/>
      <c r="D15" s="128"/>
      <c r="E15" s="131"/>
      <c r="F15" s="132"/>
      <c r="G15" s="125"/>
    </row>
    <row r="16" customFormat="false" ht="15" hidden="false" customHeight="true" outlineLevel="0" collapsed="false">
      <c r="A16" s="133" t="s">
        <v>635</v>
      </c>
      <c r="B16" s="133"/>
      <c r="C16" s="133"/>
      <c r="D16" s="134"/>
      <c r="E16" s="135"/>
      <c r="F16" s="132"/>
      <c r="G16" s="125"/>
    </row>
    <row r="17" customFormat="false" ht="15" hidden="false" customHeight="true" outlineLevel="0" collapsed="false">
      <c r="A17" s="133" t="s">
        <v>636</v>
      </c>
      <c r="B17" s="133"/>
      <c r="C17" s="133"/>
      <c r="D17" s="128"/>
      <c r="E17" s="135"/>
      <c r="F17" s="132"/>
      <c r="G17" s="125"/>
    </row>
    <row r="18" customFormat="false" ht="15" hidden="false" customHeight="true" outlineLevel="0" collapsed="false">
      <c r="A18" s="133"/>
      <c r="B18" s="133"/>
      <c r="C18" s="133"/>
      <c r="D18" s="134"/>
      <c r="E18" s="135"/>
      <c r="F18" s="132"/>
      <c r="G18" s="125"/>
    </row>
    <row r="19" customFormat="false" ht="15" hidden="false" customHeight="true" outlineLevel="0" collapsed="false">
      <c r="A19" s="133"/>
      <c r="B19" s="133"/>
      <c r="C19" s="133"/>
      <c r="D19" s="134"/>
      <c r="E19" s="135"/>
      <c r="F19" s="132"/>
      <c r="G19" s="125"/>
    </row>
    <row r="20" customFormat="false" ht="15" hidden="false" customHeight="true" outlineLevel="0" collapsed="false">
      <c r="A20" s="133"/>
      <c r="B20" s="133"/>
      <c r="C20" s="133"/>
      <c r="D20" s="134"/>
      <c r="E20" s="135"/>
      <c r="F20" s="132"/>
      <c r="G20" s="125"/>
    </row>
    <row r="21" customFormat="false" ht="15" hidden="false" customHeight="true" outlineLevel="0" collapsed="false">
      <c r="A21" s="133"/>
      <c r="B21" s="133"/>
      <c r="C21" s="133"/>
      <c r="D21" s="134"/>
      <c r="E21" s="135"/>
      <c r="F21" s="132"/>
      <c r="G21" s="125"/>
    </row>
    <row r="22" customFormat="false" ht="15" hidden="false" customHeight="true" outlineLevel="0" collapsed="false">
      <c r="A22" s="133"/>
      <c r="B22" s="133"/>
      <c r="C22" s="133"/>
      <c r="D22" s="134"/>
      <c r="E22" s="135"/>
      <c r="F22" s="132"/>
      <c r="G22" s="125"/>
    </row>
    <row r="23" customFormat="false" ht="15" hidden="false" customHeight="true" outlineLevel="0" collapsed="false">
      <c r="A23" s="133"/>
      <c r="B23" s="133"/>
      <c r="C23" s="133"/>
      <c r="D23" s="128"/>
      <c r="E23" s="136"/>
      <c r="F23" s="132"/>
      <c r="G23" s="125"/>
    </row>
    <row r="24" customFormat="false" ht="15" hidden="false" customHeight="true" outlineLevel="0" collapsed="false">
      <c r="A24" s="133"/>
      <c r="B24" s="133"/>
      <c r="C24" s="133"/>
      <c r="D24" s="128"/>
      <c r="E24" s="136"/>
      <c r="F24" s="132"/>
      <c r="G24" s="125"/>
    </row>
    <row r="25" customFormat="false" ht="15" hidden="false" customHeight="true" outlineLevel="0" collapsed="false">
      <c r="A25" s="133"/>
      <c r="B25" s="133"/>
      <c r="C25" s="133"/>
      <c r="D25" s="128"/>
      <c r="E25" s="135"/>
      <c r="F25" s="132"/>
      <c r="G25" s="125"/>
    </row>
    <row r="26" customFormat="false" ht="15" hidden="false" customHeight="true" outlineLevel="0" collapsed="false">
      <c r="A26" s="127" t="s">
        <v>637</v>
      </c>
      <c r="B26" s="127"/>
      <c r="C26" s="127"/>
      <c r="D26" s="128"/>
      <c r="E26" s="138"/>
      <c r="F26" s="139" t="n">
        <f aca="false">SUM(E16:E25)</f>
        <v>0</v>
      </c>
      <c r="G26" s="125"/>
    </row>
    <row r="27" customFormat="false" ht="15" hidden="false" customHeight="true" outlineLevel="0" collapsed="false">
      <c r="A27" s="127"/>
      <c r="B27" s="127"/>
      <c r="C27" s="127"/>
      <c r="D27" s="128"/>
      <c r="E27" s="142"/>
      <c r="F27" s="143"/>
      <c r="G27" s="125"/>
    </row>
    <row r="28" customFormat="false" ht="15" hidden="false" customHeight="true" outlineLevel="0" collapsed="false">
      <c r="A28" s="127" t="s">
        <v>638</v>
      </c>
      <c r="B28" s="127"/>
      <c r="C28" s="127"/>
      <c r="D28" s="128"/>
      <c r="E28" s="129"/>
      <c r="F28" s="144" t="n">
        <f aca="false">F4+F13-F26</f>
        <v>0</v>
      </c>
      <c r="G28" s="125"/>
    </row>
    <row r="29" customFormat="false" ht="14.25" hidden="false" customHeight="false" outlineLevel="0" collapsed="false">
      <c r="A29" s="145"/>
      <c r="B29" s="146"/>
      <c r="C29" s="147"/>
      <c r="D29" s="134"/>
      <c r="E29" s="131"/>
      <c r="F29" s="148"/>
      <c r="G29" s="125"/>
    </row>
    <row r="30" customFormat="false" ht="14.25" hidden="false" customHeight="false" outlineLevel="0" collapsed="false">
      <c r="A30" s="149" t="s">
        <v>639</v>
      </c>
      <c r="B30" s="150"/>
      <c r="C30" s="151"/>
      <c r="D30" s="134"/>
      <c r="E30" s="131"/>
      <c r="F30" s="152"/>
      <c r="G30" s="125"/>
    </row>
    <row r="31" customFormat="false" ht="14.25" hidden="false" customHeight="false" outlineLevel="0" collapsed="false">
      <c r="A31" s="145"/>
      <c r="B31" s="146"/>
      <c r="C31" s="147"/>
      <c r="D31" s="134"/>
      <c r="E31" s="131"/>
      <c r="F31" s="148"/>
      <c r="G31" s="125"/>
    </row>
    <row r="32" customFormat="false" ht="14.25" hidden="false" customHeight="false" outlineLevel="0" collapsed="false">
      <c r="A32" s="145" t="s">
        <v>640</v>
      </c>
      <c r="B32" s="146"/>
      <c r="C32" s="147"/>
      <c r="D32" s="134"/>
      <c r="E32" s="131"/>
      <c r="F32" s="144" t="n">
        <f aca="false">F28-F30</f>
        <v>0</v>
      </c>
      <c r="G32" s="125"/>
    </row>
    <row r="33" customFormat="false" ht="14.25" hidden="false" customHeight="false" outlineLevel="0" collapsed="false">
      <c r="A33" s="145"/>
      <c r="B33" s="146"/>
      <c r="C33" s="147"/>
      <c r="D33" s="134"/>
      <c r="E33" s="131"/>
      <c r="F33" s="148"/>
      <c r="G33" s="125"/>
    </row>
    <row r="34" customFormat="false" ht="14.25" hidden="false" customHeight="false" outlineLevel="0" collapsed="false">
      <c r="A34" s="149" t="s">
        <v>641</v>
      </c>
      <c r="B34" s="150"/>
      <c r="C34" s="151"/>
      <c r="D34" s="134"/>
      <c r="E34" s="131"/>
      <c r="F34" s="153"/>
      <c r="G34" s="125"/>
    </row>
    <row r="35" customFormat="false" ht="14.25" hidden="false" customHeight="false" outlineLevel="0" collapsed="false">
      <c r="A35" s="145"/>
      <c r="B35" s="146"/>
      <c r="C35" s="147"/>
      <c r="D35" s="134"/>
      <c r="E35" s="131"/>
      <c r="F35" s="148"/>
      <c r="G35" s="125"/>
    </row>
    <row r="36" customFormat="false" ht="14.25" hidden="false" customHeight="false" outlineLevel="0" collapsed="false">
      <c r="A36" s="145" t="s">
        <v>642</v>
      </c>
      <c r="B36" s="146"/>
      <c r="C36" s="147"/>
      <c r="D36" s="134"/>
      <c r="E36" s="131"/>
      <c r="F36" s="144" t="n">
        <f aca="false">F32-F34</f>
        <v>0</v>
      </c>
      <c r="G36" s="125"/>
    </row>
    <row r="37" customFormat="false" ht="14.25" hidden="false" customHeight="false" outlineLevel="0" collapsed="false">
      <c r="A37" s="145"/>
      <c r="B37" s="146"/>
      <c r="C37" s="147"/>
      <c r="D37" s="134"/>
      <c r="E37" s="131"/>
      <c r="F37" s="148"/>
      <c r="G37" s="125"/>
    </row>
    <row r="38" customFormat="false" ht="14.25" hidden="false" customHeight="false" outlineLevel="0" collapsed="false">
      <c r="A38" s="145" t="s">
        <v>643</v>
      </c>
      <c r="B38" s="146"/>
      <c r="C38" s="154" t="str">
        <f aca="false">IF(Index!C6="Sole Trader","0%",IF(Index!C6="Trust","33%",IF(Index!C6="Company","28%","0%")))</f>
        <v>28%</v>
      </c>
      <c r="D38" s="134"/>
      <c r="E38" s="131"/>
      <c r="F38" s="144" t="str">
        <f aca="false">IF(F36&gt;0, F36*28%, "0")</f>
        <v>0</v>
      </c>
      <c r="G38" s="125"/>
    </row>
    <row r="39" customFormat="false" ht="15" hidden="false" customHeight="true" outlineLevel="0" collapsed="false">
      <c r="A39" s="155"/>
      <c r="B39" s="155"/>
      <c r="C39" s="155"/>
      <c r="D39" s="156"/>
      <c r="E39" s="157"/>
      <c r="F39" s="158"/>
      <c r="G39" s="159"/>
    </row>
    <row r="40" customFormat="false" ht="14.25" hidden="false" customHeight="false" outlineLevel="0" collapsed="false">
      <c r="A40" s="160"/>
      <c r="B40" s="160"/>
      <c r="C40" s="160"/>
      <c r="D40" s="160"/>
      <c r="E40" s="160"/>
      <c r="F40" s="160"/>
    </row>
    <row r="41" customFormat="false" ht="14.25" hidden="false" customHeight="false" outlineLevel="0" collapsed="false">
      <c r="A41" s="160"/>
      <c r="B41" s="160"/>
      <c r="C41" s="160"/>
      <c r="D41" s="160"/>
      <c r="E41" s="160"/>
      <c r="F41" s="160"/>
    </row>
    <row r="42" customFormat="false" ht="14.25" hidden="false" customHeight="false" outlineLevel="0" collapsed="false">
      <c r="A42" s="160"/>
      <c r="B42" s="160"/>
      <c r="C42" s="160"/>
      <c r="D42" s="160"/>
      <c r="E42" s="160"/>
      <c r="F42" s="160"/>
    </row>
    <row r="43" customFormat="false" ht="14.25" hidden="false" customHeight="false" outlineLevel="0" collapsed="false">
      <c r="A43" s="160"/>
      <c r="B43" s="160"/>
      <c r="C43" s="160"/>
      <c r="D43" s="160"/>
      <c r="E43" s="160"/>
      <c r="F43" s="160"/>
    </row>
    <row r="44" customFormat="false" ht="14.25" hidden="false" customHeight="false" outlineLevel="0" collapsed="false">
      <c r="A44" s="160"/>
      <c r="B44" s="160"/>
      <c r="C44" s="160"/>
      <c r="D44" s="160"/>
      <c r="E44" s="160"/>
      <c r="F44" s="160"/>
    </row>
    <row r="45" customFormat="false" ht="14.25" hidden="false" customHeight="false" outlineLevel="0" collapsed="false">
      <c r="A45" s="160"/>
      <c r="B45" s="160"/>
      <c r="C45" s="160"/>
      <c r="D45" s="160"/>
      <c r="E45" s="160"/>
      <c r="F45" s="160"/>
    </row>
    <row r="46" customFormat="false" ht="14.25" hidden="false" customHeight="false" outlineLevel="0" collapsed="false">
      <c r="A46" s="160"/>
      <c r="B46" s="160"/>
      <c r="C46" s="160"/>
      <c r="D46" s="160"/>
      <c r="E46" s="160"/>
      <c r="F46" s="160"/>
    </row>
    <row r="47" customFormat="false" ht="14.25" hidden="false" customHeight="false" outlineLevel="0" collapsed="false">
      <c r="A47" s="160"/>
      <c r="B47" s="160"/>
      <c r="C47" s="160"/>
      <c r="D47" s="160"/>
      <c r="E47" s="160"/>
      <c r="F47" s="160"/>
    </row>
    <row r="48" customFormat="false" ht="14.25" hidden="false" customHeight="false" outlineLevel="0" collapsed="false">
      <c r="A48" s="160"/>
      <c r="B48" s="160"/>
      <c r="C48" s="160"/>
      <c r="D48" s="160"/>
      <c r="E48" s="160"/>
      <c r="F48" s="160"/>
    </row>
    <row r="49" customFormat="false" ht="14.25" hidden="false" customHeight="false" outlineLevel="0" collapsed="false">
      <c r="A49" s="160"/>
      <c r="B49" s="160"/>
      <c r="C49" s="160"/>
      <c r="D49" s="160"/>
      <c r="E49" s="160"/>
      <c r="F49" s="160"/>
    </row>
    <row r="50" customFormat="false" ht="14.25" hidden="false" customHeight="false" outlineLevel="0" collapsed="false">
      <c r="A50" s="160"/>
      <c r="B50" s="160"/>
      <c r="C50" s="160"/>
      <c r="D50" s="160"/>
      <c r="E50" s="160"/>
      <c r="F50" s="160"/>
    </row>
    <row r="51" customFormat="false" ht="14.25" hidden="false" customHeight="false" outlineLevel="0" collapsed="false">
      <c r="A51" s="160"/>
      <c r="B51" s="160"/>
      <c r="C51" s="160"/>
      <c r="D51" s="160"/>
      <c r="E51" s="160"/>
      <c r="F51" s="160"/>
    </row>
    <row r="52" customFormat="false" ht="14.25" hidden="false" customHeight="false" outlineLevel="0" collapsed="false">
      <c r="A52" s="160"/>
      <c r="B52" s="160"/>
      <c r="C52" s="160"/>
      <c r="D52" s="160"/>
      <c r="E52" s="160"/>
      <c r="F52" s="160"/>
    </row>
    <row r="53" customFormat="false" ht="14.25" hidden="false" customHeight="false" outlineLevel="0" collapsed="false">
      <c r="A53" s="160"/>
      <c r="B53" s="160"/>
      <c r="C53" s="160"/>
      <c r="D53" s="160"/>
      <c r="E53" s="160"/>
      <c r="F53" s="160"/>
    </row>
    <row r="54" customFormat="false" ht="14.25" hidden="false" customHeight="false" outlineLevel="0" collapsed="false">
      <c r="A54" s="160"/>
      <c r="B54" s="160"/>
      <c r="C54" s="160"/>
      <c r="D54" s="160"/>
      <c r="E54" s="160"/>
      <c r="F54" s="160"/>
    </row>
    <row r="55" customFormat="false" ht="14.25" hidden="false" customHeight="false" outlineLevel="0" collapsed="false">
      <c r="A55" s="160"/>
      <c r="B55" s="160"/>
      <c r="C55" s="160"/>
      <c r="D55" s="160"/>
      <c r="E55" s="160"/>
      <c r="F55" s="160"/>
    </row>
    <row r="56" customFormat="false" ht="14.25" hidden="false" customHeight="false" outlineLevel="0" collapsed="false">
      <c r="A56" s="160"/>
      <c r="B56" s="160"/>
      <c r="C56" s="160"/>
      <c r="D56" s="160"/>
      <c r="E56" s="160"/>
      <c r="F56" s="160"/>
    </row>
    <row r="57" customFormat="false" ht="14.25" hidden="false" customHeight="false" outlineLevel="0" collapsed="false">
      <c r="A57" s="160"/>
      <c r="B57" s="160"/>
      <c r="C57" s="160"/>
      <c r="D57" s="160"/>
      <c r="E57" s="160"/>
      <c r="F57" s="160"/>
    </row>
    <row r="58" customFormat="false" ht="14.25" hidden="false" customHeight="false" outlineLevel="0" collapsed="false">
      <c r="A58" s="160"/>
      <c r="B58" s="160"/>
      <c r="C58" s="160"/>
      <c r="D58" s="160"/>
      <c r="E58" s="160"/>
      <c r="F58" s="160"/>
    </row>
    <row r="59" customFormat="false" ht="14.25" hidden="false" customHeight="false" outlineLevel="0" collapsed="false">
      <c r="A59" s="160"/>
      <c r="B59" s="160"/>
      <c r="C59" s="160"/>
      <c r="D59" s="160"/>
      <c r="E59" s="160"/>
      <c r="F59" s="160"/>
    </row>
    <row r="60" customFormat="false" ht="14.25" hidden="false" customHeight="false" outlineLevel="0" collapsed="false">
      <c r="A60" s="160"/>
      <c r="B60" s="160"/>
      <c r="C60" s="160"/>
      <c r="D60" s="160"/>
      <c r="E60" s="160"/>
      <c r="F60" s="160"/>
    </row>
    <row r="61" customFormat="false" ht="14.25" hidden="false" customHeight="false" outlineLevel="0" collapsed="false">
      <c r="A61" s="160"/>
      <c r="B61" s="160"/>
      <c r="C61" s="160"/>
      <c r="D61" s="160"/>
      <c r="E61" s="160"/>
      <c r="F61" s="160"/>
    </row>
    <row r="62" customFormat="false" ht="14.25" hidden="false" customHeight="false" outlineLevel="0" collapsed="false">
      <c r="A62" s="160"/>
      <c r="B62" s="160"/>
      <c r="C62" s="160"/>
      <c r="D62" s="160"/>
      <c r="E62" s="160"/>
      <c r="F62" s="160"/>
    </row>
    <row r="63" customFormat="false" ht="14.25" hidden="false" customHeight="false" outlineLevel="0" collapsed="false">
      <c r="A63" s="160"/>
      <c r="B63" s="160"/>
      <c r="C63" s="160"/>
      <c r="D63" s="160"/>
      <c r="E63" s="160"/>
      <c r="F63" s="160"/>
    </row>
    <row r="64" customFormat="false" ht="14.25" hidden="false" customHeight="false" outlineLevel="0" collapsed="false">
      <c r="A64" s="160"/>
      <c r="B64" s="160"/>
      <c r="C64" s="160"/>
      <c r="D64" s="160"/>
      <c r="E64" s="160"/>
      <c r="F64" s="160"/>
    </row>
    <row r="65" customFormat="false" ht="14.25" hidden="false" customHeight="false" outlineLevel="0" collapsed="false">
      <c r="A65" s="160"/>
      <c r="B65" s="160"/>
      <c r="C65" s="160"/>
      <c r="D65" s="160"/>
      <c r="E65" s="160"/>
      <c r="F65" s="160"/>
    </row>
    <row r="66" customFormat="false" ht="14.25" hidden="false" customHeight="false" outlineLevel="0" collapsed="false">
      <c r="A66" s="160"/>
      <c r="B66" s="160"/>
      <c r="C66" s="160"/>
      <c r="D66" s="160"/>
      <c r="E66" s="160"/>
      <c r="F66" s="160"/>
    </row>
    <row r="67" customFormat="false" ht="14.25" hidden="false" customHeight="false" outlineLevel="0" collapsed="false">
      <c r="A67" s="160"/>
      <c r="B67" s="160"/>
      <c r="C67" s="160"/>
      <c r="D67" s="160"/>
      <c r="E67" s="160"/>
      <c r="F67" s="160"/>
    </row>
    <row r="68" customFormat="false" ht="14.25" hidden="false" customHeight="false" outlineLevel="0" collapsed="false">
      <c r="A68" s="160"/>
      <c r="B68" s="160"/>
      <c r="C68" s="160"/>
      <c r="D68" s="160"/>
      <c r="E68" s="160"/>
      <c r="F68" s="160"/>
    </row>
    <row r="69" customFormat="false" ht="14.25" hidden="false" customHeight="false" outlineLevel="0" collapsed="false">
      <c r="A69" s="160"/>
      <c r="B69" s="160"/>
      <c r="C69" s="160"/>
      <c r="D69" s="160"/>
      <c r="E69" s="160"/>
      <c r="F69" s="160"/>
    </row>
    <row r="70" customFormat="false" ht="14.25" hidden="false" customHeight="false" outlineLevel="0" collapsed="false">
      <c r="A70" s="160"/>
      <c r="B70" s="160"/>
      <c r="C70" s="160"/>
      <c r="D70" s="160"/>
      <c r="E70" s="160"/>
      <c r="F70" s="160"/>
    </row>
    <row r="71" customFormat="false" ht="14.25" hidden="false" customHeight="false" outlineLevel="0" collapsed="false">
      <c r="A71" s="160"/>
      <c r="B71" s="160"/>
      <c r="C71" s="160"/>
      <c r="D71" s="160"/>
      <c r="E71" s="160"/>
      <c r="F71" s="160"/>
    </row>
    <row r="72" customFormat="false" ht="14.25" hidden="false" customHeight="false" outlineLevel="0" collapsed="false">
      <c r="A72" s="160"/>
      <c r="B72" s="160"/>
      <c r="C72" s="160"/>
      <c r="D72" s="160"/>
      <c r="E72" s="160"/>
      <c r="F72" s="160"/>
    </row>
    <row r="73" customFormat="false" ht="14.25" hidden="false" customHeight="false" outlineLevel="0" collapsed="false">
      <c r="A73" s="160"/>
      <c r="B73" s="160"/>
      <c r="C73" s="160"/>
      <c r="D73" s="160"/>
      <c r="E73" s="160"/>
      <c r="F73" s="160"/>
    </row>
    <row r="74" customFormat="false" ht="14.25" hidden="false" customHeight="false" outlineLevel="0" collapsed="false">
      <c r="A74" s="160"/>
      <c r="B74" s="160"/>
      <c r="C74" s="160"/>
      <c r="D74" s="160"/>
      <c r="E74" s="160"/>
      <c r="F74" s="160"/>
    </row>
    <row r="75" customFormat="false" ht="14.25" hidden="false" customHeight="false" outlineLevel="0" collapsed="false">
      <c r="A75" s="160"/>
      <c r="B75" s="160"/>
      <c r="C75" s="160"/>
      <c r="D75" s="160"/>
      <c r="E75" s="160"/>
      <c r="F75" s="160"/>
    </row>
    <row r="76" customFormat="false" ht="14.25" hidden="false" customHeight="false" outlineLevel="0" collapsed="false">
      <c r="A76" s="160"/>
      <c r="B76" s="160"/>
      <c r="C76" s="160"/>
      <c r="D76" s="160"/>
      <c r="E76" s="160"/>
      <c r="F76" s="160"/>
    </row>
    <row r="77" customFormat="false" ht="14.25" hidden="false" customHeight="false" outlineLevel="0" collapsed="false">
      <c r="A77" s="160"/>
      <c r="B77" s="160"/>
      <c r="C77" s="160"/>
      <c r="D77" s="160"/>
      <c r="E77" s="160"/>
      <c r="F77" s="160"/>
    </row>
    <row r="78" customFormat="false" ht="14.25" hidden="false" customHeight="false" outlineLevel="0" collapsed="false">
      <c r="A78" s="160"/>
      <c r="B78" s="160"/>
      <c r="C78" s="160"/>
      <c r="D78" s="160"/>
      <c r="E78" s="160"/>
      <c r="F78" s="160"/>
    </row>
    <row r="79" customFormat="false" ht="14.25" hidden="false" customHeight="false" outlineLevel="0" collapsed="false">
      <c r="A79" s="160"/>
      <c r="B79" s="160"/>
      <c r="C79" s="160"/>
      <c r="D79" s="160"/>
      <c r="E79" s="160"/>
      <c r="F79" s="160"/>
    </row>
    <row r="80" customFormat="false" ht="14.25" hidden="false" customHeight="false" outlineLevel="0" collapsed="false">
      <c r="A80" s="160"/>
      <c r="B80" s="160"/>
      <c r="C80" s="160"/>
      <c r="D80" s="160"/>
      <c r="E80" s="160"/>
      <c r="F80" s="160"/>
    </row>
    <row r="81" customFormat="false" ht="14.25" hidden="false" customHeight="false" outlineLevel="0" collapsed="false">
      <c r="A81" s="160"/>
      <c r="B81" s="160"/>
      <c r="C81" s="160"/>
      <c r="D81" s="160"/>
      <c r="E81" s="160"/>
      <c r="F81" s="160"/>
    </row>
    <row r="82" customFormat="false" ht="14.25" hidden="false" customHeight="false" outlineLevel="0" collapsed="false">
      <c r="A82" s="160"/>
      <c r="B82" s="160"/>
      <c r="C82" s="160"/>
      <c r="D82" s="160"/>
      <c r="E82" s="160"/>
      <c r="F82" s="160"/>
    </row>
    <row r="83" customFormat="false" ht="14.25" hidden="false" customHeight="false" outlineLevel="0" collapsed="false">
      <c r="A83" s="160"/>
      <c r="B83" s="160"/>
      <c r="C83" s="160"/>
      <c r="D83" s="160"/>
      <c r="E83" s="160"/>
      <c r="F83" s="160"/>
    </row>
    <row r="84" customFormat="false" ht="14.25" hidden="false" customHeight="false" outlineLevel="0" collapsed="false">
      <c r="A84" s="160"/>
      <c r="B84" s="160"/>
      <c r="C84" s="160"/>
      <c r="D84" s="160"/>
      <c r="E84" s="160"/>
      <c r="F84" s="160"/>
    </row>
    <row r="85" customFormat="false" ht="14.25" hidden="false" customHeight="false" outlineLevel="0" collapsed="false">
      <c r="A85" s="160"/>
      <c r="B85" s="160"/>
      <c r="C85" s="160"/>
      <c r="D85" s="160"/>
      <c r="E85" s="160"/>
      <c r="F85" s="160"/>
    </row>
    <row r="86" customFormat="false" ht="14.25" hidden="false" customHeight="false" outlineLevel="0" collapsed="false">
      <c r="A86" s="160"/>
      <c r="B86" s="160"/>
      <c r="C86" s="160"/>
      <c r="D86" s="160"/>
      <c r="E86" s="160"/>
      <c r="F86" s="160"/>
    </row>
    <row r="87" customFormat="false" ht="14.25" hidden="false" customHeight="false" outlineLevel="0" collapsed="false">
      <c r="A87" s="160"/>
      <c r="B87" s="160"/>
      <c r="C87" s="160"/>
      <c r="D87" s="160"/>
      <c r="E87" s="160"/>
      <c r="F87" s="160"/>
    </row>
    <row r="88" customFormat="false" ht="14.25" hidden="false" customHeight="false" outlineLevel="0" collapsed="false">
      <c r="A88" s="160"/>
      <c r="B88" s="160"/>
      <c r="C88" s="160"/>
      <c r="D88" s="160"/>
      <c r="E88" s="160"/>
      <c r="F88" s="160"/>
    </row>
    <row r="89" customFormat="false" ht="14.25" hidden="false" customHeight="false" outlineLevel="0" collapsed="false">
      <c r="A89" s="160"/>
      <c r="B89" s="160"/>
      <c r="C89" s="160"/>
      <c r="D89" s="160"/>
      <c r="E89" s="160"/>
      <c r="F89" s="160"/>
    </row>
    <row r="90" customFormat="false" ht="14.25" hidden="false" customHeight="false" outlineLevel="0" collapsed="false">
      <c r="A90" s="160"/>
      <c r="B90" s="160"/>
      <c r="C90" s="160"/>
      <c r="D90" s="160"/>
      <c r="E90" s="160"/>
      <c r="F90" s="160"/>
    </row>
    <row r="91" customFormat="false" ht="14.25" hidden="false" customHeight="false" outlineLevel="0" collapsed="false">
      <c r="A91" s="160"/>
      <c r="B91" s="160"/>
      <c r="C91" s="160"/>
      <c r="D91" s="160"/>
      <c r="E91" s="160"/>
      <c r="F91" s="160"/>
    </row>
    <row r="92" customFormat="false" ht="14.25" hidden="false" customHeight="false" outlineLevel="0" collapsed="false">
      <c r="A92" s="160"/>
      <c r="B92" s="160"/>
      <c r="C92" s="160"/>
      <c r="D92" s="160"/>
      <c r="E92" s="160"/>
      <c r="F92" s="160"/>
    </row>
    <row r="93" customFormat="false" ht="14.25" hidden="false" customHeight="false" outlineLevel="0" collapsed="false">
      <c r="A93" s="160"/>
      <c r="B93" s="160"/>
      <c r="C93" s="160"/>
      <c r="D93" s="160"/>
      <c r="E93" s="160"/>
      <c r="F93" s="160"/>
    </row>
    <row r="94" customFormat="false" ht="14.25" hidden="false" customHeight="false" outlineLevel="0" collapsed="false">
      <c r="A94" s="160"/>
      <c r="B94" s="160"/>
      <c r="C94" s="160"/>
      <c r="D94" s="160"/>
      <c r="E94" s="160"/>
      <c r="F94" s="160"/>
    </row>
    <row r="95" customFormat="false" ht="14.25" hidden="false" customHeight="false" outlineLevel="0" collapsed="false">
      <c r="A95" s="160"/>
      <c r="B95" s="160"/>
      <c r="C95" s="160"/>
      <c r="D95" s="160"/>
      <c r="E95" s="160"/>
      <c r="F95" s="160"/>
    </row>
    <row r="96" customFormat="false" ht="14.25" hidden="false" customHeight="false" outlineLevel="0" collapsed="false">
      <c r="A96" s="160"/>
      <c r="B96" s="160"/>
      <c r="C96" s="160"/>
      <c r="D96" s="160"/>
      <c r="E96" s="160"/>
      <c r="F96" s="160"/>
    </row>
    <row r="97" customFormat="false" ht="14.25" hidden="false" customHeight="false" outlineLevel="0" collapsed="false">
      <c r="A97" s="160"/>
      <c r="B97" s="160"/>
      <c r="C97" s="160"/>
      <c r="D97" s="160"/>
      <c r="E97" s="160"/>
      <c r="F97" s="160"/>
    </row>
    <row r="98" customFormat="false" ht="14.25" hidden="false" customHeight="false" outlineLevel="0" collapsed="false">
      <c r="A98" s="160"/>
      <c r="B98" s="160"/>
      <c r="C98" s="160"/>
      <c r="D98" s="160"/>
      <c r="E98" s="160"/>
      <c r="F98" s="160"/>
    </row>
    <row r="99" customFormat="false" ht="14.25" hidden="false" customHeight="false" outlineLevel="0" collapsed="false">
      <c r="A99" s="160"/>
      <c r="B99" s="160"/>
      <c r="C99" s="160"/>
      <c r="D99" s="160"/>
      <c r="E99" s="160"/>
      <c r="F99" s="160"/>
    </row>
    <row r="100" customFormat="false" ht="14.25" hidden="false" customHeight="false" outlineLevel="0" collapsed="false">
      <c r="A100" s="160"/>
      <c r="B100" s="160"/>
      <c r="C100" s="160"/>
      <c r="D100" s="160"/>
      <c r="E100" s="160"/>
      <c r="F100" s="160"/>
    </row>
    <row r="101" customFormat="false" ht="14.25" hidden="false" customHeight="false" outlineLevel="0" collapsed="false">
      <c r="A101" s="160"/>
      <c r="B101" s="160"/>
      <c r="C101" s="160"/>
      <c r="D101" s="160"/>
      <c r="E101" s="160"/>
      <c r="F101" s="160"/>
    </row>
    <row r="102" customFormat="false" ht="14.25" hidden="false" customHeight="false" outlineLevel="0" collapsed="false">
      <c r="A102" s="160"/>
      <c r="B102" s="160"/>
      <c r="C102" s="160"/>
      <c r="D102" s="160"/>
      <c r="E102" s="160"/>
      <c r="F102" s="160"/>
    </row>
    <row r="103" customFormat="false" ht="14.25" hidden="false" customHeight="false" outlineLevel="0" collapsed="false">
      <c r="A103" s="160"/>
      <c r="B103" s="160"/>
      <c r="C103" s="160"/>
      <c r="D103" s="160"/>
      <c r="E103" s="160"/>
      <c r="F103" s="160"/>
    </row>
    <row r="104" customFormat="false" ht="14.25" hidden="false" customHeight="false" outlineLevel="0" collapsed="false">
      <c r="A104" s="160"/>
      <c r="B104" s="160"/>
      <c r="C104" s="160"/>
      <c r="D104" s="160"/>
      <c r="E104" s="160"/>
      <c r="F104" s="160"/>
    </row>
    <row r="105" customFormat="false" ht="14.25" hidden="false" customHeight="false" outlineLevel="0" collapsed="false">
      <c r="A105" s="160"/>
      <c r="B105" s="160"/>
      <c r="C105" s="160"/>
      <c r="D105" s="160"/>
      <c r="E105" s="160"/>
      <c r="F105" s="160"/>
    </row>
    <row r="106" customFormat="false" ht="14.25" hidden="false" customHeight="false" outlineLevel="0" collapsed="false">
      <c r="A106" s="160"/>
      <c r="B106" s="160"/>
      <c r="C106" s="160"/>
      <c r="D106" s="160"/>
      <c r="E106" s="160"/>
      <c r="F106" s="160"/>
    </row>
    <row r="107" customFormat="false" ht="14.25" hidden="false" customHeight="false" outlineLevel="0" collapsed="false">
      <c r="A107" s="160"/>
      <c r="B107" s="160"/>
      <c r="C107" s="160"/>
      <c r="D107" s="160"/>
      <c r="E107" s="160"/>
      <c r="F107" s="160"/>
    </row>
    <row r="108" customFormat="false" ht="14.25" hidden="false" customHeight="false" outlineLevel="0" collapsed="false">
      <c r="A108" s="160"/>
      <c r="B108" s="160"/>
      <c r="C108" s="160"/>
      <c r="D108" s="160"/>
      <c r="E108" s="160"/>
      <c r="F108" s="160"/>
    </row>
    <row r="109" customFormat="false" ht="14.25" hidden="false" customHeight="false" outlineLevel="0" collapsed="false">
      <c r="A109" s="160"/>
      <c r="B109" s="160"/>
      <c r="C109" s="160"/>
      <c r="D109" s="160"/>
      <c r="E109" s="160"/>
      <c r="F109" s="160"/>
    </row>
    <row r="110" customFormat="false" ht="14.25" hidden="false" customHeight="false" outlineLevel="0" collapsed="false">
      <c r="A110" s="160"/>
      <c r="B110" s="160"/>
      <c r="C110" s="160"/>
      <c r="D110" s="160"/>
      <c r="E110" s="160"/>
      <c r="F110" s="160"/>
    </row>
    <row r="111" customFormat="false" ht="14.25" hidden="false" customHeight="false" outlineLevel="0" collapsed="false">
      <c r="A111" s="160"/>
      <c r="B111" s="160"/>
      <c r="C111" s="160"/>
      <c r="D111" s="160"/>
      <c r="E111" s="160"/>
      <c r="F111" s="160"/>
    </row>
    <row r="112" customFormat="false" ht="14.25" hidden="false" customHeight="false" outlineLevel="0" collapsed="false">
      <c r="A112" s="160"/>
      <c r="B112" s="160"/>
      <c r="C112" s="160"/>
      <c r="D112" s="160"/>
      <c r="E112" s="160"/>
      <c r="F112" s="160"/>
    </row>
    <row r="113" customFormat="false" ht="14.25" hidden="false" customHeight="false" outlineLevel="0" collapsed="false">
      <c r="A113" s="160"/>
      <c r="B113" s="160"/>
      <c r="C113" s="160"/>
      <c r="D113" s="160"/>
      <c r="E113" s="160"/>
      <c r="F113" s="160"/>
    </row>
    <row r="114" customFormat="false" ht="14.25" hidden="false" customHeight="false" outlineLevel="0" collapsed="false">
      <c r="A114" s="160"/>
      <c r="B114" s="160"/>
      <c r="C114" s="160"/>
      <c r="D114" s="160"/>
      <c r="E114" s="160"/>
      <c r="F114" s="160"/>
    </row>
    <row r="115" customFormat="false" ht="14.25" hidden="false" customHeight="false" outlineLevel="0" collapsed="false">
      <c r="A115" s="160"/>
      <c r="B115" s="160"/>
      <c r="C115" s="160"/>
      <c r="D115" s="160"/>
      <c r="E115" s="160"/>
      <c r="F115" s="160"/>
    </row>
    <row r="116" customFormat="false" ht="14.25" hidden="false" customHeight="false" outlineLevel="0" collapsed="false">
      <c r="A116" s="160"/>
      <c r="B116" s="160"/>
      <c r="C116" s="160"/>
      <c r="D116" s="160"/>
      <c r="E116" s="160"/>
      <c r="F116" s="160"/>
    </row>
    <row r="117" customFormat="false" ht="14.25" hidden="false" customHeight="false" outlineLevel="0" collapsed="false">
      <c r="A117" s="160"/>
      <c r="B117" s="160"/>
      <c r="C117" s="160"/>
      <c r="D117" s="160"/>
      <c r="E117" s="160"/>
      <c r="F117" s="160"/>
    </row>
    <row r="118" customFormat="false" ht="14.25" hidden="false" customHeight="false" outlineLevel="0" collapsed="false">
      <c r="A118" s="160"/>
      <c r="B118" s="160"/>
      <c r="C118" s="160"/>
      <c r="D118" s="160"/>
      <c r="E118" s="160"/>
      <c r="F118" s="160"/>
    </row>
    <row r="119" customFormat="false" ht="14.25" hidden="false" customHeight="false" outlineLevel="0" collapsed="false">
      <c r="A119" s="160"/>
      <c r="B119" s="160"/>
      <c r="C119" s="160"/>
      <c r="D119" s="160"/>
      <c r="E119" s="160"/>
      <c r="F119" s="160"/>
    </row>
    <row r="120" customFormat="false" ht="14.25" hidden="false" customHeight="false" outlineLevel="0" collapsed="false">
      <c r="A120" s="160"/>
      <c r="B120" s="160"/>
      <c r="C120" s="160"/>
      <c r="D120" s="160"/>
      <c r="E120" s="160"/>
      <c r="F120" s="160"/>
    </row>
    <row r="121" customFormat="false" ht="14.25" hidden="false" customHeight="false" outlineLevel="0" collapsed="false">
      <c r="A121" s="160"/>
      <c r="B121" s="160"/>
      <c r="C121" s="160"/>
      <c r="D121" s="160"/>
      <c r="E121" s="160"/>
      <c r="F121" s="160"/>
    </row>
    <row r="122" customFormat="false" ht="14.25" hidden="false" customHeight="false" outlineLevel="0" collapsed="false">
      <c r="A122" s="160"/>
      <c r="B122" s="160"/>
      <c r="C122" s="160"/>
      <c r="D122" s="160"/>
      <c r="E122" s="160"/>
      <c r="F122" s="160"/>
    </row>
    <row r="123" customFormat="false" ht="14.25" hidden="false" customHeight="false" outlineLevel="0" collapsed="false">
      <c r="A123" s="160"/>
      <c r="B123" s="160"/>
      <c r="C123" s="160"/>
      <c r="D123" s="160"/>
      <c r="E123" s="160"/>
      <c r="F123" s="160"/>
    </row>
    <row r="124" customFormat="false" ht="14.25" hidden="false" customHeight="false" outlineLevel="0" collapsed="false">
      <c r="A124" s="160"/>
      <c r="B124" s="160"/>
      <c r="C124" s="160"/>
      <c r="D124" s="160"/>
      <c r="E124" s="160"/>
      <c r="F124" s="160"/>
    </row>
    <row r="125" customFormat="false" ht="14.25" hidden="false" customHeight="false" outlineLevel="0" collapsed="false">
      <c r="A125" s="160"/>
      <c r="B125" s="160"/>
      <c r="C125" s="160"/>
      <c r="D125" s="160"/>
      <c r="E125" s="160"/>
      <c r="F125" s="160"/>
    </row>
    <row r="126" customFormat="false" ht="14.25" hidden="false" customHeight="false" outlineLevel="0" collapsed="false">
      <c r="A126" s="160"/>
      <c r="B126" s="160"/>
      <c r="C126" s="160"/>
      <c r="D126" s="160"/>
      <c r="E126" s="160"/>
      <c r="F126" s="160"/>
    </row>
    <row r="127" customFormat="false" ht="14.25" hidden="false" customHeight="false" outlineLevel="0" collapsed="false">
      <c r="A127" s="160"/>
      <c r="B127" s="160"/>
      <c r="C127" s="160"/>
      <c r="D127" s="160"/>
      <c r="E127" s="160"/>
      <c r="F127" s="160"/>
    </row>
    <row r="128" customFormat="false" ht="14.25" hidden="false" customHeight="false" outlineLevel="0" collapsed="false">
      <c r="A128" s="160"/>
      <c r="B128" s="160"/>
      <c r="C128" s="160"/>
      <c r="D128" s="160"/>
      <c r="E128" s="160"/>
      <c r="F128" s="160"/>
    </row>
    <row r="129" customFormat="false" ht="14.25" hidden="false" customHeight="false" outlineLevel="0" collapsed="false">
      <c r="A129" s="160"/>
      <c r="B129" s="160"/>
      <c r="C129" s="160"/>
      <c r="D129" s="160"/>
      <c r="E129" s="160"/>
      <c r="F129" s="160"/>
    </row>
    <row r="130" customFormat="false" ht="14.25" hidden="false" customHeight="false" outlineLevel="0" collapsed="false">
      <c r="A130" s="160"/>
      <c r="B130" s="160"/>
      <c r="C130" s="160"/>
      <c r="D130" s="160"/>
      <c r="E130" s="160"/>
      <c r="F130" s="160"/>
    </row>
    <row r="131" customFormat="false" ht="14.25" hidden="false" customHeight="false" outlineLevel="0" collapsed="false">
      <c r="A131" s="160"/>
      <c r="B131" s="160"/>
      <c r="C131" s="160"/>
      <c r="D131" s="160"/>
      <c r="E131" s="160"/>
      <c r="F131" s="160"/>
    </row>
    <row r="132" customFormat="false" ht="14.25" hidden="false" customHeight="false" outlineLevel="0" collapsed="false">
      <c r="A132" s="160"/>
      <c r="B132" s="160"/>
      <c r="C132" s="160"/>
      <c r="D132" s="160"/>
      <c r="E132" s="160"/>
      <c r="F132" s="160"/>
    </row>
    <row r="133" customFormat="false" ht="14.25" hidden="false" customHeight="false" outlineLevel="0" collapsed="false">
      <c r="A133" s="160"/>
      <c r="B133" s="160"/>
      <c r="C133" s="160"/>
      <c r="D133" s="160"/>
      <c r="E133" s="160"/>
      <c r="F133" s="160"/>
    </row>
    <row r="134" customFormat="false" ht="14.25" hidden="false" customHeight="false" outlineLevel="0" collapsed="false">
      <c r="A134" s="160"/>
      <c r="B134" s="160"/>
      <c r="C134" s="160"/>
      <c r="D134" s="160"/>
      <c r="E134" s="160"/>
      <c r="F134" s="160"/>
    </row>
    <row r="135" customFormat="false" ht="14.25" hidden="false" customHeight="false" outlineLevel="0" collapsed="false">
      <c r="A135" s="160"/>
      <c r="B135" s="160"/>
      <c r="C135" s="160"/>
      <c r="D135" s="160"/>
      <c r="E135" s="160"/>
      <c r="F135" s="160"/>
    </row>
    <row r="136" customFormat="false" ht="14.25" hidden="false" customHeight="false" outlineLevel="0" collapsed="false">
      <c r="A136" s="160"/>
      <c r="B136" s="160"/>
      <c r="C136" s="160"/>
      <c r="D136" s="160"/>
      <c r="E136" s="160"/>
      <c r="F136" s="160"/>
    </row>
    <row r="137" customFormat="false" ht="14.25" hidden="false" customHeight="false" outlineLevel="0" collapsed="false">
      <c r="A137" s="160"/>
      <c r="B137" s="160"/>
      <c r="C137" s="160"/>
      <c r="D137" s="160"/>
      <c r="E137" s="160"/>
      <c r="F137" s="160"/>
    </row>
    <row r="138" customFormat="false" ht="14.25" hidden="false" customHeight="false" outlineLevel="0" collapsed="false">
      <c r="A138" s="160"/>
      <c r="B138" s="160"/>
      <c r="C138" s="160"/>
      <c r="D138" s="160"/>
      <c r="E138" s="160"/>
      <c r="F138" s="160"/>
    </row>
    <row r="139" customFormat="false" ht="14.25" hidden="false" customHeight="false" outlineLevel="0" collapsed="false">
      <c r="A139" s="160"/>
      <c r="B139" s="160"/>
      <c r="C139" s="160"/>
      <c r="D139" s="160"/>
      <c r="E139" s="160"/>
      <c r="F139" s="160"/>
    </row>
    <row r="140" customFormat="false" ht="14.25" hidden="false" customHeight="false" outlineLevel="0" collapsed="false">
      <c r="A140" s="160"/>
      <c r="B140" s="160"/>
      <c r="C140" s="160"/>
      <c r="D140" s="160"/>
      <c r="E140" s="160"/>
      <c r="F140" s="160"/>
    </row>
    <row r="141" customFormat="false" ht="14.25" hidden="false" customHeight="false" outlineLevel="0" collapsed="false">
      <c r="A141" s="160"/>
      <c r="B141" s="160"/>
      <c r="C141" s="160"/>
      <c r="D141" s="160"/>
      <c r="E141" s="160"/>
      <c r="F141" s="160"/>
    </row>
    <row r="142" customFormat="false" ht="14.25" hidden="false" customHeight="false" outlineLevel="0" collapsed="false">
      <c r="A142" s="160"/>
      <c r="B142" s="160"/>
      <c r="C142" s="160"/>
      <c r="D142" s="160"/>
      <c r="E142" s="160"/>
      <c r="F142" s="160"/>
    </row>
    <row r="143" customFormat="false" ht="14.25" hidden="false" customHeight="false" outlineLevel="0" collapsed="false">
      <c r="A143" s="160"/>
      <c r="B143" s="160"/>
      <c r="C143" s="160"/>
      <c r="D143" s="160"/>
      <c r="E143" s="160"/>
      <c r="F143" s="160"/>
    </row>
    <row r="144" customFormat="false" ht="14.25" hidden="false" customHeight="false" outlineLevel="0" collapsed="false">
      <c r="A144" s="160"/>
      <c r="B144" s="160"/>
      <c r="C144" s="160"/>
      <c r="D144" s="160"/>
      <c r="E144" s="160"/>
      <c r="F144" s="160"/>
    </row>
    <row r="145" customFormat="false" ht="14.25" hidden="false" customHeight="false" outlineLevel="0" collapsed="false">
      <c r="A145" s="160"/>
      <c r="B145" s="160"/>
      <c r="C145" s="160"/>
      <c r="D145" s="160"/>
      <c r="E145" s="160"/>
      <c r="F145" s="160"/>
    </row>
    <row r="146" customFormat="false" ht="14.25" hidden="false" customHeight="false" outlineLevel="0" collapsed="false">
      <c r="A146" s="160"/>
      <c r="B146" s="160"/>
      <c r="C146" s="160"/>
      <c r="D146" s="160"/>
      <c r="E146" s="160"/>
      <c r="F146" s="160"/>
    </row>
    <row r="147" customFormat="false" ht="14.25" hidden="false" customHeight="false" outlineLevel="0" collapsed="false">
      <c r="A147" s="160"/>
      <c r="B147" s="160"/>
      <c r="C147" s="160"/>
      <c r="D147" s="160"/>
      <c r="E147" s="160"/>
      <c r="F147" s="160"/>
    </row>
    <row r="148" customFormat="false" ht="14.25" hidden="false" customHeight="false" outlineLevel="0" collapsed="false">
      <c r="A148" s="160"/>
      <c r="B148" s="160"/>
      <c r="C148" s="160"/>
      <c r="D148" s="160"/>
      <c r="E148" s="160"/>
      <c r="F148" s="160"/>
    </row>
    <row r="149" customFormat="false" ht="14.25" hidden="false" customHeight="false" outlineLevel="0" collapsed="false">
      <c r="A149" s="160"/>
      <c r="B149" s="160"/>
      <c r="C149" s="160"/>
      <c r="D149" s="160"/>
      <c r="E149" s="160"/>
      <c r="F149" s="160"/>
    </row>
    <row r="150" customFormat="false" ht="14.25" hidden="false" customHeight="false" outlineLevel="0" collapsed="false">
      <c r="A150" s="160"/>
      <c r="B150" s="160"/>
      <c r="C150" s="160"/>
      <c r="D150" s="160"/>
      <c r="E150" s="160"/>
      <c r="F150" s="160"/>
    </row>
    <row r="151" customFormat="false" ht="14.25" hidden="false" customHeight="false" outlineLevel="0" collapsed="false">
      <c r="A151" s="160"/>
      <c r="B151" s="160"/>
      <c r="C151" s="160"/>
      <c r="D151" s="160"/>
      <c r="E151" s="160"/>
      <c r="F151" s="160"/>
    </row>
    <row r="152" customFormat="false" ht="14.25" hidden="false" customHeight="false" outlineLevel="0" collapsed="false">
      <c r="A152" s="160"/>
      <c r="B152" s="160"/>
      <c r="C152" s="160"/>
      <c r="D152" s="160"/>
      <c r="E152" s="160"/>
      <c r="F152" s="160"/>
    </row>
    <row r="153" customFormat="false" ht="14.25" hidden="false" customHeight="false" outlineLevel="0" collapsed="false">
      <c r="A153" s="160"/>
      <c r="B153" s="160"/>
      <c r="C153" s="160"/>
      <c r="D153" s="160"/>
      <c r="E153" s="160"/>
      <c r="F153" s="160"/>
    </row>
    <row r="154" customFormat="false" ht="14.25" hidden="false" customHeight="false" outlineLevel="0" collapsed="false">
      <c r="A154" s="160"/>
      <c r="B154" s="160"/>
      <c r="C154" s="160"/>
      <c r="D154" s="160"/>
      <c r="E154" s="160"/>
      <c r="F154" s="160"/>
    </row>
    <row r="155" customFormat="false" ht="14.25" hidden="false" customHeight="false" outlineLevel="0" collapsed="false">
      <c r="A155" s="160"/>
      <c r="B155" s="160"/>
      <c r="C155" s="160"/>
      <c r="D155" s="160"/>
      <c r="E155" s="160"/>
      <c r="F155" s="160"/>
    </row>
    <row r="156" customFormat="false" ht="14.25" hidden="false" customHeight="false" outlineLevel="0" collapsed="false">
      <c r="A156" s="160"/>
      <c r="B156" s="160"/>
      <c r="C156" s="160"/>
      <c r="D156" s="160"/>
      <c r="E156" s="160"/>
      <c r="F156" s="160"/>
    </row>
    <row r="157" customFormat="false" ht="14.25" hidden="false" customHeight="false" outlineLevel="0" collapsed="false">
      <c r="A157" s="160"/>
      <c r="B157" s="160"/>
      <c r="C157" s="160"/>
      <c r="D157" s="160"/>
      <c r="E157" s="160"/>
      <c r="F157" s="160"/>
    </row>
    <row r="158" customFormat="false" ht="14.25" hidden="false" customHeight="false" outlineLevel="0" collapsed="false">
      <c r="A158" s="160"/>
      <c r="B158" s="160"/>
      <c r="C158" s="160"/>
      <c r="D158" s="160"/>
      <c r="E158" s="160"/>
      <c r="F158" s="160"/>
    </row>
    <row r="159" customFormat="false" ht="14.25" hidden="false" customHeight="false" outlineLevel="0" collapsed="false">
      <c r="A159" s="160"/>
      <c r="B159" s="160"/>
      <c r="C159" s="160"/>
      <c r="D159" s="160"/>
      <c r="E159" s="160"/>
      <c r="F159" s="160"/>
    </row>
    <row r="160" customFormat="false" ht="14.25" hidden="false" customHeight="false" outlineLevel="0" collapsed="false">
      <c r="A160" s="160"/>
      <c r="B160" s="160"/>
      <c r="C160" s="160"/>
      <c r="D160" s="160"/>
      <c r="E160" s="160"/>
      <c r="F160" s="160"/>
    </row>
    <row r="161" customFormat="false" ht="14.25" hidden="false" customHeight="false" outlineLevel="0" collapsed="false">
      <c r="A161" s="160"/>
      <c r="B161" s="160"/>
      <c r="C161" s="160"/>
      <c r="D161" s="160"/>
      <c r="E161" s="160"/>
      <c r="F161" s="160"/>
    </row>
    <row r="162" customFormat="false" ht="14.25" hidden="false" customHeight="false" outlineLevel="0" collapsed="false">
      <c r="A162" s="160"/>
      <c r="B162" s="160"/>
      <c r="C162" s="160"/>
      <c r="D162" s="160"/>
      <c r="E162" s="160"/>
      <c r="F162" s="160"/>
    </row>
    <row r="163" customFormat="false" ht="14.25" hidden="false" customHeight="false" outlineLevel="0" collapsed="false">
      <c r="A163" s="160"/>
      <c r="B163" s="160"/>
      <c r="C163" s="160"/>
      <c r="D163" s="160"/>
      <c r="E163" s="160"/>
      <c r="F163" s="160"/>
    </row>
    <row r="164" customFormat="false" ht="14.25" hidden="false" customHeight="false" outlineLevel="0" collapsed="false">
      <c r="A164" s="160"/>
      <c r="B164" s="160"/>
      <c r="C164" s="160"/>
      <c r="D164" s="160"/>
      <c r="E164" s="160"/>
      <c r="F164" s="160"/>
    </row>
    <row r="165" customFormat="false" ht="14.25" hidden="false" customHeight="false" outlineLevel="0" collapsed="false">
      <c r="A165" s="160"/>
      <c r="B165" s="160"/>
      <c r="C165" s="160"/>
      <c r="D165" s="160"/>
      <c r="E165" s="160"/>
      <c r="F165" s="160"/>
    </row>
    <row r="166" customFormat="false" ht="14.25" hidden="false" customHeight="false" outlineLevel="0" collapsed="false">
      <c r="A166" s="160"/>
      <c r="B166" s="160"/>
      <c r="C166" s="160"/>
      <c r="D166" s="160"/>
      <c r="E166" s="160"/>
      <c r="F166" s="160"/>
    </row>
    <row r="167" customFormat="false" ht="14.25" hidden="false" customHeight="false" outlineLevel="0" collapsed="false">
      <c r="A167" s="160"/>
      <c r="B167" s="160"/>
      <c r="C167" s="160"/>
      <c r="D167" s="160"/>
      <c r="E167" s="160"/>
      <c r="F167" s="160"/>
    </row>
    <row r="168" customFormat="false" ht="14.25" hidden="false" customHeight="false" outlineLevel="0" collapsed="false">
      <c r="A168" s="160"/>
      <c r="B168" s="160"/>
      <c r="C168" s="160"/>
      <c r="D168" s="160"/>
      <c r="E168" s="160"/>
      <c r="F168" s="160"/>
    </row>
    <row r="169" customFormat="false" ht="14.25" hidden="false" customHeight="false" outlineLevel="0" collapsed="false">
      <c r="A169" s="160"/>
      <c r="B169" s="160"/>
      <c r="C169" s="160"/>
      <c r="D169" s="160"/>
      <c r="E169" s="160"/>
      <c r="F169" s="160"/>
    </row>
    <row r="170" customFormat="false" ht="14.25" hidden="false" customHeight="false" outlineLevel="0" collapsed="false">
      <c r="A170" s="160"/>
      <c r="B170" s="160"/>
      <c r="C170" s="160"/>
      <c r="D170" s="160"/>
      <c r="E170" s="160"/>
      <c r="F170" s="160"/>
    </row>
    <row r="171" customFormat="false" ht="14.25" hidden="false" customHeight="false" outlineLevel="0" collapsed="false">
      <c r="A171" s="160"/>
      <c r="B171" s="160"/>
      <c r="C171" s="160"/>
      <c r="D171" s="160"/>
      <c r="E171" s="160"/>
      <c r="F171" s="160"/>
    </row>
    <row r="172" customFormat="false" ht="14.25" hidden="false" customHeight="false" outlineLevel="0" collapsed="false">
      <c r="A172" s="160"/>
      <c r="B172" s="160"/>
      <c r="C172" s="160"/>
      <c r="D172" s="160"/>
      <c r="E172" s="160"/>
      <c r="F172" s="160"/>
    </row>
    <row r="173" customFormat="false" ht="14.25" hidden="false" customHeight="false" outlineLevel="0" collapsed="false">
      <c r="A173" s="160"/>
      <c r="B173" s="160"/>
      <c r="C173" s="160"/>
      <c r="D173" s="160"/>
      <c r="E173" s="160"/>
      <c r="F173" s="160"/>
    </row>
    <row r="174" customFormat="false" ht="14.25" hidden="false" customHeight="false" outlineLevel="0" collapsed="false">
      <c r="A174" s="160"/>
      <c r="B174" s="160"/>
      <c r="C174" s="160"/>
      <c r="D174" s="160"/>
      <c r="E174" s="160"/>
      <c r="F174" s="160"/>
    </row>
    <row r="175" customFormat="false" ht="14.25" hidden="false" customHeight="false" outlineLevel="0" collapsed="false">
      <c r="A175" s="160"/>
      <c r="B175" s="160"/>
      <c r="C175" s="160"/>
      <c r="D175" s="160"/>
      <c r="E175" s="160"/>
      <c r="F175" s="160"/>
    </row>
    <row r="176" customFormat="false" ht="14.25" hidden="false" customHeight="false" outlineLevel="0" collapsed="false">
      <c r="A176" s="160"/>
      <c r="B176" s="160"/>
      <c r="C176" s="160"/>
      <c r="D176" s="160"/>
      <c r="E176" s="160"/>
      <c r="F176" s="160"/>
    </row>
    <row r="177" customFormat="false" ht="14.25" hidden="false" customHeight="false" outlineLevel="0" collapsed="false">
      <c r="A177" s="160"/>
      <c r="B177" s="160"/>
      <c r="C177" s="160"/>
      <c r="D177" s="160"/>
      <c r="E177" s="160"/>
      <c r="F177" s="160"/>
    </row>
    <row r="178" customFormat="false" ht="14.25" hidden="false" customHeight="false" outlineLevel="0" collapsed="false">
      <c r="A178" s="160"/>
      <c r="B178" s="160"/>
      <c r="C178" s="160"/>
      <c r="D178" s="160"/>
      <c r="E178" s="160"/>
      <c r="F178" s="160"/>
    </row>
    <row r="179" customFormat="false" ht="14.25" hidden="false" customHeight="false" outlineLevel="0" collapsed="false">
      <c r="A179" s="160"/>
      <c r="B179" s="160"/>
      <c r="C179" s="160"/>
      <c r="D179" s="160"/>
      <c r="E179" s="160"/>
      <c r="F179" s="160"/>
    </row>
    <row r="180" customFormat="false" ht="14.25" hidden="false" customHeight="false" outlineLevel="0" collapsed="false">
      <c r="A180" s="160"/>
      <c r="B180" s="160"/>
      <c r="C180" s="160"/>
      <c r="D180" s="160"/>
      <c r="E180" s="160"/>
      <c r="F180" s="160"/>
    </row>
    <row r="181" customFormat="false" ht="14.25" hidden="false" customHeight="false" outlineLevel="0" collapsed="false">
      <c r="A181" s="160"/>
      <c r="B181" s="160"/>
      <c r="C181" s="160"/>
      <c r="D181" s="160"/>
      <c r="E181" s="160"/>
      <c r="F181" s="160"/>
    </row>
    <row r="182" customFormat="false" ht="14.25" hidden="false" customHeight="false" outlineLevel="0" collapsed="false">
      <c r="A182" s="160"/>
      <c r="B182" s="160"/>
      <c r="C182" s="160"/>
      <c r="D182" s="160"/>
      <c r="E182" s="160"/>
      <c r="F182" s="160"/>
    </row>
    <row r="183" customFormat="false" ht="14.25" hidden="false" customHeight="false" outlineLevel="0" collapsed="false">
      <c r="A183" s="160"/>
      <c r="B183" s="160"/>
      <c r="C183" s="160"/>
      <c r="D183" s="160"/>
      <c r="E183" s="160"/>
      <c r="F183" s="160"/>
    </row>
    <row r="184" customFormat="false" ht="14.25" hidden="false" customHeight="false" outlineLevel="0" collapsed="false">
      <c r="A184" s="160"/>
      <c r="B184" s="160"/>
      <c r="C184" s="160"/>
      <c r="D184" s="160"/>
      <c r="E184" s="160"/>
      <c r="F184" s="160"/>
    </row>
    <row r="185" customFormat="false" ht="14.25" hidden="false" customHeight="false" outlineLevel="0" collapsed="false">
      <c r="A185" s="160"/>
      <c r="B185" s="160"/>
      <c r="C185" s="160"/>
      <c r="D185" s="160"/>
      <c r="E185" s="160"/>
      <c r="F185" s="160"/>
    </row>
    <row r="186" customFormat="false" ht="14.25" hidden="false" customHeight="false" outlineLevel="0" collapsed="false">
      <c r="A186" s="160"/>
      <c r="B186" s="160"/>
      <c r="C186" s="160"/>
      <c r="D186" s="160"/>
      <c r="E186" s="160"/>
      <c r="F186" s="160"/>
    </row>
    <row r="187" customFormat="false" ht="14.25" hidden="false" customHeight="false" outlineLevel="0" collapsed="false">
      <c r="A187" s="160"/>
      <c r="B187" s="160"/>
      <c r="C187" s="160"/>
      <c r="D187" s="160"/>
      <c r="E187" s="160"/>
      <c r="F187" s="160"/>
    </row>
    <row r="188" customFormat="false" ht="14.25" hidden="false" customHeight="false" outlineLevel="0" collapsed="false">
      <c r="A188" s="160"/>
      <c r="B188" s="160"/>
      <c r="C188" s="160"/>
      <c r="D188" s="160"/>
      <c r="E188" s="160"/>
      <c r="F188" s="160"/>
    </row>
    <row r="189" customFormat="false" ht="14.25" hidden="false" customHeight="false" outlineLevel="0" collapsed="false">
      <c r="A189" s="160"/>
      <c r="B189" s="160"/>
      <c r="C189" s="160"/>
      <c r="D189" s="160"/>
      <c r="E189" s="160"/>
      <c r="F189" s="160"/>
    </row>
    <row r="190" customFormat="false" ht="14.25" hidden="false" customHeight="false" outlineLevel="0" collapsed="false">
      <c r="A190" s="160"/>
      <c r="B190" s="160"/>
      <c r="C190" s="160"/>
      <c r="D190" s="160"/>
      <c r="E190" s="160"/>
      <c r="F190" s="160"/>
    </row>
    <row r="191" customFormat="false" ht="14.25" hidden="false" customHeight="false" outlineLevel="0" collapsed="false">
      <c r="A191" s="160"/>
      <c r="B191" s="160"/>
      <c r="C191" s="160"/>
      <c r="D191" s="160"/>
      <c r="E191" s="160"/>
      <c r="F191" s="160"/>
    </row>
    <row r="192" customFormat="false" ht="14.25" hidden="false" customHeight="false" outlineLevel="0" collapsed="false">
      <c r="A192" s="160"/>
      <c r="B192" s="160"/>
      <c r="C192" s="160"/>
      <c r="D192" s="160"/>
      <c r="E192" s="160"/>
      <c r="F192" s="160"/>
    </row>
    <row r="193" customFormat="false" ht="14.25" hidden="false" customHeight="false" outlineLevel="0" collapsed="false">
      <c r="A193" s="160"/>
      <c r="B193" s="160"/>
      <c r="C193" s="160"/>
      <c r="D193" s="160"/>
      <c r="E193" s="160"/>
      <c r="F193" s="160"/>
    </row>
    <row r="194" customFormat="false" ht="14.25" hidden="false" customHeight="false" outlineLevel="0" collapsed="false">
      <c r="A194" s="160"/>
      <c r="B194" s="160"/>
      <c r="C194" s="160"/>
      <c r="D194" s="160"/>
      <c r="E194" s="160"/>
      <c r="F194" s="160"/>
    </row>
    <row r="195" customFormat="false" ht="14.25" hidden="false" customHeight="false" outlineLevel="0" collapsed="false">
      <c r="A195" s="160"/>
      <c r="B195" s="160"/>
      <c r="C195" s="160"/>
      <c r="D195" s="160"/>
      <c r="E195" s="160"/>
      <c r="F195" s="160"/>
    </row>
    <row r="196" customFormat="false" ht="14.25" hidden="false" customHeight="false" outlineLevel="0" collapsed="false">
      <c r="A196" s="160"/>
      <c r="B196" s="160"/>
      <c r="C196" s="160"/>
      <c r="D196" s="160"/>
      <c r="E196" s="160"/>
      <c r="F196" s="160"/>
    </row>
    <row r="197" customFormat="false" ht="14.25" hidden="false" customHeight="false" outlineLevel="0" collapsed="false">
      <c r="A197" s="160"/>
      <c r="B197" s="160"/>
      <c r="C197" s="160"/>
      <c r="D197" s="160"/>
      <c r="E197" s="160"/>
      <c r="F197" s="160"/>
    </row>
    <row r="198" customFormat="false" ht="14.25" hidden="false" customHeight="false" outlineLevel="0" collapsed="false">
      <c r="A198" s="160"/>
      <c r="B198" s="160"/>
      <c r="C198" s="160"/>
      <c r="D198" s="160"/>
      <c r="E198" s="160"/>
      <c r="F198" s="160"/>
    </row>
    <row r="199" customFormat="false" ht="14.25" hidden="false" customHeight="false" outlineLevel="0" collapsed="false">
      <c r="A199" s="160"/>
      <c r="B199" s="160"/>
      <c r="C199" s="160"/>
      <c r="D199" s="160"/>
      <c r="E199" s="160"/>
      <c r="F199" s="160"/>
    </row>
    <row r="200" customFormat="false" ht="14.25" hidden="false" customHeight="false" outlineLevel="0" collapsed="false">
      <c r="A200" s="160"/>
      <c r="B200" s="160"/>
      <c r="C200" s="160"/>
      <c r="D200" s="160"/>
      <c r="E200" s="160"/>
      <c r="F200" s="160"/>
    </row>
    <row r="201" customFormat="false" ht="14.25" hidden="false" customHeight="false" outlineLevel="0" collapsed="false">
      <c r="A201" s="160"/>
      <c r="B201" s="160"/>
      <c r="C201" s="160"/>
      <c r="D201" s="160"/>
      <c r="E201" s="160"/>
      <c r="F201" s="160"/>
    </row>
    <row r="202" customFormat="false" ht="14.25" hidden="false" customHeight="false" outlineLevel="0" collapsed="false">
      <c r="A202" s="160"/>
      <c r="B202" s="160"/>
      <c r="C202" s="160"/>
      <c r="D202" s="160"/>
      <c r="E202" s="160"/>
      <c r="F202" s="160"/>
    </row>
    <row r="203" customFormat="false" ht="14.25" hidden="false" customHeight="false" outlineLevel="0" collapsed="false">
      <c r="A203" s="160"/>
      <c r="B203" s="160"/>
      <c r="C203" s="160"/>
      <c r="D203" s="160"/>
      <c r="E203" s="160"/>
      <c r="F203" s="160"/>
    </row>
    <row r="204" customFormat="false" ht="14.25" hidden="false" customHeight="false" outlineLevel="0" collapsed="false">
      <c r="A204" s="160"/>
      <c r="B204" s="160"/>
      <c r="C204" s="160"/>
      <c r="D204" s="160"/>
      <c r="E204" s="160"/>
      <c r="F204" s="160"/>
    </row>
    <row r="205" customFormat="false" ht="14.25" hidden="false" customHeight="false" outlineLevel="0" collapsed="false">
      <c r="A205" s="160"/>
      <c r="B205" s="160"/>
      <c r="C205" s="160"/>
      <c r="D205" s="160"/>
      <c r="E205" s="160"/>
      <c r="F205" s="160"/>
    </row>
    <row r="206" customFormat="false" ht="14.25" hidden="false" customHeight="false" outlineLevel="0" collapsed="false">
      <c r="A206" s="160"/>
      <c r="B206" s="160"/>
      <c r="C206" s="160"/>
      <c r="D206" s="160"/>
      <c r="E206" s="160"/>
      <c r="F206" s="160"/>
    </row>
    <row r="207" customFormat="false" ht="14.25" hidden="false" customHeight="false" outlineLevel="0" collapsed="false">
      <c r="A207" s="160"/>
      <c r="B207" s="160"/>
      <c r="C207" s="160"/>
      <c r="D207" s="160"/>
      <c r="E207" s="160"/>
      <c r="F207" s="160"/>
    </row>
    <row r="208" customFormat="false" ht="14.25" hidden="false" customHeight="false" outlineLevel="0" collapsed="false">
      <c r="A208" s="160"/>
      <c r="B208" s="160"/>
      <c r="C208" s="160"/>
      <c r="D208" s="160"/>
      <c r="E208" s="160"/>
      <c r="F208" s="160"/>
    </row>
    <row r="209" customFormat="false" ht="14.25" hidden="false" customHeight="false" outlineLevel="0" collapsed="false">
      <c r="A209" s="160"/>
      <c r="B209" s="160"/>
      <c r="C209" s="160"/>
      <c r="D209" s="160"/>
      <c r="E209" s="160"/>
      <c r="F209" s="160"/>
    </row>
    <row r="210" customFormat="false" ht="14.25" hidden="false" customHeight="false" outlineLevel="0" collapsed="false">
      <c r="A210" s="160"/>
      <c r="B210" s="160"/>
      <c r="C210" s="160"/>
      <c r="D210" s="160"/>
      <c r="E210" s="160"/>
      <c r="F210" s="160"/>
    </row>
    <row r="211" customFormat="false" ht="14.25" hidden="false" customHeight="false" outlineLevel="0" collapsed="false">
      <c r="A211" s="160"/>
      <c r="B211" s="160"/>
      <c r="C211" s="160"/>
      <c r="D211" s="160"/>
      <c r="E211" s="160"/>
      <c r="F211" s="160"/>
    </row>
    <row r="212" customFormat="false" ht="14.25" hidden="false" customHeight="false" outlineLevel="0" collapsed="false">
      <c r="A212" s="160"/>
      <c r="B212" s="160"/>
      <c r="C212" s="160"/>
      <c r="D212" s="160"/>
      <c r="E212" s="160"/>
      <c r="F212" s="160"/>
    </row>
    <row r="213" customFormat="false" ht="14.25" hidden="false" customHeight="false" outlineLevel="0" collapsed="false">
      <c r="A213" s="160"/>
      <c r="B213" s="160"/>
      <c r="C213" s="160"/>
      <c r="D213" s="160"/>
      <c r="E213" s="160"/>
      <c r="F213" s="160"/>
    </row>
    <row r="214" customFormat="false" ht="14.25" hidden="false" customHeight="false" outlineLevel="0" collapsed="false">
      <c r="A214" s="160"/>
      <c r="B214" s="160"/>
      <c r="C214" s="160"/>
      <c r="D214" s="160"/>
      <c r="E214" s="160"/>
      <c r="F214" s="160"/>
    </row>
    <row r="215" customFormat="false" ht="14.25" hidden="false" customHeight="false" outlineLevel="0" collapsed="false">
      <c r="A215" s="160"/>
      <c r="B215" s="160"/>
      <c r="C215" s="160"/>
      <c r="D215" s="160"/>
      <c r="E215" s="160"/>
      <c r="F215" s="160"/>
    </row>
    <row r="216" customFormat="false" ht="14.25" hidden="false" customHeight="false" outlineLevel="0" collapsed="false">
      <c r="A216" s="160"/>
      <c r="B216" s="160"/>
      <c r="C216" s="160"/>
      <c r="D216" s="160"/>
      <c r="E216" s="160"/>
      <c r="F216" s="160"/>
    </row>
    <row r="217" customFormat="false" ht="14.25" hidden="false" customHeight="false" outlineLevel="0" collapsed="false">
      <c r="A217" s="160"/>
      <c r="B217" s="160"/>
      <c r="C217" s="160"/>
      <c r="D217" s="160"/>
      <c r="E217" s="160"/>
      <c r="F217" s="160"/>
    </row>
    <row r="218" customFormat="false" ht="14.25" hidden="false" customHeight="false" outlineLevel="0" collapsed="false">
      <c r="A218" s="160"/>
      <c r="B218" s="160"/>
      <c r="C218" s="160"/>
      <c r="D218" s="160"/>
      <c r="E218" s="160"/>
      <c r="F218" s="160"/>
    </row>
    <row r="219" customFormat="false" ht="14.25" hidden="false" customHeight="false" outlineLevel="0" collapsed="false">
      <c r="A219" s="160"/>
      <c r="B219" s="160"/>
      <c r="C219" s="160"/>
      <c r="D219" s="160"/>
      <c r="E219" s="160"/>
      <c r="F219" s="160"/>
    </row>
    <row r="220" customFormat="false" ht="14.25" hidden="false" customHeight="false" outlineLevel="0" collapsed="false">
      <c r="A220" s="160"/>
      <c r="B220" s="160"/>
      <c r="C220" s="160"/>
      <c r="D220" s="160"/>
      <c r="E220" s="160"/>
      <c r="F220" s="160"/>
    </row>
    <row r="221" customFormat="false" ht="14.25" hidden="false" customHeight="false" outlineLevel="0" collapsed="false">
      <c r="A221" s="160"/>
      <c r="B221" s="160"/>
      <c r="C221" s="160"/>
      <c r="D221" s="160"/>
      <c r="E221" s="160"/>
      <c r="F221" s="160"/>
    </row>
    <row r="222" customFormat="false" ht="14.25" hidden="false" customHeight="false" outlineLevel="0" collapsed="false">
      <c r="A222" s="160"/>
      <c r="B222" s="160"/>
      <c r="C222" s="160"/>
      <c r="D222" s="160"/>
      <c r="E222" s="160"/>
      <c r="F222" s="160"/>
    </row>
    <row r="223" customFormat="false" ht="14.25" hidden="false" customHeight="false" outlineLevel="0" collapsed="false">
      <c r="A223" s="160"/>
      <c r="B223" s="160"/>
      <c r="C223" s="160"/>
      <c r="D223" s="160"/>
      <c r="E223" s="160"/>
      <c r="F223" s="160"/>
    </row>
    <row r="224" customFormat="false" ht="14.25" hidden="false" customHeight="false" outlineLevel="0" collapsed="false">
      <c r="A224" s="160"/>
      <c r="B224" s="160"/>
      <c r="C224" s="160"/>
      <c r="D224" s="160"/>
      <c r="E224" s="160"/>
      <c r="F224" s="160"/>
    </row>
    <row r="225" customFormat="false" ht="14.25" hidden="false" customHeight="false" outlineLevel="0" collapsed="false">
      <c r="A225" s="160"/>
      <c r="B225" s="160"/>
      <c r="C225" s="160"/>
      <c r="D225" s="160"/>
      <c r="E225" s="160"/>
      <c r="F225" s="160"/>
    </row>
    <row r="226" customFormat="false" ht="14.25" hidden="false" customHeight="false" outlineLevel="0" collapsed="false">
      <c r="A226" s="160"/>
      <c r="B226" s="160"/>
      <c r="C226" s="160"/>
      <c r="D226" s="160"/>
      <c r="E226" s="160"/>
      <c r="F226" s="160"/>
    </row>
    <row r="227" customFormat="false" ht="14.25" hidden="false" customHeight="false" outlineLevel="0" collapsed="false">
      <c r="A227" s="160"/>
      <c r="B227" s="160"/>
      <c r="C227" s="160"/>
      <c r="D227" s="160"/>
      <c r="E227" s="160"/>
      <c r="F227" s="160"/>
    </row>
    <row r="228" customFormat="false" ht="14.25" hidden="false" customHeight="false" outlineLevel="0" collapsed="false">
      <c r="A228" s="160"/>
      <c r="B228" s="160"/>
      <c r="C228" s="160"/>
      <c r="D228" s="160"/>
      <c r="E228" s="160"/>
      <c r="F228" s="160"/>
    </row>
    <row r="229" customFormat="false" ht="14.25" hidden="false" customHeight="false" outlineLevel="0" collapsed="false">
      <c r="A229" s="160"/>
      <c r="B229" s="160"/>
      <c r="C229" s="160"/>
      <c r="D229" s="160"/>
      <c r="E229" s="160"/>
      <c r="F229" s="160"/>
    </row>
    <row r="230" customFormat="false" ht="14.25" hidden="false" customHeight="false" outlineLevel="0" collapsed="false">
      <c r="A230" s="160"/>
      <c r="B230" s="160"/>
      <c r="C230" s="160"/>
      <c r="D230" s="160"/>
      <c r="E230" s="160"/>
      <c r="F230" s="160"/>
    </row>
    <row r="231" customFormat="false" ht="14.25" hidden="false" customHeight="false" outlineLevel="0" collapsed="false">
      <c r="A231" s="160"/>
      <c r="B231" s="160"/>
      <c r="C231" s="160"/>
      <c r="D231" s="160"/>
      <c r="E231" s="160"/>
      <c r="F231" s="160"/>
    </row>
    <row r="232" customFormat="false" ht="14.25" hidden="false" customHeight="false" outlineLevel="0" collapsed="false">
      <c r="A232" s="160"/>
      <c r="B232" s="160"/>
      <c r="C232" s="160"/>
      <c r="D232" s="160"/>
      <c r="E232" s="160"/>
      <c r="F232" s="160"/>
    </row>
    <row r="233" customFormat="false" ht="14.25" hidden="false" customHeight="false" outlineLevel="0" collapsed="false">
      <c r="A233" s="160"/>
      <c r="B233" s="160"/>
      <c r="C233" s="160"/>
      <c r="D233" s="160"/>
      <c r="E233" s="160"/>
      <c r="F233" s="160"/>
    </row>
    <row r="234" customFormat="false" ht="14.25" hidden="false" customHeight="false" outlineLevel="0" collapsed="false">
      <c r="A234" s="160"/>
      <c r="B234" s="160"/>
      <c r="C234" s="160"/>
      <c r="D234" s="160"/>
      <c r="E234" s="160"/>
      <c r="F234" s="160"/>
    </row>
    <row r="235" customFormat="false" ht="14.25" hidden="false" customHeight="false" outlineLevel="0" collapsed="false">
      <c r="A235" s="160"/>
      <c r="B235" s="160"/>
      <c r="C235" s="160"/>
      <c r="D235" s="160"/>
      <c r="E235" s="160"/>
      <c r="F235" s="160"/>
    </row>
    <row r="236" customFormat="false" ht="14.25" hidden="false" customHeight="false" outlineLevel="0" collapsed="false">
      <c r="A236" s="160"/>
      <c r="B236" s="160"/>
      <c r="C236" s="160"/>
      <c r="D236" s="160"/>
      <c r="E236" s="160"/>
      <c r="F236" s="160"/>
    </row>
    <row r="237" customFormat="false" ht="14.25" hidden="false" customHeight="false" outlineLevel="0" collapsed="false">
      <c r="A237" s="160"/>
      <c r="B237" s="160"/>
      <c r="C237" s="160"/>
      <c r="D237" s="160"/>
      <c r="E237" s="160"/>
      <c r="F237" s="160"/>
    </row>
    <row r="238" customFormat="false" ht="14.25" hidden="false" customHeight="false" outlineLevel="0" collapsed="false">
      <c r="A238" s="160"/>
      <c r="B238" s="160"/>
      <c r="C238" s="160"/>
      <c r="D238" s="160"/>
      <c r="E238" s="160"/>
      <c r="F238" s="160"/>
    </row>
    <row r="239" customFormat="false" ht="14.25" hidden="false" customHeight="false" outlineLevel="0" collapsed="false">
      <c r="A239" s="160"/>
      <c r="B239" s="160"/>
      <c r="C239" s="160"/>
      <c r="D239" s="160"/>
      <c r="E239" s="160"/>
      <c r="F239" s="160"/>
    </row>
    <row r="240" customFormat="false" ht="14.25" hidden="false" customHeight="false" outlineLevel="0" collapsed="false">
      <c r="A240" s="160"/>
      <c r="B240" s="160"/>
      <c r="C240" s="160"/>
      <c r="D240" s="160"/>
      <c r="E240" s="160"/>
      <c r="F240" s="160"/>
    </row>
    <row r="241" customFormat="false" ht="14.25" hidden="false" customHeight="false" outlineLevel="0" collapsed="false">
      <c r="A241" s="160"/>
      <c r="B241" s="160"/>
      <c r="C241" s="160"/>
      <c r="D241" s="160"/>
      <c r="E241" s="160"/>
      <c r="F241" s="160"/>
    </row>
    <row r="242" customFormat="false" ht="14.25" hidden="false" customHeight="false" outlineLevel="0" collapsed="false">
      <c r="A242" s="160"/>
      <c r="B242" s="160"/>
      <c r="C242" s="160"/>
      <c r="D242" s="160"/>
      <c r="E242" s="160"/>
      <c r="F242" s="160"/>
    </row>
    <row r="243" customFormat="false" ht="14.25" hidden="false" customHeight="false" outlineLevel="0" collapsed="false">
      <c r="A243" s="160"/>
      <c r="B243" s="160"/>
      <c r="C243" s="160"/>
      <c r="D243" s="160"/>
      <c r="E243" s="160"/>
      <c r="F243" s="160"/>
    </row>
    <row r="244" customFormat="false" ht="14.25" hidden="false" customHeight="false" outlineLevel="0" collapsed="false">
      <c r="A244" s="160"/>
      <c r="B244" s="160"/>
      <c r="C244" s="160"/>
      <c r="D244" s="160"/>
      <c r="E244" s="160"/>
      <c r="F244" s="160"/>
    </row>
    <row r="245" customFormat="false" ht="14.25" hidden="false" customHeight="false" outlineLevel="0" collapsed="false">
      <c r="A245" s="160"/>
      <c r="B245" s="160"/>
      <c r="C245" s="160"/>
      <c r="D245" s="160"/>
      <c r="E245" s="160"/>
      <c r="F245" s="160"/>
    </row>
    <row r="246" customFormat="false" ht="14.25" hidden="false" customHeight="false" outlineLevel="0" collapsed="false">
      <c r="A246" s="160"/>
      <c r="B246" s="160"/>
      <c r="C246" s="160"/>
      <c r="D246" s="160"/>
      <c r="E246" s="160"/>
      <c r="F246" s="160"/>
    </row>
    <row r="247" customFormat="false" ht="14.25" hidden="false" customHeight="false" outlineLevel="0" collapsed="false">
      <c r="A247" s="160"/>
      <c r="B247" s="160"/>
      <c r="C247" s="160"/>
      <c r="D247" s="160"/>
      <c r="E247" s="160"/>
      <c r="F247" s="160"/>
    </row>
    <row r="248" customFormat="false" ht="14.25" hidden="false" customHeight="false" outlineLevel="0" collapsed="false">
      <c r="A248" s="160"/>
      <c r="B248" s="160"/>
      <c r="C248" s="160"/>
      <c r="D248" s="160"/>
      <c r="E248" s="160"/>
      <c r="F248" s="160"/>
    </row>
    <row r="249" customFormat="false" ht="14.25" hidden="false" customHeight="false" outlineLevel="0" collapsed="false">
      <c r="A249" s="160"/>
      <c r="B249" s="160"/>
      <c r="C249" s="160"/>
      <c r="D249" s="160"/>
      <c r="E249" s="160"/>
      <c r="F249" s="160"/>
    </row>
    <row r="250" customFormat="false" ht="14.25" hidden="false" customHeight="false" outlineLevel="0" collapsed="false">
      <c r="A250" s="160"/>
      <c r="B250" s="160"/>
      <c r="C250" s="160"/>
      <c r="D250" s="160"/>
      <c r="E250" s="160"/>
      <c r="F250" s="160"/>
    </row>
    <row r="251" customFormat="false" ht="14.25" hidden="false" customHeight="false" outlineLevel="0" collapsed="false">
      <c r="A251" s="160"/>
      <c r="B251" s="160"/>
      <c r="C251" s="160"/>
      <c r="D251" s="160"/>
      <c r="E251" s="160"/>
      <c r="F251" s="160"/>
    </row>
    <row r="252" customFormat="false" ht="14.25" hidden="false" customHeight="false" outlineLevel="0" collapsed="false">
      <c r="A252" s="160"/>
      <c r="B252" s="160"/>
      <c r="C252" s="160"/>
      <c r="D252" s="160"/>
      <c r="E252" s="160"/>
      <c r="F252" s="160"/>
    </row>
    <row r="253" customFormat="false" ht="14.25" hidden="false" customHeight="false" outlineLevel="0" collapsed="false">
      <c r="A253" s="160"/>
      <c r="B253" s="160"/>
      <c r="C253" s="160"/>
      <c r="D253" s="160"/>
      <c r="E253" s="160"/>
      <c r="F253" s="160"/>
    </row>
    <row r="254" customFormat="false" ht="14.25" hidden="false" customHeight="false" outlineLevel="0" collapsed="false">
      <c r="A254" s="160"/>
      <c r="B254" s="160"/>
      <c r="C254" s="160"/>
      <c r="D254" s="160"/>
      <c r="E254" s="160"/>
      <c r="F254" s="160"/>
    </row>
    <row r="255" customFormat="false" ht="14.25" hidden="false" customHeight="false" outlineLevel="0" collapsed="false">
      <c r="A255" s="160"/>
      <c r="B255" s="160"/>
      <c r="C255" s="160"/>
      <c r="D255" s="160"/>
      <c r="E255" s="160"/>
      <c r="F255" s="160"/>
    </row>
    <row r="256" customFormat="false" ht="14.25" hidden="false" customHeight="false" outlineLevel="0" collapsed="false">
      <c r="A256" s="160"/>
      <c r="B256" s="160"/>
      <c r="C256" s="160"/>
      <c r="D256" s="160"/>
      <c r="E256" s="160"/>
      <c r="F256" s="160"/>
    </row>
    <row r="257" customFormat="false" ht="14.25" hidden="false" customHeight="false" outlineLevel="0" collapsed="false">
      <c r="A257" s="160"/>
      <c r="B257" s="160"/>
      <c r="C257" s="160"/>
      <c r="D257" s="160"/>
      <c r="E257" s="160"/>
      <c r="F257" s="160"/>
    </row>
    <row r="258" customFormat="false" ht="14.25" hidden="false" customHeight="false" outlineLevel="0" collapsed="false">
      <c r="A258" s="160"/>
      <c r="B258" s="160"/>
      <c r="C258" s="160"/>
      <c r="D258" s="160"/>
      <c r="E258" s="160"/>
      <c r="F258" s="160"/>
    </row>
    <row r="259" customFormat="false" ht="14.25" hidden="false" customHeight="false" outlineLevel="0" collapsed="false">
      <c r="A259" s="160"/>
      <c r="B259" s="160"/>
      <c r="C259" s="160"/>
      <c r="D259" s="160"/>
      <c r="E259" s="160"/>
      <c r="F259" s="160"/>
    </row>
    <row r="260" customFormat="false" ht="14.25" hidden="false" customHeight="false" outlineLevel="0" collapsed="false">
      <c r="A260" s="160"/>
      <c r="B260" s="160"/>
      <c r="C260" s="160"/>
      <c r="D260" s="160"/>
      <c r="E260" s="160"/>
      <c r="F260" s="160"/>
    </row>
    <row r="261" customFormat="false" ht="14.25" hidden="false" customHeight="false" outlineLevel="0" collapsed="false">
      <c r="A261" s="160"/>
      <c r="B261" s="160"/>
      <c r="C261" s="160"/>
      <c r="D261" s="160"/>
      <c r="E261" s="160"/>
      <c r="F261" s="160"/>
    </row>
    <row r="262" customFormat="false" ht="14.25" hidden="false" customHeight="false" outlineLevel="0" collapsed="false">
      <c r="A262" s="160"/>
      <c r="B262" s="160"/>
      <c r="C262" s="160"/>
      <c r="D262" s="160"/>
      <c r="E262" s="160"/>
      <c r="F262" s="160"/>
    </row>
    <row r="263" customFormat="false" ht="14.25" hidden="false" customHeight="false" outlineLevel="0" collapsed="false">
      <c r="A263" s="160"/>
      <c r="B263" s="160"/>
      <c r="C263" s="160"/>
      <c r="D263" s="160"/>
      <c r="E263" s="160"/>
      <c r="F263" s="160"/>
    </row>
    <row r="264" customFormat="false" ht="14.25" hidden="false" customHeight="false" outlineLevel="0" collapsed="false">
      <c r="A264" s="160"/>
      <c r="B264" s="160"/>
      <c r="C264" s="160"/>
      <c r="D264" s="160"/>
      <c r="E264" s="160"/>
      <c r="F264" s="160"/>
    </row>
    <row r="265" customFormat="false" ht="14.25" hidden="false" customHeight="false" outlineLevel="0" collapsed="false">
      <c r="A265" s="160"/>
      <c r="B265" s="160"/>
      <c r="C265" s="160"/>
      <c r="D265" s="160"/>
      <c r="E265" s="160"/>
      <c r="F265" s="160"/>
    </row>
    <row r="266" customFormat="false" ht="14.25" hidden="false" customHeight="false" outlineLevel="0" collapsed="false">
      <c r="A266" s="160"/>
      <c r="B266" s="160"/>
      <c r="C266" s="160"/>
      <c r="D266" s="160"/>
      <c r="E266" s="160"/>
      <c r="F266" s="160"/>
    </row>
    <row r="267" customFormat="false" ht="14.25" hidden="false" customHeight="false" outlineLevel="0" collapsed="false">
      <c r="A267" s="160"/>
      <c r="B267" s="160"/>
      <c r="C267" s="160"/>
      <c r="D267" s="160"/>
      <c r="E267" s="160"/>
      <c r="F267" s="160"/>
    </row>
    <row r="268" customFormat="false" ht="14.25" hidden="false" customHeight="false" outlineLevel="0" collapsed="false">
      <c r="A268" s="160"/>
      <c r="B268" s="160"/>
      <c r="C268" s="160"/>
      <c r="D268" s="160"/>
      <c r="E268" s="160"/>
      <c r="F268" s="160"/>
    </row>
    <row r="269" customFormat="false" ht="14.25" hidden="false" customHeight="false" outlineLevel="0" collapsed="false">
      <c r="A269" s="160"/>
      <c r="B269" s="160"/>
      <c r="C269" s="160"/>
      <c r="D269" s="160"/>
      <c r="E269" s="160"/>
      <c r="F269" s="160"/>
    </row>
    <row r="270" customFormat="false" ht="14.25" hidden="false" customHeight="false" outlineLevel="0" collapsed="false">
      <c r="A270" s="160"/>
      <c r="B270" s="160"/>
      <c r="C270" s="160"/>
      <c r="D270" s="160"/>
      <c r="E270" s="160"/>
      <c r="F270" s="160"/>
    </row>
    <row r="271" customFormat="false" ht="14.25" hidden="false" customHeight="false" outlineLevel="0" collapsed="false">
      <c r="A271" s="160"/>
      <c r="B271" s="160"/>
      <c r="C271" s="160"/>
      <c r="D271" s="160"/>
      <c r="E271" s="160"/>
      <c r="F271" s="160"/>
    </row>
    <row r="272" customFormat="false" ht="14.25" hidden="false" customHeight="false" outlineLevel="0" collapsed="false">
      <c r="A272" s="160"/>
      <c r="B272" s="160"/>
      <c r="C272" s="160"/>
      <c r="D272" s="160"/>
      <c r="E272" s="160"/>
      <c r="F272" s="160"/>
    </row>
    <row r="273" customFormat="false" ht="14.25" hidden="false" customHeight="false" outlineLevel="0" collapsed="false">
      <c r="A273" s="160"/>
      <c r="B273" s="160"/>
      <c r="C273" s="160"/>
      <c r="D273" s="160"/>
      <c r="E273" s="160"/>
      <c r="F273" s="160"/>
    </row>
    <row r="274" customFormat="false" ht="14.25" hidden="false" customHeight="false" outlineLevel="0" collapsed="false">
      <c r="A274" s="160"/>
      <c r="B274" s="160"/>
      <c r="C274" s="160"/>
      <c r="D274" s="160"/>
      <c r="E274" s="160"/>
      <c r="F274" s="160"/>
    </row>
    <row r="275" customFormat="false" ht="14.25" hidden="false" customHeight="false" outlineLevel="0" collapsed="false">
      <c r="A275" s="160"/>
      <c r="B275" s="160"/>
      <c r="C275" s="160"/>
      <c r="D275" s="160"/>
      <c r="E275" s="160"/>
      <c r="F275" s="160"/>
    </row>
    <row r="276" customFormat="false" ht="14.25" hidden="false" customHeight="false" outlineLevel="0" collapsed="false">
      <c r="A276" s="160"/>
      <c r="B276" s="160"/>
      <c r="C276" s="160"/>
      <c r="D276" s="160"/>
      <c r="E276" s="160"/>
      <c r="F276" s="160"/>
    </row>
    <row r="277" customFormat="false" ht="14.25" hidden="false" customHeight="false" outlineLevel="0" collapsed="false">
      <c r="A277" s="160"/>
      <c r="B277" s="160"/>
      <c r="C277" s="160"/>
      <c r="D277" s="160"/>
      <c r="E277" s="160"/>
      <c r="F277" s="160"/>
    </row>
    <row r="278" customFormat="false" ht="14.25" hidden="false" customHeight="false" outlineLevel="0" collapsed="false">
      <c r="A278" s="160"/>
      <c r="B278" s="160"/>
      <c r="C278" s="160"/>
      <c r="D278" s="160"/>
      <c r="E278" s="160"/>
      <c r="F278" s="160"/>
    </row>
    <row r="279" customFormat="false" ht="14.25" hidden="false" customHeight="false" outlineLevel="0" collapsed="false">
      <c r="A279" s="160"/>
      <c r="B279" s="160"/>
      <c r="C279" s="160"/>
      <c r="D279" s="160"/>
      <c r="E279" s="160"/>
      <c r="F279" s="160"/>
    </row>
    <row r="280" customFormat="false" ht="14.25" hidden="false" customHeight="false" outlineLevel="0" collapsed="false">
      <c r="A280" s="160"/>
      <c r="B280" s="160"/>
      <c r="C280" s="160"/>
      <c r="D280" s="160"/>
      <c r="E280" s="160"/>
      <c r="F280" s="160"/>
    </row>
    <row r="281" customFormat="false" ht="14.25" hidden="false" customHeight="false" outlineLevel="0" collapsed="false">
      <c r="A281" s="160"/>
      <c r="B281" s="160"/>
      <c r="C281" s="160"/>
      <c r="D281" s="160"/>
      <c r="E281" s="160"/>
      <c r="F281" s="160"/>
    </row>
    <row r="282" customFormat="false" ht="14.25" hidden="false" customHeight="false" outlineLevel="0" collapsed="false">
      <c r="A282" s="160"/>
      <c r="B282" s="160"/>
      <c r="C282" s="160"/>
      <c r="D282" s="160"/>
      <c r="E282" s="160"/>
      <c r="F282" s="160"/>
    </row>
    <row r="283" customFormat="false" ht="14.25" hidden="false" customHeight="false" outlineLevel="0" collapsed="false">
      <c r="A283" s="160"/>
      <c r="B283" s="160"/>
      <c r="C283" s="160"/>
      <c r="D283" s="160"/>
      <c r="E283" s="160"/>
      <c r="F283" s="160"/>
    </row>
    <row r="284" customFormat="false" ht="14.25" hidden="false" customHeight="false" outlineLevel="0" collapsed="false">
      <c r="A284" s="160"/>
      <c r="B284" s="160"/>
      <c r="C284" s="160"/>
      <c r="D284" s="160"/>
      <c r="E284" s="160"/>
      <c r="F284" s="160"/>
    </row>
    <row r="285" customFormat="false" ht="14.25" hidden="false" customHeight="false" outlineLevel="0" collapsed="false">
      <c r="A285" s="160"/>
      <c r="B285" s="160"/>
      <c r="C285" s="160"/>
      <c r="D285" s="160"/>
      <c r="E285" s="160"/>
      <c r="F285" s="160"/>
    </row>
    <row r="286" customFormat="false" ht="14.25" hidden="false" customHeight="false" outlineLevel="0" collapsed="false">
      <c r="A286" s="160"/>
      <c r="B286" s="160"/>
      <c r="C286" s="160"/>
      <c r="D286" s="160"/>
      <c r="E286" s="160"/>
      <c r="F286" s="160"/>
    </row>
    <row r="287" customFormat="false" ht="14.25" hidden="false" customHeight="false" outlineLevel="0" collapsed="false">
      <c r="A287" s="160"/>
      <c r="B287" s="160"/>
      <c r="C287" s="160"/>
      <c r="D287" s="160"/>
      <c r="E287" s="160"/>
      <c r="F287" s="160"/>
    </row>
    <row r="288" customFormat="false" ht="14.25" hidden="false" customHeight="false" outlineLevel="0" collapsed="false">
      <c r="A288" s="160"/>
      <c r="B288" s="160"/>
      <c r="C288" s="160"/>
      <c r="D288" s="160"/>
      <c r="E288" s="160"/>
      <c r="F288" s="160"/>
    </row>
    <row r="289" customFormat="false" ht="14.25" hidden="false" customHeight="false" outlineLevel="0" collapsed="false">
      <c r="A289" s="160"/>
      <c r="B289" s="160"/>
      <c r="C289" s="160"/>
      <c r="D289" s="160"/>
      <c r="E289" s="160"/>
      <c r="F289" s="160"/>
    </row>
    <row r="290" customFormat="false" ht="14.25" hidden="false" customHeight="false" outlineLevel="0" collapsed="false">
      <c r="A290" s="160"/>
      <c r="B290" s="160"/>
      <c r="C290" s="160"/>
      <c r="D290" s="160"/>
      <c r="E290" s="160"/>
      <c r="F290" s="160"/>
    </row>
    <row r="291" customFormat="false" ht="14.25" hidden="false" customHeight="false" outlineLevel="0" collapsed="false">
      <c r="A291" s="160"/>
      <c r="B291" s="160"/>
      <c r="C291" s="160"/>
      <c r="D291" s="160"/>
      <c r="E291" s="160"/>
      <c r="F291" s="160"/>
    </row>
    <row r="292" customFormat="false" ht="14.25" hidden="false" customHeight="false" outlineLevel="0" collapsed="false">
      <c r="A292" s="160"/>
      <c r="B292" s="160"/>
      <c r="C292" s="160"/>
      <c r="D292" s="160"/>
      <c r="E292" s="160"/>
      <c r="F292" s="160"/>
    </row>
    <row r="293" customFormat="false" ht="14.25" hidden="false" customHeight="false" outlineLevel="0" collapsed="false">
      <c r="A293" s="160"/>
      <c r="B293" s="160"/>
      <c r="C293" s="160"/>
      <c r="D293" s="160"/>
      <c r="E293" s="160"/>
      <c r="F293" s="160"/>
    </row>
    <row r="294" customFormat="false" ht="14.25" hidden="false" customHeight="false" outlineLevel="0" collapsed="false">
      <c r="A294" s="160"/>
      <c r="B294" s="160"/>
      <c r="C294" s="160"/>
      <c r="D294" s="160"/>
      <c r="E294" s="160"/>
      <c r="F294" s="160"/>
    </row>
    <row r="295" customFormat="false" ht="14.25" hidden="false" customHeight="false" outlineLevel="0" collapsed="false">
      <c r="A295" s="160"/>
      <c r="B295" s="160"/>
      <c r="C295" s="160"/>
      <c r="D295" s="160"/>
      <c r="E295" s="160"/>
      <c r="F295" s="160"/>
    </row>
    <row r="296" customFormat="false" ht="14.25" hidden="false" customHeight="false" outlineLevel="0" collapsed="false">
      <c r="A296" s="160"/>
      <c r="B296" s="160"/>
      <c r="C296" s="160"/>
      <c r="D296" s="160"/>
      <c r="E296" s="160"/>
      <c r="F296" s="160"/>
    </row>
    <row r="297" customFormat="false" ht="14.25" hidden="false" customHeight="false" outlineLevel="0" collapsed="false">
      <c r="A297" s="160"/>
      <c r="B297" s="160"/>
      <c r="C297" s="160"/>
      <c r="D297" s="160"/>
      <c r="E297" s="160"/>
      <c r="F297" s="160"/>
    </row>
    <row r="298" customFormat="false" ht="14.25" hidden="false" customHeight="false" outlineLevel="0" collapsed="false">
      <c r="A298" s="160"/>
      <c r="B298" s="160"/>
      <c r="C298" s="160"/>
      <c r="D298" s="160"/>
      <c r="E298" s="160"/>
      <c r="F298" s="160"/>
    </row>
    <row r="299" customFormat="false" ht="14.25" hidden="false" customHeight="false" outlineLevel="0" collapsed="false">
      <c r="A299" s="160"/>
      <c r="B299" s="160"/>
      <c r="C299" s="160"/>
      <c r="D299" s="160"/>
      <c r="E299" s="160"/>
      <c r="F299" s="160"/>
    </row>
    <row r="300" customFormat="false" ht="14.25" hidden="false" customHeight="false" outlineLevel="0" collapsed="false">
      <c r="A300" s="160"/>
      <c r="B300" s="160"/>
      <c r="C300" s="160"/>
      <c r="D300" s="160"/>
      <c r="E300" s="160"/>
      <c r="F300" s="160"/>
    </row>
    <row r="301" customFormat="false" ht="14.25" hidden="false" customHeight="false" outlineLevel="0" collapsed="false">
      <c r="A301" s="160"/>
      <c r="B301" s="160"/>
      <c r="C301" s="160"/>
      <c r="D301" s="160"/>
      <c r="E301" s="160"/>
      <c r="F301" s="160"/>
    </row>
    <row r="302" customFormat="false" ht="14.25" hidden="false" customHeight="false" outlineLevel="0" collapsed="false">
      <c r="A302" s="160"/>
      <c r="B302" s="160"/>
      <c r="C302" s="160"/>
      <c r="D302" s="160"/>
      <c r="E302" s="160"/>
      <c r="F302" s="160"/>
    </row>
    <row r="303" customFormat="false" ht="14.25" hidden="false" customHeight="false" outlineLevel="0" collapsed="false">
      <c r="A303" s="160"/>
      <c r="B303" s="160"/>
      <c r="C303" s="160"/>
      <c r="D303" s="160"/>
      <c r="E303" s="160"/>
      <c r="F303" s="160"/>
    </row>
    <row r="304" customFormat="false" ht="14.25" hidden="false" customHeight="false" outlineLevel="0" collapsed="false">
      <c r="A304" s="160"/>
      <c r="B304" s="160"/>
      <c r="C304" s="160"/>
      <c r="D304" s="160"/>
      <c r="E304" s="160"/>
      <c r="F304" s="160"/>
    </row>
    <row r="305" customFormat="false" ht="14.25" hidden="false" customHeight="false" outlineLevel="0" collapsed="false">
      <c r="A305" s="160"/>
      <c r="B305" s="160"/>
      <c r="C305" s="160"/>
      <c r="D305" s="160"/>
      <c r="E305" s="160"/>
      <c r="F305" s="160"/>
    </row>
    <row r="306" customFormat="false" ht="14.25" hidden="false" customHeight="false" outlineLevel="0" collapsed="false">
      <c r="A306" s="160"/>
      <c r="B306" s="160"/>
      <c r="C306" s="160"/>
      <c r="D306" s="160"/>
      <c r="E306" s="160"/>
      <c r="F306" s="160"/>
    </row>
    <row r="307" customFormat="false" ht="14.25" hidden="false" customHeight="false" outlineLevel="0" collapsed="false">
      <c r="A307" s="160"/>
      <c r="B307" s="160"/>
      <c r="C307" s="160"/>
      <c r="D307" s="160"/>
      <c r="E307" s="160"/>
      <c r="F307" s="160"/>
    </row>
    <row r="308" customFormat="false" ht="14.25" hidden="false" customHeight="false" outlineLevel="0" collapsed="false">
      <c r="A308" s="160"/>
      <c r="B308" s="160"/>
      <c r="C308" s="160"/>
      <c r="D308" s="160"/>
      <c r="E308" s="160"/>
      <c r="F308" s="160"/>
    </row>
    <row r="309" customFormat="false" ht="14.25" hidden="false" customHeight="false" outlineLevel="0" collapsed="false">
      <c r="A309" s="160"/>
      <c r="B309" s="160"/>
      <c r="C309" s="160"/>
      <c r="D309" s="160"/>
      <c r="E309" s="160"/>
      <c r="F309" s="160"/>
    </row>
    <row r="310" customFormat="false" ht="14.25" hidden="false" customHeight="false" outlineLevel="0" collapsed="false">
      <c r="A310" s="160"/>
      <c r="B310" s="160"/>
      <c r="C310" s="160"/>
      <c r="D310" s="160"/>
      <c r="E310" s="160"/>
      <c r="F310" s="160"/>
    </row>
    <row r="311" customFormat="false" ht="14.25" hidden="false" customHeight="false" outlineLevel="0" collapsed="false">
      <c r="A311" s="160"/>
      <c r="B311" s="160"/>
      <c r="C311" s="160"/>
      <c r="D311" s="160"/>
      <c r="E311" s="160"/>
      <c r="F311" s="160"/>
    </row>
    <row r="312" customFormat="false" ht="14.25" hidden="false" customHeight="false" outlineLevel="0" collapsed="false">
      <c r="A312" s="160"/>
      <c r="B312" s="160"/>
      <c r="C312" s="160"/>
      <c r="D312" s="160"/>
      <c r="E312" s="160"/>
      <c r="F312" s="160"/>
    </row>
    <row r="313" customFormat="false" ht="14.25" hidden="false" customHeight="false" outlineLevel="0" collapsed="false">
      <c r="A313" s="160"/>
      <c r="B313" s="160"/>
      <c r="C313" s="160"/>
      <c r="D313" s="160"/>
      <c r="E313" s="160"/>
      <c r="F313" s="160"/>
    </row>
    <row r="314" customFormat="false" ht="14.25" hidden="false" customHeight="false" outlineLevel="0" collapsed="false">
      <c r="A314" s="160"/>
      <c r="B314" s="160"/>
      <c r="C314" s="160"/>
      <c r="D314" s="160"/>
      <c r="E314" s="160"/>
      <c r="F314" s="160"/>
    </row>
    <row r="315" customFormat="false" ht="14.25" hidden="false" customHeight="false" outlineLevel="0" collapsed="false">
      <c r="A315" s="160"/>
      <c r="B315" s="160"/>
      <c r="C315" s="160"/>
      <c r="D315" s="160"/>
      <c r="E315" s="160"/>
      <c r="F315" s="160"/>
    </row>
    <row r="316" customFormat="false" ht="14.25" hidden="false" customHeight="false" outlineLevel="0" collapsed="false">
      <c r="A316" s="160"/>
      <c r="B316" s="160"/>
      <c r="C316" s="160"/>
      <c r="D316" s="160"/>
      <c r="E316" s="160"/>
      <c r="F316" s="160"/>
    </row>
    <row r="317" customFormat="false" ht="14.25" hidden="false" customHeight="false" outlineLevel="0" collapsed="false">
      <c r="A317" s="160"/>
      <c r="B317" s="160"/>
      <c r="C317" s="160"/>
      <c r="D317" s="160"/>
      <c r="E317" s="160"/>
      <c r="F317" s="160"/>
    </row>
    <row r="318" customFormat="false" ht="14.25" hidden="false" customHeight="false" outlineLevel="0" collapsed="false">
      <c r="A318" s="160"/>
      <c r="B318" s="160"/>
      <c r="C318" s="160"/>
      <c r="D318" s="160"/>
      <c r="E318" s="160"/>
      <c r="F318" s="160"/>
    </row>
    <row r="319" customFormat="false" ht="14.25" hidden="false" customHeight="false" outlineLevel="0" collapsed="false">
      <c r="A319" s="160"/>
      <c r="B319" s="160"/>
      <c r="C319" s="160"/>
      <c r="D319" s="160"/>
      <c r="E319" s="160"/>
      <c r="F319" s="160"/>
    </row>
    <row r="320" customFormat="false" ht="14.25" hidden="false" customHeight="false" outlineLevel="0" collapsed="false">
      <c r="A320" s="160"/>
      <c r="B320" s="160"/>
      <c r="C320" s="160"/>
      <c r="D320" s="160"/>
      <c r="E320" s="160"/>
      <c r="F320" s="160"/>
    </row>
    <row r="321" customFormat="false" ht="14.25" hidden="false" customHeight="false" outlineLevel="0" collapsed="false">
      <c r="A321" s="160"/>
      <c r="B321" s="160"/>
      <c r="C321" s="160"/>
      <c r="D321" s="160"/>
      <c r="E321" s="160"/>
      <c r="F321" s="160"/>
    </row>
    <row r="322" customFormat="false" ht="14.25" hidden="false" customHeight="false" outlineLevel="0" collapsed="false">
      <c r="A322" s="160"/>
      <c r="B322" s="160"/>
      <c r="C322" s="160"/>
      <c r="D322" s="160"/>
      <c r="E322" s="160"/>
      <c r="F322" s="160"/>
    </row>
    <row r="323" customFormat="false" ht="14.25" hidden="false" customHeight="false" outlineLevel="0" collapsed="false">
      <c r="A323" s="160"/>
      <c r="B323" s="160"/>
      <c r="C323" s="160"/>
      <c r="D323" s="160"/>
      <c r="E323" s="160"/>
      <c r="F323" s="160"/>
    </row>
    <row r="324" customFormat="false" ht="14.25" hidden="false" customHeight="false" outlineLevel="0" collapsed="false">
      <c r="A324" s="160"/>
      <c r="B324" s="160"/>
      <c r="C324" s="160"/>
      <c r="D324" s="160"/>
      <c r="E324" s="160"/>
      <c r="F324" s="160"/>
    </row>
    <row r="325" customFormat="false" ht="14.25" hidden="false" customHeight="false" outlineLevel="0" collapsed="false">
      <c r="A325" s="160"/>
      <c r="B325" s="160"/>
      <c r="C325" s="160"/>
      <c r="D325" s="160"/>
      <c r="E325" s="160"/>
      <c r="F325" s="160"/>
    </row>
    <row r="326" customFormat="false" ht="14.25" hidden="false" customHeight="false" outlineLevel="0" collapsed="false">
      <c r="A326" s="160"/>
      <c r="B326" s="160"/>
      <c r="C326" s="160"/>
      <c r="D326" s="160"/>
      <c r="E326" s="160"/>
      <c r="F326" s="160"/>
    </row>
    <row r="327" customFormat="false" ht="14.25" hidden="false" customHeight="false" outlineLevel="0" collapsed="false">
      <c r="A327" s="160"/>
      <c r="B327" s="160"/>
      <c r="C327" s="160"/>
      <c r="D327" s="160"/>
      <c r="E327" s="160"/>
      <c r="F327" s="160"/>
    </row>
    <row r="328" customFormat="false" ht="14.25" hidden="false" customHeight="false" outlineLevel="0" collapsed="false">
      <c r="A328" s="160"/>
      <c r="B328" s="160"/>
      <c r="C328" s="160"/>
      <c r="D328" s="160"/>
      <c r="E328" s="160"/>
      <c r="F328" s="160"/>
    </row>
    <row r="329" customFormat="false" ht="14.25" hidden="false" customHeight="false" outlineLevel="0" collapsed="false">
      <c r="A329" s="160"/>
      <c r="B329" s="160"/>
      <c r="C329" s="160"/>
      <c r="D329" s="160"/>
      <c r="E329" s="160"/>
      <c r="F329" s="160"/>
    </row>
    <row r="330" customFormat="false" ht="14.25" hidden="false" customHeight="false" outlineLevel="0" collapsed="false">
      <c r="A330" s="160"/>
      <c r="B330" s="160"/>
      <c r="C330" s="160"/>
      <c r="D330" s="160"/>
      <c r="E330" s="160"/>
      <c r="F330" s="160"/>
    </row>
    <row r="331" customFormat="false" ht="14.25" hidden="false" customHeight="false" outlineLevel="0" collapsed="false">
      <c r="A331" s="160"/>
      <c r="B331" s="160"/>
      <c r="C331" s="160"/>
      <c r="D331" s="160"/>
      <c r="E331" s="160"/>
      <c r="F331" s="160"/>
    </row>
    <row r="332" customFormat="false" ht="14.25" hidden="false" customHeight="false" outlineLevel="0" collapsed="false">
      <c r="A332" s="160"/>
      <c r="B332" s="160"/>
      <c r="C332" s="160"/>
      <c r="D332" s="160"/>
      <c r="E332" s="160"/>
      <c r="F332" s="160"/>
    </row>
    <row r="333" customFormat="false" ht="14.25" hidden="false" customHeight="false" outlineLevel="0" collapsed="false">
      <c r="A333" s="160"/>
      <c r="B333" s="160"/>
      <c r="C333" s="160"/>
      <c r="D333" s="160"/>
      <c r="E333" s="160"/>
      <c r="F333" s="160"/>
    </row>
    <row r="334" customFormat="false" ht="14.25" hidden="false" customHeight="false" outlineLevel="0" collapsed="false">
      <c r="A334" s="160"/>
      <c r="B334" s="160"/>
      <c r="C334" s="160"/>
      <c r="D334" s="160"/>
      <c r="E334" s="160"/>
      <c r="F334" s="160"/>
    </row>
    <row r="335" customFormat="false" ht="14.25" hidden="false" customHeight="false" outlineLevel="0" collapsed="false">
      <c r="A335" s="160"/>
      <c r="B335" s="160"/>
      <c r="C335" s="160"/>
      <c r="D335" s="160"/>
      <c r="E335" s="160"/>
      <c r="F335" s="160"/>
    </row>
    <row r="336" customFormat="false" ht="14.25" hidden="false" customHeight="false" outlineLevel="0" collapsed="false">
      <c r="A336" s="160"/>
      <c r="B336" s="160"/>
      <c r="C336" s="160"/>
      <c r="D336" s="160"/>
      <c r="E336" s="160"/>
      <c r="F336" s="160"/>
    </row>
    <row r="337" customFormat="false" ht="14.25" hidden="false" customHeight="false" outlineLevel="0" collapsed="false">
      <c r="A337" s="160"/>
      <c r="B337" s="160"/>
      <c r="C337" s="160"/>
      <c r="D337" s="160"/>
      <c r="E337" s="160"/>
      <c r="F337" s="160"/>
    </row>
    <row r="338" customFormat="false" ht="14.25" hidden="false" customHeight="false" outlineLevel="0" collapsed="false">
      <c r="A338" s="160"/>
      <c r="B338" s="160"/>
      <c r="C338" s="160"/>
      <c r="D338" s="160"/>
      <c r="E338" s="160"/>
      <c r="F338" s="160"/>
    </row>
    <row r="339" customFormat="false" ht="14.25" hidden="false" customHeight="false" outlineLevel="0" collapsed="false">
      <c r="A339" s="160"/>
      <c r="B339" s="160"/>
      <c r="C339" s="160"/>
      <c r="D339" s="160"/>
      <c r="E339" s="160"/>
      <c r="F339" s="160"/>
    </row>
    <row r="340" customFormat="false" ht="14.25" hidden="false" customHeight="false" outlineLevel="0" collapsed="false">
      <c r="A340" s="160"/>
      <c r="B340" s="160"/>
      <c r="C340" s="160"/>
      <c r="D340" s="160"/>
      <c r="E340" s="160"/>
      <c r="F340" s="160"/>
    </row>
    <row r="341" customFormat="false" ht="14.25" hidden="false" customHeight="false" outlineLevel="0" collapsed="false">
      <c r="A341" s="160"/>
      <c r="B341" s="160"/>
      <c r="C341" s="160"/>
      <c r="D341" s="160"/>
      <c r="E341" s="160"/>
      <c r="F341" s="160"/>
    </row>
    <row r="342" customFormat="false" ht="14.25" hidden="false" customHeight="false" outlineLevel="0" collapsed="false">
      <c r="A342" s="160"/>
      <c r="B342" s="160"/>
      <c r="C342" s="160"/>
      <c r="D342" s="160"/>
      <c r="E342" s="160"/>
      <c r="F342" s="160"/>
    </row>
    <row r="343" customFormat="false" ht="14.25" hidden="false" customHeight="false" outlineLevel="0" collapsed="false">
      <c r="A343" s="160"/>
      <c r="B343" s="160"/>
      <c r="C343" s="160"/>
      <c r="D343" s="160"/>
      <c r="E343" s="160"/>
      <c r="F343" s="160"/>
    </row>
    <row r="344" customFormat="false" ht="14.25" hidden="false" customHeight="false" outlineLevel="0" collapsed="false">
      <c r="A344" s="160"/>
      <c r="B344" s="160"/>
      <c r="C344" s="160"/>
      <c r="D344" s="160"/>
      <c r="E344" s="160"/>
      <c r="F344" s="160"/>
    </row>
    <row r="345" customFormat="false" ht="14.25" hidden="false" customHeight="false" outlineLevel="0" collapsed="false">
      <c r="A345" s="160"/>
      <c r="B345" s="160"/>
      <c r="C345" s="160"/>
      <c r="D345" s="160"/>
      <c r="E345" s="160"/>
      <c r="F345" s="160"/>
    </row>
    <row r="346" customFormat="false" ht="14.25" hidden="false" customHeight="false" outlineLevel="0" collapsed="false">
      <c r="A346" s="160"/>
      <c r="B346" s="160"/>
      <c r="C346" s="160"/>
      <c r="D346" s="160"/>
      <c r="E346" s="160"/>
      <c r="F346" s="160"/>
    </row>
    <row r="347" customFormat="false" ht="14.25" hidden="false" customHeight="false" outlineLevel="0" collapsed="false">
      <c r="A347" s="160"/>
      <c r="B347" s="160"/>
      <c r="C347" s="160"/>
      <c r="D347" s="160"/>
      <c r="E347" s="160"/>
      <c r="F347" s="160"/>
    </row>
    <row r="348" customFormat="false" ht="14.25" hidden="false" customHeight="false" outlineLevel="0" collapsed="false">
      <c r="A348" s="160"/>
      <c r="B348" s="160"/>
      <c r="C348" s="160"/>
      <c r="D348" s="160"/>
      <c r="E348" s="160"/>
      <c r="F348" s="160"/>
    </row>
    <row r="349" customFormat="false" ht="14.25" hidden="false" customHeight="false" outlineLevel="0" collapsed="false">
      <c r="A349" s="160"/>
      <c r="B349" s="160"/>
      <c r="C349" s="160"/>
      <c r="D349" s="160"/>
      <c r="E349" s="160"/>
      <c r="F349" s="160"/>
    </row>
    <row r="350" customFormat="false" ht="14.25" hidden="false" customHeight="false" outlineLevel="0" collapsed="false">
      <c r="A350" s="160"/>
      <c r="B350" s="160"/>
      <c r="C350" s="160"/>
      <c r="D350" s="160"/>
      <c r="E350" s="160"/>
      <c r="F350" s="160"/>
    </row>
    <row r="351" customFormat="false" ht="14.25" hidden="false" customHeight="false" outlineLevel="0" collapsed="false">
      <c r="A351" s="160"/>
      <c r="B351" s="160"/>
      <c r="C351" s="160"/>
      <c r="D351" s="160"/>
      <c r="E351" s="160"/>
      <c r="F351" s="160"/>
    </row>
    <row r="352" customFormat="false" ht="14.25" hidden="false" customHeight="false" outlineLevel="0" collapsed="false">
      <c r="A352" s="160"/>
      <c r="B352" s="160"/>
      <c r="C352" s="160"/>
      <c r="D352" s="160"/>
      <c r="E352" s="160"/>
      <c r="F352" s="160"/>
    </row>
    <row r="353" customFormat="false" ht="14.25" hidden="false" customHeight="false" outlineLevel="0" collapsed="false">
      <c r="A353" s="160"/>
      <c r="B353" s="160"/>
      <c r="C353" s="160"/>
      <c r="D353" s="160"/>
      <c r="E353" s="160"/>
      <c r="F353" s="160"/>
    </row>
    <row r="354" customFormat="false" ht="14.25" hidden="false" customHeight="false" outlineLevel="0" collapsed="false">
      <c r="A354" s="160"/>
      <c r="B354" s="160"/>
      <c r="C354" s="160"/>
      <c r="D354" s="160"/>
      <c r="E354" s="160"/>
      <c r="F354" s="160"/>
    </row>
    <row r="355" customFormat="false" ht="14.25" hidden="false" customHeight="false" outlineLevel="0" collapsed="false">
      <c r="A355" s="160"/>
      <c r="B355" s="160"/>
      <c r="C355" s="160"/>
      <c r="D355" s="160"/>
      <c r="E355" s="160"/>
      <c r="F355" s="160"/>
    </row>
    <row r="356" customFormat="false" ht="14.25" hidden="false" customHeight="false" outlineLevel="0" collapsed="false">
      <c r="A356" s="160"/>
      <c r="B356" s="160"/>
      <c r="C356" s="160"/>
      <c r="D356" s="160"/>
      <c r="E356" s="160"/>
      <c r="F356" s="160"/>
    </row>
    <row r="357" customFormat="false" ht="14.25" hidden="false" customHeight="false" outlineLevel="0" collapsed="false">
      <c r="A357" s="160"/>
      <c r="B357" s="160"/>
      <c r="C357" s="160"/>
      <c r="D357" s="160"/>
      <c r="E357" s="160"/>
      <c r="F357" s="160"/>
    </row>
    <row r="358" customFormat="false" ht="14.25" hidden="false" customHeight="false" outlineLevel="0" collapsed="false">
      <c r="A358" s="160"/>
      <c r="B358" s="160"/>
      <c r="C358" s="160"/>
      <c r="D358" s="160"/>
      <c r="E358" s="160"/>
      <c r="F358" s="160"/>
    </row>
  </sheetData>
  <mergeCells count="27">
    <mergeCell ref="A2:F2"/>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39:C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4"/>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G9" activeCellId="0" sqref="G9"/>
    </sheetView>
  </sheetViews>
  <sheetFormatPr defaultColWidth="9.14453125" defaultRowHeight="15" zeroHeight="false" outlineLevelRow="0" outlineLevelCol="0"/>
  <cols>
    <col collapsed="false" customWidth="true" hidden="false" outlineLevel="0" max="1" min="1" style="23" width="8.43"/>
    <col collapsed="false" customWidth="true" hidden="false" outlineLevel="0" max="2" min="2" style="23" width="12.86"/>
    <col collapsed="false" customWidth="true" hidden="false" outlineLevel="0" max="3" min="3" style="23" width="45"/>
    <col collapsed="false" customWidth="true" hidden="false" outlineLevel="0" max="4" min="4" style="23" width="26"/>
    <col collapsed="false" customWidth="true" hidden="false" outlineLevel="0" max="5" min="5" style="23" width="16.86"/>
    <col collapsed="false" customWidth="false" hidden="false" outlineLevel="0" max="6" min="6" style="23" width="9.14"/>
    <col collapsed="false" customWidth="true" hidden="false" outlineLevel="0" max="7" min="7" style="23" width="10.57"/>
    <col collapsed="false" customWidth="false" hidden="false" outlineLevel="0" max="16384" min="8" style="23" width="9.14"/>
  </cols>
  <sheetData>
    <row r="1" customFormat="false" ht="20.25" hidden="false" customHeight="true" outlineLevel="0" collapsed="false">
      <c r="A1" s="54"/>
    </row>
    <row r="2" customFormat="false" ht="20.25" hidden="false" customHeight="true" outlineLevel="0" collapsed="false">
      <c r="A2" s="24" t="s">
        <v>521</v>
      </c>
      <c r="B2" s="24"/>
      <c r="C2" s="24"/>
      <c r="D2" s="24"/>
      <c r="E2" s="24"/>
      <c r="G2" s="161" t="s">
        <v>628</v>
      </c>
    </row>
    <row r="3" customFormat="false" ht="15" hidden="false" customHeight="false" outlineLevel="0" collapsed="false">
      <c r="A3" s="31"/>
      <c r="B3" s="31"/>
      <c r="C3" s="31"/>
      <c r="D3" s="31"/>
      <c r="E3" s="31"/>
    </row>
    <row r="4" customFormat="false" ht="15" hidden="false" customHeight="false" outlineLevel="0" collapsed="false">
      <c r="A4" s="162" t="s">
        <v>21</v>
      </c>
      <c r="B4" s="163" t="s">
        <v>644</v>
      </c>
      <c r="C4" s="163" t="s">
        <v>645</v>
      </c>
      <c r="D4" s="163" t="s">
        <v>646</v>
      </c>
      <c r="E4" s="164" t="s">
        <v>595</v>
      </c>
    </row>
    <row r="5" customFormat="false" ht="15" hidden="false" customHeight="false" outlineLevel="0" collapsed="false">
      <c r="A5" s="165"/>
      <c r="B5" s="166"/>
      <c r="C5" s="166"/>
      <c r="D5" s="166"/>
      <c r="E5" s="167"/>
    </row>
    <row r="6" customFormat="false" ht="15" hidden="false" customHeight="false" outlineLevel="0" collapsed="false">
      <c r="A6" s="165"/>
      <c r="B6" s="166"/>
      <c r="C6" s="166"/>
      <c r="D6" s="166"/>
      <c r="E6" s="167"/>
    </row>
    <row r="7" customFormat="false" ht="15" hidden="false" customHeight="false" outlineLevel="0" collapsed="false">
      <c r="A7" s="165"/>
      <c r="B7" s="166"/>
      <c r="C7" s="168"/>
      <c r="D7" s="166"/>
      <c r="E7" s="167"/>
    </row>
    <row r="8" customFormat="false" ht="15" hidden="false" customHeight="false" outlineLevel="0" collapsed="false">
      <c r="A8" s="165"/>
      <c r="B8" s="166"/>
      <c r="C8" s="168"/>
      <c r="D8" s="166"/>
      <c r="E8" s="167"/>
    </row>
    <row r="9" customFormat="false" ht="15" hidden="false" customHeight="false" outlineLevel="0" collapsed="false">
      <c r="A9" s="165"/>
      <c r="B9" s="166"/>
      <c r="C9" s="168"/>
      <c r="D9" s="166"/>
      <c r="E9" s="167"/>
    </row>
    <row r="10" customFormat="false" ht="15" hidden="false" customHeight="false" outlineLevel="0" collapsed="false">
      <c r="A10" s="165"/>
      <c r="B10" s="166"/>
      <c r="C10" s="168"/>
      <c r="D10" s="166"/>
      <c r="E10" s="167"/>
    </row>
    <row r="11" customFormat="false" ht="15" hidden="false" customHeight="false" outlineLevel="0" collapsed="false">
      <c r="A11" s="165"/>
      <c r="B11" s="166"/>
      <c r="C11" s="168"/>
      <c r="D11" s="166"/>
      <c r="E11" s="169"/>
    </row>
    <row r="12" customFormat="false" ht="15" hidden="false" customHeight="false" outlineLevel="0" collapsed="false">
      <c r="A12" s="165"/>
      <c r="B12" s="166"/>
      <c r="C12" s="168"/>
      <c r="D12" s="166"/>
      <c r="E12" s="167"/>
    </row>
    <row r="13" customFormat="false" ht="15" hidden="false" customHeight="false" outlineLevel="0" collapsed="false">
      <c r="A13" s="165"/>
      <c r="B13" s="166"/>
      <c r="C13" s="168"/>
      <c r="D13" s="166"/>
      <c r="E13" s="167"/>
    </row>
    <row r="14" customFormat="false" ht="15" hidden="false" customHeight="false" outlineLevel="0" collapsed="false">
      <c r="A14" s="165"/>
      <c r="B14" s="166"/>
      <c r="C14" s="168"/>
      <c r="D14" s="166"/>
      <c r="E14" s="167"/>
    </row>
    <row r="15" customFormat="false" ht="15" hidden="false" customHeight="false" outlineLevel="0" collapsed="false">
      <c r="A15" s="165"/>
      <c r="B15" s="166"/>
      <c r="C15" s="168"/>
      <c r="D15" s="166"/>
      <c r="E15" s="167"/>
    </row>
    <row r="16" customFormat="false" ht="15" hidden="false" customHeight="false" outlineLevel="0" collapsed="false">
      <c r="A16" s="165"/>
      <c r="B16" s="166"/>
      <c r="C16" s="168"/>
      <c r="D16" s="166"/>
      <c r="E16" s="167"/>
    </row>
    <row r="17" customFormat="false" ht="15" hidden="false" customHeight="false" outlineLevel="0" collapsed="false">
      <c r="A17" s="165"/>
      <c r="B17" s="166"/>
      <c r="C17" s="168"/>
      <c r="D17" s="166"/>
      <c r="E17" s="167"/>
    </row>
    <row r="18" customFormat="false" ht="15" hidden="false" customHeight="false" outlineLevel="0" collapsed="false">
      <c r="A18" s="165"/>
      <c r="B18" s="166"/>
      <c r="C18" s="168"/>
      <c r="D18" s="166"/>
      <c r="E18" s="167"/>
    </row>
    <row r="19" customFormat="false" ht="15" hidden="false" customHeight="false" outlineLevel="0" collapsed="false">
      <c r="A19" s="165"/>
      <c r="B19" s="166"/>
      <c r="C19" s="168"/>
      <c r="D19" s="166"/>
      <c r="E19" s="167"/>
    </row>
    <row r="20" customFormat="false" ht="15" hidden="false" customHeight="false" outlineLevel="0" collapsed="false">
      <c r="A20" s="165"/>
      <c r="B20" s="166"/>
      <c r="C20" s="168"/>
      <c r="D20" s="166"/>
      <c r="E20" s="167"/>
    </row>
    <row r="21" customFormat="false" ht="15" hidden="false" customHeight="false" outlineLevel="0" collapsed="false">
      <c r="A21" s="165"/>
      <c r="B21" s="166"/>
      <c r="C21" s="168"/>
      <c r="D21" s="166"/>
      <c r="E21" s="167"/>
    </row>
    <row r="22" customFormat="false" ht="15" hidden="false" customHeight="false" outlineLevel="0" collapsed="false">
      <c r="A22" s="165"/>
      <c r="B22" s="166"/>
      <c r="C22" s="168"/>
      <c r="D22" s="166"/>
      <c r="E22" s="167"/>
    </row>
    <row r="23" customFormat="false" ht="15" hidden="false" customHeight="false" outlineLevel="0" collapsed="false">
      <c r="A23" s="165"/>
      <c r="B23" s="166"/>
      <c r="C23" s="168"/>
      <c r="D23" s="166"/>
      <c r="E23" s="167"/>
    </row>
    <row r="24" customFormat="false" ht="15" hidden="false" customHeight="false" outlineLevel="0" collapsed="false">
      <c r="A24" s="165"/>
      <c r="B24" s="166"/>
      <c r="C24" s="168"/>
      <c r="D24" s="166"/>
      <c r="E24" s="167"/>
    </row>
    <row r="25" customFormat="false" ht="15" hidden="false" customHeight="false" outlineLevel="0" collapsed="false">
      <c r="A25" s="165"/>
      <c r="B25" s="166"/>
      <c r="C25" s="168"/>
      <c r="D25" s="166"/>
      <c r="E25" s="167"/>
    </row>
    <row r="26" customFormat="false" ht="15" hidden="false" customHeight="false" outlineLevel="0" collapsed="false">
      <c r="A26" s="165"/>
      <c r="B26" s="166"/>
      <c r="C26" s="168"/>
      <c r="D26" s="166"/>
      <c r="E26" s="167"/>
    </row>
    <row r="27" customFormat="false" ht="15" hidden="false" customHeight="false" outlineLevel="0" collapsed="false">
      <c r="A27" s="165"/>
      <c r="B27" s="166"/>
      <c r="C27" s="168"/>
      <c r="D27" s="166"/>
      <c r="E27" s="167"/>
    </row>
    <row r="28" customFormat="false" ht="15" hidden="false" customHeight="false" outlineLevel="0" collapsed="false">
      <c r="A28" s="165"/>
      <c r="B28" s="166"/>
      <c r="C28" s="168"/>
      <c r="D28" s="166"/>
      <c r="E28" s="167"/>
    </row>
    <row r="29" customFormat="false" ht="15" hidden="false" customHeight="false" outlineLevel="0" collapsed="false">
      <c r="A29" s="165"/>
      <c r="B29" s="166"/>
      <c r="C29" s="168"/>
      <c r="D29" s="166"/>
      <c r="E29" s="167"/>
    </row>
    <row r="30" customFormat="false" ht="15" hidden="false" customHeight="false" outlineLevel="0" collapsed="false">
      <c r="A30" s="165"/>
      <c r="B30" s="166"/>
      <c r="C30" s="168"/>
      <c r="D30" s="166"/>
      <c r="E30" s="167"/>
    </row>
    <row r="31" customFormat="false" ht="15" hidden="false" customHeight="false" outlineLevel="0" collapsed="false">
      <c r="A31" s="165"/>
      <c r="B31" s="166"/>
      <c r="C31" s="168"/>
      <c r="D31" s="166"/>
      <c r="E31" s="167"/>
    </row>
    <row r="32" customFormat="false" ht="15" hidden="false" customHeight="false" outlineLevel="0" collapsed="false">
      <c r="A32" s="165"/>
      <c r="B32" s="166"/>
      <c r="C32" s="168"/>
      <c r="D32" s="166"/>
      <c r="E32" s="167"/>
    </row>
    <row r="33" customFormat="false" ht="15" hidden="false" customHeight="false" outlineLevel="0" collapsed="false">
      <c r="A33" s="165"/>
      <c r="B33" s="166"/>
      <c r="C33" s="168"/>
      <c r="D33" s="166"/>
      <c r="E33" s="167"/>
    </row>
    <row r="34" customFormat="false" ht="15" hidden="false" customHeight="false" outlineLevel="0" collapsed="false">
      <c r="A34" s="165"/>
      <c r="B34" s="166"/>
      <c r="C34" s="168"/>
      <c r="D34" s="166"/>
      <c r="E34" s="167"/>
    </row>
    <row r="35" customFormat="false" ht="15" hidden="false" customHeight="false" outlineLevel="0" collapsed="false">
      <c r="A35" s="165"/>
      <c r="B35" s="166"/>
      <c r="C35" s="168"/>
      <c r="D35" s="166"/>
      <c r="E35" s="167"/>
    </row>
    <row r="36" customFormat="false" ht="15" hidden="false" customHeight="false" outlineLevel="0" collapsed="false">
      <c r="A36" s="165"/>
      <c r="B36" s="166"/>
      <c r="C36" s="168"/>
      <c r="D36" s="168"/>
      <c r="E36" s="167"/>
    </row>
    <row r="37" customFormat="false" ht="15" hidden="false" customHeight="false" outlineLevel="0" collapsed="false">
      <c r="A37" s="165"/>
      <c r="B37" s="166"/>
      <c r="C37" s="168"/>
      <c r="D37" s="166"/>
      <c r="E37" s="167"/>
    </row>
    <row r="38" customFormat="false" ht="15" hidden="false" customHeight="false" outlineLevel="0" collapsed="false">
      <c r="A38" s="165"/>
      <c r="B38" s="166"/>
      <c r="C38" s="168"/>
      <c r="D38" s="166"/>
      <c r="E38" s="167"/>
    </row>
    <row r="39" customFormat="false" ht="15" hidden="false" customHeight="false" outlineLevel="0" collapsed="false">
      <c r="A39" s="165"/>
      <c r="B39" s="166"/>
      <c r="C39" s="168"/>
      <c r="D39" s="166"/>
      <c r="E39" s="167"/>
    </row>
    <row r="40" customFormat="false" ht="15" hidden="false" customHeight="false" outlineLevel="0" collapsed="false">
      <c r="A40" s="165"/>
      <c r="B40" s="166"/>
      <c r="C40" s="168"/>
      <c r="D40" s="166"/>
      <c r="E40" s="167"/>
    </row>
    <row r="41" customFormat="false" ht="15" hidden="false" customHeight="false" outlineLevel="0" collapsed="false">
      <c r="A41" s="165"/>
      <c r="B41" s="166"/>
      <c r="C41" s="168"/>
      <c r="D41" s="166"/>
      <c r="E41" s="167"/>
    </row>
    <row r="42" customFormat="false" ht="15" hidden="false" customHeight="false" outlineLevel="0" collapsed="false">
      <c r="A42" s="165"/>
      <c r="B42" s="166"/>
      <c r="C42" s="168"/>
      <c r="D42" s="166"/>
      <c r="E42" s="167"/>
    </row>
    <row r="43" customFormat="false" ht="15" hidden="false" customHeight="false" outlineLevel="0" collapsed="false">
      <c r="A43" s="165"/>
      <c r="B43" s="166"/>
      <c r="C43" s="168"/>
      <c r="D43" s="166"/>
      <c r="E43" s="167"/>
    </row>
    <row r="44" customFormat="false" ht="15" hidden="false" customHeight="false" outlineLevel="0" collapsed="false">
      <c r="A44" s="165"/>
      <c r="B44" s="166"/>
      <c r="C44" s="168"/>
      <c r="D44" s="166"/>
      <c r="E44" s="167"/>
    </row>
    <row r="45" customFormat="false" ht="15" hidden="false" customHeight="false" outlineLevel="0" collapsed="false">
      <c r="A45" s="165"/>
      <c r="B45" s="166"/>
      <c r="C45" s="168"/>
      <c r="D45" s="166"/>
      <c r="E45" s="167"/>
    </row>
    <row r="46" customFormat="false" ht="15" hidden="false" customHeight="false" outlineLevel="0" collapsed="false">
      <c r="A46" s="165"/>
      <c r="B46" s="166"/>
      <c r="C46" s="168"/>
      <c r="D46" s="166"/>
      <c r="E46" s="167"/>
    </row>
    <row r="47" customFormat="false" ht="15" hidden="false" customHeight="false" outlineLevel="0" collapsed="false">
      <c r="A47" s="165"/>
      <c r="B47" s="166"/>
      <c r="C47" s="168"/>
      <c r="D47" s="166"/>
      <c r="E47" s="167"/>
    </row>
    <row r="48" customFormat="false" ht="15" hidden="false" customHeight="false" outlineLevel="0" collapsed="false">
      <c r="A48" s="165"/>
      <c r="B48" s="166"/>
      <c r="C48" s="168"/>
      <c r="D48" s="166"/>
      <c r="E48" s="167"/>
    </row>
    <row r="49" customFormat="false" ht="15" hidden="false" customHeight="false" outlineLevel="0" collapsed="false">
      <c r="A49" s="165"/>
      <c r="B49" s="166"/>
      <c r="C49" s="166"/>
      <c r="D49" s="166"/>
      <c r="E49" s="167"/>
    </row>
    <row r="50" customFormat="false" ht="15" hidden="false" customHeight="false" outlineLevel="0" collapsed="false">
      <c r="A50" s="165"/>
      <c r="B50" s="166"/>
      <c r="C50" s="166"/>
      <c r="D50" s="166"/>
      <c r="E50" s="167"/>
    </row>
    <row r="51" customFormat="false" ht="15" hidden="false" customHeight="false" outlineLevel="0" collapsed="false">
      <c r="A51" s="165"/>
      <c r="B51" s="166"/>
      <c r="C51" s="166"/>
      <c r="D51" s="166"/>
      <c r="E51" s="167"/>
    </row>
    <row r="52" customFormat="false" ht="15" hidden="false" customHeight="false" outlineLevel="0" collapsed="false">
      <c r="A52" s="165"/>
      <c r="B52" s="166"/>
      <c r="C52" s="166"/>
      <c r="D52" s="166"/>
      <c r="E52" s="167"/>
    </row>
    <row r="53" customFormat="false" ht="15" hidden="false" customHeight="false" outlineLevel="0" collapsed="false">
      <c r="A53" s="165"/>
      <c r="B53" s="166"/>
      <c r="C53" s="166"/>
      <c r="D53" s="166"/>
      <c r="E53" s="167"/>
    </row>
    <row r="54" customFormat="false" ht="15" hidden="false" customHeight="false" outlineLevel="0" collapsed="false">
      <c r="A54" s="165"/>
      <c r="B54" s="166"/>
      <c r="C54" s="166"/>
      <c r="D54" s="166"/>
      <c r="E54" s="167"/>
    </row>
    <row r="55" customFormat="false" ht="15" hidden="false" customHeight="false" outlineLevel="0" collapsed="false">
      <c r="A55" s="165"/>
      <c r="B55" s="166"/>
      <c r="C55" s="166"/>
      <c r="D55" s="166"/>
      <c r="E55" s="167"/>
    </row>
    <row r="56" customFormat="false" ht="15" hidden="false" customHeight="false" outlineLevel="0" collapsed="false">
      <c r="A56" s="165"/>
      <c r="B56" s="166"/>
      <c r="C56" s="166"/>
      <c r="D56" s="166"/>
      <c r="E56" s="167"/>
    </row>
    <row r="57" customFormat="false" ht="15" hidden="false" customHeight="false" outlineLevel="0" collapsed="false">
      <c r="A57" s="165"/>
      <c r="B57" s="166"/>
      <c r="C57" s="166"/>
      <c r="D57" s="166"/>
      <c r="E57" s="167"/>
    </row>
    <row r="58" customFormat="false" ht="15" hidden="false" customHeight="false" outlineLevel="0" collapsed="false">
      <c r="A58" s="165"/>
      <c r="B58" s="166"/>
      <c r="C58" s="166"/>
      <c r="D58" s="166"/>
      <c r="E58" s="167"/>
    </row>
    <row r="59" customFormat="false" ht="15" hidden="false" customHeight="false" outlineLevel="0" collapsed="false">
      <c r="A59" s="165"/>
      <c r="B59" s="166"/>
      <c r="C59" s="166"/>
      <c r="D59" s="166"/>
      <c r="E59" s="167"/>
    </row>
    <row r="60" customFormat="false" ht="15" hidden="false" customHeight="false" outlineLevel="0" collapsed="false">
      <c r="A60" s="165"/>
      <c r="B60" s="166"/>
      <c r="C60" s="166"/>
      <c r="D60" s="166"/>
      <c r="E60" s="167"/>
    </row>
    <row r="61" customFormat="false" ht="15" hidden="false" customHeight="false" outlineLevel="0" collapsed="false">
      <c r="A61" s="165"/>
      <c r="B61" s="166"/>
      <c r="C61" s="166"/>
      <c r="D61" s="166"/>
      <c r="E61" s="167"/>
    </row>
    <row r="62" customFormat="false" ht="15" hidden="false" customHeight="false" outlineLevel="0" collapsed="false">
      <c r="A62" s="165"/>
      <c r="B62" s="166"/>
      <c r="C62" s="166"/>
      <c r="D62" s="166"/>
      <c r="E62" s="167"/>
    </row>
    <row r="63" customFormat="false" ht="15" hidden="false" customHeight="false" outlineLevel="0" collapsed="false">
      <c r="A63" s="165"/>
      <c r="B63" s="166"/>
      <c r="C63" s="166"/>
      <c r="D63" s="166"/>
      <c r="E63" s="167"/>
    </row>
    <row r="64" customFormat="false" ht="15" hidden="false" customHeight="false" outlineLevel="0" collapsed="false">
      <c r="A64" s="170"/>
      <c r="B64" s="171"/>
      <c r="C64" s="171"/>
      <c r="D64" s="171"/>
      <c r="E64" s="172"/>
    </row>
  </sheetData>
  <mergeCells count="1">
    <mergeCell ref="A2:E2"/>
  </mergeCells>
  <dataValidations count="1">
    <dataValidation allowBlank="true" errorStyle="stop" operator="between" showDropDown="false" showErrorMessage="true" showInputMessage="true" sqref="E5:E27" type="list">
      <formula1>"Open,Resolved"</formula1>
      <formula2>0</formula2>
    </dataValidation>
  </dataValidation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6"/>
  <sheetViews>
    <sheetView showFormulas="false" showGridLines="false" showRowColHeaders="true" showZeros="true" rightToLeft="false" tabSelected="false" showOutlineSymbols="true" defaultGridColor="true" view="normal" topLeftCell="A8" colorId="64" zoomScale="100" zoomScaleNormal="100" zoomScalePageLayoutView="100" workbookViewId="0">
      <selection pane="topLeft" activeCell="D30" activeCellId="0" sqref="D30"/>
    </sheetView>
  </sheetViews>
  <sheetFormatPr defaultColWidth="9.14453125" defaultRowHeight="14.25" zeroHeight="false" outlineLevelRow="0" outlineLevelCol="0"/>
  <cols>
    <col collapsed="false" customWidth="true" hidden="false" outlineLevel="0" max="1" min="1" style="50" width="12"/>
    <col collapsed="false" customWidth="true" hidden="false" outlineLevel="0" max="2" min="2" style="50" width="14.14"/>
    <col collapsed="false" customWidth="true" hidden="false" outlineLevel="0" max="3" min="3" style="50" width="39.57"/>
    <col collapsed="false" customWidth="true" hidden="false" outlineLevel="0" max="4" min="4" style="50" width="19.86"/>
    <col collapsed="false" customWidth="true" hidden="false" outlineLevel="0" max="5" min="5" style="50" width="10.14"/>
    <col collapsed="false" customWidth="true" hidden="false" outlineLevel="0" max="6" min="6" style="50" width="11.57"/>
    <col collapsed="false" customWidth="false" hidden="false" outlineLevel="0" max="7" min="7" style="173" width="9.14"/>
    <col collapsed="false" customWidth="true" hidden="false" outlineLevel="0" max="8" min="8" style="45" width="10.57"/>
    <col collapsed="false" customWidth="true" hidden="false" outlineLevel="0" max="9" min="9" style="50" width="26.86"/>
    <col collapsed="false" customWidth="false" hidden="false" outlineLevel="0" max="16384" min="10" style="50" width="9.14"/>
  </cols>
  <sheetData>
    <row r="1" s="6" customFormat="true" ht="20.25" hidden="false" customHeight="true" outlineLevel="0" collapsed="false">
      <c r="A1" s="120"/>
      <c r="B1" s="120"/>
      <c r="G1" s="26"/>
      <c r="H1" s="45"/>
    </row>
    <row r="2" s="6" customFormat="true" ht="20.25" hidden="false" customHeight="true" outlineLevel="0" collapsed="false">
      <c r="A2" s="174"/>
      <c r="B2" s="174"/>
      <c r="C2" s="175" t="s">
        <v>523</v>
      </c>
      <c r="D2" s="174"/>
      <c r="E2" s="174"/>
      <c r="F2" s="174"/>
      <c r="G2" s="26"/>
      <c r="H2" s="45"/>
    </row>
    <row r="4" customFormat="false" ht="14.25" hidden="false" customHeight="false" outlineLevel="0" collapsed="false">
      <c r="A4" s="45"/>
      <c r="B4" s="45"/>
      <c r="C4" s="176" t="s">
        <v>647</v>
      </c>
      <c r="D4" s="177" t="s">
        <v>648</v>
      </c>
      <c r="E4" s="177"/>
    </row>
    <row r="5" customFormat="false" ht="15" hidden="false" customHeight="true" outlineLevel="0" collapsed="false">
      <c r="A5" s="178" t="s">
        <v>649</v>
      </c>
      <c r="B5" s="45"/>
      <c r="C5" s="179"/>
      <c r="D5" s="180"/>
      <c r="E5" s="180"/>
    </row>
    <row r="6" customFormat="false" ht="15" hidden="false" customHeight="true" outlineLevel="0" collapsed="false">
      <c r="A6" s="178"/>
      <c r="B6" s="178"/>
      <c r="C6" s="178"/>
      <c r="D6" s="181"/>
      <c r="E6" s="182" t="s">
        <v>650</v>
      </c>
      <c r="F6" s="183"/>
      <c r="H6" s="126" t="s">
        <v>628</v>
      </c>
    </row>
    <row r="7" customFormat="false" ht="14.25" hidden="false" customHeight="false" outlineLevel="0" collapsed="false">
      <c r="A7" s="184"/>
      <c r="B7" s="184"/>
      <c r="C7" s="184"/>
      <c r="D7" s="184"/>
      <c r="E7" s="184"/>
      <c r="F7" s="185"/>
    </row>
    <row r="8" customFormat="false" ht="14.25" hidden="false" customHeight="false" outlineLevel="0" collapsed="false">
      <c r="A8" s="184" t="s">
        <v>651</v>
      </c>
      <c r="B8" s="184"/>
      <c r="C8" s="184"/>
      <c r="D8" s="184"/>
      <c r="E8" s="184"/>
      <c r="F8" s="186"/>
    </row>
    <row r="9" customFormat="false" ht="14.25" hidden="false" customHeight="false" outlineLevel="0" collapsed="false">
      <c r="A9" s="187"/>
      <c r="B9" s="187"/>
      <c r="C9" s="187"/>
      <c r="D9" s="187"/>
      <c r="E9" s="187"/>
      <c r="F9" s="186"/>
    </row>
    <row r="10" customFormat="false" ht="15" hidden="false" customHeight="true" outlineLevel="0" collapsed="false">
      <c r="A10" s="188" t="s">
        <v>652</v>
      </c>
      <c r="B10" s="188" t="s">
        <v>653</v>
      </c>
      <c r="C10" s="189" t="s">
        <v>12</v>
      </c>
      <c r="D10" s="190" t="s">
        <v>586</v>
      </c>
      <c r="E10" s="190" t="s">
        <v>654</v>
      </c>
      <c r="F10" s="190" t="s">
        <v>655</v>
      </c>
    </row>
    <row r="11" customFormat="false" ht="14.25" hidden="false" customHeight="false" outlineLevel="0" collapsed="false">
      <c r="A11" s="191"/>
      <c r="B11" s="192"/>
      <c r="C11" s="192"/>
      <c r="D11" s="192"/>
      <c r="E11" s="192"/>
      <c r="F11" s="193"/>
      <c r="H11" s="177"/>
      <c r="I11" s="177"/>
    </row>
    <row r="12" customFormat="false" ht="14.25" hidden="false" customHeight="false" outlineLevel="0" collapsed="false">
      <c r="A12" s="191"/>
      <c r="B12" s="192"/>
      <c r="C12" s="192"/>
      <c r="D12" s="192"/>
      <c r="E12" s="192"/>
      <c r="F12" s="193"/>
      <c r="H12" s="177"/>
      <c r="I12" s="177"/>
    </row>
    <row r="13" customFormat="false" ht="14.25" hidden="false" customHeight="false" outlineLevel="0" collapsed="false">
      <c r="A13" s="194"/>
      <c r="B13" s="195"/>
      <c r="C13" s="195"/>
      <c r="D13" s="195"/>
      <c r="E13" s="195"/>
      <c r="F13" s="196"/>
      <c r="H13" s="177"/>
      <c r="I13" s="177"/>
    </row>
    <row r="14" customFormat="false" ht="15" hidden="false" customHeight="true" outlineLevel="0" collapsed="false">
      <c r="A14" s="197" t="s">
        <v>656</v>
      </c>
      <c r="B14" s="197"/>
      <c r="C14" s="197"/>
      <c r="D14" s="197"/>
      <c r="E14" s="197"/>
      <c r="F14" s="198" t="n">
        <f aca="false">SUM(F11:F13)</f>
        <v>0</v>
      </c>
    </row>
    <row r="15" customFormat="false" ht="14.25" hidden="false" customHeight="false" outlineLevel="0" collapsed="false">
      <c r="A15" s="184"/>
      <c r="B15" s="184"/>
      <c r="C15" s="184"/>
      <c r="D15" s="184"/>
      <c r="E15" s="184"/>
      <c r="F15" s="184"/>
    </row>
    <row r="16" customFormat="false" ht="14.25" hidden="false" customHeight="false" outlineLevel="0" collapsed="false">
      <c r="A16" s="184" t="s">
        <v>657</v>
      </c>
      <c r="B16" s="184"/>
      <c r="C16" s="184"/>
      <c r="D16" s="184"/>
      <c r="E16" s="184"/>
      <c r="F16" s="184"/>
    </row>
    <row r="17" customFormat="false" ht="14.25" hidden="false" customHeight="false" outlineLevel="0" collapsed="false">
      <c r="A17" s="199"/>
      <c r="B17" s="199"/>
      <c r="C17" s="199"/>
      <c r="D17" s="199"/>
      <c r="E17" s="199"/>
      <c r="F17" s="199"/>
    </row>
    <row r="18" customFormat="false" ht="13.5" hidden="false" customHeight="true" outlineLevel="0" collapsed="false">
      <c r="A18" s="188" t="s">
        <v>652</v>
      </c>
      <c r="B18" s="188"/>
      <c r="C18" s="200" t="s">
        <v>12</v>
      </c>
      <c r="D18" s="190" t="s">
        <v>586</v>
      </c>
      <c r="E18" s="190" t="s">
        <v>654</v>
      </c>
      <c r="F18" s="201" t="s">
        <v>655</v>
      </c>
    </row>
    <row r="19" customFormat="false" ht="15" hidden="false" customHeight="true" outlineLevel="0" collapsed="false">
      <c r="A19" s="202"/>
      <c r="B19" s="202"/>
      <c r="C19" s="192"/>
      <c r="D19" s="192"/>
      <c r="E19" s="192"/>
      <c r="F19" s="193"/>
    </row>
    <row r="20" customFormat="false" ht="15" hidden="false" customHeight="true" outlineLevel="0" collapsed="false">
      <c r="A20" s="203"/>
      <c r="B20" s="203"/>
      <c r="C20" s="192"/>
      <c r="D20" s="192"/>
      <c r="E20" s="192"/>
      <c r="F20" s="193"/>
    </row>
    <row r="21" customFormat="false" ht="15" hidden="false" customHeight="true" outlineLevel="0" collapsed="false">
      <c r="A21" s="204"/>
      <c r="B21" s="204"/>
      <c r="C21" s="195"/>
      <c r="D21" s="195"/>
      <c r="E21" s="195"/>
      <c r="F21" s="196"/>
    </row>
    <row r="22" customFormat="false" ht="15" hidden="false" customHeight="true" outlineLevel="0" collapsed="false">
      <c r="A22" s="205" t="s">
        <v>658</v>
      </c>
      <c r="B22" s="205"/>
      <c r="C22" s="205"/>
      <c r="D22" s="205"/>
      <c r="E22" s="205"/>
      <c r="F22" s="206" t="n">
        <f aca="false">SUM(F19:F21)</f>
        <v>0</v>
      </c>
    </row>
    <row r="23" customFormat="false" ht="14.25" hidden="false" customHeight="false" outlineLevel="0" collapsed="false">
      <c r="A23" s="184"/>
      <c r="B23" s="184"/>
      <c r="C23" s="184"/>
      <c r="D23" s="184"/>
      <c r="E23" s="184"/>
      <c r="F23" s="184"/>
    </row>
    <row r="24" customFormat="false" ht="14.25" hidden="false" customHeight="false" outlineLevel="0" collapsed="false">
      <c r="A24" s="187"/>
      <c r="B24" s="187"/>
      <c r="C24" s="178"/>
      <c r="D24" s="207" t="s">
        <v>659</v>
      </c>
      <c r="E24" s="208"/>
      <c r="F24" s="209" t="n">
        <f aca="false">+F6-F14+F22</f>
        <v>0</v>
      </c>
    </row>
    <row r="25" customFormat="false" ht="14.25" hidden="false" customHeight="false" outlineLevel="0" collapsed="false">
      <c r="D25" s="210" t="s">
        <v>660</v>
      </c>
      <c r="E25" s="211"/>
      <c r="F25" s="212" t="n">
        <f aca="false">DSH!E12</f>
        <v>0</v>
      </c>
      <c r="G25" s="39"/>
    </row>
    <row r="26" customFormat="false" ht="14.25" hidden="false" customHeight="false" outlineLevel="0" collapsed="false">
      <c r="D26" s="213" t="s">
        <v>591</v>
      </c>
      <c r="E26" s="214"/>
      <c r="F26" s="215" t="n">
        <f aca="false">F24-F25</f>
        <v>0</v>
      </c>
    </row>
    <row r="28" customFormat="false" ht="14.25" hidden="false" customHeight="false" outlineLevel="0" collapsed="false">
      <c r="A28" s="45"/>
      <c r="B28" s="45"/>
      <c r="C28" s="176" t="s">
        <v>647</v>
      </c>
      <c r="D28" s="177" t="s">
        <v>648</v>
      </c>
      <c r="E28" s="177"/>
    </row>
    <row r="29" customFormat="false" ht="14.25" hidden="false" customHeight="false" outlineLevel="0" collapsed="false">
      <c r="A29" s="178" t="s">
        <v>649</v>
      </c>
      <c r="B29" s="45"/>
      <c r="C29" s="179" t="s">
        <v>661</v>
      </c>
      <c r="D29" s="180"/>
      <c r="E29" s="180"/>
    </row>
    <row r="30" customFormat="false" ht="14.25" hidden="false" customHeight="false" outlineLevel="0" collapsed="false">
      <c r="A30" s="178"/>
      <c r="B30" s="178"/>
      <c r="C30" s="178"/>
      <c r="D30" s="181"/>
      <c r="E30" s="182" t="s">
        <v>650</v>
      </c>
      <c r="F30" s="183"/>
      <c r="H30" s="126" t="s">
        <v>628</v>
      </c>
    </row>
    <row r="31" customFormat="false" ht="14.25" hidden="false" customHeight="false" outlineLevel="0" collapsed="false">
      <c r="A31" s="184"/>
      <c r="B31" s="184"/>
      <c r="C31" s="184"/>
      <c r="D31" s="184"/>
      <c r="E31" s="184"/>
      <c r="F31" s="185"/>
    </row>
    <row r="32" customFormat="false" ht="14.25" hidden="false" customHeight="false" outlineLevel="0" collapsed="false">
      <c r="A32" s="184" t="s">
        <v>651</v>
      </c>
      <c r="B32" s="184"/>
      <c r="C32" s="184"/>
      <c r="D32" s="184"/>
      <c r="E32" s="184"/>
      <c r="F32" s="186"/>
    </row>
    <row r="33" customFormat="false" ht="15" hidden="false" customHeight="true" outlineLevel="0" collapsed="false">
      <c r="A33" s="188" t="s">
        <v>652</v>
      </c>
      <c r="B33" s="188" t="s">
        <v>653</v>
      </c>
      <c r="C33" s="189" t="s">
        <v>12</v>
      </c>
      <c r="D33" s="190" t="s">
        <v>586</v>
      </c>
      <c r="E33" s="190" t="s">
        <v>654</v>
      </c>
      <c r="F33" s="190" t="s">
        <v>655</v>
      </c>
    </row>
    <row r="34" customFormat="false" ht="14.25" hidden="false" customHeight="false" outlineLevel="0" collapsed="false">
      <c r="A34" s="216"/>
      <c r="B34" s="192"/>
      <c r="C34" s="192"/>
      <c r="D34" s="192"/>
      <c r="E34" s="192"/>
      <c r="F34" s="193"/>
    </row>
    <row r="35" customFormat="false" ht="14.25" hidden="false" customHeight="false" outlineLevel="0" collapsed="false">
      <c r="A35" s="191"/>
      <c r="B35" s="192"/>
      <c r="C35" s="192"/>
      <c r="D35" s="192"/>
      <c r="E35" s="192"/>
      <c r="F35" s="193"/>
    </row>
    <row r="36" customFormat="false" ht="14.25" hidden="false" customHeight="false" outlineLevel="0" collapsed="false">
      <c r="A36" s="191"/>
      <c r="B36" s="192"/>
      <c r="C36" s="192"/>
      <c r="D36" s="192"/>
      <c r="E36" s="192"/>
      <c r="F36" s="193"/>
    </row>
    <row r="37" customFormat="false" ht="14.25" hidden="false" customHeight="false" outlineLevel="0" collapsed="false">
      <c r="A37" s="191"/>
      <c r="B37" s="192"/>
      <c r="C37" s="192"/>
      <c r="D37" s="192"/>
      <c r="E37" s="192"/>
      <c r="F37" s="193"/>
    </row>
    <row r="38" customFormat="false" ht="14.25" hidden="false" customHeight="false" outlineLevel="0" collapsed="false">
      <c r="A38" s="194"/>
      <c r="B38" s="195"/>
      <c r="C38" s="195"/>
      <c r="D38" s="195"/>
      <c r="E38" s="195"/>
      <c r="F38" s="196"/>
    </row>
    <row r="39" customFormat="false" ht="14.25" hidden="false" customHeight="false" outlineLevel="0" collapsed="false">
      <c r="A39" s="197" t="s">
        <v>656</v>
      </c>
      <c r="B39" s="197"/>
      <c r="C39" s="197"/>
      <c r="D39" s="197"/>
      <c r="E39" s="197"/>
      <c r="F39" s="198" t="n">
        <f aca="false">SUM(F34:F38)</f>
        <v>0</v>
      </c>
    </row>
    <row r="40" customFormat="false" ht="14.25" hidden="false" customHeight="false" outlineLevel="0" collapsed="false">
      <c r="A40" s="184"/>
      <c r="B40" s="184"/>
      <c r="C40" s="184"/>
      <c r="D40" s="184"/>
      <c r="E40" s="184"/>
      <c r="F40" s="184"/>
    </row>
    <row r="41" customFormat="false" ht="15" hidden="false" customHeight="true" outlineLevel="0" collapsed="false">
      <c r="A41" s="199" t="s">
        <v>657</v>
      </c>
      <c r="B41" s="199"/>
      <c r="C41" s="199"/>
      <c r="D41" s="199"/>
      <c r="E41" s="199"/>
      <c r="F41" s="199"/>
    </row>
    <row r="42" customFormat="false" ht="13.5" hidden="false" customHeight="true" outlineLevel="0" collapsed="false">
      <c r="A42" s="188" t="s">
        <v>652</v>
      </c>
      <c r="B42" s="188"/>
      <c r="C42" s="200" t="s">
        <v>12</v>
      </c>
      <c r="D42" s="190" t="s">
        <v>586</v>
      </c>
      <c r="E42" s="190" t="s">
        <v>654</v>
      </c>
      <c r="F42" s="201" t="s">
        <v>655</v>
      </c>
    </row>
    <row r="43" customFormat="false" ht="15" hidden="false" customHeight="true" outlineLevel="0" collapsed="false">
      <c r="A43" s="202"/>
      <c r="B43" s="202"/>
      <c r="C43" s="192"/>
      <c r="D43" s="192"/>
      <c r="E43" s="192"/>
      <c r="F43" s="193"/>
    </row>
    <row r="44" customFormat="false" ht="15" hidden="false" customHeight="true" outlineLevel="0" collapsed="false">
      <c r="A44" s="203"/>
      <c r="B44" s="203"/>
      <c r="C44" s="192"/>
      <c r="D44" s="192"/>
      <c r="E44" s="192"/>
      <c r="F44" s="193"/>
    </row>
    <row r="45" customFormat="false" ht="15" hidden="false" customHeight="true" outlineLevel="0" collapsed="false">
      <c r="A45" s="204"/>
      <c r="B45" s="204"/>
      <c r="C45" s="195"/>
      <c r="D45" s="195"/>
      <c r="E45" s="195"/>
      <c r="F45" s="196"/>
    </row>
    <row r="46" customFormat="false" ht="15" hidden="false" customHeight="true" outlineLevel="0" collapsed="false">
      <c r="A46" s="205" t="s">
        <v>658</v>
      </c>
      <c r="B46" s="205"/>
      <c r="C46" s="205"/>
      <c r="D46" s="205"/>
      <c r="E46" s="205"/>
      <c r="F46" s="206" t="n">
        <f aca="false">SUM(F43:F45)</f>
        <v>0</v>
      </c>
    </row>
    <row r="47" customFormat="false" ht="14.25" hidden="false" customHeight="false" outlineLevel="0" collapsed="false">
      <c r="A47" s="184"/>
      <c r="B47" s="184"/>
      <c r="C47" s="184"/>
      <c r="D47" s="184"/>
      <c r="E47" s="184"/>
      <c r="F47" s="184"/>
    </row>
    <row r="48" customFormat="false" ht="14.25" hidden="false" customHeight="false" outlineLevel="0" collapsed="false">
      <c r="A48" s="187"/>
      <c r="B48" s="187"/>
      <c r="C48" s="178"/>
      <c r="D48" s="207" t="s">
        <v>659</v>
      </c>
      <c r="E48" s="208"/>
      <c r="F48" s="209" t="n">
        <f aca="false">+F30-F39+F46</f>
        <v>0</v>
      </c>
    </row>
    <row r="49" customFormat="false" ht="14.25" hidden="false" customHeight="false" outlineLevel="0" collapsed="false">
      <c r="D49" s="210" t="s">
        <v>660</v>
      </c>
      <c r="E49" s="211"/>
      <c r="F49" s="212" t="n">
        <f aca="false">DSH!E13</f>
        <v>0</v>
      </c>
    </row>
    <row r="50" customFormat="false" ht="14.25" hidden="false" customHeight="false" outlineLevel="0" collapsed="false">
      <c r="D50" s="213" t="s">
        <v>591</v>
      </c>
      <c r="E50" s="214"/>
      <c r="F50" s="215" t="n">
        <f aca="false">F48-F49</f>
        <v>0</v>
      </c>
    </row>
    <row r="52" customFormat="false" ht="14.25" hidden="false" customHeight="false" outlineLevel="0" collapsed="false">
      <c r="A52" s="45"/>
      <c r="B52" s="45"/>
      <c r="C52" s="176" t="s">
        <v>647</v>
      </c>
      <c r="D52" s="177" t="s">
        <v>648</v>
      </c>
      <c r="E52" s="177"/>
    </row>
    <row r="53" customFormat="false" ht="14.25" hidden="false" customHeight="false" outlineLevel="0" collapsed="false">
      <c r="A53" s="178" t="s">
        <v>649</v>
      </c>
      <c r="B53" s="45"/>
      <c r="C53" s="179" t="s">
        <v>662</v>
      </c>
      <c r="D53" s="180"/>
      <c r="E53" s="180"/>
    </row>
    <row r="54" customFormat="false" ht="14.25" hidden="false" customHeight="false" outlineLevel="0" collapsed="false">
      <c r="A54" s="178"/>
      <c r="B54" s="178"/>
      <c r="C54" s="178"/>
      <c r="D54" s="181"/>
      <c r="E54" s="182" t="s">
        <v>650</v>
      </c>
      <c r="F54" s="183"/>
      <c r="H54" s="126" t="s">
        <v>628</v>
      </c>
    </row>
    <row r="55" customFormat="false" ht="14.25" hidden="false" customHeight="false" outlineLevel="0" collapsed="false">
      <c r="A55" s="184"/>
      <c r="B55" s="184"/>
      <c r="C55" s="184"/>
      <c r="D55" s="184"/>
      <c r="E55" s="184"/>
      <c r="F55" s="185"/>
    </row>
    <row r="56" customFormat="false" ht="14.25" hidden="false" customHeight="false" outlineLevel="0" collapsed="false">
      <c r="A56" s="184" t="s">
        <v>651</v>
      </c>
      <c r="B56" s="184"/>
      <c r="C56" s="184"/>
      <c r="D56" s="184"/>
      <c r="E56" s="184"/>
      <c r="F56" s="186"/>
    </row>
    <row r="57" customFormat="false" ht="15" hidden="false" customHeight="true" outlineLevel="0" collapsed="false">
      <c r="A57" s="188" t="s">
        <v>652</v>
      </c>
      <c r="B57" s="188" t="s">
        <v>653</v>
      </c>
      <c r="C57" s="189" t="s">
        <v>12</v>
      </c>
      <c r="D57" s="190" t="s">
        <v>586</v>
      </c>
      <c r="E57" s="190" t="s">
        <v>654</v>
      </c>
      <c r="F57" s="190" t="s">
        <v>655</v>
      </c>
    </row>
    <row r="58" customFormat="false" ht="14.25" hidden="false" customHeight="false" outlineLevel="0" collapsed="false">
      <c r="A58" s="216"/>
      <c r="B58" s="192"/>
      <c r="C58" s="192"/>
      <c r="D58" s="192"/>
      <c r="E58" s="192"/>
      <c r="F58" s="193"/>
    </row>
    <row r="59" customFormat="false" ht="14.25" hidden="false" customHeight="false" outlineLevel="0" collapsed="false">
      <c r="A59" s="191"/>
      <c r="B59" s="192"/>
      <c r="C59" s="192"/>
      <c r="D59" s="192"/>
      <c r="E59" s="192"/>
      <c r="F59" s="193"/>
    </row>
    <row r="60" customFormat="false" ht="14.25" hidden="false" customHeight="false" outlineLevel="0" collapsed="false">
      <c r="A60" s="191"/>
      <c r="B60" s="192"/>
      <c r="C60" s="192"/>
      <c r="D60" s="192"/>
      <c r="E60" s="192"/>
      <c r="F60" s="193"/>
    </row>
    <row r="61" customFormat="false" ht="14.25" hidden="false" customHeight="false" outlineLevel="0" collapsed="false">
      <c r="A61" s="191"/>
      <c r="B61" s="192"/>
      <c r="C61" s="192"/>
      <c r="D61" s="192"/>
      <c r="E61" s="192"/>
      <c r="F61" s="193"/>
    </row>
    <row r="62" customFormat="false" ht="14.25" hidden="false" customHeight="false" outlineLevel="0" collapsed="false">
      <c r="A62" s="194"/>
      <c r="B62" s="195"/>
      <c r="C62" s="195"/>
      <c r="D62" s="195"/>
      <c r="E62" s="195"/>
      <c r="F62" s="196"/>
    </row>
    <row r="63" customFormat="false" ht="14.25" hidden="false" customHeight="false" outlineLevel="0" collapsed="false">
      <c r="A63" s="197" t="s">
        <v>656</v>
      </c>
      <c r="B63" s="197"/>
      <c r="C63" s="197"/>
      <c r="D63" s="197"/>
      <c r="E63" s="197"/>
      <c r="F63" s="198" t="n">
        <f aca="false">SUM(F58:F62)</f>
        <v>0</v>
      </c>
    </row>
    <row r="64" customFormat="false" ht="14.25" hidden="false" customHeight="false" outlineLevel="0" collapsed="false">
      <c r="A64" s="184"/>
      <c r="B64" s="184"/>
      <c r="C64" s="184"/>
      <c r="D64" s="184"/>
      <c r="E64" s="184"/>
      <c r="F64" s="184"/>
    </row>
    <row r="65" customFormat="false" ht="15" hidden="false" customHeight="true" outlineLevel="0" collapsed="false">
      <c r="A65" s="199" t="s">
        <v>657</v>
      </c>
      <c r="B65" s="199"/>
      <c r="C65" s="199"/>
      <c r="D65" s="199"/>
      <c r="E65" s="199"/>
      <c r="F65" s="199"/>
    </row>
    <row r="66" customFormat="false" ht="13.5" hidden="false" customHeight="true" outlineLevel="0" collapsed="false">
      <c r="A66" s="188" t="s">
        <v>652</v>
      </c>
      <c r="B66" s="188"/>
      <c r="C66" s="200" t="s">
        <v>12</v>
      </c>
      <c r="D66" s="190" t="s">
        <v>586</v>
      </c>
      <c r="E66" s="190" t="s">
        <v>654</v>
      </c>
      <c r="F66" s="201" t="s">
        <v>655</v>
      </c>
    </row>
    <row r="67" customFormat="false" ht="15" hidden="false" customHeight="true" outlineLevel="0" collapsed="false">
      <c r="A67" s="202"/>
      <c r="B67" s="202"/>
      <c r="C67" s="192"/>
      <c r="D67" s="192"/>
      <c r="E67" s="192"/>
      <c r="F67" s="193"/>
    </row>
    <row r="68" customFormat="false" ht="15" hidden="false" customHeight="true" outlineLevel="0" collapsed="false">
      <c r="A68" s="203"/>
      <c r="B68" s="203"/>
      <c r="C68" s="192"/>
      <c r="D68" s="192"/>
      <c r="E68" s="192"/>
      <c r="F68" s="193"/>
    </row>
    <row r="69" customFormat="false" ht="15" hidden="false" customHeight="true" outlineLevel="0" collapsed="false">
      <c r="A69" s="204"/>
      <c r="B69" s="204"/>
      <c r="C69" s="195"/>
      <c r="D69" s="195"/>
      <c r="E69" s="195"/>
      <c r="F69" s="196"/>
    </row>
    <row r="70" customFormat="false" ht="15" hidden="false" customHeight="true" outlineLevel="0" collapsed="false">
      <c r="A70" s="205" t="s">
        <v>658</v>
      </c>
      <c r="B70" s="205"/>
      <c r="C70" s="205"/>
      <c r="D70" s="205"/>
      <c r="E70" s="205"/>
      <c r="F70" s="206" t="n">
        <f aca="false">SUM(F67:F69)</f>
        <v>0</v>
      </c>
    </row>
    <row r="71" customFormat="false" ht="14.25" hidden="false" customHeight="false" outlineLevel="0" collapsed="false">
      <c r="A71" s="184"/>
      <c r="B71" s="184"/>
      <c r="C71" s="184"/>
      <c r="D71" s="184"/>
      <c r="E71" s="184"/>
      <c r="F71" s="184"/>
    </row>
    <row r="72" customFormat="false" ht="14.25" hidden="false" customHeight="false" outlineLevel="0" collapsed="false">
      <c r="A72" s="187"/>
      <c r="B72" s="187"/>
      <c r="C72" s="178"/>
      <c r="D72" s="207" t="s">
        <v>659</v>
      </c>
      <c r="E72" s="208"/>
      <c r="F72" s="209" t="n">
        <f aca="false">+F54-F63+F70</f>
        <v>0</v>
      </c>
    </row>
    <row r="73" customFormat="false" ht="14.25" hidden="false" customHeight="false" outlineLevel="0" collapsed="false">
      <c r="D73" s="210" t="s">
        <v>660</v>
      </c>
      <c r="E73" s="211"/>
      <c r="F73" s="212" t="n">
        <f aca="false">DSH!E14</f>
        <v>0</v>
      </c>
    </row>
    <row r="74" customFormat="false" ht="14.25" hidden="false" customHeight="false" outlineLevel="0" collapsed="false">
      <c r="D74" s="213" t="s">
        <v>591</v>
      </c>
      <c r="E74" s="214"/>
      <c r="F74" s="215" t="n">
        <f aca="false">F72-F73</f>
        <v>0</v>
      </c>
    </row>
    <row r="76" customFormat="false" ht="14.25" hidden="false" customHeight="false" outlineLevel="0" collapsed="false">
      <c r="A76" s="45"/>
      <c r="B76" s="45"/>
      <c r="C76" s="176" t="s">
        <v>647</v>
      </c>
      <c r="D76" s="177" t="s">
        <v>648</v>
      </c>
      <c r="E76" s="177"/>
    </row>
    <row r="77" customFormat="false" ht="14.25" hidden="false" customHeight="false" outlineLevel="0" collapsed="false">
      <c r="A77" s="178" t="s">
        <v>649</v>
      </c>
      <c r="B77" s="45"/>
      <c r="C77" s="179" t="s">
        <v>663</v>
      </c>
      <c r="D77" s="180"/>
      <c r="E77" s="180"/>
    </row>
    <row r="78" customFormat="false" ht="14.25" hidden="false" customHeight="false" outlineLevel="0" collapsed="false">
      <c r="A78" s="178"/>
      <c r="B78" s="178"/>
      <c r="C78" s="178"/>
      <c r="D78" s="181"/>
      <c r="E78" s="182" t="s">
        <v>650</v>
      </c>
      <c r="F78" s="183"/>
      <c r="H78" s="126" t="s">
        <v>628</v>
      </c>
    </row>
    <row r="79" customFormat="false" ht="14.25" hidden="false" customHeight="false" outlineLevel="0" collapsed="false">
      <c r="A79" s="184"/>
      <c r="B79" s="184"/>
      <c r="C79" s="184"/>
      <c r="D79" s="184"/>
      <c r="E79" s="184"/>
      <c r="F79" s="185"/>
    </row>
    <row r="80" customFormat="false" ht="14.25" hidden="false" customHeight="false" outlineLevel="0" collapsed="false">
      <c r="A80" s="184" t="s">
        <v>651</v>
      </c>
      <c r="B80" s="184"/>
      <c r="C80" s="184"/>
      <c r="D80" s="184"/>
      <c r="E80" s="184"/>
      <c r="F80" s="186"/>
    </row>
    <row r="81" customFormat="false" ht="15" hidden="false" customHeight="true" outlineLevel="0" collapsed="false">
      <c r="A81" s="188" t="s">
        <v>652</v>
      </c>
      <c r="B81" s="188" t="s">
        <v>653</v>
      </c>
      <c r="C81" s="189" t="s">
        <v>12</v>
      </c>
      <c r="D81" s="190" t="s">
        <v>586</v>
      </c>
      <c r="E81" s="190" t="s">
        <v>654</v>
      </c>
      <c r="F81" s="190" t="s">
        <v>655</v>
      </c>
    </row>
    <row r="82" customFormat="false" ht="14.25" hidden="false" customHeight="false" outlineLevel="0" collapsed="false">
      <c r="A82" s="216"/>
      <c r="B82" s="192"/>
      <c r="C82" s="192"/>
      <c r="D82" s="192"/>
      <c r="E82" s="192"/>
      <c r="F82" s="193"/>
    </row>
    <row r="83" customFormat="false" ht="14.25" hidden="false" customHeight="false" outlineLevel="0" collapsed="false">
      <c r="A83" s="191"/>
      <c r="B83" s="192"/>
      <c r="C83" s="192"/>
      <c r="D83" s="192"/>
      <c r="E83" s="192"/>
      <c r="F83" s="193"/>
    </row>
    <row r="84" customFormat="false" ht="14.25" hidden="false" customHeight="false" outlineLevel="0" collapsed="false">
      <c r="A84" s="191"/>
      <c r="B84" s="192"/>
      <c r="C84" s="192"/>
      <c r="D84" s="192"/>
      <c r="E84" s="192"/>
      <c r="F84" s="193"/>
    </row>
    <row r="85" customFormat="false" ht="14.25" hidden="false" customHeight="false" outlineLevel="0" collapsed="false">
      <c r="A85" s="191"/>
      <c r="B85" s="192"/>
      <c r="C85" s="192"/>
      <c r="D85" s="192"/>
      <c r="E85" s="192"/>
      <c r="F85" s="193"/>
    </row>
    <row r="86" customFormat="false" ht="14.25" hidden="false" customHeight="false" outlineLevel="0" collapsed="false">
      <c r="A86" s="194"/>
      <c r="B86" s="195"/>
      <c r="C86" s="195"/>
      <c r="D86" s="195"/>
      <c r="E86" s="195"/>
      <c r="F86" s="196"/>
    </row>
    <row r="87" customFormat="false" ht="14.25" hidden="false" customHeight="false" outlineLevel="0" collapsed="false">
      <c r="A87" s="197" t="s">
        <v>656</v>
      </c>
      <c r="B87" s="197"/>
      <c r="C87" s="197"/>
      <c r="D87" s="197"/>
      <c r="E87" s="197"/>
      <c r="F87" s="198" t="n">
        <f aca="false">SUM(F82:F86)</f>
        <v>0</v>
      </c>
    </row>
    <row r="88" customFormat="false" ht="14.25" hidden="false" customHeight="false" outlineLevel="0" collapsed="false">
      <c r="A88" s="184"/>
      <c r="B88" s="184"/>
      <c r="C88" s="184"/>
      <c r="D88" s="184"/>
      <c r="E88" s="184"/>
      <c r="F88" s="184"/>
    </row>
    <row r="89" customFormat="false" ht="15" hidden="false" customHeight="true" outlineLevel="0" collapsed="false">
      <c r="A89" s="199" t="s">
        <v>657</v>
      </c>
      <c r="B89" s="199"/>
      <c r="C89" s="199"/>
      <c r="D89" s="199"/>
      <c r="E89" s="199"/>
      <c r="F89" s="199"/>
    </row>
    <row r="90" customFormat="false" ht="13.5" hidden="false" customHeight="true" outlineLevel="0" collapsed="false">
      <c r="A90" s="188" t="s">
        <v>652</v>
      </c>
      <c r="B90" s="188"/>
      <c r="C90" s="200" t="s">
        <v>12</v>
      </c>
      <c r="D90" s="190" t="s">
        <v>586</v>
      </c>
      <c r="E90" s="190" t="s">
        <v>654</v>
      </c>
      <c r="F90" s="201" t="s">
        <v>655</v>
      </c>
    </row>
    <row r="91" customFormat="false" ht="15" hidden="false" customHeight="true" outlineLevel="0" collapsed="false">
      <c r="A91" s="202"/>
      <c r="B91" s="202"/>
      <c r="C91" s="192"/>
      <c r="D91" s="192"/>
      <c r="E91" s="192"/>
      <c r="F91" s="193"/>
    </row>
    <row r="92" customFormat="false" ht="15" hidden="false" customHeight="true" outlineLevel="0" collapsed="false">
      <c r="A92" s="203"/>
      <c r="B92" s="203"/>
      <c r="C92" s="192"/>
      <c r="D92" s="192"/>
      <c r="E92" s="192"/>
      <c r="F92" s="193"/>
    </row>
    <row r="93" customFormat="false" ht="15" hidden="false" customHeight="true" outlineLevel="0" collapsed="false">
      <c r="A93" s="204"/>
      <c r="B93" s="204"/>
      <c r="C93" s="195"/>
      <c r="D93" s="195"/>
      <c r="E93" s="195"/>
      <c r="F93" s="196"/>
    </row>
    <row r="94" customFormat="false" ht="15" hidden="false" customHeight="true" outlineLevel="0" collapsed="false">
      <c r="A94" s="205" t="s">
        <v>658</v>
      </c>
      <c r="B94" s="205"/>
      <c r="C94" s="205"/>
      <c r="D94" s="205"/>
      <c r="E94" s="205"/>
      <c r="F94" s="206" t="n">
        <f aca="false">SUM(F91:F93)</f>
        <v>0</v>
      </c>
    </row>
    <row r="95" customFormat="false" ht="14.25" hidden="false" customHeight="false" outlineLevel="0" collapsed="false">
      <c r="A95" s="184"/>
      <c r="B95" s="184"/>
      <c r="C95" s="184"/>
      <c r="D95" s="184"/>
      <c r="E95" s="184"/>
      <c r="F95" s="184"/>
    </row>
    <row r="96" customFormat="false" ht="14.25" hidden="false" customHeight="false" outlineLevel="0" collapsed="false">
      <c r="A96" s="187"/>
      <c r="B96" s="187"/>
      <c r="C96" s="178"/>
      <c r="D96" s="207" t="s">
        <v>659</v>
      </c>
      <c r="E96" s="208"/>
      <c r="F96" s="209" t="n">
        <f aca="false">+F78-F87+F94</f>
        <v>0</v>
      </c>
    </row>
    <row r="97" customFormat="false" ht="14.25" hidden="false" customHeight="false" outlineLevel="0" collapsed="false">
      <c r="D97" s="210" t="s">
        <v>660</v>
      </c>
      <c r="E97" s="211"/>
      <c r="F97" s="212" t="n">
        <f aca="false">DSH!E15</f>
        <v>0</v>
      </c>
    </row>
    <row r="98" customFormat="false" ht="14.25" hidden="false" customHeight="false" outlineLevel="0" collapsed="false">
      <c r="D98" s="213" t="s">
        <v>591</v>
      </c>
      <c r="E98" s="214"/>
      <c r="F98" s="215" t="n">
        <f aca="false">F96-F97</f>
        <v>0</v>
      </c>
    </row>
    <row r="100" customFormat="false" ht="14.25" hidden="false" customHeight="false" outlineLevel="0" collapsed="false">
      <c r="A100" s="45"/>
      <c r="B100" s="45"/>
      <c r="C100" s="176" t="s">
        <v>647</v>
      </c>
      <c r="D100" s="177" t="s">
        <v>648</v>
      </c>
      <c r="E100" s="177"/>
    </row>
    <row r="101" customFormat="false" ht="14.25" hidden="false" customHeight="false" outlineLevel="0" collapsed="false">
      <c r="A101" s="178" t="s">
        <v>649</v>
      </c>
      <c r="B101" s="45"/>
      <c r="C101" s="179" t="s">
        <v>664</v>
      </c>
      <c r="D101" s="180"/>
      <c r="E101" s="180"/>
    </row>
    <row r="102" customFormat="false" ht="14.25" hidden="false" customHeight="false" outlineLevel="0" collapsed="false">
      <c r="A102" s="178"/>
      <c r="B102" s="178"/>
      <c r="C102" s="178"/>
      <c r="D102" s="181"/>
      <c r="E102" s="182" t="s">
        <v>650</v>
      </c>
      <c r="F102" s="183"/>
      <c r="H102" s="126" t="s">
        <v>628</v>
      </c>
    </row>
    <row r="103" customFormat="false" ht="14.25" hidden="false" customHeight="false" outlineLevel="0" collapsed="false">
      <c r="A103" s="184"/>
      <c r="B103" s="184"/>
      <c r="C103" s="184"/>
      <c r="D103" s="184"/>
      <c r="E103" s="184"/>
      <c r="F103" s="185"/>
    </row>
    <row r="104" customFormat="false" ht="14.25" hidden="false" customHeight="false" outlineLevel="0" collapsed="false">
      <c r="A104" s="184" t="s">
        <v>651</v>
      </c>
      <c r="B104" s="184"/>
      <c r="C104" s="184"/>
      <c r="D104" s="184"/>
      <c r="E104" s="184"/>
      <c r="F104" s="186"/>
    </row>
    <row r="105" customFormat="false" ht="15" hidden="false" customHeight="true" outlineLevel="0" collapsed="false">
      <c r="A105" s="188" t="s">
        <v>652</v>
      </c>
      <c r="B105" s="188" t="s">
        <v>653</v>
      </c>
      <c r="C105" s="189" t="s">
        <v>12</v>
      </c>
      <c r="D105" s="190" t="s">
        <v>586</v>
      </c>
      <c r="E105" s="190" t="s">
        <v>654</v>
      </c>
      <c r="F105" s="190" t="s">
        <v>655</v>
      </c>
    </row>
    <row r="106" customFormat="false" ht="14.25" hidden="false" customHeight="false" outlineLevel="0" collapsed="false">
      <c r="A106" s="216"/>
      <c r="B106" s="192"/>
      <c r="C106" s="192"/>
      <c r="D106" s="192"/>
      <c r="E106" s="192"/>
      <c r="F106" s="193"/>
    </row>
    <row r="107" customFormat="false" ht="14.25" hidden="false" customHeight="false" outlineLevel="0" collapsed="false">
      <c r="A107" s="191"/>
      <c r="B107" s="192"/>
      <c r="C107" s="192"/>
      <c r="D107" s="192"/>
      <c r="E107" s="192"/>
      <c r="F107" s="193"/>
    </row>
    <row r="108" customFormat="false" ht="14.25" hidden="false" customHeight="false" outlineLevel="0" collapsed="false">
      <c r="A108" s="191"/>
      <c r="B108" s="192"/>
      <c r="C108" s="192"/>
      <c r="D108" s="192"/>
      <c r="E108" s="192"/>
      <c r="F108" s="193"/>
    </row>
    <row r="109" customFormat="false" ht="14.25" hidden="false" customHeight="false" outlineLevel="0" collapsed="false">
      <c r="A109" s="191"/>
      <c r="B109" s="192"/>
      <c r="C109" s="192"/>
      <c r="D109" s="192"/>
      <c r="E109" s="192"/>
      <c r="F109" s="193"/>
    </row>
    <row r="110" customFormat="false" ht="14.25" hidden="false" customHeight="false" outlineLevel="0" collapsed="false">
      <c r="A110" s="194"/>
      <c r="B110" s="195"/>
      <c r="C110" s="195"/>
      <c r="D110" s="195"/>
      <c r="E110" s="195"/>
      <c r="F110" s="196"/>
    </row>
    <row r="111" customFormat="false" ht="14.25" hidden="false" customHeight="false" outlineLevel="0" collapsed="false">
      <c r="A111" s="197" t="s">
        <v>656</v>
      </c>
      <c r="B111" s="197"/>
      <c r="C111" s="197"/>
      <c r="D111" s="197"/>
      <c r="E111" s="197"/>
      <c r="F111" s="198" t="n">
        <f aca="false">SUM(F106:F110)</f>
        <v>0</v>
      </c>
    </row>
    <row r="112" customFormat="false" ht="14.25" hidden="false" customHeight="false" outlineLevel="0" collapsed="false">
      <c r="A112" s="184"/>
      <c r="B112" s="184"/>
      <c r="C112" s="184"/>
      <c r="D112" s="184"/>
      <c r="E112" s="184"/>
      <c r="F112" s="184"/>
    </row>
    <row r="113" customFormat="false" ht="15" hidden="false" customHeight="true" outlineLevel="0" collapsed="false">
      <c r="A113" s="199" t="s">
        <v>657</v>
      </c>
      <c r="B113" s="199"/>
      <c r="C113" s="199"/>
      <c r="D113" s="199"/>
      <c r="E113" s="199"/>
      <c r="F113" s="199"/>
    </row>
    <row r="114" customFormat="false" ht="13.5" hidden="false" customHeight="true" outlineLevel="0" collapsed="false">
      <c r="A114" s="188" t="s">
        <v>652</v>
      </c>
      <c r="B114" s="188"/>
      <c r="C114" s="200" t="s">
        <v>12</v>
      </c>
      <c r="D114" s="190" t="s">
        <v>586</v>
      </c>
      <c r="E114" s="190" t="s">
        <v>654</v>
      </c>
      <c r="F114" s="201" t="s">
        <v>655</v>
      </c>
    </row>
    <row r="115" customFormat="false" ht="15" hidden="false" customHeight="true" outlineLevel="0" collapsed="false">
      <c r="A115" s="202"/>
      <c r="B115" s="202"/>
      <c r="C115" s="192"/>
      <c r="D115" s="192"/>
      <c r="E115" s="192"/>
      <c r="F115" s="193"/>
    </row>
    <row r="116" customFormat="false" ht="15" hidden="false" customHeight="true" outlineLevel="0" collapsed="false">
      <c r="A116" s="203"/>
      <c r="B116" s="203"/>
      <c r="C116" s="192"/>
      <c r="D116" s="192"/>
      <c r="E116" s="192"/>
      <c r="F116" s="193"/>
    </row>
    <row r="117" customFormat="false" ht="15" hidden="false" customHeight="true" outlineLevel="0" collapsed="false">
      <c r="A117" s="204"/>
      <c r="B117" s="204"/>
      <c r="C117" s="195"/>
      <c r="D117" s="195"/>
      <c r="E117" s="195"/>
      <c r="F117" s="196"/>
    </row>
    <row r="118" customFormat="false" ht="15" hidden="false" customHeight="true" outlineLevel="0" collapsed="false">
      <c r="A118" s="205" t="s">
        <v>658</v>
      </c>
      <c r="B118" s="205"/>
      <c r="C118" s="205"/>
      <c r="D118" s="205"/>
      <c r="E118" s="205"/>
      <c r="F118" s="206" t="n">
        <f aca="false">SUM(F115:F117)</f>
        <v>0</v>
      </c>
    </row>
    <row r="119" customFormat="false" ht="14.25" hidden="false" customHeight="false" outlineLevel="0" collapsed="false">
      <c r="A119" s="184"/>
      <c r="B119" s="184"/>
      <c r="C119" s="184"/>
      <c r="D119" s="184"/>
      <c r="E119" s="184"/>
      <c r="F119" s="184"/>
    </row>
    <row r="120" customFormat="false" ht="14.25" hidden="false" customHeight="false" outlineLevel="0" collapsed="false">
      <c r="A120" s="187"/>
      <c r="B120" s="187"/>
      <c r="C120" s="178"/>
      <c r="D120" s="207" t="s">
        <v>659</v>
      </c>
      <c r="E120" s="208"/>
      <c r="F120" s="209" t="n">
        <f aca="false">+F102-F111+F118</f>
        <v>0</v>
      </c>
    </row>
    <row r="121" customFormat="false" ht="14.25" hidden="false" customHeight="false" outlineLevel="0" collapsed="false">
      <c r="D121" s="210" t="s">
        <v>660</v>
      </c>
      <c r="E121" s="211"/>
      <c r="F121" s="212" t="n">
        <f aca="false">DSH!E16</f>
        <v>0</v>
      </c>
    </row>
    <row r="122" customFormat="false" ht="14.25" hidden="false" customHeight="false" outlineLevel="0" collapsed="false">
      <c r="D122" s="213" t="s">
        <v>591</v>
      </c>
      <c r="E122" s="214"/>
      <c r="F122" s="215" t="n">
        <f aca="false">F120-F121</f>
        <v>0</v>
      </c>
    </row>
    <row r="124" customFormat="false" ht="14.25" hidden="false" customHeight="false" outlineLevel="0" collapsed="false">
      <c r="A124" s="45"/>
      <c r="B124" s="45"/>
      <c r="C124" s="176" t="s">
        <v>647</v>
      </c>
      <c r="D124" s="177" t="s">
        <v>648</v>
      </c>
      <c r="E124" s="177"/>
    </row>
    <row r="125" customFormat="false" ht="14.25" hidden="false" customHeight="false" outlineLevel="0" collapsed="false">
      <c r="A125" s="178" t="s">
        <v>649</v>
      </c>
      <c r="B125" s="45"/>
      <c r="C125" s="179" t="s">
        <v>665</v>
      </c>
      <c r="D125" s="180"/>
      <c r="E125" s="180"/>
    </row>
    <row r="126" customFormat="false" ht="14.25" hidden="false" customHeight="false" outlineLevel="0" collapsed="false">
      <c r="A126" s="178"/>
      <c r="B126" s="178"/>
      <c r="C126" s="178"/>
      <c r="D126" s="181"/>
      <c r="E126" s="182" t="s">
        <v>650</v>
      </c>
      <c r="F126" s="183"/>
      <c r="H126" s="126" t="s">
        <v>628</v>
      </c>
    </row>
    <row r="127" customFormat="false" ht="14.25" hidden="false" customHeight="false" outlineLevel="0" collapsed="false">
      <c r="A127" s="184"/>
      <c r="B127" s="184"/>
      <c r="C127" s="184"/>
      <c r="D127" s="184"/>
      <c r="E127" s="184"/>
      <c r="F127" s="185"/>
    </row>
    <row r="128" customFormat="false" ht="14.25" hidden="false" customHeight="false" outlineLevel="0" collapsed="false">
      <c r="A128" s="184" t="s">
        <v>651</v>
      </c>
      <c r="B128" s="184"/>
      <c r="C128" s="184"/>
      <c r="D128" s="184"/>
      <c r="E128" s="184"/>
      <c r="F128" s="186"/>
    </row>
    <row r="129" customFormat="false" ht="15" hidden="false" customHeight="true" outlineLevel="0" collapsed="false">
      <c r="A129" s="188" t="s">
        <v>652</v>
      </c>
      <c r="B129" s="188" t="s">
        <v>653</v>
      </c>
      <c r="C129" s="189" t="s">
        <v>12</v>
      </c>
      <c r="D129" s="190" t="s">
        <v>586</v>
      </c>
      <c r="E129" s="190" t="s">
        <v>654</v>
      </c>
      <c r="F129" s="190" t="s">
        <v>655</v>
      </c>
    </row>
    <row r="130" customFormat="false" ht="14.25" hidden="false" customHeight="false" outlineLevel="0" collapsed="false">
      <c r="A130" s="216"/>
      <c r="B130" s="192"/>
      <c r="C130" s="192"/>
      <c r="D130" s="192"/>
      <c r="E130" s="192"/>
      <c r="F130" s="193"/>
    </row>
    <row r="131" customFormat="false" ht="14.25" hidden="false" customHeight="false" outlineLevel="0" collapsed="false">
      <c r="A131" s="191"/>
      <c r="B131" s="192"/>
      <c r="C131" s="192"/>
      <c r="D131" s="192"/>
      <c r="E131" s="192"/>
      <c r="F131" s="193"/>
    </row>
    <row r="132" customFormat="false" ht="14.25" hidden="false" customHeight="false" outlineLevel="0" collapsed="false">
      <c r="A132" s="191"/>
      <c r="B132" s="192"/>
      <c r="C132" s="192"/>
      <c r="D132" s="192"/>
      <c r="E132" s="192"/>
      <c r="F132" s="193"/>
    </row>
    <row r="133" customFormat="false" ht="14.25" hidden="false" customHeight="false" outlineLevel="0" collapsed="false">
      <c r="A133" s="191"/>
      <c r="B133" s="192"/>
      <c r="C133" s="192"/>
      <c r="D133" s="192"/>
      <c r="E133" s="192"/>
      <c r="F133" s="193"/>
    </row>
    <row r="134" customFormat="false" ht="14.25" hidden="false" customHeight="false" outlineLevel="0" collapsed="false">
      <c r="A134" s="194"/>
      <c r="B134" s="195"/>
      <c r="C134" s="195"/>
      <c r="D134" s="195"/>
      <c r="E134" s="195"/>
      <c r="F134" s="196"/>
    </row>
    <row r="135" customFormat="false" ht="14.25" hidden="false" customHeight="false" outlineLevel="0" collapsed="false">
      <c r="A135" s="197" t="s">
        <v>656</v>
      </c>
      <c r="B135" s="197"/>
      <c r="C135" s="197"/>
      <c r="D135" s="197"/>
      <c r="E135" s="197"/>
      <c r="F135" s="198" t="n">
        <f aca="false">SUM(F130:F134)</f>
        <v>0</v>
      </c>
    </row>
    <row r="136" customFormat="false" ht="14.25" hidden="false" customHeight="false" outlineLevel="0" collapsed="false">
      <c r="A136" s="184"/>
      <c r="B136" s="184"/>
      <c r="C136" s="184"/>
      <c r="D136" s="184"/>
      <c r="E136" s="184"/>
      <c r="F136" s="184"/>
    </row>
    <row r="137" customFormat="false" ht="15" hidden="false" customHeight="true" outlineLevel="0" collapsed="false">
      <c r="A137" s="199" t="s">
        <v>657</v>
      </c>
      <c r="B137" s="199"/>
      <c r="C137" s="199"/>
      <c r="D137" s="199"/>
      <c r="E137" s="199"/>
      <c r="F137" s="199"/>
    </row>
    <row r="138" customFormat="false" ht="13.5" hidden="false" customHeight="true" outlineLevel="0" collapsed="false">
      <c r="A138" s="188" t="s">
        <v>652</v>
      </c>
      <c r="B138" s="188"/>
      <c r="C138" s="200" t="s">
        <v>12</v>
      </c>
      <c r="D138" s="190" t="s">
        <v>586</v>
      </c>
      <c r="E138" s="190" t="s">
        <v>654</v>
      </c>
      <c r="F138" s="201" t="s">
        <v>655</v>
      </c>
    </row>
    <row r="139" customFormat="false" ht="15" hidden="false" customHeight="true" outlineLevel="0" collapsed="false">
      <c r="A139" s="202"/>
      <c r="B139" s="202"/>
      <c r="C139" s="192"/>
      <c r="D139" s="192"/>
      <c r="E139" s="192"/>
      <c r="F139" s="193"/>
    </row>
    <row r="140" customFormat="false" ht="15" hidden="false" customHeight="true" outlineLevel="0" collapsed="false">
      <c r="A140" s="203"/>
      <c r="B140" s="203"/>
      <c r="C140" s="192"/>
      <c r="D140" s="192"/>
      <c r="E140" s="192"/>
      <c r="F140" s="193"/>
    </row>
    <row r="141" customFormat="false" ht="15" hidden="false" customHeight="true" outlineLevel="0" collapsed="false">
      <c r="A141" s="204"/>
      <c r="B141" s="204"/>
      <c r="C141" s="195"/>
      <c r="D141" s="195"/>
      <c r="E141" s="195"/>
      <c r="F141" s="196"/>
    </row>
    <row r="142" customFormat="false" ht="15" hidden="false" customHeight="true" outlineLevel="0" collapsed="false">
      <c r="A142" s="205" t="s">
        <v>658</v>
      </c>
      <c r="B142" s="205"/>
      <c r="C142" s="205"/>
      <c r="D142" s="205"/>
      <c r="E142" s="205"/>
      <c r="F142" s="206" t="n">
        <f aca="false">SUM(F139:F141)</f>
        <v>0</v>
      </c>
    </row>
    <row r="143" customFormat="false" ht="14.25" hidden="false" customHeight="false" outlineLevel="0" collapsed="false">
      <c r="A143" s="184"/>
      <c r="B143" s="184"/>
      <c r="C143" s="184"/>
      <c r="D143" s="184"/>
      <c r="E143" s="184"/>
      <c r="F143" s="184"/>
    </row>
    <row r="144" customFormat="false" ht="14.25" hidden="false" customHeight="false" outlineLevel="0" collapsed="false">
      <c r="A144" s="187"/>
      <c r="B144" s="187"/>
      <c r="C144" s="178"/>
      <c r="D144" s="207" t="s">
        <v>659</v>
      </c>
      <c r="E144" s="208"/>
      <c r="F144" s="209" t="n">
        <f aca="false">+F126-F135+F142</f>
        <v>0</v>
      </c>
    </row>
    <row r="145" customFormat="false" ht="14.25" hidden="false" customHeight="false" outlineLevel="0" collapsed="false">
      <c r="D145" s="210" t="s">
        <v>660</v>
      </c>
      <c r="E145" s="211"/>
      <c r="F145" s="212" t="n">
        <f aca="false">DSH!E17</f>
        <v>0</v>
      </c>
    </row>
    <row r="146" customFormat="false" ht="14.25" hidden="false" customHeight="false" outlineLevel="0" collapsed="false">
      <c r="D146" s="213" t="s">
        <v>591</v>
      </c>
      <c r="E146" s="214"/>
      <c r="F146" s="215" t="n">
        <f aca="false">F144-F145</f>
        <v>0</v>
      </c>
    </row>
  </sheetData>
  <mergeCells count="79">
    <mergeCell ref="D4:E4"/>
    <mergeCell ref="D5:E5"/>
    <mergeCell ref="A7:E7"/>
    <mergeCell ref="A8:E8"/>
    <mergeCell ref="H11:I13"/>
    <mergeCell ref="A14:E14"/>
    <mergeCell ref="A15:F15"/>
    <mergeCell ref="A16:F16"/>
    <mergeCell ref="A18:B18"/>
    <mergeCell ref="A19:B19"/>
    <mergeCell ref="A20:B20"/>
    <mergeCell ref="A21:B21"/>
    <mergeCell ref="A22:E22"/>
    <mergeCell ref="A23:F23"/>
    <mergeCell ref="D28:E28"/>
    <mergeCell ref="D29:E29"/>
    <mergeCell ref="A31:E31"/>
    <mergeCell ref="A32:E32"/>
    <mergeCell ref="A39:E39"/>
    <mergeCell ref="A40:F40"/>
    <mergeCell ref="A41:F41"/>
    <mergeCell ref="A42:B42"/>
    <mergeCell ref="A43:B43"/>
    <mergeCell ref="A44:B44"/>
    <mergeCell ref="A45:B45"/>
    <mergeCell ref="A46:E46"/>
    <mergeCell ref="A47:F47"/>
    <mergeCell ref="D52:E52"/>
    <mergeCell ref="D53:E53"/>
    <mergeCell ref="A55:E55"/>
    <mergeCell ref="A56:E56"/>
    <mergeCell ref="A63:E63"/>
    <mergeCell ref="A64:F64"/>
    <mergeCell ref="A65:F65"/>
    <mergeCell ref="A66:B66"/>
    <mergeCell ref="A67:B67"/>
    <mergeCell ref="A68:B68"/>
    <mergeCell ref="A69:B69"/>
    <mergeCell ref="A70:E70"/>
    <mergeCell ref="A71:F71"/>
    <mergeCell ref="D76:E76"/>
    <mergeCell ref="D77:E77"/>
    <mergeCell ref="A79:E79"/>
    <mergeCell ref="A80:E80"/>
    <mergeCell ref="A87:E87"/>
    <mergeCell ref="A88:F88"/>
    <mergeCell ref="A89:F89"/>
    <mergeCell ref="A90:B90"/>
    <mergeCell ref="A91:B91"/>
    <mergeCell ref="A92:B92"/>
    <mergeCell ref="A93:B93"/>
    <mergeCell ref="A94:E94"/>
    <mergeCell ref="A95:F95"/>
    <mergeCell ref="D100:E100"/>
    <mergeCell ref="D101:E101"/>
    <mergeCell ref="A103:E103"/>
    <mergeCell ref="A104:E104"/>
    <mergeCell ref="A111:E111"/>
    <mergeCell ref="A112:F112"/>
    <mergeCell ref="A113:F113"/>
    <mergeCell ref="A114:B114"/>
    <mergeCell ref="A115:B115"/>
    <mergeCell ref="A116:B116"/>
    <mergeCell ref="A117:B117"/>
    <mergeCell ref="A118:E118"/>
    <mergeCell ref="A119:F119"/>
    <mergeCell ref="D124:E124"/>
    <mergeCell ref="D125:E125"/>
    <mergeCell ref="A127:E127"/>
    <mergeCell ref="A128:E128"/>
    <mergeCell ref="A135:E135"/>
    <mergeCell ref="A136:F136"/>
    <mergeCell ref="A137:F137"/>
    <mergeCell ref="A138:B138"/>
    <mergeCell ref="A139:B139"/>
    <mergeCell ref="A140:B140"/>
    <mergeCell ref="A141:B141"/>
    <mergeCell ref="A142:E142"/>
    <mergeCell ref="A143:F14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4.25" zeroHeight="false" outlineLevelRow="0" outlineLevelCol="0"/>
  <cols>
    <col collapsed="false" customWidth="true" hidden="false" outlineLevel="0" max="1" min="1" style="217" width="19"/>
    <col collapsed="false" customWidth="true" hidden="false" outlineLevel="0" max="2" min="2" style="217" width="10"/>
    <col collapsed="false" customWidth="true" hidden="false" outlineLevel="0" max="3" min="3" style="217" width="13.43"/>
    <col collapsed="false" customWidth="true" hidden="false" outlineLevel="0" max="4" min="4" style="217" width="11.86"/>
    <col collapsed="false" customWidth="true" hidden="false" outlineLevel="0" max="5" min="5" style="217" width="13.86"/>
    <col collapsed="false" customWidth="true" hidden="false" outlineLevel="0" max="6" min="6" style="217" width="14.86"/>
    <col collapsed="false" customWidth="true" hidden="false" outlineLevel="0" max="7" min="7" style="217" width="16.14"/>
    <col collapsed="false" customWidth="true" hidden="false" outlineLevel="0" max="8" min="8" style="217" width="14.86"/>
    <col collapsed="false" customWidth="true" hidden="false" outlineLevel="0" max="9" min="9" style="217" width="11.43"/>
    <col collapsed="false" customWidth="true" hidden="false" outlineLevel="0" max="10" min="10" style="217" width="10.57"/>
    <col collapsed="false" customWidth="false" hidden="false" outlineLevel="0" max="11" min="11" style="217" width="9.14"/>
    <col collapsed="false" customWidth="true" hidden="false" outlineLevel="0" max="12" min="12" style="217" width="20.14"/>
    <col collapsed="false" customWidth="false" hidden="false" outlineLevel="0" max="16384" min="13" style="217" width="9.14"/>
  </cols>
  <sheetData>
    <row r="1" s="6" customFormat="true" ht="20.25" hidden="false" customHeight="true" outlineLevel="0" collapsed="false">
      <c r="A1" s="120"/>
      <c r="K1" s="1"/>
      <c r="L1" s="1"/>
      <c r="M1" s="1"/>
    </row>
    <row r="2" s="6" customFormat="true" ht="20.25" hidden="false" customHeight="true" outlineLevel="0" collapsed="false">
      <c r="A2" s="218"/>
      <c r="B2" s="218"/>
      <c r="C2" s="218"/>
      <c r="D2" s="218"/>
      <c r="E2" s="174" t="s">
        <v>296</v>
      </c>
      <c r="F2" s="218"/>
      <c r="G2" s="218"/>
      <c r="H2" s="218"/>
      <c r="K2" s="1"/>
      <c r="L2" s="1"/>
      <c r="M2" s="1"/>
    </row>
    <row r="3" s="1" customFormat="true" ht="14.25" hidden="false" customHeight="false" outlineLevel="0" collapsed="false"/>
    <row r="4" customFormat="false" ht="51" hidden="false" customHeight="true" outlineLevel="0" collapsed="false">
      <c r="A4" s="219" t="s">
        <v>12</v>
      </c>
      <c r="B4" s="219"/>
      <c r="C4" s="219"/>
      <c r="D4" s="220" t="s">
        <v>489</v>
      </c>
      <c r="E4" s="220" t="s">
        <v>666</v>
      </c>
      <c r="F4" s="219" t="s">
        <v>667</v>
      </c>
      <c r="G4" s="221" t="s">
        <v>668</v>
      </c>
      <c r="H4" s="222" t="s">
        <v>2</v>
      </c>
      <c r="I4" s="223"/>
      <c r="J4" s="126" t="s">
        <v>628</v>
      </c>
      <c r="K4" s="223"/>
      <c r="L4" s="223"/>
      <c r="M4" s="223"/>
      <c r="N4" s="223"/>
      <c r="O4" s="223"/>
      <c r="P4" s="223"/>
      <c r="Q4" s="223"/>
      <c r="R4" s="223"/>
      <c r="S4" s="223"/>
      <c r="T4" s="223"/>
      <c r="U4" s="223"/>
      <c r="V4" s="223"/>
      <c r="W4" s="223"/>
      <c r="X4" s="223"/>
      <c r="Y4" s="223"/>
      <c r="Z4" s="223"/>
      <c r="AA4" s="223"/>
      <c r="AB4" s="223"/>
      <c r="AC4" s="223"/>
      <c r="AD4" s="223"/>
      <c r="AE4" s="223"/>
      <c r="AF4" s="223"/>
      <c r="AG4" s="223"/>
      <c r="AH4" s="223"/>
    </row>
    <row r="5" customFormat="false" ht="15" hidden="false" customHeight="true" outlineLevel="0" collapsed="false">
      <c r="A5" s="224"/>
      <c r="B5" s="224"/>
      <c r="C5" s="224"/>
      <c r="D5" s="225"/>
      <c r="E5" s="226"/>
      <c r="F5" s="227"/>
      <c r="G5" s="228" t="n">
        <f aca="false">IF(E5="N",F5,F5/1.15)</f>
        <v>0</v>
      </c>
      <c r="H5" s="228" t="n">
        <f aca="false">IF(F5=G5,0,G5*0.15)</f>
        <v>0</v>
      </c>
      <c r="I5" s="229"/>
      <c r="K5" s="223"/>
      <c r="L5" s="223"/>
      <c r="M5" s="223"/>
      <c r="N5" s="223"/>
      <c r="O5" s="223"/>
      <c r="P5" s="223"/>
      <c r="Q5" s="223"/>
      <c r="R5" s="223"/>
      <c r="S5" s="223"/>
      <c r="T5" s="223"/>
      <c r="U5" s="223"/>
      <c r="V5" s="223"/>
      <c r="W5" s="223"/>
      <c r="X5" s="223"/>
      <c r="Y5" s="223"/>
      <c r="Z5" s="223"/>
      <c r="AA5" s="223"/>
      <c r="AB5" s="223"/>
      <c r="AC5" s="223"/>
      <c r="AD5" s="223"/>
      <c r="AE5" s="223"/>
      <c r="AF5" s="223"/>
      <c r="AG5" s="223"/>
      <c r="AH5" s="223"/>
    </row>
    <row r="6" customFormat="false" ht="15" hidden="false" customHeight="true" outlineLevel="0" collapsed="false">
      <c r="A6" s="191"/>
      <c r="B6" s="191"/>
      <c r="C6" s="191"/>
      <c r="D6" s="230"/>
      <c r="E6" s="226" t="str">
        <f aca="false">+IF(Index!$C$5="yes","",(IF($F6="","","N")))</f>
        <v/>
      </c>
      <c r="F6" s="231"/>
      <c r="G6" s="228" t="n">
        <f aca="false">IF(E6="N",F6,F6/1.15)</f>
        <v>0</v>
      </c>
      <c r="H6" s="228" t="n">
        <f aca="false">IF(F6=G6,0,G6*0.15)</f>
        <v>0</v>
      </c>
      <c r="I6" s="223"/>
      <c r="K6" s="223"/>
      <c r="L6" s="223"/>
      <c r="M6" s="223"/>
      <c r="N6" s="223"/>
      <c r="O6" s="223"/>
      <c r="P6" s="223"/>
      <c r="Q6" s="223"/>
      <c r="R6" s="223"/>
      <c r="S6" s="223"/>
      <c r="T6" s="223"/>
      <c r="U6" s="223"/>
      <c r="V6" s="223"/>
      <c r="W6" s="223"/>
      <c r="X6" s="223"/>
      <c r="Y6" s="223"/>
      <c r="Z6" s="223"/>
      <c r="AA6" s="223"/>
      <c r="AB6" s="223"/>
      <c r="AC6" s="223"/>
      <c r="AD6" s="223"/>
      <c r="AE6" s="223"/>
      <c r="AF6" s="223"/>
      <c r="AG6" s="223"/>
      <c r="AH6" s="223"/>
    </row>
    <row r="7" customFormat="false" ht="15" hidden="false" customHeight="true" outlineLevel="0" collapsed="false">
      <c r="A7" s="191"/>
      <c r="B7" s="191"/>
      <c r="C7" s="191"/>
      <c r="D7" s="225"/>
      <c r="E7" s="226" t="str">
        <f aca="false">+IF(Index!$C$5="yes","",(IF($F7="","","N")))</f>
        <v/>
      </c>
      <c r="F7" s="231"/>
      <c r="G7" s="228" t="n">
        <f aca="false">IF(E7="N",F7,F7/1.15)</f>
        <v>0</v>
      </c>
      <c r="H7" s="228" t="n">
        <f aca="false">IF(F7=G7,0,G7*0.15)</f>
        <v>0</v>
      </c>
      <c r="I7" s="223"/>
      <c r="K7" s="223"/>
      <c r="L7" s="223"/>
      <c r="M7" s="223"/>
      <c r="N7" s="223"/>
      <c r="O7" s="223"/>
      <c r="P7" s="223"/>
      <c r="Q7" s="223"/>
      <c r="R7" s="223"/>
      <c r="S7" s="223"/>
      <c r="T7" s="223"/>
      <c r="U7" s="223"/>
      <c r="V7" s="223"/>
      <c r="W7" s="223"/>
      <c r="X7" s="223"/>
      <c r="Y7" s="223"/>
      <c r="Z7" s="223"/>
      <c r="AA7" s="223"/>
      <c r="AB7" s="223"/>
      <c r="AC7" s="223"/>
      <c r="AD7" s="223"/>
      <c r="AE7" s="223"/>
      <c r="AF7" s="223"/>
      <c r="AG7" s="223"/>
      <c r="AH7" s="223"/>
    </row>
    <row r="8" customFormat="false" ht="15" hidden="false" customHeight="true" outlineLevel="0" collapsed="false">
      <c r="A8" s="191"/>
      <c r="B8" s="191"/>
      <c r="C8" s="191"/>
      <c r="D8" s="225"/>
      <c r="E8" s="226" t="str">
        <f aca="false">+IF(Index!$C$5="yes","",(IF($F8="","","N")))</f>
        <v/>
      </c>
      <c r="F8" s="231"/>
      <c r="G8" s="228" t="n">
        <f aca="false">IF(E8="N",F8,F8/1.15)</f>
        <v>0</v>
      </c>
      <c r="H8" s="228" t="n">
        <f aca="false">IF(F8=G8,0,G8*0.15)</f>
        <v>0</v>
      </c>
      <c r="I8" s="223"/>
      <c r="K8" s="223"/>
      <c r="L8" s="223"/>
      <c r="M8" s="223"/>
      <c r="N8" s="223"/>
      <c r="O8" s="223"/>
      <c r="P8" s="223"/>
      <c r="Q8" s="223"/>
      <c r="R8" s="223"/>
      <c r="S8" s="223"/>
      <c r="T8" s="223"/>
      <c r="U8" s="223"/>
      <c r="V8" s="223"/>
      <c r="W8" s="223"/>
      <c r="X8" s="223"/>
      <c r="Y8" s="223"/>
      <c r="Z8" s="223"/>
      <c r="AA8" s="223"/>
      <c r="AB8" s="223"/>
      <c r="AC8" s="223"/>
      <c r="AD8" s="223"/>
      <c r="AE8" s="223"/>
      <c r="AF8" s="223"/>
      <c r="AG8" s="223"/>
      <c r="AH8" s="223"/>
    </row>
    <row r="9" customFormat="false" ht="15" hidden="false" customHeight="true" outlineLevel="0" collapsed="false">
      <c r="A9" s="191"/>
      <c r="B9" s="191"/>
      <c r="C9" s="191"/>
      <c r="D9" s="225"/>
      <c r="E9" s="226" t="str">
        <f aca="false">+IF(Index!$C$5="yes","",(IF($F9="","","N")))</f>
        <v/>
      </c>
      <c r="F9" s="231"/>
      <c r="G9" s="228" t="n">
        <f aca="false">IF(E9="N",F9,F9/1.15)</f>
        <v>0</v>
      </c>
      <c r="H9" s="228" t="n">
        <f aca="false">IF(F9=G9,0,G9*0.15)</f>
        <v>0</v>
      </c>
      <c r="I9" s="223"/>
      <c r="K9" s="223"/>
      <c r="L9" s="223"/>
      <c r="M9" s="223"/>
      <c r="N9" s="223"/>
      <c r="O9" s="223"/>
      <c r="P9" s="223"/>
      <c r="Q9" s="223"/>
      <c r="R9" s="223"/>
      <c r="S9" s="223"/>
      <c r="T9" s="223"/>
      <c r="U9" s="223"/>
      <c r="V9" s="223"/>
      <c r="W9" s="223"/>
      <c r="X9" s="223"/>
      <c r="Y9" s="223"/>
      <c r="Z9" s="223"/>
      <c r="AA9" s="223"/>
      <c r="AB9" s="223"/>
      <c r="AC9" s="223"/>
      <c r="AD9" s="223"/>
      <c r="AE9" s="223"/>
      <c r="AF9" s="223"/>
      <c r="AG9" s="223"/>
      <c r="AH9" s="223"/>
    </row>
    <row r="10" customFormat="false" ht="15" hidden="false" customHeight="true" outlineLevel="0" collapsed="false">
      <c r="A10" s="191"/>
      <c r="B10" s="191"/>
      <c r="C10" s="191"/>
      <c r="D10" s="225"/>
      <c r="E10" s="226" t="str">
        <f aca="false">+IF(Index!$C$5="yes","",(IF($F10="","","N")))</f>
        <v/>
      </c>
      <c r="F10" s="231"/>
      <c r="G10" s="228" t="n">
        <f aca="false">IF(E10="N",F10,F10/1.15)</f>
        <v>0</v>
      </c>
      <c r="H10" s="228" t="n">
        <f aca="false">IF(F10=G10,0,G10*0.15)</f>
        <v>0</v>
      </c>
      <c r="I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row>
    <row r="11" customFormat="false" ht="15" hidden="false" customHeight="true" outlineLevel="0" collapsed="false">
      <c r="A11" s="194"/>
      <c r="B11" s="194"/>
      <c r="C11" s="194"/>
      <c r="D11" s="232"/>
      <c r="E11" s="226" t="str">
        <f aca="false">+IF(Index!$C$5="yes","",(IF($F11="","","N")))</f>
        <v/>
      </c>
      <c r="F11" s="233"/>
      <c r="G11" s="226" t="n">
        <f aca="false">IF(E11="N",F11,F11/1.15)</f>
        <v>0</v>
      </c>
      <c r="H11" s="226" t="n">
        <f aca="false">IF(F11=G11,0,G11*0.15)</f>
        <v>0</v>
      </c>
      <c r="I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row>
    <row r="12" customFormat="false" ht="14.25" hidden="false" customHeight="false" outlineLevel="0" collapsed="false">
      <c r="A12" s="234"/>
      <c r="B12" s="234"/>
      <c r="C12" s="234"/>
      <c r="D12" s="235"/>
      <c r="E12" s="235"/>
      <c r="F12" s="236"/>
      <c r="G12" s="237"/>
      <c r="H12" s="238"/>
      <c r="I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row>
    <row r="13" customFormat="false" ht="14.25" hidden="false" customHeight="false" outlineLevel="0" collapsed="false">
      <c r="A13" s="217" t="s">
        <v>669</v>
      </c>
      <c r="F13" s="228" t="n">
        <f aca="false">SUM(F5:F11)</f>
        <v>0</v>
      </c>
      <c r="G13" s="228" t="n">
        <f aca="false">SUM(G5:G11)</f>
        <v>0</v>
      </c>
      <c r="H13" s="228" t="n">
        <f aca="false">SUM(H5:H11)</f>
        <v>0</v>
      </c>
      <c r="I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row>
    <row r="14" customFormat="false" ht="14.25" hidden="false" customHeight="false" outlineLevel="0" collapsed="false">
      <c r="G14" s="223"/>
      <c r="H14" s="223"/>
      <c r="I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row>
    <row r="15" customFormat="false" ht="14.25" hidden="false" customHeight="false" outlineLevel="0" collapsed="false">
      <c r="F15" s="207" t="s">
        <v>659</v>
      </c>
      <c r="G15" s="208"/>
      <c r="H15" s="228" t="n">
        <f aca="false">+F13</f>
        <v>0</v>
      </c>
      <c r="I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row>
    <row r="16" customFormat="false" ht="14.25" hidden="false" customHeight="false" outlineLevel="0" collapsed="false">
      <c r="F16" s="210" t="s">
        <v>660</v>
      </c>
      <c r="G16" s="211"/>
      <c r="H16" s="228" t="n">
        <f aca="false">DSH!E18</f>
        <v>0</v>
      </c>
      <c r="I16" s="229"/>
      <c r="K16" s="223"/>
      <c r="L16" s="239"/>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row>
    <row r="17" customFormat="false" ht="14.25" hidden="false" customHeight="false" outlineLevel="0" collapsed="false">
      <c r="F17" s="213" t="s">
        <v>591</v>
      </c>
      <c r="G17" s="214"/>
      <c r="H17" s="228" t="n">
        <f aca="false">H15-H16</f>
        <v>0</v>
      </c>
      <c r="J17" s="223"/>
      <c r="K17" s="223"/>
      <c r="L17" s="223"/>
      <c r="M17" s="223"/>
      <c r="N17" s="223"/>
      <c r="O17" s="223"/>
      <c r="P17" s="223"/>
      <c r="Q17" s="223"/>
      <c r="R17" s="223"/>
      <c r="S17" s="223"/>
      <c r="T17" s="223"/>
      <c r="U17" s="223"/>
      <c r="V17" s="223"/>
      <c r="W17" s="223"/>
      <c r="X17" s="223"/>
      <c r="Y17" s="223"/>
      <c r="Z17" s="223"/>
      <c r="AA17" s="223"/>
      <c r="AB17" s="223"/>
      <c r="AC17" s="223"/>
      <c r="AD17" s="223"/>
      <c r="AE17" s="223"/>
      <c r="AF17" s="223"/>
      <c r="AG17" s="223"/>
      <c r="AH17" s="223"/>
      <c r="AI17" s="223"/>
    </row>
    <row r="18" customFormat="false" ht="14.25" hidden="false" customHeight="false" outlineLevel="0" collapsed="false">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c r="AH18" s="223"/>
      <c r="AI18" s="223"/>
    </row>
    <row r="19" customFormat="false" ht="14.25" hidden="false" customHeight="false" outlineLevel="0" collapsed="false">
      <c r="J19" s="223"/>
      <c r="K19" s="223"/>
      <c r="L19" s="223"/>
      <c r="M19" s="223"/>
      <c r="N19" s="223"/>
      <c r="O19" s="223"/>
      <c r="P19" s="223"/>
      <c r="Q19" s="223"/>
      <c r="R19" s="223"/>
      <c r="S19" s="223"/>
      <c r="T19" s="223"/>
      <c r="U19" s="223"/>
      <c r="V19" s="223"/>
      <c r="W19" s="223"/>
      <c r="X19" s="223"/>
      <c r="Y19" s="223"/>
      <c r="Z19" s="223"/>
      <c r="AA19" s="223"/>
      <c r="AB19" s="223"/>
      <c r="AC19" s="223"/>
      <c r="AD19" s="223"/>
      <c r="AE19" s="223"/>
      <c r="AF19" s="223"/>
      <c r="AG19" s="223"/>
      <c r="AH19" s="223"/>
      <c r="AI19" s="223"/>
    </row>
    <row r="20" customFormat="false" ht="14.25" hidden="false" customHeight="false" outlineLevel="0" collapsed="false">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row>
    <row r="21" customFormat="false" ht="14.25" hidden="false" customHeight="false" outlineLevel="0" collapsed="false">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row>
    <row r="22" customFormat="false" ht="14.25" hidden="false" customHeight="false" outlineLevel="0" collapsed="false">
      <c r="J22" s="223"/>
      <c r="K22" s="223"/>
      <c r="L22" s="223"/>
      <c r="M22" s="223"/>
      <c r="N22" s="223"/>
      <c r="O22" s="223"/>
      <c r="P22" s="223"/>
      <c r="Q22" s="223"/>
      <c r="R22" s="223"/>
      <c r="S22" s="223"/>
      <c r="T22" s="223"/>
      <c r="U22" s="223"/>
      <c r="V22" s="223"/>
      <c r="W22" s="223"/>
      <c r="X22" s="223"/>
      <c r="Y22" s="223"/>
      <c r="Z22" s="223"/>
      <c r="AA22" s="223"/>
      <c r="AB22" s="223"/>
      <c r="AC22" s="223"/>
      <c r="AD22" s="223"/>
      <c r="AE22" s="223"/>
      <c r="AF22" s="223"/>
      <c r="AG22" s="223"/>
      <c r="AH22" s="223"/>
      <c r="AI22" s="223"/>
    </row>
    <row r="23" customFormat="false" ht="14.25" hidden="false" customHeight="false" outlineLevel="0" collapsed="false">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row>
    <row r="24" customFormat="false" ht="14.25" hidden="false" customHeight="false" outlineLevel="0" collapsed="false">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row>
    <row r="25" customFormat="false" ht="14.25" hidden="false" customHeight="false" outlineLevel="0" collapsed="false">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row>
    <row r="26" customFormat="false" ht="14.25" hidden="false" customHeight="false" outlineLevel="0" collapsed="false">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row>
    <row r="27" customFormat="false" ht="14.25" hidden="false" customHeight="false" outlineLevel="0" collapsed="false">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row>
    <row r="28" customFormat="false" ht="14.25" hidden="false" customHeight="false" outlineLevel="0" collapsed="false">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row>
    <row r="29" customFormat="false" ht="14.25" hidden="false" customHeight="false" outlineLevel="0" collapsed="false">
      <c r="J29" s="223"/>
      <c r="K29" s="223"/>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row>
    <row r="30" customFormat="false" ht="14.25" hidden="false" customHeight="false" outlineLevel="0" collapsed="false">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row>
    <row r="31" customFormat="false" ht="14.25" hidden="false" customHeight="false" outlineLevel="0" collapsed="false">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row>
    <row r="32" customFormat="false" ht="14.25" hidden="false" customHeight="false" outlineLevel="0" collapsed="false">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row>
    <row r="33" customFormat="false" ht="14.25" hidden="false" customHeight="false" outlineLevel="0" collapsed="false">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row>
    <row r="34" customFormat="false" ht="14.25" hidden="false" customHeight="false" outlineLevel="0" collapsed="false">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row>
    <row r="35" customFormat="false" ht="14.25" hidden="false" customHeight="false" outlineLevel="0" collapsed="false">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row>
    <row r="36" customFormat="false" ht="14.25" hidden="false" customHeight="false" outlineLevel="0" collapsed="false">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row>
    <row r="37" customFormat="false" ht="14.25" hidden="false" customHeight="false" outlineLevel="0" collapsed="false">
      <c r="J37" s="223"/>
      <c r="K37" s="223"/>
      <c r="L37" s="223"/>
      <c r="M37" s="223"/>
      <c r="N37" s="223"/>
      <c r="O37" s="223"/>
      <c r="P37" s="223"/>
      <c r="Q37" s="223"/>
      <c r="R37" s="223"/>
      <c r="S37" s="223"/>
      <c r="T37" s="223"/>
      <c r="U37" s="223"/>
      <c r="V37" s="223"/>
      <c r="W37" s="223"/>
      <c r="X37" s="223"/>
      <c r="Y37" s="223"/>
      <c r="Z37" s="223"/>
      <c r="AA37" s="223"/>
      <c r="AB37" s="223"/>
      <c r="AC37" s="223"/>
      <c r="AD37" s="223"/>
      <c r="AE37" s="223"/>
      <c r="AF37" s="223"/>
      <c r="AG37" s="223"/>
      <c r="AH37" s="223"/>
      <c r="AI37" s="223"/>
    </row>
    <row r="38" customFormat="false" ht="14.25" hidden="false" customHeight="false" outlineLevel="0" collapsed="false">
      <c r="J38" s="223"/>
      <c r="K38" s="223"/>
      <c r="L38" s="223"/>
      <c r="M38" s="223"/>
      <c r="N38" s="223"/>
      <c r="O38" s="223"/>
      <c r="P38" s="223"/>
      <c r="Q38" s="223"/>
      <c r="R38" s="223"/>
      <c r="S38" s="223"/>
      <c r="T38" s="223"/>
      <c r="U38" s="223"/>
      <c r="V38" s="223"/>
      <c r="W38" s="223"/>
      <c r="X38" s="223"/>
      <c r="Y38" s="223"/>
      <c r="Z38" s="223"/>
      <c r="AA38" s="223"/>
      <c r="AB38" s="223"/>
      <c r="AC38" s="223"/>
      <c r="AD38" s="223"/>
      <c r="AE38" s="223"/>
      <c r="AF38" s="223"/>
      <c r="AG38" s="223"/>
      <c r="AH38" s="223"/>
      <c r="AI38" s="223"/>
    </row>
    <row r="39" customFormat="false" ht="14.25" hidden="false" customHeight="false" outlineLevel="0" collapsed="false">
      <c r="J39" s="223"/>
      <c r="K39" s="223"/>
      <c r="L39" s="223"/>
      <c r="M39" s="223"/>
      <c r="N39" s="223"/>
      <c r="O39" s="223"/>
      <c r="P39" s="223"/>
      <c r="Q39" s="223"/>
      <c r="R39" s="223"/>
      <c r="S39" s="223"/>
      <c r="T39" s="223"/>
      <c r="U39" s="223"/>
      <c r="V39" s="223"/>
      <c r="W39" s="223"/>
      <c r="X39" s="223"/>
      <c r="Y39" s="223"/>
      <c r="Z39" s="223"/>
      <c r="AA39" s="223"/>
      <c r="AB39" s="223"/>
      <c r="AC39" s="223"/>
      <c r="AD39" s="223"/>
      <c r="AE39" s="223"/>
      <c r="AF39" s="223"/>
      <c r="AG39" s="223"/>
      <c r="AH39" s="223"/>
      <c r="AI39" s="223"/>
    </row>
    <row r="40" customFormat="false" ht="14.25" hidden="false" customHeight="false" outlineLevel="0" collapsed="false">
      <c r="J40" s="223"/>
      <c r="K40" s="223"/>
      <c r="L40" s="223"/>
      <c r="M40" s="223"/>
      <c r="N40" s="223"/>
      <c r="O40" s="223"/>
      <c r="P40" s="223"/>
      <c r="Q40" s="223"/>
      <c r="R40" s="223"/>
      <c r="S40" s="223"/>
      <c r="T40" s="223"/>
      <c r="U40" s="223"/>
      <c r="V40" s="223"/>
      <c r="W40" s="223"/>
      <c r="X40" s="223"/>
      <c r="Y40" s="223"/>
      <c r="Z40" s="223"/>
      <c r="AA40" s="223"/>
      <c r="AB40" s="223"/>
      <c r="AC40" s="223"/>
      <c r="AD40" s="223"/>
      <c r="AE40" s="223"/>
      <c r="AF40" s="223"/>
      <c r="AG40" s="223"/>
      <c r="AH40" s="223"/>
      <c r="AI40" s="223"/>
    </row>
    <row r="41" customFormat="false" ht="14.25" hidden="false" customHeight="false" outlineLevel="0" collapsed="false">
      <c r="J41" s="223"/>
      <c r="K41" s="223"/>
      <c r="L41" s="223"/>
      <c r="M41" s="223"/>
      <c r="N41" s="223"/>
      <c r="O41" s="223"/>
      <c r="P41" s="223"/>
      <c r="Q41" s="223"/>
      <c r="R41" s="223"/>
      <c r="S41" s="223"/>
      <c r="T41" s="223"/>
      <c r="U41" s="223"/>
      <c r="V41" s="223"/>
      <c r="W41" s="223"/>
      <c r="X41" s="223"/>
      <c r="Y41" s="223"/>
      <c r="Z41" s="223"/>
      <c r="AA41" s="223"/>
      <c r="AB41" s="223"/>
      <c r="AC41" s="223"/>
      <c r="AD41" s="223"/>
      <c r="AE41" s="223"/>
      <c r="AF41" s="223"/>
      <c r="AG41" s="223"/>
      <c r="AH41" s="223"/>
      <c r="AI41" s="223"/>
    </row>
    <row r="42" customFormat="false" ht="14.25" hidden="false" customHeight="false" outlineLevel="0" collapsed="false">
      <c r="J42" s="223"/>
      <c r="K42" s="223"/>
      <c r="L42" s="223"/>
      <c r="M42" s="223"/>
      <c r="N42" s="223"/>
      <c r="O42" s="223"/>
      <c r="P42" s="223"/>
      <c r="Q42" s="223"/>
      <c r="R42" s="223"/>
      <c r="S42" s="223"/>
      <c r="T42" s="223"/>
      <c r="U42" s="223"/>
      <c r="V42" s="223"/>
      <c r="W42" s="223"/>
      <c r="X42" s="223"/>
      <c r="Y42" s="223"/>
      <c r="Z42" s="223"/>
      <c r="AA42" s="223"/>
      <c r="AB42" s="223"/>
      <c r="AC42" s="223"/>
      <c r="AD42" s="223"/>
      <c r="AE42" s="223"/>
      <c r="AF42" s="223"/>
      <c r="AG42" s="223"/>
      <c r="AH42" s="223"/>
      <c r="AI42" s="223"/>
    </row>
    <row r="43" customFormat="false" ht="14.25" hidden="false" customHeight="false" outlineLevel="0" collapsed="false">
      <c r="J43" s="223"/>
      <c r="K43" s="223"/>
      <c r="L43" s="223"/>
      <c r="M43" s="223"/>
      <c r="N43" s="223"/>
      <c r="O43" s="223"/>
      <c r="P43" s="223"/>
      <c r="Q43" s="223"/>
      <c r="R43" s="223"/>
      <c r="S43" s="223"/>
      <c r="T43" s="223"/>
      <c r="U43" s="223"/>
      <c r="V43" s="223"/>
      <c r="W43" s="223"/>
      <c r="X43" s="223"/>
      <c r="Y43" s="223"/>
      <c r="Z43" s="223"/>
      <c r="AA43" s="223"/>
      <c r="AB43" s="223"/>
      <c r="AC43" s="223"/>
      <c r="AD43" s="223"/>
      <c r="AE43" s="223"/>
      <c r="AF43" s="223"/>
      <c r="AG43" s="223"/>
      <c r="AH43" s="223"/>
      <c r="AI43" s="223"/>
    </row>
    <row r="44" customFormat="false" ht="14.25" hidden="false" customHeight="false" outlineLevel="0" collapsed="false">
      <c r="J44" s="223"/>
      <c r="K44" s="223"/>
      <c r="L44" s="223"/>
      <c r="M44" s="223"/>
      <c r="N44" s="223"/>
      <c r="O44" s="223"/>
      <c r="P44" s="223"/>
      <c r="Q44" s="223"/>
      <c r="R44" s="223"/>
      <c r="S44" s="223"/>
      <c r="T44" s="223"/>
      <c r="U44" s="223"/>
      <c r="V44" s="223"/>
      <c r="W44" s="223"/>
      <c r="X44" s="223"/>
      <c r="Y44" s="223"/>
      <c r="Z44" s="223"/>
      <c r="AA44" s="223"/>
      <c r="AB44" s="223"/>
      <c r="AC44" s="223"/>
      <c r="AD44" s="223"/>
      <c r="AE44" s="223"/>
      <c r="AF44" s="223"/>
      <c r="AG44" s="223"/>
      <c r="AH44" s="223"/>
      <c r="AI44" s="223"/>
    </row>
    <row r="45" customFormat="false" ht="14.25" hidden="false" customHeight="false" outlineLevel="0" collapsed="false">
      <c r="J45" s="223"/>
      <c r="K45" s="223"/>
      <c r="L45" s="223"/>
      <c r="M45" s="223"/>
      <c r="N45" s="223"/>
      <c r="O45" s="223"/>
      <c r="P45" s="223"/>
      <c r="Q45" s="223"/>
      <c r="R45" s="223"/>
      <c r="S45" s="223"/>
      <c r="T45" s="223"/>
      <c r="U45" s="223"/>
      <c r="V45" s="223"/>
      <c r="W45" s="223"/>
      <c r="X45" s="223"/>
      <c r="Y45" s="223"/>
      <c r="Z45" s="223"/>
      <c r="AA45" s="223"/>
      <c r="AB45" s="223"/>
      <c r="AC45" s="223"/>
      <c r="AD45" s="223"/>
      <c r="AE45" s="223"/>
      <c r="AF45" s="223"/>
      <c r="AG45" s="223"/>
      <c r="AH45" s="223"/>
      <c r="AI45" s="223"/>
    </row>
    <row r="46" customFormat="false" ht="14.25" hidden="false" customHeight="false" outlineLevel="0" collapsed="false">
      <c r="J46" s="223"/>
      <c r="K46" s="223"/>
      <c r="L46" s="223"/>
      <c r="M46" s="223"/>
      <c r="N46" s="223"/>
      <c r="O46" s="223"/>
      <c r="P46" s="223"/>
      <c r="Q46" s="223"/>
      <c r="R46" s="223"/>
      <c r="S46" s="223"/>
      <c r="T46" s="223"/>
      <c r="U46" s="223"/>
      <c r="V46" s="223"/>
      <c r="W46" s="223"/>
      <c r="X46" s="223"/>
      <c r="Y46" s="223"/>
      <c r="Z46" s="223"/>
      <c r="AA46" s="223"/>
      <c r="AB46" s="223"/>
      <c r="AC46" s="223"/>
      <c r="AD46" s="223"/>
      <c r="AE46" s="223"/>
      <c r="AF46" s="223"/>
      <c r="AG46" s="223"/>
      <c r="AH46" s="223"/>
      <c r="AI46" s="223"/>
    </row>
    <row r="47" customFormat="false" ht="14.25" hidden="false" customHeight="false" outlineLevel="0" collapsed="false">
      <c r="J47" s="223"/>
      <c r="K47" s="223"/>
      <c r="L47" s="223"/>
      <c r="M47" s="223"/>
      <c r="N47" s="223"/>
      <c r="O47" s="223"/>
      <c r="P47" s="223"/>
      <c r="Q47" s="223"/>
      <c r="R47" s="223"/>
      <c r="S47" s="223"/>
      <c r="T47" s="223"/>
      <c r="U47" s="223"/>
      <c r="V47" s="223"/>
      <c r="W47" s="223"/>
      <c r="X47" s="223"/>
      <c r="Y47" s="223"/>
      <c r="Z47" s="223"/>
      <c r="AA47" s="223"/>
      <c r="AB47" s="223"/>
      <c r="AC47" s="223"/>
      <c r="AD47" s="223"/>
      <c r="AE47" s="223"/>
      <c r="AF47" s="223"/>
      <c r="AG47" s="223"/>
      <c r="AH47" s="223"/>
      <c r="AI47" s="223"/>
    </row>
    <row r="48" customFormat="false" ht="14.25" hidden="false" customHeight="false" outlineLevel="0" collapsed="false">
      <c r="J48" s="223"/>
      <c r="K48" s="223"/>
      <c r="L48" s="223"/>
      <c r="M48" s="223"/>
      <c r="N48" s="223"/>
      <c r="O48" s="223"/>
      <c r="P48" s="223"/>
      <c r="Q48" s="223"/>
      <c r="R48" s="223"/>
      <c r="S48" s="223"/>
      <c r="T48" s="223"/>
      <c r="U48" s="223"/>
      <c r="V48" s="223"/>
      <c r="W48" s="223"/>
      <c r="X48" s="223"/>
      <c r="Y48" s="223"/>
      <c r="Z48" s="223"/>
      <c r="AA48" s="223"/>
      <c r="AB48" s="223"/>
      <c r="AC48" s="223"/>
      <c r="AD48" s="223"/>
      <c r="AE48" s="223"/>
      <c r="AF48" s="223"/>
      <c r="AG48" s="223"/>
      <c r="AH48" s="223"/>
      <c r="AI48" s="223"/>
    </row>
    <row r="49" customFormat="false" ht="14.25" hidden="false" customHeight="false" outlineLevel="0" collapsed="false">
      <c r="J49" s="223"/>
      <c r="K49" s="223"/>
      <c r="L49" s="223"/>
      <c r="M49" s="223"/>
      <c r="N49" s="223"/>
      <c r="O49" s="223"/>
      <c r="P49" s="223"/>
      <c r="Q49" s="223"/>
      <c r="R49" s="223"/>
      <c r="S49" s="223"/>
      <c r="T49" s="223"/>
      <c r="U49" s="223"/>
      <c r="V49" s="223"/>
      <c r="W49" s="223"/>
      <c r="X49" s="223"/>
      <c r="Y49" s="223"/>
      <c r="Z49" s="223"/>
      <c r="AA49" s="223"/>
      <c r="AB49" s="223"/>
      <c r="AC49" s="223"/>
      <c r="AD49" s="223"/>
      <c r="AE49" s="223"/>
      <c r="AF49" s="223"/>
      <c r="AG49" s="223"/>
      <c r="AH49" s="223"/>
      <c r="AI49" s="223"/>
    </row>
    <row r="50" customFormat="false" ht="14.25" hidden="false" customHeight="false" outlineLevel="0" collapsed="false">
      <c r="J50" s="223"/>
      <c r="K50" s="223"/>
      <c r="L50" s="223"/>
      <c r="M50" s="223"/>
      <c r="N50" s="223"/>
      <c r="O50" s="223"/>
      <c r="P50" s="223"/>
      <c r="Q50" s="223"/>
      <c r="R50" s="223"/>
      <c r="S50" s="223"/>
      <c r="T50" s="223"/>
      <c r="U50" s="223"/>
      <c r="V50" s="223"/>
      <c r="W50" s="223"/>
      <c r="X50" s="223"/>
      <c r="Y50" s="223"/>
      <c r="Z50" s="223"/>
      <c r="AA50" s="223"/>
      <c r="AB50" s="223"/>
      <c r="AC50" s="223"/>
      <c r="AD50" s="223"/>
      <c r="AE50" s="223"/>
      <c r="AF50" s="223"/>
      <c r="AG50" s="223"/>
      <c r="AH50" s="223"/>
      <c r="AI50" s="223"/>
    </row>
    <row r="51" customFormat="false" ht="14.25" hidden="false" customHeight="false" outlineLevel="0" collapsed="false">
      <c r="J51" s="223"/>
      <c r="K51" s="223"/>
      <c r="L51" s="223"/>
      <c r="M51" s="223"/>
      <c r="N51" s="223"/>
      <c r="O51" s="223"/>
      <c r="P51" s="223"/>
      <c r="Q51" s="223"/>
      <c r="R51" s="223"/>
      <c r="S51" s="223"/>
      <c r="T51" s="223"/>
      <c r="U51" s="223"/>
      <c r="V51" s="223"/>
      <c r="W51" s="223"/>
      <c r="X51" s="223"/>
      <c r="Y51" s="223"/>
      <c r="Z51" s="223"/>
      <c r="AA51" s="223"/>
      <c r="AB51" s="223"/>
      <c r="AC51" s="223"/>
      <c r="AD51" s="223"/>
      <c r="AE51" s="223"/>
      <c r="AF51" s="223"/>
      <c r="AG51" s="223"/>
      <c r="AH51" s="223"/>
      <c r="AI51" s="223"/>
    </row>
    <row r="52" customFormat="false" ht="14.25" hidden="false" customHeight="false" outlineLevel="0" collapsed="false">
      <c r="J52" s="223"/>
      <c r="K52" s="223"/>
      <c r="L52" s="223"/>
      <c r="M52" s="223"/>
      <c r="N52" s="223"/>
      <c r="O52" s="223"/>
      <c r="P52" s="223"/>
      <c r="Q52" s="223"/>
      <c r="R52" s="223"/>
      <c r="S52" s="223"/>
      <c r="T52" s="223"/>
      <c r="U52" s="223"/>
      <c r="V52" s="223"/>
      <c r="W52" s="223"/>
      <c r="X52" s="223"/>
      <c r="Y52" s="223"/>
      <c r="Z52" s="223"/>
      <c r="AA52" s="223"/>
      <c r="AB52" s="223"/>
      <c r="AC52" s="223"/>
      <c r="AD52" s="223"/>
      <c r="AE52" s="223"/>
      <c r="AF52" s="223"/>
      <c r="AG52" s="223"/>
      <c r="AH52" s="223"/>
      <c r="AI52" s="223"/>
    </row>
    <row r="53" customFormat="false" ht="14.25" hidden="false" customHeight="false" outlineLevel="0" collapsed="false">
      <c r="J53" s="223"/>
      <c r="K53" s="223"/>
      <c r="L53" s="223"/>
      <c r="M53" s="223"/>
      <c r="N53" s="223"/>
      <c r="O53" s="223"/>
      <c r="P53" s="223"/>
      <c r="Q53" s="223"/>
      <c r="R53" s="223"/>
      <c r="S53" s="223"/>
      <c r="T53" s="223"/>
      <c r="U53" s="223"/>
      <c r="V53" s="223"/>
      <c r="W53" s="223"/>
      <c r="X53" s="223"/>
      <c r="Y53" s="223"/>
      <c r="Z53" s="223"/>
      <c r="AA53" s="223"/>
      <c r="AB53" s="223"/>
      <c r="AC53" s="223"/>
      <c r="AD53" s="223"/>
      <c r="AE53" s="223"/>
      <c r="AF53" s="223"/>
      <c r="AG53" s="223"/>
      <c r="AH53" s="223"/>
      <c r="AI53" s="223"/>
    </row>
    <row r="54" customFormat="false" ht="14.25" hidden="false" customHeight="false" outlineLevel="0" collapsed="false">
      <c r="J54" s="223"/>
      <c r="K54" s="223"/>
      <c r="L54" s="223"/>
      <c r="M54" s="223"/>
      <c r="N54" s="223"/>
      <c r="O54" s="223"/>
      <c r="P54" s="223"/>
      <c r="Q54" s="223"/>
      <c r="R54" s="223"/>
      <c r="S54" s="223"/>
      <c r="T54" s="223"/>
      <c r="U54" s="223"/>
      <c r="V54" s="223"/>
      <c r="W54" s="223"/>
      <c r="X54" s="223"/>
      <c r="Y54" s="223"/>
      <c r="Z54" s="223"/>
      <c r="AA54" s="223"/>
      <c r="AB54" s="223"/>
      <c r="AC54" s="223"/>
      <c r="AD54" s="223"/>
      <c r="AE54" s="223"/>
      <c r="AF54" s="223"/>
      <c r="AG54" s="223"/>
      <c r="AH54" s="223"/>
      <c r="AI54" s="223"/>
    </row>
    <row r="55" customFormat="false" ht="14.25" hidden="false" customHeight="false" outlineLevel="0" collapsed="false">
      <c r="J55" s="223"/>
      <c r="K55" s="223"/>
      <c r="L55" s="223"/>
      <c r="M55" s="223"/>
      <c r="N55" s="223"/>
      <c r="O55" s="223"/>
      <c r="P55" s="223"/>
      <c r="Q55" s="223"/>
      <c r="R55" s="223"/>
      <c r="S55" s="223"/>
      <c r="T55" s="223"/>
      <c r="U55" s="223"/>
      <c r="V55" s="223"/>
      <c r="W55" s="223"/>
      <c r="X55" s="223"/>
      <c r="Y55" s="223"/>
      <c r="Z55" s="223"/>
      <c r="AA55" s="223"/>
      <c r="AB55" s="223"/>
      <c r="AC55" s="223"/>
      <c r="AD55" s="223"/>
      <c r="AE55" s="223"/>
      <c r="AF55" s="223"/>
      <c r="AG55" s="223"/>
      <c r="AH55" s="223"/>
      <c r="AI55" s="223"/>
    </row>
    <row r="56" customFormat="false" ht="14.25" hidden="false" customHeight="false" outlineLevel="0" collapsed="false">
      <c r="J56" s="223"/>
      <c r="K56" s="223"/>
      <c r="L56" s="223"/>
      <c r="M56" s="223"/>
      <c r="N56" s="223"/>
      <c r="O56" s="223"/>
      <c r="P56" s="223"/>
      <c r="Q56" s="223"/>
      <c r="R56" s="223"/>
      <c r="S56" s="223"/>
      <c r="T56" s="223"/>
      <c r="U56" s="223"/>
      <c r="V56" s="223"/>
      <c r="W56" s="223"/>
      <c r="X56" s="223"/>
      <c r="Y56" s="223"/>
      <c r="Z56" s="223"/>
      <c r="AA56" s="223"/>
      <c r="AB56" s="223"/>
      <c r="AC56" s="223"/>
      <c r="AD56" s="223"/>
      <c r="AE56" s="223"/>
      <c r="AF56" s="223"/>
      <c r="AG56" s="223"/>
      <c r="AH56" s="223"/>
      <c r="AI56" s="223"/>
    </row>
    <row r="57" customFormat="false" ht="14.25" hidden="false" customHeight="false" outlineLevel="0" collapsed="false">
      <c r="J57" s="223"/>
      <c r="K57" s="223"/>
      <c r="L57" s="223"/>
      <c r="M57" s="223"/>
      <c r="N57" s="223"/>
      <c r="O57" s="223"/>
      <c r="P57" s="223"/>
      <c r="Q57" s="223"/>
      <c r="R57" s="223"/>
      <c r="S57" s="223"/>
      <c r="T57" s="223"/>
      <c r="U57" s="223"/>
      <c r="V57" s="223"/>
      <c r="W57" s="223"/>
      <c r="X57" s="223"/>
      <c r="Y57" s="223"/>
      <c r="Z57" s="223"/>
      <c r="AA57" s="223"/>
      <c r="AB57" s="223"/>
      <c r="AC57" s="223"/>
      <c r="AD57" s="223"/>
      <c r="AE57" s="223"/>
      <c r="AF57" s="223"/>
      <c r="AG57" s="223"/>
      <c r="AH57" s="223"/>
      <c r="AI57" s="223"/>
    </row>
    <row r="58" customFormat="false" ht="14.25" hidden="false" customHeight="false" outlineLevel="0" collapsed="false">
      <c r="J58" s="223"/>
      <c r="K58" s="223"/>
      <c r="L58" s="223"/>
      <c r="M58" s="223"/>
      <c r="N58" s="223"/>
      <c r="O58" s="223"/>
      <c r="P58" s="223"/>
      <c r="Q58" s="223"/>
      <c r="R58" s="223"/>
      <c r="S58" s="223"/>
      <c r="T58" s="223"/>
      <c r="U58" s="223"/>
      <c r="V58" s="223"/>
      <c r="W58" s="223"/>
      <c r="X58" s="223"/>
      <c r="Y58" s="223"/>
      <c r="Z58" s="223"/>
      <c r="AA58" s="223"/>
      <c r="AB58" s="223"/>
      <c r="AC58" s="223"/>
      <c r="AD58" s="223"/>
      <c r="AE58" s="223"/>
      <c r="AF58" s="223"/>
      <c r="AG58" s="223"/>
      <c r="AH58" s="223"/>
      <c r="AI58" s="223"/>
    </row>
    <row r="59" customFormat="false" ht="14.25" hidden="false" customHeight="false" outlineLevel="0" collapsed="false">
      <c r="J59" s="223"/>
      <c r="K59" s="223"/>
      <c r="L59" s="223"/>
      <c r="M59" s="223"/>
      <c r="N59" s="223"/>
      <c r="O59" s="223"/>
      <c r="P59" s="223"/>
      <c r="Q59" s="223"/>
      <c r="R59" s="223"/>
      <c r="S59" s="223"/>
      <c r="T59" s="223"/>
      <c r="U59" s="223"/>
      <c r="V59" s="223"/>
      <c r="W59" s="223"/>
      <c r="X59" s="223"/>
      <c r="Y59" s="223"/>
      <c r="Z59" s="223"/>
      <c r="AA59" s="223"/>
      <c r="AB59" s="223"/>
      <c r="AC59" s="223"/>
      <c r="AD59" s="223"/>
      <c r="AE59" s="223"/>
      <c r="AF59" s="223"/>
      <c r="AG59" s="223"/>
      <c r="AH59" s="223"/>
      <c r="AI59" s="223"/>
    </row>
    <row r="60" customFormat="false" ht="14.25" hidden="false" customHeight="false" outlineLevel="0" collapsed="false">
      <c r="J60" s="223"/>
      <c r="K60" s="223"/>
      <c r="L60" s="223"/>
      <c r="M60" s="223"/>
      <c r="N60" s="223"/>
      <c r="O60" s="223"/>
      <c r="P60" s="223"/>
      <c r="Q60" s="223"/>
      <c r="R60" s="223"/>
      <c r="S60" s="223"/>
      <c r="T60" s="223"/>
      <c r="U60" s="223"/>
      <c r="V60" s="223"/>
      <c r="W60" s="223"/>
      <c r="X60" s="223"/>
      <c r="Y60" s="223"/>
      <c r="Z60" s="223"/>
      <c r="AA60" s="223"/>
      <c r="AB60" s="223"/>
      <c r="AC60" s="223"/>
      <c r="AD60" s="223"/>
      <c r="AE60" s="223"/>
      <c r="AF60" s="223"/>
      <c r="AG60" s="223"/>
      <c r="AH60" s="223"/>
      <c r="AI60" s="223"/>
    </row>
    <row r="61" customFormat="false" ht="14.25" hidden="false" customHeight="false" outlineLevel="0" collapsed="false">
      <c r="J61" s="223"/>
      <c r="K61" s="223"/>
      <c r="L61" s="223"/>
      <c r="M61" s="223"/>
      <c r="N61" s="223"/>
      <c r="O61" s="223"/>
      <c r="P61" s="223"/>
      <c r="Q61" s="223"/>
      <c r="R61" s="223"/>
      <c r="S61" s="223"/>
      <c r="T61" s="223"/>
      <c r="U61" s="223"/>
      <c r="V61" s="223"/>
      <c r="W61" s="223"/>
      <c r="X61" s="223"/>
      <c r="Y61" s="223"/>
      <c r="Z61" s="223"/>
      <c r="AA61" s="223"/>
      <c r="AB61" s="223"/>
      <c r="AC61" s="223"/>
      <c r="AD61" s="223"/>
      <c r="AE61" s="223"/>
      <c r="AF61" s="223"/>
      <c r="AG61" s="223"/>
      <c r="AH61" s="223"/>
      <c r="AI61" s="223"/>
    </row>
    <row r="62" customFormat="false" ht="14.25" hidden="false" customHeight="false" outlineLevel="0" collapsed="false">
      <c r="J62" s="223"/>
      <c r="K62" s="223"/>
      <c r="L62" s="223"/>
      <c r="M62" s="223"/>
      <c r="N62" s="223"/>
      <c r="O62" s="223"/>
      <c r="P62" s="223"/>
      <c r="Q62" s="223"/>
      <c r="R62" s="223"/>
      <c r="S62" s="223"/>
      <c r="T62" s="223"/>
      <c r="U62" s="223"/>
      <c r="V62" s="223"/>
      <c r="W62" s="223"/>
      <c r="X62" s="223"/>
      <c r="Y62" s="223"/>
      <c r="Z62" s="223"/>
      <c r="AA62" s="223"/>
      <c r="AB62" s="223"/>
      <c r="AC62" s="223"/>
      <c r="AD62" s="223"/>
      <c r="AE62" s="223"/>
      <c r="AF62" s="223"/>
      <c r="AG62" s="223"/>
      <c r="AH62" s="223"/>
      <c r="AI62" s="223"/>
    </row>
    <row r="63" customFormat="false" ht="14.25" hidden="false" customHeight="false" outlineLevel="0" collapsed="false">
      <c r="J63" s="223"/>
      <c r="K63" s="223"/>
      <c r="L63" s="223"/>
      <c r="M63" s="223"/>
      <c r="N63" s="223"/>
      <c r="O63" s="223"/>
      <c r="P63" s="223"/>
      <c r="Q63" s="223"/>
      <c r="R63" s="223"/>
      <c r="S63" s="223"/>
      <c r="T63" s="223"/>
      <c r="U63" s="223"/>
      <c r="V63" s="223"/>
      <c r="W63" s="223"/>
      <c r="X63" s="223"/>
      <c r="Y63" s="223"/>
      <c r="Z63" s="223"/>
      <c r="AA63" s="223"/>
      <c r="AB63" s="223"/>
      <c r="AC63" s="223"/>
      <c r="AD63" s="223"/>
      <c r="AE63" s="223"/>
      <c r="AF63" s="223"/>
      <c r="AG63" s="223"/>
      <c r="AH63" s="223"/>
      <c r="AI63" s="223"/>
    </row>
    <row r="64" customFormat="false" ht="14.25" hidden="false" customHeight="false" outlineLevel="0" collapsed="false">
      <c r="J64" s="223"/>
      <c r="K64" s="223"/>
      <c r="L64" s="223"/>
      <c r="M64" s="223"/>
      <c r="N64" s="223"/>
      <c r="O64" s="223"/>
      <c r="P64" s="223"/>
      <c r="Q64" s="223"/>
      <c r="R64" s="223"/>
      <c r="S64" s="223"/>
      <c r="T64" s="223"/>
      <c r="U64" s="223"/>
      <c r="V64" s="223"/>
      <c r="W64" s="223"/>
      <c r="X64" s="223"/>
      <c r="Y64" s="223"/>
      <c r="Z64" s="223"/>
      <c r="AA64" s="223"/>
      <c r="AB64" s="223"/>
      <c r="AC64" s="223"/>
      <c r="AD64" s="223"/>
      <c r="AE64" s="223"/>
      <c r="AF64" s="223"/>
      <c r="AG64" s="223"/>
      <c r="AH64" s="223"/>
      <c r="AI64" s="223"/>
    </row>
    <row r="65" customFormat="false" ht="14.25" hidden="false" customHeight="false" outlineLevel="0" collapsed="false">
      <c r="J65" s="223"/>
      <c r="K65" s="223"/>
      <c r="L65" s="223"/>
      <c r="M65" s="223"/>
      <c r="N65" s="223"/>
      <c r="O65" s="223"/>
      <c r="P65" s="223"/>
      <c r="Q65" s="223"/>
      <c r="R65" s="223"/>
      <c r="S65" s="223"/>
      <c r="T65" s="223"/>
      <c r="U65" s="223"/>
      <c r="V65" s="223"/>
      <c r="W65" s="223"/>
      <c r="X65" s="223"/>
      <c r="Y65" s="223"/>
      <c r="Z65" s="223"/>
      <c r="AA65" s="223"/>
      <c r="AB65" s="223"/>
      <c r="AC65" s="223"/>
      <c r="AD65" s="223"/>
      <c r="AE65" s="223"/>
      <c r="AF65" s="223"/>
      <c r="AG65" s="223"/>
      <c r="AH65" s="223"/>
      <c r="AI65" s="223"/>
    </row>
    <row r="66" customFormat="false" ht="14.25" hidden="false" customHeight="false" outlineLevel="0" collapsed="false">
      <c r="J66" s="223"/>
      <c r="K66" s="223"/>
      <c r="L66" s="223"/>
      <c r="M66" s="223"/>
      <c r="N66" s="223"/>
      <c r="O66" s="223"/>
      <c r="P66" s="223"/>
      <c r="Q66" s="223"/>
      <c r="R66" s="223"/>
      <c r="S66" s="223"/>
      <c r="T66" s="223"/>
      <c r="U66" s="223"/>
      <c r="V66" s="223"/>
      <c r="W66" s="223"/>
      <c r="X66" s="223"/>
      <c r="Y66" s="223"/>
      <c r="Z66" s="223"/>
      <c r="AA66" s="223"/>
      <c r="AB66" s="223"/>
      <c r="AC66" s="223"/>
      <c r="AD66" s="223"/>
      <c r="AE66" s="223"/>
      <c r="AF66" s="223"/>
      <c r="AG66" s="223"/>
      <c r="AH66" s="223"/>
      <c r="AI66" s="223"/>
    </row>
    <row r="67" customFormat="false" ht="14.25" hidden="false" customHeight="false" outlineLevel="0" collapsed="false">
      <c r="J67" s="223"/>
      <c r="K67" s="223"/>
      <c r="L67" s="223"/>
      <c r="M67" s="223"/>
      <c r="N67" s="223"/>
      <c r="O67" s="223"/>
      <c r="P67" s="223"/>
      <c r="Q67" s="223"/>
      <c r="R67" s="223"/>
      <c r="S67" s="223"/>
      <c r="T67" s="223"/>
      <c r="U67" s="223"/>
      <c r="V67" s="223"/>
      <c r="W67" s="223"/>
      <c r="X67" s="223"/>
      <c r="Y67" s="223"/>
      <c r="Z67" s="223"/>
      <c r="AA67" s="223"/>
      <c r="AB67" s="223"/>
      <c r="AC67" s="223"/>
      <c r="AD67" s="223"/>
      <c r="AE67" s="223"/>
      <c r="AF67" s="223"/>
      <c r="AG67" s="223"/>
      <c r="AH67" s="223"/>
      <c r="AI67" s="223"/>
    </row>
    <row r="68" customFormat="false" ht="14.25" hidden="false" customHeight="false" outlineLevel="0" collapsed="false">
      <c r="J68" s="223"/>
      <c r="K68" s="223"/>
      <c r="L68" s="223"/>
      <c r="M68" s="223"/>
      <c r="N68" s="223"/>
      <c r="O68" s="223"/>
      <c r="P68" s="223"/>
      <c r="Q68" s="223"/>
      <c r="R68" s="223"/>
      <c r="S68" s="223"/>
      <c r="T68" s="223"/>
      <c r="U68" s="223"/>
      <c r="V68" s="223"/>
      <c r="W68" s="223"/>
      <c r="X68" s="223"/>
      <c r="Y68" s="223"/>
      <c r="Z68" s="223"/>
      <c r="AA68" s="223"/>
      <c r="AB68" s="223"/>
      <c r="AC68" s="223"/>
      <c r="AD68" s="223"/>
      <c r="AE68" s="223"/>
      <c r="AF68" s="223"/>
      <c r="AG68" s="223"/>
      <c r="AH68" s="223"/>
      <c r="AI68" s="223"/>
    </row>
    <row r="69" customFormat="false" ht="14.25" hidden="false" customHeight="false" outlineLevel="0" collapsed="false">
      <c r="J69" s="223"/>
      <c r="K69" s="223"/>
      <c r="L69" s="223"/>
      <c r="M69" s="223"/>
      <c r="N69" s="223"/>
      <c r="O69" s="223"/>
      <c r="P69" s="223"/>
      <c r="Q69" s="223"/>
      <c r="R69" s="223"/>
      <c r="S69" s="223"/>
      <c r="T69" s="223"/>
      <c r="U69" s="223"/>
      <c r="V69" s="223"/>
      <c r="W69" s="223"/>
      <c r="X69" s="223"/>
      <c r="Y69" s="223"/>
      <c r="Z69" s="223"/>
      <c r="AA69" s="223"/>
      <c r="AB69" s="223"/>
      <c r="AC69" s="223"/>
      <c r="AD69" s="223"/>
      <c r="AE69" s="223"/>
      <c r="AF69" s="223"/>
      <c r="AG69" s="223"/>
      <c r="AH69" s="223"/>
      <c r="AI69" s="223"/>
    </row>
    <row r="70" customFormat="false" ht="14.25" hidden="false" customHeight="false" outlineLevel="0" collapsed="false">
      <c r="J70" s="223"/>
      <c r="K70" s="223"/>
      <c r="L70" s="223"/>
      <c r="M70" s="223"/>
      <c r="N70" s="223"/>
      <c r="O70" s="223"/>
      <c r="P70" s="223"/>
      <c r="Q70" s="223"/>
      <c r="R70" s="223"/>
      <c r="S70" s="223"/>
      <c r="T70" s="223"/>
      <c r="U70" s="223"/>
      <c r="V70" s="223"/>
      <c r="W70" s="223"/>
      <c r="X70" s="223"/>
      <c r="Y70" s="223"/>
      <c r="Z70" s="223"/>
      <c r="AA70" s="223"/>
      <c r="AB70" s="223"/>
      <c r="AC70" s="223"/>
      <c r="AD70" s="223"/>
      <c r="AE70" s="223"/>
      <c r="AF70" s="223"/>
      <c r="AG70" s="223"/>
      <c r="AH70" s="223"/>
      <c r="AI70" s="223"/>
    </row>
    <row r="71" customFormat="false" ht="14.25" hidden="false" customHeight="false" outlineLevel="0" collapsed="false">
      <c r="J71" s="223"/>
      <c r="K71" s="223"/>
      <c r="L71" s="223"/>
      <c r="M71" s="223"/>
      <c r="N71" s="223"/>
      <c r="O71" s="223"/>
      <c r="P71" s="223"/>
      <c r="Q71" s="223"/>
      <c r="R71" s="223"/>
      <c r="S71" s="223"/>
      <c r="T71" s="223"/>
      <c r="U71" s="223"/>
      <c r="V71" s="223"/>
      <c r="W71" s="223"/>
      <c r="X71" s="223"/>
      <c r="Y71" s="223"/>
      <c r="Z71" s="223"/>
      <c r="AA71" s="223"/>
      <c r="AB71" s="223"/>
      <c r="AC71" s="223"/>
      <c r="AD71" s="223"/>
      <c r="AE71" s="223"/>
      <c r="AF71" s="223"/>
      <c r="AG71" s="223"/>
      <c r="AH71" s="223"/>
      <c r="AI71" s="223"/>
    </row>
    <row r="72" customFormat="false" ht="14.25" hidden="false" customHeight="false" outlineLevel="0" collapsed="false">
      <c r="J72" s="223"/>
      <c r="K72" s="223"/>
      <c r="L72" s="223"/>
      <c r="M72" s="223"/>
      <c r="N72" s="223"/>
      <c r="O72" s="223"/>
      <c r="P72" s="223"/>
      <c r="Q72" s="223"/>
      <c r="R72" s="223"/>
      <c r="S72" s="223"/>
      <c r="T72" s="223"/>
      <c r="U72" s="223"/>
      <c r="V72" s="223"/>
      <c r="W72" s="223"/>
      <c r="X72" s="223"/>
      <c r="Y72" s="223"/>
      <c r="Z72" s="223"/>
      <c r="AA72" s="223"/>
      <c r="AB72" s="223"/>
      <c r="AC72" s="223"/>
      <c r="AD72" s="223"/>
      <c r="AE72" s="223"/>
      <c r="AF72" s="223"/>
      <c r="AG72" s="223"/>
      <c r="AH72" s="223"/>
      <c r="AI72" s="223"/>
    </row>
    <row r="73" customFormat="false" ht="14.25" hidden="false" customHeight="false" outlineLevel="0" collapsed="false">
      <c r="J73" s="223"/>
      <c r="K73" s="223"/>
      <c r="L73" s="223"/>
      <c r="M73" s="223"/>
      <c r="N73" s="223"/>
      <c r="O73" s="223"/>
      <c r="P73" s="223"/>
      <c r="Q73" s="223"/>
      <c r="R73" s="223"/>
      <c r="S73" s="223"/>
      <c r="T73" s="223"/>
      <c r="U73" s="223"/>
      <c r="V73" s="223"/>
      <c r="W73" s="223"/>
      <c r="X73" s="223"/>
      <c r="Y73" s="223"/>
      <c r="Z73" s="223"/>
      <c r="AA73" s="223"/>
      <c r="AB73" s="223"/>
      <c r="AC73" s="223"/>
      <c r="AD73" s="223"/>
      <c r="AE73" s="223"/>
      <c r="AF73" s="223"/>
      <c r="AG73" s="223"/>
      <c r="AH73" s="223"/>
      <c r="AI73" s="223"/>
    </row>
    <row r="74" customFormat="false" ht="14.25" hidden="false" customHeight="false" outlineLevel="0" collapsed="false">
      <c r="J74" s="223"/>
      <c r="K74" s="223"/>
      <c r="L74" s="223"/>
      <c r="M74" s="223"/>
      <c r="N74" s="223"/>
      <c r="O74" s="223"/>
      <c r="P74" s="223"/>
      <c r="Q74" s="223"/>
      <c r="R74" s="223"/>
      <c r="S74" s="223"/>
      <c r="T74" s="223"/>
      <c r="U74" s="223"/>
      <c r="V74" s="223"/>
      <c r="W74" s="223"/>
      <c r="X74" s="223"/>
      <c r="Y74" s="223"/>
      <c r="Z74" s="223"/>
      <c r="AA74" s="223"/>
      <c r="AB74" s="223"/>
      <c r="AC74" s="223"/>
      <c r="AD74" s="223"/>
      <c r="AE74" s="223"/>
      <c r="AF74" s="223"/>
      <c r="AG74" s="223"/>
      <c r="AH74" s="223"/>
      <c r="AI74" s="223"/>
    </row>
    <row r="75" customFormat="false" ht="14.25" hidden="false" customHeight="false" outlineLevel="0" collapsed="false">
      <c r="J75" s="223"/>
      <c r="K75" s="223"/>
      <c r="L75" s="223"/>
      <c r="M75" s="223"/>
      <c r="N75" s="223"/>
      <c r="O75" s="223"/>
      <c r="P75" s="223"/>
      <c r="Q75" s="223"/>
      <c r="R75" s="223"/>
      <c r="S75" s="223"/>
      <c r="T75" s="223"/>
      <c r="U75" s="223"/>
      <c r="V75" s="223"/>
      <c r="W75" s="223"/>
      <c r="X75" s="223"/>
      <c r="Y75" s="223"/>
      <c r="Z75" s="223"/>
      <c r="AA75" s="223"/>
      <c r="AB75" s="223"/>
      <c r="AC75" s="223"/>
      <c r="AD75" s="223"/>
      <c r="AE75" s="223"/>
      <c r="AF75" s="223"/>
      <c r="AG75" s="223"/>
      <c r="AH75" s="223"/>
      <c r="AI75" s="223"/>
    </row>
    <row r="76" customFormat="false" ht="14.25" hidden="false" customHeight="false" outlineLevel="0" collapsed="false">
      <c r="J76" s="223"/>
      <c r="K76" s="223"/>
      <c r="L76" s="223"/>
      <c r="M76" s="223"/>
      <c r="N76" s="223"/>
      <c r="O76" s="223"/>
      <c r="P76" s="223"/>
      <c r="Q76" s="223"/>
      <c r="R76" s="223"/>
      <c r="S76" s="223"/>
      <c r="T76" s="223"/>
      <c r="U76" s="223"/>
      <c r="V76" s="223"/>
      <c r="W76" s="223"/>
      <c r="X76" s="223"/>
      <c r="Y76" s="223"/>
      <c r="Z76" s="223"/>
      <c r="AA76" s="223"/>
      <c r="AB76" s="223"/>
      <c r="AC76" s="223"/>
      <c r="AD76" s="223"/>
      <c r="AE76" s="223"/>
      <c r="AF76" s="223"/>
      <c r="AG76" s="223"/>
      <c r="AH76" s="223"/>
      <c r="AI76" s="223"/>
    </row>
    <row r="77" customFormat="false" ht="14.25" hidden="false" customHeight="false" outlineLevel="0" collapsed="false">
      <c r="J77" s="223"/>
      <c r="K77" s="223"/>
      <c r="L77" s="223"/>
      <c r="M77" s="223"/>
      <c r="N77" s="223"/>
      <c r="O77" s="223"/>
      <c r="P77" s="223"/>
      <c r="Q77" s="223"/>
      <c r="R77" s="223"/>
      <c r="S77" s="223"/>
      <c r="T77" s="223"/>
      <c r="U77" s="223"/>
      <c r="V77" s="223"/>
      <c r="W77" s="223"/>
      <c r="X77" s="223"/>
      <c r="Y77" s="223"/>
      <c r="Z77" s="223"/>
      <c r="AA77" s="223"/>
      <c r="AB77" s="223"/>
      <c r="AC77" s="223"/>
      <c r="AD77" s="223"/>
      <c r="AE77" s="223"/>
      <c r="AF77" s="223"/>
      <c r="AG77" s="223"/>
      <c r="AH77" s="223"/>
      <c r="AI77" s="223"/>
    </row>
    <row r="78" customFormat="false" ht="14.25" hidden="false" customHeight="false" outlineLevel="0" collapsed="false">
      <c r="J78" s="223"/>
      <c r="K78" s="223"/>
      <c r="L78" s="223"/>
      <c r="M78" s="223"/>
      <c r="N78" s="223"/>
      <c r="O78" s="223"/>
      <c r="P78" s="223"/>
      <c r="Q78" s="223"/>
      <c r="R78" s="223"/>
      <c r="S78" s="223"/>
      <c r="T78" s="223"/>
      <c r="U78" s="223"/>
      <c r="V78" s="223"/>
      <c r="W78" s="223"/>
      <c r="X78" s="223"/>
      <c r="Y78" s="223"/>
      <c r="Z78" s="223"/>
      <c r="AA78" s="223"/>
      <c r="AB78" s="223"/>
      <c r="AC78" s="223"/>
      <c r="AD78" s="223"/>
      <c r="AE78" s="223"/>
      <c r="AF78" s="223"/>
      <c r="AG78" s="223"/>
      <c r="AH78" s="223"/>
      <c r="AI78" s="223"/>
    </row>
    <row r="79" customFormat="false" ht="14.25" hidden="false" customHeight="false" outlineLevel="0" collapsed="false">
      <c r="J79" s="223"/>
      <c r="K79" s="223"/>
      <c r="L79" s="223"/>
      <c r="M79" s="223"/>
      <c r="N79" s="223"/>
      <c r="O79" s="223"/>
      <c r="P79" s="223"/>
      <c r="Q79" s="223"/>
      <c r="R79" s="223"/>
      <c r="S79" s="223"/>
      <c r="T79" s="223"/>
      <c r="U79" s="223"/>
      <c r="V79" s="223"/>
      <c r="W79" s="223"/>
      <c r="X79" s="223"/>
      <c r="Y79" s="223"/>
      <c r="Z79" s="223"/>
      <c r="AA79" s="223"/>
      <c r="AB79" s="223"/>
      <c r="AC79" s="223"/>
      <c r="AD79" s="223"/>
      <c r="AE79" s="223"/>
      <c r="AF79" s="223"/>
      <c r="AG79" s="223"/>
      <c r="AH79" s="223"/>
      <c r="AI79" s="223"/>
    </row>
    <row r="80" customFormat="false" ht="14.25" hidden="false" customHeight="false" outlineLevel="0" collapsed="false">
      <c r="J80" s="223"/>
      <c r="K80" s="223"/>
      <c r="L80" s="223"/>
      <c r="M80" s="223"/>
      <c r="N80" s="223"/>
      <c r="O80" s="223"/>
      <c r="P80" s="223"/>
      <c r="Q80" s="223"/>
      <c r="R80" s="223"/>
      <c r="S80" s="223"/>
      <c r="T80" s="223"/>
      <c r="U80" s="223"/>
      <c r="V80" s="223"/>
      <c r="W80" s="223"/>
      <c r="X80" s="223"/>
      <c r="Y80" s="223"/>
      <c r="Z80" s="223"/>
      <c r="AA80" s="223"/>
      <c r="AB80" s="223"/>
      <c r="AC80" s="223"/>
      <c r="AD80" s="223"/>
      <c r="AE80" s="223"/>
      <c r="AF80" s="223"/>
      <c r="AG80" s="223"/>
      <c r="AH80" s="223"/>
      <c r="AI80" s="223"/>
    </row>
    <row r="81" customFormat="false" ht="14.25" hidden="false" customHeight="false" outlineLevel="0" collapsed="false">
      <c r="J81" s="223"/>
      <c r="K81" s="223"/>
      <c r="L81" s="223"/>
      <c r="M81" s="223"/>
      <c r="N81" s="223"/>
      <c r="O81" s="223"/>
      <c r="P81" s="223"/>
      <c r="Q81" s="223"/>
      <c r="R81" s="223"/>
      <c r="S81" s="223"/>
      <c r="T81" s="223"/>
      <c r="U81" s="223"/>
      <c r="V81" s="223"/>
      <c r="W81" s="223"/>
      <c r="X81" s="223"/>
      <c r="Y81" s="223"/>
      <c r="Z81" s="223"/>
      <c r="AA81" s="223"/>
      <c r="AB81" s="223"/>
      <c r="AC81" s="223"/>
      <c r="AD81" s="223"/>
      <c r="AE81" s="223"/>
      <c r="AF81" s="223"/>
      <c r="AG81" s="223"/>
      <c r="AH81" s="223"/>
      <c r="AI81" s="223"/>
    </row>
    <row r="82" customFormat="false" ht="14.25" hidden="false" customHeight="false" outlineLevel="0" collapsed="false">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row>
    <row r="83" customFormat="false" ht="14.25" hidden="false" customHeight="false" outlineLevel="0" collapsed="false">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row>
    <row r="84" customFormat="false" ht="14.25" hidden="false" customHeight="false" outlineLevel="0" collapsed="false">
      <c r="J84" s="223"/>
      <c r="K84" s="223"/>
      <c r="L84" s="223"/>
      <c r="M84" s="223"/>
      <c r="N84" s="223"/>
      <c r="O84" s="223"/>
      <c r="P84" s="223"/>
      <c r="Q84" s="223"/>
      <c r="R84" s="223"/>
      <c r="S84" s="223"/>
      <c r="T84" s="223"/>
      <c r="U84" s="223"/>
      <c r="V84" s="223"/>
      <c r="W84" s="223"/>
      <c r="X84" s="223"/>
      <c r="Y84" s="223"/>
      <c r="Z84" s="223"/>
      <c r="AA84" s="223"/>
      <c r="AB84" s="223"/>
      <c r="AC84" s="223"/>
      <c r="AD84" s="223"/>
      <c r="AE84" s="223"/>
      <c r="AF84" s="223"/>
      <c r="AG84" s="223"/>
      <c r="AH84" s="223"/>
      <c r="AI84" s="223"/>
    </row>
    <row r="85" customFormat="false" ht="14.25" hidden="false" customHeight="false" outlineLevel="0" collapsed="false">
      <c r="J85" s="223"/>
      <c r="K85" s="223"/>
      <c r="L85" s="223"/>
      <c r="M85" s="223"/>
      <c r="N85" s="223"/>
      <c r="O85" s="223"/>
      <c r="P85" s="223"/>
      <c r="Q85" s="223"/>
      <c r="R85" s="223"/>
      <c r="S85" s="223"/>
      <c r="T85" s="223"/>
      <c r="U85" s="223"/>
      <c r="V85" s="223"/>
      <c r="W85" s="223"/>
      <c r="X85" s="223"/>
      <c r="Y85" s="223"/>
      <c r="Z85" s="223"/>
      <c r="AA85" s="223"/>
      <c r="AB85" s="223"/>
      <c r="AC85" s="223"/>
      <c r="AD85" s="223"/>
      <c r="AE85" s="223"/>
      <c r="AF85" s="223"/>
      <c r="AG85" s="223"/>
      <c r="AH85" s="223"/>
      <c r="AI85" s="223"/>
    </row>
    <row r="86" customFormat="false" ht="14.25" hidden="false" customHeight="false" outlineLevel="0" collapsed="false">
      <c r="J86" s="223"/>
      <c r="K86" s="223"/>
      <c r="L86" s="223"/>
      <c r="M86" s="223"/>
      <c r="N86" s="223"/>
      <c r="O86" s="223"/>
      <c r="P86" s="223"/>
      <c r="Q86" s="223"/>
      <c r="R86" s="223"/>
      <c r="S86" s="223"/>
      <c r="T86" s="223"/>
      <c r="U86" s="223"/>
      <c r="V86" s="223"/>
      <c r="W86" s="223"/>
      <c r="X86" s="223"/>
      <c r="Y86" s="223"/>
      <c r="Z86" s="223"/>
      <c r="AA86" s="223"/>
      <c r="AB86" s="223"/>
      <c r="AC86" s="223"/>
      <c r="AD86" s="223"/>
      <c r="AE86" s="223"/>
      <c r="AF86" s="223"/>
      <c r="AG86" s="223"/>
      <c r="AH86" s="223"/>
      <c r="AI86" s="223"/>
    </row>
    <row r="87" customFormat="false" ht="14.25" hidden="false" customHeight="false" outlineLevel="0" collapsed="false">
      <c r="J87" s="223"/>
      <c r="K87" s="223"/>
      <c r="L87" s="223"/>
      <c r="M87" s="223"/>
      <c r="N87" s="223"/>
      <c r="O87" s="223"/>
      <c r="P87" s="223"/>
      <c r="Q87" s="223"/>
      <c r="R87" s="223"/>
      <c r="S87" s="223"/>
      <c r="T87" s="223"/>
      <c r="U87" s="223"/>
      <c r="V87" s="223"/>
      <c r="W87" s="223"/>
      <c r="X87" s="223"/>
      <c r="Y87" s="223"/>
      <c r="Z87" s="223"/>
      <c r="AA87" s="223"/>
      <c r="AB87" s="223"/>
      <c r="AC87" s="223"/>
      <c r="AD87" s="223"/>
      <c r="AE87" s="223"/>
      <c r="AF87" s="223"/>
      <c r="AG87" s="223"/>
      <c r="AH87" s="223"/>
      <c r="AI87" s="223"/>
    </row>
    <row r="88" customFormat="false" ht="14.25" hidden="false" customHeight="false" outlineLevel="0" collapsed="false">
      <c r="J88" s="223"/>
      <c r="K88" s="223"/>
      <c r="L88" s="223"/>
      <c r="M88" s="223"/>
      <c r="N88" s="223"/>
      <c r="O88" s="223"/>
      <c r="P88" s="223"/>
      <c r="Q88" s="223"/>
      <c r="R88" s="223"/>
      <c r="S88" s="223"/>
      <c r="T88" s="223"/>
      <c r="U88" s="223"/>
      <c r="V88" s="223"/>
      <c r="W88" s="223"/>
      <c r="X88" s="223"/>
      <c r="Y88" s="223"/>
      <c r="Z88" s="223"/>
      <c r="AA88" s="223"/>
      <c r="AB88" s="223"/>
      <c r="AC88" s="223"/>
      <c r="AD88" s="223"/>
      <c r="AE88" s="223"/>
      <c r="AF88" s="223"/>
      <c r="AG88" s="223"/>
      <c r="AH88" s="223"/>
      <c r="AI88" s="223"/>
    </row>
    <row r="89" customFormat="false" ht="14.25" hidden="false" customHeight="false" outlineLevel="0" collapsed="false">
      <c r="J89" s="223"/>
      <c r="K89" s="223"/>
      <c r="L89" s="223"/>
      <c r="M89" s="223"/>
      <c r="N89" s="223"/>
      <c r="O89" s="223"/>
      <c r="P89" s="223"/>
      <c r="Q89" s="223"/>
      <c r="R89" s="223"/>
      <c r="S89" s="223"/>
      <c r="T89" s="223"/>
      <c r="U89" s="223"/>
      <c r="V89" s="223"/>
      <c r="W89" s="223"/>
      <c r="X89" s="223"/>
      <c r="Y89" s="223"/>
      <c r="Z89" s="223"/>
      <c r="AA89" s="223"/>
      <c r="AB89" s="223"/>
      <c r="AC89" s="223"/>
      <c r="AD89" s="223"/>
      <c r="AE89" s="223"/>
      <c r="AF89" s="223"/>
      <c r="AG89" s="223"/>
      <c r="AH89" s="223"/>
      <c r="AI89" s="223"/>
    </row>
    <row r="90" customFormat="false" ht="14.25" hidden="false" customHeight="false" outlineLevel="0" collapsed="false">
      <c r="J90" s="223"/>
      <c r="K90" s="223"/>
      <c r="L90" s="223"/>
      <c r="M90" s="223"/>
      <c r="N90" s="223"/>
      <c r="O90" s="223"/>
      <c r="P90" s="223"/>
      <c r="Q90" s="223"/>
      <c r="R90" s="223"/>
      <c r="S90" s="223"/>
      <c r="T90" s="223"/>
      <c r="U90" s="223"/>
      <c r="V90" s="223"/>
      <c r="W90" s="223"/>
      <c r="X90" s="223"/>
      <c r="Y90" s="223"/>
      <c r="Z90" s="223"/>
      <c r="AA90" s="223"/>
      <c r="AB90" s="223"/>
      <c r="AC90" s="223"/>
      <c r="AD90" s="223"/>
      <c r="AE90" s="223"/>
      <c r="AF90" s="223"/>
      <c r="AG90" s="223"/>
      <c r="AH90" s="223"/>
      <c r="AI90" s="223"/>
    </row>
    <row r="91" customFormat="false" ht="14.25" hidden="false" customHeight="false" outlineLevel="0" collapsed="false">
      <c r="J91" s="223"/>
      <c r="K91" s="223"/>
      <c r="L91" s="223"/>
      <c r="M91" s="223"/>
      <c r="N91" s="223"/>
      <c r="O91" s="223"/>
      <c r="P91" s="223"/>
      <c r="Q91" s="223"/>
      <c r="R91" s="223"/>
      <c r="S91" s="223"/>
      <c r="T91" s="223"/>
      <c r="U91" s="223"/>
      <c r="V91" s="223"/>
      <c r="W91" s="223"/>
      <c r="X91" s="223"/>
      <c r="Y91" s="223"/>
      <c r="Z91" s="223"/>
      <c r="AA91" s="223"/>
      <c r="AB91" s="223"/>
      <c r="AC91" s="223"/>
      <c r="AD91" s="223"/>
      <c r="AE91" s="223"/>
      <c r="AF91" s="223"/>
      <c r="AG91" s="223"/>
      <c r="AH91" s="223"/>
      <c r="AI91" s="223"/>
    </row>
    <row r="92" customFormat="false" ht="14.25" hidden="false" customHeight="false" outlineLevel="0" collapsed="false">
      <c r="J92" s="223"/>
      <c r="K92" s="223"/>
      <c r="L92" s="223"/>
      <c r="M92" s="223"/>
      <c r="N92" s="223"/>
      <c r="O92" s="223"/>
      <c r="P92" s="223"/>
      <c r="Q92" s="223"/>
      <c r="R92" s="223"/>
      <c r="S92" s="223"/>
      <c r="T92" s="223"/>
      <c r="U92" s="223"/>
      <c r="V92" s="223"/>
      <c r="W92" s="223"/>
      <c r="X92" s="223"/>
      <c r="Y92" s="223"/>
      <c r="Z92" s="223"/>
      <c r="AA92" s="223"/>
      <c r="AB92" s="223"/>
      <c r="AC92" s="223"/>
      <c r="AD92" s="223"/>
      <c r="AE92" s="223"/>
      <c r="AF92" s="223"/>
      <c r="AG92" s="223"/>
      <c r="AH92" s="223"/>
      <c r="AI92" s="223"/>
    </row>
    <row r="93" customFormat="false" ht="14.25" hidden="false" customHeight="false" outlineLevel="0" collapsed="false">
      <c r="J93" s="223"/>
      <c r="K93" s="223"/>
      <c r="L93" s="223"/>
      <c r="M93" s="223"/>
      <c r="N93" s="223"/>
      <c r="O93" s="223"/>
      <c r="P93" s="223"/>
      <c r="Q93" s="223"/>
      <c r="R93" s="223"/>
      <c r="S93" s="223"/>
      <c r="T93" s="223"/>
      <c r="U93" s="223"/>
      <c r="V93" s="223"/>
      <c r="W93" s="223"/>
      <c r="X93" s="223"/>
      <c r="Y93" s="223"/>
      <c r="Z93" s="223"/>
      <c r="AA93" s="223"/>
      <c r="AB93" s="223"/>
      <c r="AC93" s="223"/>
      <c r="AD93" s="223"/>
      <c r="AE93" s="223"/>
      <c r="AF93" s="223"/>
      <c r="AG93" s="223"/>
      <c r="AH93" s="223"/>
      <c r="AI93" s="223"/>
    </row>
    <row r="94" customFormat="false" ht="14.25" hidden="false" customHeight="false" outlineLevel="0" collapsed="false">
      <c r="J94" s="223"/>
      <c r="K94" s="223"/>
      <c r="L94" s="223"/>
      <c r="M94" s="223"/>
      <c r="N94" s="223"/>
      <c r="O94" s="223"/>
      <c r="P94" s="223"/>
      <c r="Q94" s="223"/>
      <c r="R94" s="223"/>
      <c r="S94" s="223"/>
      <c r="T94" s="223"/>
      <c r="U94" s="223"/>
      <c r="V94" s="223"/>
      <c r="W94" s="223"/>
      <c r="X94" s="223"/>
      <c r="Y94" s="223"/>
      <c r="Z94" s="223"/>
      <c r="AA94" s="223"/>
      <c r="AB94" s="223"/>
      <c r="AC94" s="223"/>
      <c r="AD94" s="223"/>
      <c r="AE94" s="223"/>
      <c r="AF94" s="223"/>
      <c r="AG94" s="223"/>
      <c r="AH94" s="223"/>
      <c r="AI94" s="223"/>
    </row>
    <row r="95" customFormat="false" ht="14.25" hidden="false" customHeight="false" outlineLevel="0" collapsed="false">
      <c r="J95" s="223"/>
      <c r="K95" s="223"/>
      <c r="L95" s="223"/>
      <c r="M95" s="223"/>
      <c r="N95" s="223"/>
      <c r="O95" s="223"/>
      <c r="P95" s="223"/>
      <c r="Q95" s="223"/>
      <c r="R95" s="223"/>
      <c r="S95" s="223"/>
      <c r="T95" s="223"/>
      <c r="U95" s="223"/>
      <c r="V95" s="223"/>
      <c r="W95" s="223"/>
      <c r="X95" s="223"/>
      <c r="Y95" s="223"/>
      <c r="Z95" s="223"/>
      <c r="AA95" s="223"/>
      <c r="AB95" s="223"/>
      <c r="AC95" s="223"/>
      <c r="AD95" s="223"/>
      <c r="AE95" s="223"/>
      <c r="AF95" s="223"/>
      <c r="AG95" s="223"/>
      <c r="AH95" s="223"/>
      <c r="AI95" s="223"/>
    </row>
    <row r="96" customFormat="false" ht="14.25" hidden="false" customHeight="false" outlineLevel="0" collapsed="false">
      <c r="J96" s="223"/>
      <c r="K96" s="223"/>
      <c r="L96" s="223"/>
      <c r="M96" s="223"/>
      <c r="N96" s="223"/>
      <c r="O96" s="223"/>
      <c r="P96" s="223"/>
      <c r="Q96" s="223"/>
      <c r="R96" s="223"/>
      <c r="S96" s="223"/>
      <c r="T96" s="223"/>
      <c r="U96" s="223"/>
      <c r="V96" s="223"/>
      <c r="W96" s="223"/>
      <c r="X96" s="223"/>
      <c r="Y96" s="223"/>
      <c r="Z96" s="223"/>
      <c r="AA96" s="223"/>
      <c r="AB96" s="223"/>
      <c r="AC96" s="223"/>
      <c r="AD96" s="223"/>
      <c r="AE96" s="223"/>
      <c r="AF96" s="223"/>
      <c r="AG96" s="223"/>
      <c r="AH96" s="223"/>
      <c r="AI96" s="223"/>
    </row>
    <row r="97" customFormat="false" ht="14.25" hidden="false" customHeight="false" outlineLevel="0" collapsed="false">
      <c r="J97" s="223"/>
      <c r="K97" s="223"/>
      <c r="L97" s="223"/>
      <c r="M97" s="223"/>
      <c r="N97" s="223"/>
      <c r="O97" s="223"/>
      <c r="P97" s="223"/>
      <c r="Q97" s="223"/>
      <c r="R97" s="223"/>
      <c r="S97" s="223"/>
      <c r="T97" s="223"/>
      <c r="U97" s="223"/>
      <c r="V97" s="223"/>
      <c r="W97" s="223"/>
      <c r="X97" s="223"/>
      <c r="Y97" s="223"/>
      <c r="Z97" s="223"/>
      <c r="AA97" s="223"/>
      <c r="AB97" s="223"/>
      <c r="AC97" s="223"/>
      <c r="AD97" s="223"/>
      <c r="AE97" s="223"/>
      <c r="AF97" s="223"/>
      <c r="AG97" s="223"/>
      <c r="AH97" s="223"/>
      <c r="AI97" s="223"/>
    </row>
    <row r="98" customFormat="false" ht="14.25" hidden="false" customHeight="false" outlineLevel="0" collapsed="false">
      <c r="J98" s="223"/>
      <c r="K98" s="223"/>
      <c r="L98" s="223"/>
      <c r="M98" s="223"/>
      <c r="N98" s="223"/>
      <c r="O98" s="223"/>
      <c r="P98" s="223"/>
      <c r="Q98" s="223"/>
      <c r="R98" s="223"/>
      <c r="S98" s="223"/>
      <c r="T98" s="223"/>
      <c r="U98" s="223"/>
      <c r="V98" s="223"/>
      <c r="W98" s="223"/>
      <c r="X98" s="223"/>
      <c r="Y98" s="223"/>
      <c r="Z98" s="223"/>
      <c r="AA98" s="223"/>
      <c r="AB98" s="223"/>
      <c r="AC98" s="223"/>
      <c r="AD98" s="223"/>
      <c r="AE98" s="223"/>
      <c r="AF98" s="223"/>
      <c r="AG98" s="223"/>
      <c r="AH98" s="223"/>
      <c r="AI98" s="223"/>
    </row>
    <row r="99" customFormat="false" ht="14.25" hidden="false" customHeight="false" outlineLevel="0" collapsed="false">
      <c r="J99" s="223"/>
      <c r="K99" s="223"/>
      <c r="L99" s="223"/>
      <c r="M99" s="223"/>
      <c r="N99" s="223"/>
      <c r="O99" s="223"/>
      <c r="P99" s="223"/>
      <c r="Q99" s="223"/>
      <c r="R99" s="223"/>
      <c r="S99" s="223"/>
      <c r="T99" s="223"/>
      <c r="U99" s="223"/>
      <c r="V99" s="223"/>
      <c r="W99" s="223"/>
      <c r="X99" s="223"/>
      <c r="Y99" s="223"/>
      <c r="Z99" s="223"/>
      <c r="AA99" s="223"/>
      <c r="AB99" s="223"/>
      <c r="AC99" s="223"/>
      <c r="AD99" s="223"/>
      <c r="AE99" s="223"/>
      <c r="AF99" s="223"/>
      <c r="AG99" s="223"/>
      <c r="AH99" s="223"/>
      <c r="AI99" s="223"/>
    </row>
    <row r="100" customFormat="false" ht="14.25" hidden="false" customHeight="false" outlineLevel="0" collapsed="false">
      <c r="J100" s="223"/>
      <c r="K100" s="223"/>
      <c r="L100" s="223"/>
      <c r="M100" s="223"/>
      <c r="N100" s="223"/>
      <c r="O100" s="223"/>
      <c r="P100" s="223"/>
      <c r="Q100" s="223"/>
      <c r="R100" s="223"/>
      <c r="S100" s="223"/>
      <c r="T100" s="223"/>
      <c r="U100" s="223"/>
      <c r="V100" s="223"/>
      <c r="W100" s="223"/>
      <c r="X100" s="223"/>
      <c r="Y100" s="223"/>
      <c r="Z100" s="223"/>
      <c r="AA100" s="223"/>
      <c r="AB100" s="223"/>
      <c r="AC100" s="223"/>
      <c r="AD100" s="223"/>
      <c r="AE100" s="223"/>
      <c r="AF100" s="223"/>
      <c r="AG100" s="223"/>
      <c r="AH100" s="223"/>
      <c r="AI100" s="223"/>
    </row>
    <row r="101" customFormat="false" ht="14.25" hidden="false" customHeight="false" outlineLevel="0" collapsed="false">
      <c r="J101" s="223"/>
      <c r="K101" s="223"/>
      <c r="L101" s="223"/>
      <c r="M101" s="223"/>
      <c r="N101" s="223"/>
      <c r="O101" s="223"/>
      <c r="P101" s="223"/>
      <c r="Q101" s="223"/>
      <c r="R101" s="223"/>
      <c r="S101" s="223"/>
      <c r="T101" s="223"/>
      <c r="U101" s="223"/>
      <c r="V101" s="223"/>
      <c r="W101" s="223"/>
      <c r="X101" s="223"/>
      <c r="Y101" s="223"/>
      <c r="Z101" s="223"/>
      <c r="AA101" s="223"/>
      <c r="AB101" s="223"/>
      <c r="AC101" s="223"/>
      <c r="AD101" s="223"/>
      <c r="AE101" s="223"/>
      <c r="AF101" s="223"/>
      <c r="AG101" s="223"/>
      <c r="AH101" s="223"/>
      <c r="AI101" s="223"/>
    </row>
    <row r="102" customFormat="false" ht="14.25" hidden="false" customHeight="false" outlineLevel="0" collapsed="false">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row>
    <row r="103" customFormat="false" ht="14.25" hidden="false" customHeight="false" outlineLevel="0" collapsed="false">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row>
    <row r="104" customFormat="false" ht="14.25" hidden="false" customHeight="false" outlineLevel="0" collapsed="false">
      <c r="J104" s="223"/>
      <c r="K104" s="223"/>
      <c r="L104" s="223"/>
      <c r="M104" s="223"/>
      <c r="N104" s="223"/>
      <c r="O104" s="223"/>
      <c r="P104" s="223"/>
      <c r="Q104" s="223"/>
      <c r="R104" s="223"/>
      <c r="S104" s="223"/>
      <c r="T104" s="223"/>
      <c r="U104" s="223"/>
      <c r="V104" s="223"/>
      <c r="W104" s="223"/>
      <c r="X104" s="223"/>
      <c r="Y104" s="223"/>
      <c r="Z104" s="223"/>
      <c r="AA104" s="223"/>
      <c r="AB104" s="223"/>
      <c r="AC104" s="223"/>
      <c r="AD104" s="223"/>
      <c r="AE104" s="223"/>
      <c r="AF104" s="223"/>
      <c r="AG104" s="223"/>
      <c r="AH104" s="223"/>
      <c r="AI104" s="223"/>
    </row>
    <row r="105" customFormat="false" ht="14.25" hidden="false" customHeight="false" outlineLevel="0" collapsed="false">
      <c r="J105" s="223"/>
      <c r="K105" s="223"/>
      <c r="L105" s="223"/>
      <c r="M105" s="223"/>
      <c r="N105" s="223"/>
      <c r="O105" s="223"/>
      <c r="P105" s="223"/>
      <c r="Q105" s="223"/>
      <c r="R105" s="223"/>
      <c r="S105" s="223"/>
      <c r="T105" s="223"/>
      <c r="U105" s="223"/>
      <c r="V105" s="223"/>
      <c r="W105" s="223"/>
      <c r="X105" s="223"/>
      <c r="Y105" s="223"/>
      <c r="Z105" s="223"/>
      <c r="AA105" s="223"/>
      <c r="AB105" s="223"/>
      <c r="AC105" s="223"/>
      <c r="AD105" s="223"/>
      <c r="AE105" s="223"/>
      <c r="AF105" s="223"/>
      <c r="AG105" s="223"/>
      <c r="AH105" s="223"/>
      <c r="AI105" s="223"/>
    </row>
    <row r="106" customFormat="false" ht="14.25" hidden="false" customHeight="false" outlineLevel="0" collapsed="false">
      <c r="I106" s="240"/>
      <c r="J106" s="241"/>
      <c r="K106" s="223"/>
      <c r="L106" s="223"/>
      <c r="M106" s="223"/>
      <c r="N106" s="223"/>
      <c r="O106" s="223"/>
      <c r="P106" s="223"/>
      <c r="Q106" s="223"/>
      <c r="R106" s="223"/>
      <c r="S106" s="223"/>
      <c r="T106" s="223"/>
      <c r="U106" s="223"/>
      <c r="V106" s="223"/>
      <c r="W106" s="223"/>
      <c r="X106" s="223"/>
      <c r="Y106" s="223"/>
      <c r="Z106" s="223"/>
      <c r="AA106" s="223"/>
      <c r="AB106" s="223"/>
      <c r="AC106" s="223"/>
      <c r="AD106" s="223"/>
      <c r="AE106" s="223"/>
      <c r="AF106" s="223"/>
      <c r="AG106" s="223"/>
      <c r="AH106" s="223"/>
      <c r="AI106" s="223"/>
    </row>
    <row r="107" customFormat="false" ht="14.25" hidden="false" customHeight="false" outlineLevel="0" collapsed="false">
      <c r="J107" s="223"/>
      <c r="K107" s="223"/>
      <c r="L107" s="223"/>
      <c r="M107" s="223"/>
      <c r="N107" s="223"/>
      <c r="O107" s="223"/>
      <c r="P107" s="223"/>
      <c r="Q107" s="223"/>
      <c r="R107" s="223"/>
      <c r="S107" s="223"/>
      <c r="T107" s="223"/>
      <c r="U107" s="223"/>
      <c r="V107" s="223"/>
      <c r="W107" s="223"/>
      <c r="X107" s="223"/>
      <c r="Y107" s="223"/>
      <c r="Z107" s="223"/>
      <c r="AA107" s="223"/>
      <c r="AB107" s="223"/>
      <c r="AC107" s="223"/>
      <c r="AD107" s="223"/>
      <c r="AE107" s="223"/>
      <c r="AF107" s="223"/>
      <c r="AG107" s="223"/>
      <c r="AH107" s="223"/>
      <c r="AI107" s="223"/>
    </row>
    <row r="108" customFormat="false" ht="14.25" hidden="false" customHeight="false" outlineLevel="0" collapsed="false">
      <c r="J108" s="223"/>
      <c r="K108" s="223"/>
      <c r="L108" s="223"/>
      <c r="M108" s="223"/>
      <c r="N108" s="223"/>
      <c r="O108" s="223"/>
      <c r="P108" s="223"/>
      <c r="Q108" s="223"/>
      <c r="R108" s="223"/>
      <c r="S108" s="223"/>
      <c r="T108" s="223"/>
      <c r="U108" s="223"/>
      <c r="V108" s="223"/>
      <c r="W108" s="223"/>
      <c r="X108" s="223"/>
      <c r="Y108" s="223"/>
      <c r="Z108" s="223"/>
      <c r="AA108" s="223"/>
      <c r="AB108" s="223"/>
      <c r="AC108" s="223"/>
      <c r="AD108" s="223"/>
      <c r="AE108" s="223"/>
      <c r="AF108" s="223"/>
      <c r="AG108" s="223"/>
      <c r="AH108" s="223"/>
      <c r="AI108" s="223"/>
    </row>
    <row r="109" customFormat="false" ht="14.25" hidden="false" customHeight="false" outlineLevel="0" collapsed="false">
      <c r="J109" s="223"/>
      <c r="K109" s="223"/>
      <c r="L109" s="223"/>
      <c r="M109" s="223"/>
      <c r="N109" s="223"/>
      <c r="O109" s="223"/>
      <c r="P109" s="223"/>
      <c r="Q109" s="223"/>
      <c r="R109" s="223"/>
      <c r="S109" s="223"/>
      <c r="T109" s="223"/>
      <c r="U109" s="223"/>
      <c r="V109" s="223"/>
      <c r="W109" s="223"/>
      <c r="X109" s="223"/>
      <c r="Y109" s="223"/>
      <c r="Z109" s="223"/>
      <c r="AA109" s="223"/>
      <c r="AB109" s="223"/>
      <c r="AC109" s="223"/>
      <c r="AD109" s="223"/>
      <c r="AE109" s="223"/>
      <c r="AF109" s="223"/>
      <c r="AG109" s="223"/>
      <c r="AH109" s="223"/>
      <c r="AI109" s="223"/>
    </row>
    <row r="110" customFormat="false" ht="14.25" hidden="false" customHeight="false" outlineLevel="0" collapsed="false">
      <c r="I110" s="240"/>
      <c r="J110" s="241"/>
      <c r="K110" s="223"/>
      <c r="L110" s="223"/>
      <c r="M110" s="223"/>
      <c r="N110" s="223"/>
      <c r="O110" s="223"/>
      <c r="P110" s="223"/>
      <c r="Q110" s="223"/>
      <c r="R110" s="223"/>
      <c r="S110" s="223"/>
      <c r="T110" s="223"/>
      <c r="U110" s="223"/>
      <c r="V110" s="223"/>
      <c r="W110" s="223"/>
      <c r="X110" s="223"/>
      <c r="Y110" s="223"/>
      <c r="Z110" s="223"/>
      <c r="AA110" s="223"/>
      <c r="AB110" s="223"/>
      <c r="AC110" s="223"/>
      <c r="AD110" s="223"/>
      <c r="AE110" s="223"/>
      <c r="AF110" s="223"/>
      <c r="AG110" s="223"/>
      <c r="AH110" s="223"/>
      <c r="AI110" s="223"/>
    </row>
    <row r="111" customFormat="false" ht="14.25" hidden="false" customHeight="false" outlineLevel="0" collapsed="false">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23"/>
      <c r="AF111" s="223"/>
      <c r="AG111" s="223"/>
      <c r="AH111" s="223"/>
      <c r="AI111" s="223"/>
    </row>
    <row r="112" customFormat="false" ht="14.25" hidden="false" customHeight="false" outlineLevel="0" collapsed="false">
      <c r="J112" s="223"/>
      <c r="K112" s="223"/>
      <c r="L112" s="223"/>
      <c r="M112" s="223"/>
      <c r="N112" s="223"/>
      <c r="O112" s="223"/>
      <c r="P112" s="223"/>
      <c r="Q112" s="223"/>
      <c r="R112" s="223"/>
      <c r="S112" s="223"/>
      <c r="T112" s="223"/>
      <c r="U112" s="223"/>
      <c r="V112" s="223"/>
      <c r="W112" s="223"/>
      <c r="X112" s="223"/>
      <c r="Y112" s="223"/>
      <c r="Z112" s="223"/>
      <c r="AA112" s="223"/>
      <c r="AB112" s="223"/>
      <c r="AC112" s="223"/>
      <c r="AD112" s="223"/>
      <c r="AE112" s="223"/>
      <c r="AF112" s="223"/>
      <c r="AG112" s="223"/>
      <c r="AH112" s="223"/>
      <c r="AI112" s="223"/>
    </row>
    <row r="113" customFormat="false" ht="14.25" hidden="false" customHeight="false" outlineLevel="0" collapsed="false">
      <c r="J113" s="223"/>
      <c r="K113" s="223"/>
      <c r="L113" s="223"/>
      <c r="M113" s="223"/>
      <c r="N113" s="223"/>
      <c r="O113" s="223"/>
      <c r="P113" s="223"/>
      <c r="Q113" s="223"/>
      <c r="R113" s="223"/>
      <c r="S113" s="223"/>
      <c r="T113" s="223"/>
      <c r="U113" s="223"/>
      <c r="V113" s="223"/>
      <c r="W113" s="223"/>
      <c r="X113" s="223"/>
      <c r="Y113" s="223"/>
      <c r="Z113" s="223"/>
      <c r="AA113" s="223"/>
      <c r="AB113" s="223"/>
      <c r="AC113" s="223"/>
      <c r="AD113" s="223"/>
      <c r="AE113" s="223"/>
      <c r="AF113" s="223"/>
      <c r="AG113" s="223"/>
      <c r="AH113" s="223"/>
      <c r="AI113" s="223"/>
    </row>
    <row r="114" customFormat="false" ht="14.25" hidden="false" customHeight="false" outlineLevel="0" collapsed="false">
      <c r="J114" s="223"/>
      <c r="K114" s="223"/>
      <c r="L114" s="223"/>
      <c r="M114" s="223"/>
      <c r="N114" s="223"/>
      <c r="O114" s="223"/>
      <c r="P114" s="223"/>
      <c r="Q114" s="223"/>
      <c r="R114" s="223"/>
      <c r="S114" s="223"/>
      <c r="T114" s="223"/>
      <c r="U114" s="223"/>
      <c r="V114" s="223"/>
      <c r="W114" s="223"/>
      <c r="X114" s="223"/>
      <c r="Y114" s="223"/>
      <c r="Z114" s="223"/>
      <c r="AA114" s="223"/>
      <c r="AB114" s="223"/>
      <c r="AC114" s="223"/>
      <c r="AD114" s="223"/>
      <c r="AE114" s="223"/>
      <c r="AF114" s="223"/>
      <c r="AG114" s="223"/>
      <c r="AH114" s="223"/>
      <c r="AI114" s="223"/>
    </row>
    <row r="115" customFormat="false" ht="14.25" hidden="false" customHeight="false" outlineLevel="0" collapsed="false">
      <c r="J115" s="223"/>
      <c r="K115" s="223"/>
      <c r="L115" s="223"/>
      <c r="M115" s="223"/>
      <c r="N115" s="223"/>
      <c r="O115" s="223"/>
      <c r="P115" s="223"/>
      <c r="Q115" s="223"/>
      <c r="R115" s="223"/>
      <c r="S115" s="223"/>
      <c r="T115" s="223"/>
      <c r="U115" s="223"/>
      <c r="V115" s="223"/>
      <c r="W115" s="223"/>
      <c r="X115" s="223"/>
      <c r="Y115" s="223"/>
      <c r="Z115" s="223"/>
      <c r="AA115" s="223"/>
      <c r="AB115" s="223"/>
      <c r="AC115" s="223"/>
      <c r="AD115" s="223"/>
      <c r="AE115" s="223"/>
      <c r="AF115" s="223"/>
      <c r="AG115" s="223"/>
      <c r="AH115" s="223"/>
      <c r="AI115" s="223"/>
    </row>
    <row r="116" customFormat="false" ht="14.25" hidden="false" customHeight="false" outlineLevel="0" collapsed="false">
      <c r="J116" s="223"/>
      <c r="K116" s="223"/>
      <c r="L116" s="223"/>
      <c r="M116" s="223"/>
      <c r="N116" s="223"/>
      <c r="O116" s="223"/>
      <c r="P116" s="223"/>
      <c r="Q116" s="223"/>
      <c r="R116" s="223"/>
      <c r="S116" s="223"/>
      <c r="T116" s="223"/>
      <c r="U116" s="223"/>
      <c r="V116" s="223"/>
      <c r="W116" s="223"/>
      <c r="X116" s="223"/>
      <c r="Y116" s="223"/>
      <c r="Z116" s="223"/>
      <c r="AA116" s="223"/>
      <c r="AB116" s="223"/>
      <c r="AC116" s="223"/>
      <c r="AD116" s="223"/>
      <c r="AE116" s="223"/>
      <c r="AF116" s="223"/>
      <c r="AG116" s="223"/>
      <c r="AH116" s="223"/>
      <c r="AI116" s="223"/>
    </row>
    <row r="117" customFormat="false" ht="14.25" hidden="false" customHeight="false" outlineLevel="0" collapsed="false">
      <c r="J117" s="223"/>
      <c r="K117" s="223"/>
      <c r="L117" s="223"/>
      <c r="M117" s="223"/>
      <c r="N117" s="223"/>
      <c r="O117" s="223"/>
      <c r="P117" s="223"/>
      <c r="Q117" s="223"/>
      <c r="R117" s="223"/>
      <c r="S117" s="223"/>
      <c r="T117" s="223"/>
      <c r="U117" s="223"/>
      <c r="V117" s="223"/>
      <c r="W117" s="223"/>
      <c r="X117" s="223"/>
      <c r="Y117" s="223"/>
      <c r="Z117" s="223"/>
      <c r="AA117" s="223"/>
      <c r="AB117" s="223"/>
      <c r="AC117" s="223"/>
      <c r="AD117" s="223"/>
      <c r="AE117" s="223"/>
      <c r="AF117" s="223"/>
      <c r="AG117" s="223"/>
      <c r="AH117" s="223"/>
      <c r="AI117" s="223"/>
    </row>
    <row r="118" customFormat="false" ht="14.25" hidden="false" customHeight="false" outlineLevel="0" collapsed="false">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23"/>
      <c r="AF118" s="223"/>
      <c r="AG118" s="223"/>
      <c r="AH118" s="223"/>
      <c r="AI118" s="223"/>
    </row>
    <row r="119" customFormat="false" ht="14.25" hidden="false" customHeight="false" outlineLevel="0" collapsed="false">
      <c r="J119" s="223"/>
      <c r="K119" s="223"/>
      <c r="L119" s="223"/>
      <c r="M119" s="223"/>
      <c r="N119" s="223"/>
      <c r="O119" s="223"/>
      <c r="P119" s="223"/>
      <c r="Q119" s="223"/>
      <c r="R119" s="223"/>
      <c r="S119" s="223"/>
      <c r="T119" s="223"/>
      <c r="U119" s="223"/>
      <c r="V119" s="223"/>
      <c r="W119" s="223"/>
      <c r="X119" s="223"/>
      <c r="Y119" s="223"/>
      <c r="Z119" s="223"/>
      <c r="AA119" s="223"/>
      <c r="AB119" s="223"/>
      <c r="AC119" s="223"/>
      <c r="AD119" s="223"/>
      <c r="AE119" s="223"/>
      <c r="AF119" s="223"/>
      <c r="AG119" s="223"/>
      <c r="AH119" s="223"/>
      <c r="AI119" s="223"/>
    </row>
    <row r="120" customFormat="false" ht="14.25" hidden="false" customHeight="false" outlineLevel="0" collapsed="false">
      <c r="J120" s="223"/>
      <c r="K120" s="223"/>
      <c r="L120" s="223"/>
      <c r="M120" s="223"/>
      <c r="N120" s="223"/>
      <c r="O120" s="223"/>
      <c r="P120" s="223"/>
      <c r="Q120" s="223"/>
      <c r="R120" s="223"/>
      <c r="S120" s="223"/>
      <c r="T120" s="223"/>
      <c r="U120" s="223"/>
      <c r="V120" s="223"/>
      <c r="W120" s="223"/>
      <c r="X120" s="223"/>
      <c r="Y120" s="223"/>
      <c r="Z120" s="223"/>
      <c r="AA120" s="223"/>
      <c r="AB120" s="223"/>
      <c r="AC120" s="223"/>
      <c r="AD120" s="223"/>
      <c r="AE120" s="223"/>
      <c r="AF120" s="223"/>
      <c r="AG120" s="223"/>
      <c r="AH120" s="223"/>
      <c r="AI120" s="223"/>
    </row>
    <row r="121" customFormat="false" ht="14.25" hidden="false" customHeight="false" outlineLevel="0" collapsed="false">
      <c r="J121" s="223"/>
      <c r="K121" s="223"/>
      <c r="L121" s="223"/>
      <c r="M121" s="223"/>
      <c r="N121" s="223"/>
      <c r="O121" s="223"/>
      <c r="P121" s="223"/>
      <c r="Q121" s="223"/>
      <c r="R121" s="223"/>
      <c r="S121" s="223"/>
      <c r="T121" s="223"/>
      <c r="U121" s="223"/>
      <c r="V121" s="223"/>
      <c r="W121" s="223"/>
      <c r="X121" s="223"/>
      <c r="Y121" s="223"/>
      <c r="Z121" s="223"/>
      <c r="AA121" s="223"/>
      <c r="AB121" s="223"/>
      <c r="AC121" s="223"/>
      <c r="AD121" s="223"/>
      <c r="AE121" s="223"/>
      <c r="AF121" s="223"/>
      <c r="AG121" s="223"/>
      <c r="AH121" s="223"/>
      <c r="AI121" s="223"/>
    </row>
    <row r="122" customFormat="false" ht="14.25" hidden="false" customHeight="false" outlineLevel="0" collapsed="false">
      <c r="J122" s="223"/>
      <c r="K122" s="223"/>
      <c r="L122" s="223"/>
      <c r="M122" s="223"/>
      <c r="N122" s="223"/>
      <c r="O122" s="223"/>
      <c r="P122" s="223"/>
      <c r="Q122" s="223"/>
      <c r="R122" s="223"/>
      <c r="S122" s="223"/>
      <c r="T122" s="223"/>
      <c r="U122" s="223"/>
      <c r="V122" s="223"/>
      <c r="W122" s="223"/>
      <c r="X122" s="223"/>
      <c r="Y122" s="223"/>
      <c r="Z122" s="223"/>
      <c r="AA122" s="223"/>
      <c r="AB122" s="223"/>
      <c r="AC122" s="223"/>
      <c r="AD122" s="223"/>
      <c r="AE122" s="223"/>
      <c r="AF122" s="223"/>
      <c r="AG122" s="223"/>
      <c r="AH122" s="223"/>
      <c r="AI122" s="223"/>
    </row>
    <row r="123" customFormat="false" ht="14.25" hidden="false" customHeight="false" outlineLevel="0" collapsed="false">
      <c r="J123" s="223"/>
      <c r="K123" s="223"/>
      <c r="L123" s="223"/>
      <c r="M123" s="223"/>
      <c r="N123" s="223"/>
      <c r="O123" s="223"/>
      <c r="P123" s="223"/>
      <c r="Q123" s="223"/>
      <c r="R123" s="223"/>
      <c r="S123" s="223"/>
      <c r="T123" s="223"/>
      <c r="U123" s="223"/>
      <c r="V123" s="223"/>
      <c r="W123" s="223"/>
      <c r="X123" s="223"/>
      <c r="Y123" s="223"/>
      <c r="Z123" s="223"/>
      <c r="AA123" s="223"/>
      <c r="AB123" s="223"/>
      <c r="AC123" s="223"/>
      <c r="AD123" s="223"/>
      <c r="AE123" s="223"/>
      <c r="AF123" s="223"/>
      <c r="AG123" s="223"/>
      <c r="AH123" s="223"/>
      <c r="AI123" s="223"/>
    </row>
    <row r="124" customFormat="false" ht="14.25" hidden="false" customHeight="false" outlineLevel="0" collapsed="false">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23"/>
      <c r="AF124" s="223"/>
      <c r="AG124" s="223"/>
      <c r="AH124" s="223"/>
      <c r="AI124" s="223"/>
    </row>
    <row r="125" customFormat="false" ht="14.25" hidden="false" customHeight="false" outlineLevel="0" collapsed="false">
      <c r="J125" s="223"/>
      <c r="K125" s="223"/>
      <c r="L125" s="223"/>
      <c r="M125" s="223"/>
      <c r="N125" s="223"/>
      <c r="O125" s="223"/>
      <c r="P125" s="223"/>
      <c r="Q125" s="223"/>
      <c r="R125" s="223"/>
      <c r="S125" s="223"/>
      <c r="T125" s="223"/>
      <c r="U125" s="223"/>
      <c r="V125" s="223"/>
      <c r="W125" s="223"/>
      <c r="X125" s="223"/>
      <c r="Y125" s="223"/>
      <c r="Z125" s="223"/>
      <c r="AA125" s="223"/>
      <c r="AB125" s="223"/>
      <c r="AC125" s="223"/>
      <c r="AD125" s="223"/>
      <c r="AE125" s="223"/>
      <c r="AF125" s="223"/>
      <c r="AG125" s="223"/>
      <c r="AH125" s="223"/>
      <c r="AI125" s="223"/>
    </row>
    <row r="126" customFormat="false" ht="14.25" hidden="false" customHeight="false" outlineLevel="0" collapsed="false">
      <c r="J126" s="223"/>
      <c r="K126" s="223"/>
      <c r="L126" s="223"/>
      <c r="M126" s="223"/>
      <c r="N126" s="223"/>
      <c r="O126" s="223"/>
      <c r="P126" s="223"/>
      <c r="Q126" s="223"/>
      <c r="R126" s="223"/>
      <c r="S126" s="223"/>
      <c r="T126" s="223"/>
      <c r="U126" s="223"/>
      <c r="V126" s="223"/>
      <c r="W126" s="223"/>
      <c r="X126" s="223"/>
      <c r="Y126" s="223"/>
      <c r="Z126" s="223"/>
      <c r="AA126" s="223"/>
      <c r="AB126" s="223"/>
      <c r="AC126" s="223"/>
      <c r="AD126" s="223"/>
      <c r="AE126" s="223"/>
      <c r="AF126" s="223"/>
      <c r="AG126" s="223"/>
      <c r="AH126" s="223"/>
      <c r="AI126" s="223"/>
    </row>
    <row r="127" customFormat="false" ht="14.25" hidden="false" customHeight="false" outlineLevel="0" collapsed="false">
      <c r="J127" s="223"/>
      <c r="K127" s="223"/>
      <c r="L127" s="223"/>
      <c r="M127" s="223"/>
      <c r="N127" s="223"/>
      <c r="O127" s="223"/>
      <c r="P127" s="223"/>
      <c r="Q127" s="223"/>
      <c r="R127" s="223"/>
      <c r="S127" s="223"/>
      <c r="T127" s="223"/>
      <c r="U127" s="223"/>
      <c r="V127" s="223"/>
      <c r="W127" s="223"/>
      <c r="X127" s="223"/>
      <c r="Y127" s="223"/>
      <c r="Z127" s="223"/>
      <c r="AA127" s="223"/>
      <c r="AB127" s="223"/>
      <c r="AC127" s="223"/>
      <c r="AD127" s="223"/>
      <c r="AE127" s="223"/>
      <c r="AF127" s="223"/>
      <c r="AG127" s="223"/>
      <c r="AH127" s="223"/>
      <c r="AI127" s="223"/>
    </row>
    <row r="128" customFormat="false" ht="14.25" hidden="false" customHeight="false" outlineLevel="0" collapsed="false">
      <c r="J128" s="223"/>
      <c r="K128" s="223"/>
      <c r="L128" s="223"/>
      <c r="M128" s="223"/>
      <c r="N128" s="223"/>
      <c r="O128" s="223"/>
      <c r="P128" s="223"/>
      <c r="Q128" s="223"/>
      <c r="R128" s="223"/>
      <c r="S128" s="223"/>
      <c r="T128" s="223"/>
      <c r="U128" s="223"/>
      <c r="V128" s="223"/>
      <c r="W128" s="223"/>
      <c r="X128" s="223"/>
      <c r="Y128" s="223"/>
      <c r="Z128" s="223"/>
      <c r="AA128" s="223"/>
      <c r="AB128" s="223"/>
      <c r="AC128" s="223"/>
      <c r="AD128" s="223"/>
      <c r="AE128" s="223"/>
      <c r="AF128" s="223"/>
      <c r="AG128" s="223"/>
      <c r="AH128" s="223"/>
      <c r="AI128" s="223"/>
    </row>
  </sheetData>
  <mergeCells count="8">
    <mergeCell ref="A4:C4"/>
    <mergeCell ref="A5:C5"/>
    <mergeCell ref="A6:C6"/>
    <mergeCell ref="A7:C7"/>
    <mergeCell ref="A8:C8"/>
    <mergeCell ref="A9:C9"/>
    <mergeCell ref="A10:C10"/>
    <mergeCell ref="A11:C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9.14453125" defaultRowHeight="15" zeroHeight="false" outlineLevelRow="0" outlineLevelCol="0"/>
  <cols>
    <col collapsed="false" customWidth="true" hidden="false" outlineLevel="0" max="1" min="1" style="242" width="26"/>
    <col collapsed="false" customWidth="true" hidden="false" outlineLevel="0" max="2" min="2" style="242" width="28.14"/>
    <col collapsed="false" customWidth="true" hidden="false" outlineLevel="0" max="3" min="3" style="242" width="14.14"/>
    <col collapsed="false" customWidth="true" hidden="false" outlineLevel="0" max="4" min="4" style="242" width="25.14"/>
    <col collapsed="false" customWidth="true" hidden="false" outlineLevel="0" max="5" min="5" style="242" width="15"/>
    <col collapsed="false" customWidth="false" hidden="false" outlineLevel="0" max="6" min="6" style="243" width="9.14"/>
    <col collapsed="false" customWidth="true" hidden="false" outlineLevel="0" max="7" min="7" style="242" width="10.57"/>
    <col collapsed="false" customWidth="true" hidden="false" outlineLevel="0" max="8" min="8" style="6" width="10.57"/>
    <col collapsed="false" customWidth="false" hidden="false" outlineLevel="0" max="16384" min="9" style="242" width="9.14"/>
  </cols>
  <sheetData>
    <row r="1" s="6" customFormat="true" ht="20.25" hidden="false" customHeight="true" outlineLevel="0" collapsed="false">
      <c r="A1" s="120"/>
      <c r="F1" s="26"/>
    </row>
    <row r="2" s="6" customFormat="true" ht="20.25" hidden="false" customHeight="true" outlineLevel="0" collapsed="false">
      <c r="A2" s="24" t="s">
        <v>526</v>
      </c>
      <c r="B2" s="24"/>
      <c r="C2" s="24"/>
      <c r="D2" s="24"/>
      <c r="E2" s="24"/>
      <c r="F2" s="26"/>
    </row>
    <row r="4" customFormat="false" ht="18" hidden="false" customHeight="true" outlineLevel="0" collapsed="false">
      <c r="A4" s="244" t="s">
        <v>670</v>
      </c>
      <c r="B4" s="245"/>
      <c r="C4" s="245"/>
      <c r="D4" s="245"/>
      <c r="E4" s="245"/>
      <c r="G4" s="126" t="s">
        <v>628</v>
      </c>
    </row>
    <row r="5" customFormat="false" ht="15.75" hidden="false" customHeight="true" outlineLevel="0" collapsed="false">
      <c r="A5" s="246" t="s">
        <v>489</v>
      </c>
      <c r="B5" s="246" t="s">
        <v>12</v>
      </c>
      <c r="C5" s="246"/>
      <c r="D5" s="246"/>
      <c r="E5" s="246" t="s">
        <v>655</v>
      </c>
    </row>
    <row r="6" customFormat="false" ht="15.75" hidden="false" customHeight="true" outlineLevel="0" collapsed="false">
      <c r="A6" s="247"/>
      <c r="B6" s="248" t="s">
        <v>671</v>
      </c>
      <c r="C6" s="248"/>
      <c r="D6" s="248"/>
      <c r="E6" s="249"/>
    </row>
    <row r="7" customFormat="false" ht="15.75" hidden="false" customHeight="true" outlineLevel="0" collapsed="false">
      <c r="A7" s="250"/>
      <c r="B7" s="251"/>
      <c r="C7" s="251"/>
      <c r="D7" s="251"/>
      <c r="E7" s="252"/>
    </row>
    <row r="8" customFormat="false" ht="15.75" hidden="false" customHeight="true" outlineLevel="0" collapsed="false">
      <c r="A8" s="250"/>
      <c r="B8" s="251"/>
      <c r="C8" s="251"/>
      <c r="D8" s="251"/>
      <c r="E8" s="252"/>
    </row>
    <row r="9" customFormat="false" ht="15.75" hidden="false" customHeight="true" outlineLevel="0" collapsed="false">
      <c r="A9" s="250"/>
      <c r="B9" s="251"/>
      <c r="C9" s="251"/>
      <c r="D9" s="251"/>
      <c r="E9" s="252"/>
    </row>
    <row r="10" customFormat="false" ht="15.75" hidden="false" customHeight="true" outlineLevel="0" collapsed="false">
      <c r="A10" s="253"/>
      <c r="B10" s="254"/>
      <c r="C10" s="254"/>
      <c r="D10" s="254"/>
      <c r="E10" s="255"/>
    </row>
    <row r="11" customFormat="false" ht="15" hidden="false" customHeight="false" outlineLevel="0" collapsed="false">
      <c r="E11" s="1"/>
    </row>
    <row r="12" customFormat="false" ht="15" hidden="false" customHeight="false" outlineLevel="0" collapsed="false">
      <c r="D12" s="256" t="s">
        <v>659</v>
      </c>
      <c r="E12" s="257" t="n">
        <f aca="false">SUM(E6:E10)</f>
        <v>0</v>
      </c>
    </row>
    <row r="13" customFormat="false" ht="15" hidden="false" customHeight="false" outlineLevel="0" collapsed="false">
      <c r="D13" s="258" t="s">
        <v>660</v>
      </c>
      <c r="E13" s="259" t="n">
        <f aca="false">DSH!E19</f>
        <v>0</v>
      </c>
    </row>
    <row r="14" customFormat="false" ht="15" hidden="false" customHeight="false" outlineLevel="0" collapsed="false">
      <c r="C14" s="260"/>
      <c r="D14" s="261" t="s">
        <v>591</v>
      </c>
      <c r="E14" s="262" t="n">
        <f aca="false">IFERROR(VALUE(E12) - VALUE(E13), 0)</f>
        <v>0</v>
      </c>
    </row>
    <row r="16" customFormat="false" ht="15" hidden="false" customHeight="false" outlineLevel="0" collapsed="false">
      <c r="B16" s="263"/>
      <c r="C16" s="263"/>
      <c r="D16" s="263"/>
    </row>
    <row r="17" customFormat="false" ht="18" hidden="false" customHeight="true" outlineLevel="0" collapsed="false">
      <c r="A17" s="244" t="s">
        <v>672</v>
      </c>
      <c r="B17" s="245"/>
      <c r="C17" s="245"/>
      <c r="D17" s="245"/>
      <c r="E17" s="245"/>
      <c r="G17" s="126" t="s">
        <v>628</v>
      </c>
    </row>
    <row r="18" customFormat="false" ht="15.75" hidden="false" customHeight="true" outlineLevel="0" collapsed="false">
      <c r="A18" s="246" t="s">
        <v>489</v>
      </c>
      <c r="B18" s="246" t="s">
        <v>12</v>
      </c>
      <c r="C18" s="246"/>
      <c r="D18" s="246"/>
      <c r="E18" s="246" t="s">
        <v>655</v>
      </c>
    </row>
    <row r="19" customFormat="false" ht="15.75" hidden="false" customHeight="true" outlineLevel="0" collapsed="false">
      <c r="A19" s="247"/>
      <c r="B19" s="248" t="s">
        <v>673</v>
      </c>
      <c r="C19" s="248"/>
      <c r="D19" s="248"/>
      <c r="E19" s="249"/>
    </row>
    <row r="20" customFormat="false" ht="15.75" hidden="false" customHeight="true" outlineLevel="0" collapsed="false">
      <c r="A20" s="250"/>
      <c r="B20" s="251"/>
      <c r="C20" s="251"/>
      <c r="D20" s="251"/>
      <c r="E20" s="252"/>
    </row>
    <row r="21" customFormat="false" ht="15.75" hidden="false" customHeight="true" outlineLevel="0" collapsed="false">
      <c r="A21" s="250"/>
      <c r="B21" s="251"/>
      <c r="C21" s="251"/>
      <c r="D21" s="251"/>
      <c r="E21" s="252"/>
    </row>
    <row r="22" customFormat="false" ht="15.75" hidden="false" customHeight="true" outlineLevel="0" collapsed="false">
      <c r="A22" s="250"/>
      <c r="B22" s="251"/>
      <c r="C22" s="251"/>
      <c r="D22" s="251"/>
      <c r="E22" s="252"/>
    </row>
    <row r="23" customFormat="false" ht="15.75" hidden="false" customHeight="true" outlineLevel="0" collapsed="false">
      <c r="A23" s="253"/>
      <c r="B23" s="254"/>
      <c r="C23" s="254"/>
      <c r="D23" s="254"/>
      <c r="E23" s="255"/>
    </row>
    <row r="25" customFormat="false" ht="15" hidden="false" customHeight="false" outlineLevel="0" collapsed="false">
      <c r="D25" s="256" t="s">
        <v>659</v>
      </c>
      <c r="E25" s="257" t="n">
        <f aca="false">SUM(E19:E23)</f>
        <v>0</v>
      </c>
    </row>
    <row r="26" customFormat="false" ht="15" hidden="false" customHeight="false" outlineLevel="0" collapsed="false">
      <c r="D26" s="258" t="s">
        <v>660</v>
      </c>
      <c r="E26" s="259" t="n">
        <f aca="false">DSH!E20</f>
        <v>0</v>
      </c>
    </row>
    <row r="27" customFormat="false" ht="15" hidden="false" customHeight="false" outlineLevel="0" collapsed="false">
      <c r="C27" s="260"/>
      <c r="D27" s="261" t="s">
        <v>591</v>
      </c>
      <c r="E27" s="262" t="n">
        <f aca="false">IFERROR(VALUE(E25) - VALUE(E26), 0)</f>
        <v>0</v>
      </c>
    </row>
    <row r="28" customFormat="false" ht="15" hidden="false" customHeight="false" outlineLevel="0" collapsed="false">
      <c r="B28" s="263"/>
      <c r="C28" s="263"/>
      <c r="D28" s="263"/>
    </row>
    <row r="29" customFormat="false" ht="18" hidden="false" customHeight="true" outlineLevel="0" collapsed="false">
      <c r="A29" s="244" t="s">
        <v>674</v>
      </c>
      <c r="B29" s="245"/>
      <c r="C29" s="245"/>
      <c r="D29" s="245"/>
      <c r="E29" s="245"/>
      <c r="G29" s="126" t="s">
        <v>628</v>
      </c>
    </row>
    <row r="30" customFormat="false" ht="15.75" hidden="false" customHeight="true" outlineLevel="0" collapsed="false">
      <c r="A30" s="246" t="s">
        <v>489</v>
      </c>
      <c r="B30" s="246" t="s">
        <v>12</v>
      </c>
      <c r="C30" s="246"/>
      <c r="D30" s="246"/>
      <c r="E30" s="246" t="s">
        <v>655</v>
      </c>
    </row>
    <row r="31" customFormat="false" ht="15.75" hidden="false" customHeight="true" outlineLevel="0" collapsed="false">
      <c r="A31" s="247"/>
      <c r="B31" s="248" t="s">
        <v>674</v>
      </c>
      <c r="C31" s="248"/>
      <c r="D31" s="248"/>
      <c r="E31" s="249"/>
    </row>
    <row r="32" customFormat="false" ht="15.75" hidden="false" customHeight="true" outlineLevel="0" collapsed="false">
      <c r="A32" s="250"/>
      <c r="B32" s="251"/>
      <c r="C32" s="251"/>
      <c r="D32" s="251"/>
      <c r="E32" s="252"/>
    </row>
    <row r="33" customFormat="false" ht="15.75" hidden="false" customHeight="true" outlineLevel="0" collapsed="false">
      <c r="A33" s="250"/>
      <c r="B33" s="251"/>
      <c r="C33" s="251"/>
      <c r="D33" s="251"/>
      <c r="E33" s="252"/>
    </row>
    <row r="34" customFormat="false" ht="15.75" hidden="false" customHeight="true" outlineLevel="0" collapsed="false">
      <c r="A34" s="250"/>
      <c r="B34" s="251"/>
      <c r="C34" s="251"/>
      <c r="D34" s="251"/>
      <c r="E34" s="252"/>
    </row>
    <row r="35" customFormat="false" ht="15.75" hidden="false" customHeight="true" outlineLevel="0" collapsed="false">
      <c r="A35" s="253"/>
      <c r="B35" s="254"/>
      <c r="C35" s="254"/>
      <c r="D35" s="254"/>
      <c r="E35" s="255"/>
    </row>
    <row r="37" customFormat="false" ht="15" hidden="false" customHeight="false" outlineLevel="0" collapsed="false">
      <c r="D37" s="256" t="s">
        <v>659</v>
      </c>
      <c r="E37" s="257" t="n">
        <f aca="false">SUM(E31:E35)</f>
        <v>0</v>
      </c>
    </row>
    <row r="38" customFormat="false" ht="15" hidden="false" customHeight="false" outlineLevel="0" collapsed="false">
      <c r="D38" s="258" t="s">
        <v>660</v>
      </c>
      <c r="E38" s="259" t="n">
        <f aca="false">DSH!E21</f>
        <v>0</v>
      </c>
    </row>
    <row r="39" customFormat="false" ht="15" hidden="false" customHeight="false" outlineLevel="0" collapsed="false">
      <c r="C39" s="260"/>
      <c r="D39" s="261" t="s">
        <v>591</v>
      </c>
      <c r="E39" s="262" t="n">
        <f aca="false">IFERROR(VALUE(E37) - VALUE(E38), 0)</f>
        <v>0</v>
      </c>
    </row>
    <row r="41" customFormat="false" ht="18" hidden="false" customHeight="true" outlineLevel="0" collapsed="false">
      <c r="A41" s="244" t="s">
        <v>675</v>
      </c>
      <c r="B41" s="245"/>
      <c r="C41" s="245"/>
      <c r="D41" s="245"/>
      <c r="E41" s="245"/>
      <c r="G41" s="126" t="s">
        <v>628</v>
      </c>
    </row>
    <row r="42" customFormat="false" ht="15.75" hidden="false" customHeight="true" outlineLevel="0" collapsed="false">
      <c r="A42" s="246" t="s">
        <v>489</v>
      </c>
      <c r="B42" s="246" t="s">
        <v>12</v>
      </c>
      <c r="C42" s="246"/>
      <c r="D42" s="246"/>
      <c r="E42" s="246" t="s">
        <v>655</v>
      </c>
    </row>
    <row r="43" customFormat="false" ht="15.75" hidden="false" customHeight="true" outlineLevel="0" collapsed="false">
      <c r="A43" s="247"/>
      <c r="B43" s="248" t="s">
        <v>675</v>
      </c>
      <c r="C43" s="248"/>
      <c r="D43" s="248"/>
      <c r="E43" s="249"/>
    </row>
    <row r="44" customFormat="false" ht="15.75" hidden="false" customHeight="true" outlineLevel="0" collapsed="false">
      <c r="A44" s="250"/>
      <c r="B44" s="251"/>
      <c r="C44" s="251"/>
      <c r="D44" s="251"/>
      <c r="E44" s="252"/>
    </row>
    <row r="45" customFormat="false" ht="15.75" hidden="false" customHeight="true" outlineLevel="0" collapsed="false">
      <c r="A45" s="250"/>
      <c r="B45" s="251"/>
      <c r="C45" s="251"/>
      <c r="D45" s="251"/>
      <c r="E45" s="252"/>
    </row>
    <row r="46" customFormat="false" ht="15.75" hidden="false" customHeight="true" outlineLevel="0" collapsed="false">
      <c r="A46" s="250"/>
      <c r="B46" s="251"/>
      <c r="C46" s="251"/>
      <c r="D46" s="251"/>
      <c r="E46" s="252"/>
    </row>
    <row r="47" customFormat="false" ht="15.75" hidden="false" customHeight="true" outlineLevel="0" collapsed="false">
      <c r="A47" s="253"/>
      <c r="B47" s="254"/>
      <c r="C47" s="254"/>
      <c r="D47" s="254"/>
      <c r="E47" s="255"/>
    </row>
    <row r="49" customFormat="false" ht="15" hidden="false" customHeight="false" outlineLevel="0" collapsed="false">
      <c r="D49" s="256" t="s">
        <v>659</v>
      </c>
      <c r="E49" s="257" t="n">
        <f aca="false">SUM(E43:E47)</f>
        <v>0</v>
      </c>
    </row>
    <row r="50" customFormat="false" ht="15" hidden="false" customHeight="false" outlineLevel="0" collapsed="false">
      <c r="D50" s="258" t="s">
        <v>660</v>
      </c>
      <c r="E50" s="259" t="n">
        <f aca="false">DSH!E22</f>
        <v>0</v>
      </c>
    </row>
    <row r="51" customFormat="false" ht="15" hidden="false" customHeight="false" outlineLevel="0" collapsed="false">
      <c r="C51" s="260"/>
      <c r="D51" s="261" t="s">
        <v>591</v>
      </c>
      <c r="E51" s="262" t="n">
        <f aca="false">IFERROR(VALUE(E49) - VALUE(E50), 0)</f>
        <v>0</v>
      </c>
    </row>
    <row r="53" customFormat="false" ht="18" hidden="false" customHeight="true" outlineLevel="0" collapsed="false">
      <c r="A53" s="244" t="s">
        <v>408</v>
      </c>
      <c r="B53" s="245"/>
      <c r="C53" s="245"/>
      <c r="D53" s="245"/>
      <c r="E53" s="245"/>
      <c r="G53" s="126" t="s">
        <v>628</v>
      </c>
    </row>
    <row r="54" customFormat="false" ht="15.75" hidden="false" customHeight="true" outlineLevel="0" collapsed="false">
      <c r="A54" s="246" t="s">
        <v>489</v>
      </c>
      <c r="B54" s="246" t="s">
        <v>12</v>
      </c>
      <c r="C54" s="246"/>
      <c r="D54" s="246"/>
      <c r="E54" s="246" t="s">
        <v>655</v>
      </c>
    </row>
    <row r="55" customFormat="false" ht="15.75" hidden="false" customHeight="true" outlineLevel="0" collapsed="false">
      <c r="A55" s="247"/>
      <c r="B55" s="248"/>
      <c r="C55" s="248"/>
      <c r="D55" s="248"/>
      <c r="E55" s="249"/>
    </row>
    <row r="56" customFormat="false" ht="15.75" hidden="false" customHeight="true" outlineLevel="0" collapsed="false">
      <c r="A56" s="250"/>
      <c r="B56" s="251"/>
      <c r="C56" s="251"/>
      <c r="D56" s="251"/>
      <c r="E56" s="252"/>
    </row>
    <row r="57" customFormat="false" ht="15.75" hidden="false" customHeight="true" outlineLevel="0" collapsed="false">
      <c r="A57" s="250"/>
      <c r="B57" s="251"/>
      <c r="C57" s="251"/>
      <c r="D57" s="251"/>
      <c r="E57" s="252"/>
    </row>
    <row r="58" customFormat="false" ht="15.75" hidden="false" customHeight="true" outlineLevel="0" collapsed="false">
      <c r="A58" s="250"/>
      <c r="B58" s="251"/>
      <c r="C58" s="251"/>
      <c r="D58" s="251"/>
      <c r="E58" s="252"/>
    </row>
    <row r="59" customFormat="false" ht="15.75" hidden="false" customHeight="true" outlineLevel="0" collapsed="false">
      <c r="A59" s="253"/>
      <c r="B59" s="254"/>
      <c r="C59" s="254"/>
      <c r="D59" s="254"/>
      <c r="E59" s="255"/>
    </row>
    <row r="61" customFormat="false" ht="15" hidden="false" customHeight="false" outlineLevel="0" collapsed="false">
      <c r="D61" s="256" t="s">
        <v>659</v>
      </c>
      <c r="E61" s="257" t="n">
        <f aca="false">SUM(E55:E59)</f>
        <v>0</v>
      </c>
    </row>
    <row r="62" customFormat="false" ht="15" hidden="false" customHeight="false" outlineLevel="0" collapsed="false">
      <c r="D62" s="258" t="s">
        <v>660</v>
      </c>
      <c r="E62" s="259" t="n">
        <f aca="false">DSH!E23</f>
        <v>0</v>
      </c>
    </row>
    <row r="63" customFormat="false" ht="15" hidden="false" customHeight="false" outlineLevel="0" collapsed="false">
      <c r="C63" s="260"/>
      <c r="D63" s="261" t="s">
        <v>591</v>
      </c>
      <c r="E63" s="262" t="n">
        <f aca="false">IFERROR(VALUE(E61) - VALUE(E62), 0)</f>
        <v>0</v>
      </c>
    </row>
  </sheetData>
  <mergeCells count="33">
    <mergeCell ref="A2:E2"/>
    <mergeCell ref="B5:D5"/>
    <mergeCell ref="B6:D6"/>
    <mergeCell ref="B7:D7"/>
    <mergeCell ref="B8:D8"/>
    <mergeCell ref="B9:D9"/>
    <mergeCell ref="B10:D10"/>
    <mergeCell ref="B16:D16"/>
    <mergeCell ref="B18:D18"/>
    <mergeCell ref="B19:D19"/>
    <mergeCell ref="B20:D20"/>
    <mergeCell ref="B21:D21"/>
    <mergeCell ref="B22:D22"/>
    <mergeCell ref="B23:D23"/>
    <mergeCell ref="B28:D28"/>
    <mergeCell ref="B30:D30"/>
    <mergeCell ref="B31:D31"/>
    <mergeCell ref="B32:D32"/>
    <mergeCell ref="B33:D33"/>
    <mergeCell ref="B34:D34"/>
    <mergeCell ref="B35:D35"/>
    <mergeCell ref="B42:D42"/>
    <mergeCell ref="B43:D43"/>
    <mergeCell ref="B44:D44"/>
    <mergeCell ref="B45:D45"/>
    <mergeCell ref="B46:D46"/>
    <mergeCell ref="B47:D47"/>
    <mergeCell ref="B54:D54"/>
    <mergeCell ref="B55:D55"/>
    <mergeCell ref="B56:D56"/>
    <mergeCell ref="B57:D57"/>
    <mergeCell ref="B58:D58"/>
    <mergeCell ref="B59:D5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8"/>
  <sheetViews>
    <sheetView showFormulas="false" showGridLines="false" showRowColHeaders="true" showZeros="true" rightToLeft="false" tabSelected="false" showOutlineSymbols="true" defaultGridColor="true" view="normal" topLeftCell="A34" colorId="64" zoomScale="100" zoomScaleNormal="100" zoomScalePageLayoutView="100" workbookViewId="0">
      <selection pane="topLeft" activeCell="G9" activeCellId="0" sqref="G9"/>
    </sheetView>
  </sheetViews>
  <sheetFormatPr defaultColWidth="9.14453125" defaultRowHeight="14.25" zeroHeight="false" outlineLevelRow="0" outlineLevelCol="0"/>
  <cols>
    <col collapsed="false" customWidth="true" hidden="false" outlineLevel="0" max="1" min="1" style="1" width="20.86"/>
    <col collapsed="false" customWidth="true" hidden="false" outlineLevel="0" max="2" min="2" style="1" width="52.43"/>
    <col collapsed="false" customWidth="false" hidden="false" outlineLevel="0" max="3" min="3" style="1" width="9.14"/>
    <col collapsed="false" customWidth="true" hidden="false" outlineLevel="0" max="4" min="4" style="1" width="20.57"/>
    <col collapsed="false" customWidth="true" hidden="false" outlineLevel="0" max="5" min="5" style="1" width="13.57"/>
    <col collapsed="false" customWidth="true" hidden="false" outlineLevel="0" max="6" min="6" style="1" width="16.43"/>
    <col collapsed="false" customWidth="true" hidden="false" outlineLevel="0" max="7" min="7" style="1" width="12.57"/>
    <col collapsed="false" customWidth="true" hidden="false" outlineLevel="0" max="8" min="8" style="1" width="10.57"/>
    <col collapsed="false" customWidth="false" hidden="false" outlineLevel="0" max="10" min="9" style="1" width="9.14"/>
    <col collapsed="false" customWidth="true" hidden="false" outlineLevel="0" max="11" min="11" style="1" width="18.14"/>
    <col collapsed="false" customWidth="false" hidden="false" outlineLevel="0" max="13" min="12" style="1" width="9.14"/>
    <col collapsed="false" customWidth="true" hidden="false" outlineLevel="0" max="14" min="14" style="1" width="14.14"/>
    <col collapsed="false" customWidth="true" hidden="false" outlineLevel="0" max="15" min="15" style="1" width="17"/>
    <col collapsed="false" customWidth="false" hidden="false" outlineLevel="0" max="16384" min="16" style="1" width="9.14"/>
  </cols>
  <sheetData>
    <row r="1" s="6" customFormat="true" ht="21" hidden="false" customHeight="true" outlineLevel="0" collapsed="false">
      <c r="A1" s="120"/>
      <c r="B1" s="120"/>
      <c r="J1" s="1"/>
      <c r="K1" s="1"/>
      <c r="L1" s="1"/>
    </row>
    <row r="2" s="6" customFormat="true" ht="21" hidden="false" customHeight="true" outlineLevel="0" collapsed="false">
      <c r="A2" s="218"/>
      <c r="B2" s="218"/>
      <c r="C2" s="175" t="s">
        <v>528</v>
      </c>
      <c r="D2" s="218"/>
      <c r="E2" s="218"/>
      <c r="F2" s="218"/>
      <c r="J2" s="1"/>
      <c r="K2" s="1"/>
      <c r="L2" s="1"/>
    </row>
    <row r="3" customFormat="false" ht="14.25" hidden="false" customHeight="false" outlineLevel="0" collapsed="false">
      <c r="A3" s="264"/>
      <c r="B3" s="264"/>
      <c r="C3" s="264"/>
      <c r="D3" s="264"/>
      <c r="E3" s="264"/>
      <c r="F3" s="264"/>
    </row>
    <row r="4" customFormat="false" ht="14.25" hidden="false" customHeight="false" outlineLevel="0" collapsed="false">
      <c r="A4" s="160"/>
      <c r="B4" s="160"/>
      <c r="C4" s="160"/>
      <c r="D4" s="160"/>
      <c r="E4" s="265" t="s">
        <v>655</v>
      </c>
      <c r="F4" s="265" t="s">
        <v>655</v>
      </c>
      <c r="H4" s="126" t="s">
        <v>628</v>
      </c>
    </row>
    <row r="5" customFormat="false" ht="14.25" hidden="false" customHeight="false" outlineLevel="0" collapsed="false">
      <c r="A5" s="266" t="s">
        <v>676</v>
      </c>
      <c r="B5" s="267"/>
      <c r="C5" s="268"/>
      <c r="D5" s="268"/>
      <c r="E5" s="268"/>
      <c r="F5" s="269"/>
    </row>
    <row r="6" customFormat="false" ht="15" hidden="false" customHeight="true" outlineLevel="0" collapsed="false">
      <c r="A6" s="270" t="s">
        <v>677</v>
      </c>
      <c r="B6" s="271" t="s">
        <v>678</v>
      </c>
      <c r="C6" s="271"/>
      <c r="D6" s="272"/>
      <c r="E6" s="272"/>
      <c r="F6" s="273" t="n">
        <f aca="false">F29</f>
        <v>0</v>
      </c>
      <c r="G6" s="10"/>
    </row>
    <row r="7" customFormat="false" ht="15" hidden="false" customHeight="true" outlineLevel="0" collapsed="false">
      <c r="A7" s="270"/>
      <c r="B7" s="271"/>
      <c r="C7" s="271"/>
      <c r="D7" s="272"/>
      <c r="E7" s="272"/>
      <c r="F7" s="274"/>
    </row>
    <row r="8" customFormat="false" ht="15" hidden="false" customHeight="true" outlineLevel="0" collapsed="false">
      <c r="A8" s="270" t="s">
        <v>679</v>
      </c>
      <c r="B8" s="271" t="s">
        <v>680</v>
      </c>
      <c r="C8" s="271"/>
      <c r="D8" s="272"/>
      <c r="E8" s="275" t="n">
        <f aca="false">F40</f>
        <v>0</v>
      </c>
      <c r="F8" s="274"/>
    </row>
    <row r="9" customFormat="false" ht="14.25" hidden="false" customHeight="false" outlineLevel="0" collapsed="false">
      <c r="A9" s="270"/>
      <c r="B9" s="271" t="s">
        <v>681</v>
      </c>
      <c r="C9" s="272"/>
      <c r="D9" s="276"/>
      <c r="E9" s="275" t="n">
        <f aca="false">-D9</f>
        <v>0</v>
      </c>
      <c r="F9" s="277"/>
    </row>
    <row r="10" customFormat="false" ht="15" hidden="false" customHeight="true" outlineLevel="0" collapsed="false">
      <c r="A10" s="270"/>
      <c r="B10" s="271" t="s">
        <v>682</v>
      </c>
      <c r="C10" s="271"/>
      <c r="D10" s="276"/>
      <c r="E10" s="275" t="n">
        <f aca="false">-D10</f>
        <v>0</v>
      </c>
      <c r="F10" s="277"/>
    </row>
    <row r="11" customFormat="false" ht="15" hidden="false" customHeight="true" outlineLevel="0" collapsed="false">
      <c r="A11" s="270"/>
      <c r="B11" s="271" t="s">
        <v>683</v>
      </c>
      <c r="C11" s="271"/>
      <c r="D11" s="272"/>
      <c r="E11" s="278"/>
      <c r="F11" s="277"/>
    </row>
    <row r="12" customFormat="false" ht="15" hidden="false" customHeight="true" outlineLevel="0" collapsed="false">
      <c r="A12" s="270"/>
      <c r="B12" s="271" t="s">
        <v>684</v>
      </c>
      <c r="C12" s="271"/>
      <c r="D12" s="272"/>
      <c r="E12" s="279"/>
      <c r="F12" s="277"/>
    </row>
    <row r="13" customFormat="false" ht="15" hidden="false" customHeight="true" outlineLevel="0" collapsed="false">
      <c r="A13" s="270"/>
      <c r="B13" s="271" t="s">
        <v>685</v>
      </c>
      <c r="C13" s="271"/>
      <c r="D13" s="272"/>
      <c r="E13" s="279"/>
      <c r="F13" s="277"/>
    </row>
    <row r="14" customFormat="false" ht="15" hidden="false" customHeight="true" outlineLevel="0" collapsed="false">
      <c r="A14" s="270"/>
      <c r="B14" s="271"/>
      <c r="C14" s="271"/>
      <c r="D14" s="272"/>
      <c r="E14" s="272"/>
      <c r="F14" s="273" t="n">
        <f aca="false">+SUM(E8:E14)</f>
        <v>0</v>
      </c>
    </row>
    <row r="15" customFormat="false" ht="14.25" hidden="false" customHeight="false" outlineLevel="0" collapsed="false">
      <c r="A15" s="270" t="s">
        <v>686</v>
      </c>
      <c r="B15" s="280"/>
      <c r="C15" s="280"/>
      <c r="D15" s="281"/>
      <c r="E15" s="277"/>
      <c r="F15" s="282" t="n">
        <f aca="false">F5+F6-F14</f>
        <v>0</v>
      </c>
    </row>
    <row r="16" customFormat="false" ht="14.25" hidden="false" customHeight="false" outlineLevel="0" collapsed="false">
      <c r="A16" s="270" t="s">
        <v>660</v>
      </c>
      <c r="B16" s="280"/>
      <c r="C16" s="280"/>
      <c r="D16" s="281"/>
      <c r="E16" s="277"/>
      <c r="F16" s="209" t="n">
        <f aca="false">DSH!E52</f>
        <v>0</v>
      </c>
      <c r="G16" s="8"/>
      <c r="H16" s="239"/>
      <c r="O16" s="19"/>
    </row>
    <row r="17" customFormat="false" ht="14.25" hidden="false" customHeight="false" outlineLevel="0" collapsed="false">
      <c r="A17" s="283"/>
      <c r="B17" s="284"/>
      <c r="C17" s="284"/>
      <c r="D17" s="285"/>
      <c r="E17" s="286"/>
      <c r="F17" s="287"/>
      <c r="O17" s="19"/>
    </row>
    <row r="18" customFormat="false" ht="14.25" hidden="false" customHeight="false" outlineLevel="0" collapsed="false">
      <c r="A18" s="264" t="s">
        <v>591</v>
      </c>
      <c r="B18" s="264"/>
      <c r="C18" s="264"/>
      <c r="D18" s="264"/>
      <c r="E18" s="264"/>
      <c r="F18" s="288" t="n">
        <f aca="false">F15-F16</f>
        <v>0</v>
      </c>
      <c r="G18" s="289"/>
      <c r="O18" s="19"/>
    </row>
    <row r="19" customFormat="false" ht="14.25" hidden="false" customHeight="false" outlineLevel="0" collapsed="false">
      <c r="A19" s="264"/>
      <c r="B19" s="264"/>
      <c r="C19" s="264"/>
      <c r="D19" s="264"/>
      <c r="E19" s="264"/>
      <c r="F19" s="264"/>
      <c r="N19" s="19"/>
      <c r="O19" s="19"/>
      <c r="P19" s="19"/>
    </row>
    <row r="20" customFormat="false" ht="15" hidden="false" customHeight="true" outlineLevel="0" collapsed="false">
      <c r="A20" s="290" t="s">
        <v>687</v>
      </c>
      <c r="B20" s="290"/>
      <c r="C20" s="290"/>
      <c r="D20" s="291" t="s">
        <v>688</v>
      </c>
      <c r="E20" s="292" t="s">
        <v>689</v>
      </c>
      <c r="F20" s="293" t="s">
        <v>690</v>
      </c>
      <c r="H20" s="14"/>
      <c r="N20" s="19"/>
      <c r="O20" s="19"/>
      <c r="P20" s="19"/>
    </row>
    <row r="21" customFormat="false" ht="15" hidden="false" customHeight="true" outlineLevel="0" collapsed="false">
      <c r="A21" s="294" t="s">
        <v>691</v>
      </c>
      <c r="B21" s="294"/>
      <c r="C21" s="294"/>
      <c r="D21" s="295"/>
      <c r="E21" s="296"/>
      <c r="F21" s="297"/>
      <c r="G21" s="10"/>
      <c r="H21" s="10"/>
      <c r="I21" s="10"/>
      <c r="N21" s="19"/>
      <c r="O21" s="19"/>
      <c r="P21" s="19"/>
    </row>
    <row r="22" customFormat="false" ht="15" hidden="false" customHeight="true" outlineLevel="0" collapsed="false">
      <c r="A22" s="294"/>
      <c r="B22" s="294"/>
      <c r="C22" s="294"/>
      <c r="D22" s="295"/>
      <c r="E22" s="296"/>
      <c r="F22" s="297"/>
      <c r="N22" s="19"/>
      <c r="O22" s="19"/>
      <c r="P22" s="19"/>
    </row>
    <row r="23" customFormat="false" ht="15" hidden="false" customHeight="true" outlineLevel="0" collapsed="false">
      <c r="A23" s="294"/>
      <c r="B23" s="294"/>
      <c r="C23" s="294"/>
      <c r="D23" s="295"/>
      <c r="E23" s="296"/>
      <c r="F23" s="297"/>
      <c r="G23" s="10"/>
      <c r="H23" s="10"/>
      <c r="I23" s="10"/>
      <c r="J23" s="10"/>
    </row>
    <row r="24" customFormat="false" ht="15" hidden="false" customHeight="true" outlineLevel="0" collapsed="false">
      <c r="A24" s="294"/>
      <c r="B24" s="294"/>
      <c r="C24" s="294"/>
      <c r="D24" s="295"/>
      <c r="E24" s="296"/>
      <c r="F24" s="297"/>
    </row>
    <row r="25" customFormat="false" ht="15" hidden="false" customHeight="true" outlineLevel="0" collapsed="false">
      <c r="A25" s="294"/>
      <c r="B25" s="294"/>
      <c r="C25" s="294"/>
      <c r="D25" s="295"/>
      <c r="E25" s="296"/>
      <c r="F25" s="297"/>
      <c r="G25" s="8"/>
    </row>
    <row r="26" customFormat="false" ht="15" hidden="false" customHeight="true" outlineLevel="0" collapsed="false">
      <c r="A26" s="294"/>
      <c r="B26" s="294"/>
      <c r="C26" s="294"/>
      <c r="D26" s="295"/>
      <c r="E26" s="296"/>
      <c r="F26" s="298"/>
      <c r="G26" s="8"/>
    </row>
    <row r="27" customFormat="false" ht="15" hidden="false" customHeight="true" outlineLevel="0" collapsed="false">
      <c r="A27" s="294"/>
      <c r="B27" s="294"/>
      <c r="C27" s="294"/>
      <c r="D27" s="295"/>
      <c r="E27" s="296"/>
      <c r="F27" s="297"/>
    </row>
    <row r="28" customFormat="false" ht="15" hidden="false" customHeight="true" outlineLevel="0" collapsed="false">
      <c r="A28" s="294"/>
      <c r="B28" s="294"/>
      <c r="C28" s="294"/>
      <c r="D28" s="295"/>
      <c r="E28" s="296"/>
      <c r="F28" s="299"/>
    </row>
    <row r="29" customFormat="false" ht="15" hidden="false" customHeight="true" outlineLevel="0" collapsed="false">
      <c r="A29" s="300" t="s">
        <v>692</v>
      </c>
      <c r="B29" s="300"/>
      <c r="C29" s="300"/>
      <c r="D29" s="129"/>
      <c r="E29" s="129"/>
      <c r="F29" s="301" t="n">
        <f aca="false">SUM(F21:F27)</f>
        <v>0</v>
      </c>
    </row>
    <row r="30" customFormat="false" ht="14.25" hidden="false" customHeight="false" outlineLevel="0" collapsed="false">
      <c r="A30" s="302"/>
      <c r="B30" s="159"/>
      <c r="C30" s="159"/>
      <c r="D30" s="129"/>
      <c r="E30" s="129"/>
      <c r="F30" s="303"/>
    </row>
    <row r="31" customFormat="false" ht="14.25" hidden="false" customHeight="false" outlineLevel="0" collapsed="false">
      <c r="A31" s="302"/>
      <c r="B31" s="159"/>
      <c r="C31" s="159"/>
      <c r="D31" s="129"/>
      <c r="E31" s="129"/>
      <c r="F31" s="304"/>
    </row>
    <row r="32" customFormat="false" ht="14.25" hidden="false" customHeight="false" outlineLevel="0" collapsed="false">
      <c r="A32" s="305" t="s">
        <v>693</v>
      </c>
      <c r="B32" s="306"/>
      <c r="C32" s="307"/>
      <c r="D32" s="308" t="s">
        <v>694</v>
      </c>
      <c r="E32" s="308"/>
      <c r="F32" s="304" t="s">
        <v>695</v>
      </c>
    </row>
    <row r="33" customFormat="false" ht="14.25" hidden="false" customHeight="false" outlineLevel="0" collapsed="false">
      <c r="A33" s="309" t="s">
        <v>696</v>
      </c>
      <c r="B33" s="310"/>
      <c r="C33" s="311"/>
      <c r="D33" s="295"/>
      <c r="E33" s="136"/>
      <c r="F33" s="312"/>
    </row>
    <row r="34" customFormat="false" ht="14.25" hidden="false" customHeight="false" outlineLevel="0" collapsed="false">
      <c r="A34" s="309"/>
      <c r="B34" s="310"/>
      <c r="C34" s="311"/>
      <c r="D34" s="295"/>
      <c r="E34" s="136"/>
      <c r="F34" s="312"/>
    </row>
    <row r="35" customFormat="false" ht="14.25" hidden="false" customHeight="false" outlineLevel="0" collapsed="false">
      <c r="A35" s="309"/>
      <c r="B35" s="310"/>
      <c r="C35" s="311"/>
      <c r="D35" s="295"/>
      <c r="E35" s="136"/>
      <c r="F35" s="312"/>
    </row>
    <row r="36" customFormat="false" ht="14.25" hidden="false" customHeight="false" outlineLevel="0" collapsed="false">
      <c r="A36" s="309"/>
      <c r="B36" s="310"/>
      <c r="C36" s="311"/>
      <c r="D36" s="295"/>
      <c r="E36" s="136"/>
      <c r="F36" s="312"/>
    </row>
    <row r="37" customFormat="false" ht="14.25" hidden="false" customHeight="false" outlineLevel="0" collapsed="false">
      <c r="A37" s="309"/>
      <c r="B37" s="310"/>
      <c r="C37" s="311"/>
      <c r="D37" s="295"/>
      <c r="E37" s="136"/>
      <c r="F37" s="312"/>
    </row>
    <row r="38" customFormat="false" ht="14.25" hidden="false" customHeight="false" outlineLevel="0" collapsed="false">
      <c r="A38" s="309"/>
      <c r="B38" s="310"/>
      <c r="C38" s="311"/>
      <c r="D38" s="295"/>
      <c r="E38" s="136"/>
      <c r="F38" s="312"/>
    </row>
    <row r="39" customFormat="false" ht="14.25" hidden="false" customHeight="false" outlineLevel="0" collapsed="false">
      <c r="A39" s="309"/>
      <c r="B39" s="310"/>
      <c r="C39" s="311"/>
      <c r="D39" s="295"/>
      <c r="E39" s="136"/>
      <c r="F39" s="299"/>
    </row>
    <row r="40" customFormat="false" ht="15" hidden="false" customHeight="true" outlineLevel="0" collapsed="false">
      <c r="A40" s="300" t="s">
        <v>697</v>
      </c>
      <c r="B40" s="300"/>
      <c r="C40" s="300"/>
      <c r="D40" s="129"/>
      <c r="E40" s="129"/>
      <c r="F40" s="313" t="n">
        <f aca="false">SUM(F33:F39)</f>
        <v>0</v>
      </c>
    </row>
    <row r="41" customFormat="false" ht="14.25" hidden="false" customHeight="false" outlineLevel="0" collapsed="false">
      <c r="A41" s="305"/>
      <c r="B41" s="306"/>
      <c r="C41" s="314"/>
      <c r="D41" s="129"/>
      <c r="E41" s="129"/>
      <c r="F41" s="315"/>
    </row>
    <row r="42" customFormat="false" ht="18" hidden="false" customHeight="true" outlineLevel="0" collapsed="false">
      <c r="A42" s="316" t="s">
        <v>698</v>
      </c>
      <c r="B42" s="317"/>
      <c r="C42" s="318"/>
      <c r="D42" s="319"/>
      <c r="E42" s="320"/>
      <c r="F42" s="321"/>
    </row>
    <row r="43" customFormat="false" ht="18" hidden="false" customHeight="true" outlineLevel="0" collapsed="false">
      <c r="A43" s="322" t="s">
        <v>699</v>
      </c>
      <c r="B43" s="323"/>
      <c r="C43" s="318"/>
      <c r="D43" s="319"/>
      <c r="E43" s="320"/>
      <c r="F43" s="321"/>
    </row>
    <row r="44" customFormat="false" ht="18" hidden="false" customHeight="true" outlineLevel="0" collapsed="false">
      <c r="A44" s="324" t="s">
        <v>700</v>
      </c>
      <c r="B44" s="325"/>
      <c r="C44" s="318"/>
      <c r="D44" s="319"/>
      <c r="E44" s="320"/>
      <c r="F44" s="321"/>
    </row>
    <row r="45" customFormat="false" ht="18" hidden="false" customHeight="true" outlineLevel="0" collapsed="false">
      <c r="A45" s="324" t="s">
        <v>701</v>
      </c>
      <c r="B45" s="325"/>
      <c r="C45" s="318"/>
      <c r="D45" s="319"/>
      <c r="E45" s="320"/>
      <c r="F45" s="321"/>
    </row>
    <row r="46" customFormat="false" ht="18" hidden="false" customHeight="true" outlineLevel="0" collapsed="false">
      <c r="A46" s="324" t="s">
        <v>702</v>
      </c>
      <c r="B46" s="326"/>
      <c r="C46" s="327"/>
      <c r="D46" s="328"/>
      <c r="E46" s="329"/>
      <c r="F46" s="330"/>
    </row>
    <row r="47" customFormat="false" ht="18" hidden="false" customHeight="true" outlineLevel="0" collapsed="false">
      <c r="A47" s="322" t="s">
        <v>703</v>
      </c>
      <c r="B47" s="331"/>
      <c r="C47" s="327"/>
      <c r="D47" s="328"/>
      <c r="E47" s="329"/>
      <c r="F47" s="330"/>
    </row>
    <row r="48" customFormat="false" ht="14.25" hidden="false" customHeight="false" outlineLevel="0" collapsed="false">
      <c r="A48" s="332"/>
      <c r="B48" s="333"/>
      <c r="C48" s="334"/>
      <c r="D48" s="156"/>
      <c r="E48" s="156"/>
      <c r="F48" s="335"/>
    </row>
    <row r="104" customFormat="false" ht="14.25" hidden="false" customHeight="false" outlineLevel="0" collapsed="false">
      <c r="I104" s="336"/>
      <c r="J104" s="336"/>
    </row>
    <row r="108" customFormat="false" ht="14.25" hidden="false" customHeight="false" outlineLevel="0" collapsed="false">
      <c r="I108" s="336"/>
      <c r="J108" s="336"/>
    </row>
  </sheetData>
  <mergeCells count="19">
    <mergeCell ref="B6:C6"/>
    <mergeCell ref="B7:C7"/>
    <mergeCell ref="B8:C8"/>
    <mergeCell ref="B10:C10"/>
    <mergeCell ref="B11:C11"/>
    <mergeCell ref="B12:C12"/>
    <mergeCell ref="B13:C13"/>
    <mergeCell ref="B14:C14"/>
    <mergeCell ref="A20:C20"/>
    <mergeCell ref="A21:C21"/>
    <mergeCell ref="A22:C22"/>
    <mergeCell ref="A23:C23"/>
    <mergeCell ref="A24:C24"/>
    <mergeCell ref="A25:C25"/>
    <mergeCell ref="A26:C26"/>
    <mergeCell ref="A27:C27"/>
    <mergeCell ref="A28:C28"/>
    <mergeCell ref="A29:C29"/>
    <mergeCell ref="A40:C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9.14453125" defaultRowHeight="14.25" zeroHeight="false" outlineLevelRow="0" outlineLevelCol="0"/>
  <cols>
    <col collapsed="false" customWidth="false" hidden="false" outlineLevel="0" max="2" min="1" style="1" width="9.14"/>
    <col collapsed="false" customWidth="true" hidden="false" outlineLevel="0" max="3" min="3" style="1" width="15.43"/>
    <col collapsed="false" customWidth="false" hidden="false" outlineLevel="0" max="9" min="4" style="1" width="9.14"/>
    <col collapsed="false" customWidth="true" hidden="false" outlineLevel="0" max="10" min="10" style="1" width="11.57"/>
    <col collapsed="false" customWidth="false" hidden="false" outlineLevel="0" max="11" min="11" style="1" width="9.14"/>
    <col collapsed="false" customWidth="true" hidden="false" outlineLevel="0" max="12" min="12" style="1" width="9.86"/>
    <col collapsed="false" customWidth="false" hidden="false" outlineLevel="0" max="16384" min="13" style="1" width="9.14"/>
  </cols>
  <sheetData>
    <row r="1" s="6" customFormat="true" ht="20.25" hidden="false" customHeight="true" outlineLevel="0" collapsed="false">
      <c r="A1" s="120"/>
    </row>
    <row r="2" s="6" customFormat="true" ht="20.25" hidden="false" customHeight="true" outlineLevel="0" collapsed="false">
      <c r="A2" s="24" t="s">
        <v>530</v>
      </c>
      <c r="B2" s="24"/>
      <c r="C2" s="24"/>
      <c r="D2" s="24"/>
      <c r="E2" s="24"/>
      <c r="F2" s="24"/>
      <c r="G2" s="24"/>
      <c r="H2" s="24"/>
      <c r="I2" s="24"/>
      <c r="J2" s="24"/>
    </row>
    <row r="5" customFormat="false" ht="15" hidden="false" customHeight="true" outlineLevel="0" collapsed="false">
      <c r="A5" s="337" t="s">
        <v>704</v>
      </c>
      <c r="B5" s="338"/>
      <c r="C5" s="338"/>
      <c r="D5" s="338"/>
      <c r="E5" s="338"/>
      <c r="F5" s="338"/>
      <c r="G5" s="339" t="s">
        <v>652</v>
      </c>
      <c r="H5" s="339"/>
      <c r="I5" s="340"/>
      <c r="J5" s="340"/>
      <c r="L5" s="126" t="s">
        <v>628</v>
      </c>
    </row>
    <row r="6" customFormat="false" ht="15" hidden="false" customHeight="true" outlineLevel="0" collapsed="false">
      <c r="A6" s="337" t="s">
        <v>705</v>
      </c>
      <c r="B6" s="337"/>
      <c r="C6" s="337"/>
      <c r="D6" s="337"/>
      <c r="E6" s="337"/>
      <c r="F6" s="265" t="s">
        <v>586</v>
      </c>
      <c r="G6" s="341" t="s">
        <v>706</v>
      </c>
      <c r="H6" s="341"/>
      <c r="I6" s="339" t="s">
        <v>707</v>
      </c>
      <c r="J6" s="339"/>
    </row>
    <row r="7" customFormat="false" ht="15" hidden="false" customHeight="true" outlineLevel="0" collapsed="false">
      <c r="A7" s="342" t="s">
        <v>708</v>
      </c>
      <c r="B7" s="342"/>
      <c r="C7" s="342"/>
      <c r="D7" s="342"/>
      <c r="E7" s="342"/>
      <c r="F7" s="343"/>
      <c r="G7" s="344"/>
      <c r="H7" s="344"/>
      <c r="I7" s="345"/>
      <c r="J7" s="345"/>
    </row>
    <row r="8" customFormat="false" ht="15" hidden="false" customHeight="true" outlineLevel="0" collapsed="false">
      <c r="A8" s="346" t="s">
        <v>709</v>
      </c>
      <c r="B8" s="346"/>
      <c r="C8" s="346"/>
      <c r="D8" s="346"/>
      <c r="E8" s="346"/>
      <c r="F8" s="347"/>
      <c r="G8" s="348"/>
      <c r="H8" s="348"/>
      <c r="I8" s="349"/>
      <c r="J8" s="349"/>
    </row>
    <row r="9" customFormat="false" ht="15" hidden="false" customHeight="true" outlineLevel="0" collapsed="false">
      <c r="A9" s="346" t="s">
        <v>710</v>
      </c>
      <c r="B9" s="346"/>
      <c r="C9" s="346"/>
      <c r="D9" s="346"/>
      <c r="E9" s="346"/>
      <c r="F9" s="350"/>
      <c r="G9" s="351"/>
      <c r="H9" s="351"/>
      <c r="I9" s="352"/>
      <c r="J9" s="352"/>
    </row>
    <row r="10" customFormat="false" ht="15" hidden="false" customHeight="true" outlineLevel="0" collapsed="false">
      <c r="A10" s="346" t="s">
        <v>122</v>
      </c>
      <c r="B10" s="346"/>
      <c r="C10" s="346"/>
      <c r="D10" s="346"/>
      <c r="E10" s="346"/>
      <c r="F10" s="350"/>
      <c r="G10" s="348"/>
      <c r="H10" s="348"/>
      <c r="I10" s="352"/>
      <c r="J10" s="352"/>
    </row>
    <row r="11" customFormat="false" ht="15" hidden="false" customHeight="true" outlineLevel="0" collapsed="false">
      <c r="A11" s="346" t="s">
        <v>711</v>
      </c>
      <c r="B11" s="346"/>
      <c r="C11" s="346"/>
      <c r="D11" s="346"/>
      <c r="E11" s="346"/>
      <c r="F11" s="350"/>
      <c r="G11" s="348"/>
      <c r="H11" s="348"/>
      <c r="I11" s="349"/>
      <c r="J11" s="349"/>
    </row>
    <row r="12" customFormat="false" ht="15" hidden="false" customHeight="true" outlineLevel="0" collapsed="false">
      <c r="A12" s="346" t="s">
        <v>712</v>
      </c>
      <c r="B12" s="346"/>
      <c r="C12" s="346"/>
      <c r="D12" s="346"/>
      <c r="E12" s="346"/>
      <c r="F12" s="350"/>
      <c r="G12" s="348"/>
      <c r="H12" s="348"/>
      <c r="I12" s="349"/>
      <c r="J12" s="349"/>
    </row>
    <row r="13" customFormat="false" ht="15" hidden="false" customHeight="true" outlineLevel="0" collapsed="false">
      <c r="A13" s="346" t="s">
        <v>713</v>
      </c>
      <c r="B13" s="346"/>
      <c r="C13" s="346"/>
      <c r="D13" s="346"/>
      <c r="E13" s="346"/>
      <c r="F13" s="350"/>
      <c r="G13" s="348"/>
      <c r="H13" s="348"/>
      <c r="I13" s="349"/>
      <c r="J13" s="349"/>
    </row>
    <row r="14" customFormat="false" ht="15" hidden="false" customHeight="true" outlineLevel="0" collapsed="false">
      <c r="A14" s="346" t="s">
        <v>714</v>
      </c>
      <c r="B14" s="346"/>
      <c r="C14" s="346"/>
      <c r="D14" s="346"/>
      <c r="E14" s="346"/>
      <c r="F14" s="350"/>
      <c r="G14" s="348"/>
      <c r="H14" s="348"/>
      <c r="I14" s="349"/>
      <c r="J14" s="349"/>
    </row>
    <row r="15" customFormat="false" ht="15" hidden="false" customHeight="true" outlineLevel="0" collapsed="false">
      <c r="A15" s="346" t="s">
        <v>715</v>
      </c>
      <c r="B15" s="346"/>
      <c r="C15" s="346"/>
      <c r="D15" s="346"/>
      <c r="E15" s="346"/>
      <c r="F15" s="350"/>
      <c r="G15" s="348"/>
      <c r="H15" s="348"/>
      <c r="I15" s="349"/>
      <c r="J15" s="349"/>
    </row>
    <row r="16" customFormat="false" ht="15" hidden="false" customHeight="true" outlineLevel="0" collapsed="false">
      <c r="A16" s="346" t="s">
        <v>716</v>
      </c>
      <c r="B16" s="346"/>
      <c r="C16" s="346"/>
      <c r="D16" s="346"/>
      <c r="E16" s="346"/>
      <c r="F16" s="350"/>
      <c r="G16" s="351"/>
      <c r="H16" s="351"/>
      <c r="I16" s="352"/>
      <c r="J16" s="352"/>
    </row>
    <row r="17" customFormat="false" ht="15" hidden="false" customHeight="true" outlineLevel="0" collapsed="false">
      <c r="A17" s="353" t="s">
        <v>408</v>
      </c>
      <c r="B17" s="353"/>
      <c r="C17" s="353"/>
      <c r="D17" s="353"/>
      <c r="E17" s="353"/>
      <c r="F17" s="350"/>
      <c r="G17" s="348"/>
      <c r="H17" s="348"/>
      <c r="I17" s="352"/>
      <c r="J17" s="352"/>
    </row>
    <row r="18" customFormat="false" ht="15" hidden="false" customHeight="true" outlineLevel="0" collapsed="false">
      <c r="A18" s="353" t="s">
        <v>408</v>
      </c>
      <c r="B18" s="353"/>
      <c r="C18" s="353"/>
      <c r="D18" s="353"/>
      <c r="E18" s="353"/>
      <c r="F18" s="350"/>
      <c r="G18" s="348"/>
      <c r="H18" s="348"/>
      <c r="I18" s="352"/>
      <c r="J18" s="352"/>
    </row>
    <row r="19" customFormat="false" ht="15" hidden="false" customHeight="true" outlineLevel="0" collapsed="false">
      <c r="A19" s="354" t="s">
        <v>717</v>
      </c>
      <c r="B19" s="354"/>
      <c r="C19" s="354"/>
      <c r="D19" s="354"/>
      <c r="E19" s="354"/>
      <c r="F19" s="355"/>
      <c r="G19" s="356"/>
      <c r="H19" s="356"/>
      <c r="I19" s="357"/>
      <c r="J19" s="357"/>
    </row>
    <row r="20" customFormat="false" ht="15" hidden="false" customHeight="true" outlineLevel="0" collapsed="false">
      <c r="G20" s="358" t="n">
        <f aca="false">SUM(G7:H19)</f>
        <v>0</v>
      </c>
      <c r="H20" s="358"/>
      <c r="I20" s="358" t="n">
        <f aca="false">SUM(I7:J19)</f>
        <v>0</v>
      </c>
      <c r="J20" s="358"/>
    </row>
    <row r="22" customFormat="false" ht="15" hidden="false" customHeight="true" outlineLevel="0" collapsed="false">
      <c r="A22" s="359" t="s">
        <v>718</v>
      </c>
      <c r="B22" s="359"/>
      <c r="C22" s="359"/>
      <c r="D22" s="359"/>
      <c r="E22" s="360" t="n">
        <v>1</v>
      </c>
      <c r="F22" s="360"/>
      <c r="G22" s="264"/>
      <c r="H22" s="264"/>
      <c r="I22" s="264"/>
      <c r="J22" s="264"/>
    </row>
    <row r="23" customFormat="false" ht="15" hidden="false" customHeight="true" outlineLevel="0" collapsed="false">
      <c r="A23" s="361" t="s">
        <v>719</v>
      </c>
      <c r="B23" s="361"/>
      <c r="C23" s="361"/>
      <c r="D23" s="361"/>
      <c r="E23" s="339" t="s">
        <v>667</v>
      </c>
      <c r="F23" s="339"/>
      <c r="G23" s="341" t="s">
        <v>2</v>
      </c>
      <c r="H23" s="341"/>
      <c r="I23" s="339" t="s">
        <v>668</v>
      </c>
      <c r="J23" s="339"/>
    </row>
    <row r="24" customFormat="false" ht="15" hidden="false" customHeight="true" outlineLevel="0" collapsed="false">
      <c r="A24" s="342" t="s">
        <v>720</v>
      </c>
      <c r="B24" s="342"/>
      <c r="C24" s="342"/>
      <c r="D24" s="342"/>
      <c r="E24" s="362" t="n">
        <f aca="false">+G12</f>
        <v>0</v>
      </c>
      <c r="F24" s="362"/>
      <c r="G24" s="362" t="n">
        <f aca="false">IF(Index!$C$5="Yes",((E24/23*3)*$E$22),0)</f>
        <v>0</v>
      </c>
      <c r="H24" s="362"/>
      <c r="I24" s="363" t="n">
        <f aca="false">IFERROR(VALUE(E24) - VALUE(G24), 0)</f>
        <v>0</v>
      </c>
      <c r="J24" s="363"/>
    </row>
    <row r="25" customFormat="false" ht="15" hidden="false" customHeight="true" outlineLevel="0" collapsed="false">
      <c r="A25" s="346" t="s">
        <v>721</v>
      </c>
      <c r="B25" s="346"/>
      <c r="C25" s="346"/>
      <c r="D25" s="346"/>
      <c r="E25" s="364" t="n">
        <f aca="false">+G15</f>
        <v>0</v>
      </c>
      <c r="F25" s="364"/>
      <c r="G25" s="364" t="n">
        <f aca="false">IF(Index!$C$5="Yes",((E25/23*3)*$E$22),0)</f>
        <v>0</v>
      </c>
      <c r="H25" s="364"/>
      <c r="I25" s="365" t="n">
        <f aca="false">IFERROR(VALUE(E25) - VALUE(G25), 0)</f>
        <v>0</v>
      </c>
      <c r="J25" s="365"/>
    </row>
    <row r="26" customFormat="false" ht="15" hidden="false" customHeight="true" outlineLevel="0" collapsed="false">
      <c r="A26" s="353" t="s">
        <v>408</v>
      </c>
      <c r="B26" s="353"/>
      <c r="C26" s="353"/>
      <c r="D26" s="353"/>
      <c r="E26" s="348"/>
      <c r="F26" s="348"/>
      <c r="G26" s="366" t="n">
        <f aca="false">IF(Index!$C$5="Yes",((E26/23*3)*$E$22),0)</f>
        <v>0</v>
      </c>
      <c r="H26" s="366"/>
      <c r="I26" s="367" t="n">
        <f aca="false">IFERROR(VALUE(E26) - VALUE(G26), 0)</f>
        <v>0</v>
      </c>
      <c r="J26" s="367"/>
    </row>
    <row r="27" customFormat="false" ht="15" hidden="false" customHeight="true" outlineLevel="0" collapsed="false">
      <c r="A27" s="368" t="s">
        <v>408</v>
      </c>
      <c r="B27" s="368"/>
      <c r="C27" s="368"/>
      <c r="D27" s="368"/>
      <c r="E27" s="356"/>
      <c r="F27" s="356"/>
      <c r="G27" s="369" t="n">
        <f aca="false">IF(Index!$C$5="Yes",((E27/23*3)*$E$21),0)</f>
        <v>0</v>
      </c>
      <c r="H27" s="369"/>
      <c r="I27" s="370" t="n">
        <f aca="false">IFERROR(VALUE(E27) - VALUE(G27), 0)</f>
        <v>0</v>
      </c>
      <c r="J27" s="370"/>
    </row>
    <row r="28" customFormat="false" ht="15" hidden="false" customHeight="true" outlineLevel="0" collapsed="false">
      <c r="A28" s="264" t="s">
        <v>722</v>
      </c>
      <c r="G28" s="358" t="n">
        <f aca="false">SUM(G24:G27)</f>
        <v>0</v>
      </c>
      <c r="H28" s="358"/>
      <c r="I28" s="358" t="n">
        <f aca="false">SUM(I24:J27)</f>
        <v>0</v>
      </c>
      <c r="J28" s="358"/>
    </row>
    <row r="30" customFormat="false" ht="15" hidden="false" customHeight="true" outlineLevel="0" collapsed="false">
      <c r="A30" s="359" t="s">
        <v>723</v>
      </c>
      <c r="B30" s="359"/>
      <c r="C30" s="359"/>
      <c r="D30" s="359"/>
      <c r="E30" s="264"/>
      <c r="F30" s="264"/>
      <c r="G30" s="264"/>
      <c r="H30" s="264"/>
      <c r="I30" s="264"/>
      <c r="J30" s="264"/>
    </row>
    <row r="31" customFormat="false" ht="15" hidden="false" customHeight="true" outlineLevel="0" collapsed="false">
      <c r="A31" s="342" t="s">
        <v>724</v>
      </c>
      <c r="B31" s="342"/>
      <c r="C31" s="342"/>
      <c r="D31" s="342"/>
      <c r="E31" s="371"/>
      <c r="F31" s="371"/>
      <c r="G31" s="371"/>
      <c r="H31" s="371"/>
      <c r="I31" s="371"/>
      <c r="J31" s="371"/>
    </row>
    <row r="32" customFormat="false" ht="15" hidden="false" customHeight="true" outlineLevel="0" collapsed="false">
      <c r="A32" s="346" t="s">
        <v>725</v>
      </c>
      <c r="B32" s="346"/>
      <c r="C32" s="346"/>
      <c r="D32" s="346"/>
      <c r="E32" s="348"/>
      <c r="F32" s="348"/>
      <c r="G32" s="372" t="s">
        <v>726</v>
      </c>
      <c r="H32" s="372"/>
      <c r="I32" s="365" t="n">
        <f aca="false">IF(E33="",,ROUND((+E32/E33*E34),2))</f>
        <v>0</v>
      </c>
      <c r="J32" s="365"/>
    </row>
    <row r="33" customFormat="false" ht="15" hidden="false" customHeight="true" outlineLevel="0" collapsed="false">
      <c r="A33" s="346" t="s">
        <v>727</v>
      </c>
      <c r="B33" s="346"/>
      <c r="C33" s="346"/>
      <c r="D33" s="346"/>
      <c r="E33" s="348"/>
      <c r="F33" s="348"/>
      <c r="G33" s="372" t="s">
        <v>728</v>
      </c>
      <c r="H33" s="372"/>
      <c r="I33" s="365" t="n">
        <f aca="false">+I34-I32</f>
        <v>0</v>
      </c>
      <c r="J33" s="365"/>
    </row>
    <row r="34" customFormat="false" ht="15" hidden="false" customHeight="true" outlineLevel="0" collapsed="false">
      <c r="A34" s="354" t="s">
        <v>729</v>
      </c>
      <c r="B34" s="354"/>
      <c r="C34" s="354"/>
      <c r="D34" s="354"/>
      <c r="E34" s="373" t="n">
        <f aca="false">G7</f>
        <v>0</v>
      </c>
      <c r="F34" s="373"/>
      <c r="G34" s="374" t="s">
        <v>730</v>
      </c>
      <c r="H34" s="374"/>
      <c r="I34" s="375" t="n">
        <f aca="false">+E34</f>
        <v>0</v>
      </c>
      <c r="J34" s="375"/>
    </row>
    <row r="35" customFormat="false" ht="14.25" hidden="false" customHeight="false" outlineLevel="0" collapsed="false">
      <c r="A35" s="376"/>
      <c r="B35" s="376"/>
      <c r="C35" s="376"/>
      <c r="D35" s="376"/>
      <c r="E35" s="376"/>
      <c r="F35" s="376"/>
      <c r="G35" s="376"/>
      <c r="H35" s="376"/>
      <c r="I35" s="376"/>
      <c r="J35" s="376"/>
    </row>
    <row r="36" customFormat="false" ht="32.25" hidden="false" customHeight="true" outlineLevel="0" collapsed="false">
      <c r="A36" s="377" t="s">
        <v>731</v>
      </c>
      <c r="B36" s="377"/>
      <c r="C36" s="377"/>
      <c r="D36" s="377"/>
      <c r="E36" s="220" t="s">
        <v>732</v>
      </c>
      <c r="F36" s="220"/>
      <c r="G36" s="220" t="s">
        <v>733</v>
      </c>
      <c r="H36" s="220"/>
      <c r="I36" s="220" t="s">
        <v>734</v>
      </c>
      <c r="J36" s="220"/>
    </row>
    <row r="37" customFormat="false" ht="15" hidden="false" customHeight="true" outlineLevel="0" collapsed="false">
      <c r="A37" s="378" t="s">
        <v>735</v>
      </c>
      <c r="B37" s="378"/>
      <c r="C37" s="378"/>
      <c r="D37" s="378"/>
      <c r="E37" s="379" t="n">
        <f aca="false">I32</f>
        <v>0</v>
      </c>
      <c r="F37" s="379"/>
      <c r="G37" s="362" t="n">
        <f aca="false">IF($E$44=0,0,ROUND((E37/$E$44)*$I$28,2))</f>
        <v>0</v>
      </c>
      <c r="H37" s="362"/>
      <c r="I37" s="363" t="n">
        <f aca="false">E37+G37</f>
        <v>0</v>
      </c>
      <c r="J37" s="363"/>
    </row>
    <row r="38" customFormat="false" ht="15" hidden="false" customHeight="true" outlineLevel="0" collapsed="false">
      <c r="A38" s="353" t="s">
        <v>736</v>
      </c>
      <c r="B38" s="353"/>
      <c r="C38" s="353"/>
      <c r="D38" s="353"/>
      <c r="E38" s="380" t="n">
        <f aca="false">I33</f>
        <v>0</v>
      </c>
      <c r="F38" s="380"/>
      <c r="G38" s="364" t="n">
        <f aca="false">IF($E$44=0,0,ROUND((E38/$E$44)*$I$28,2))</f>
        <v>0</v>
      </c>
      <c r="H38" s="364"/>
      <c r="I38" s="365" t="n">
        <f aca="false">E38+G38</f>
        <v>0</v>
      </c>
      <c r="J38" s="365"/>
    </row>
    <row r="39" customFormat="false" ht="15" hidden="false" customHeight="true" outlineLevel="0" collapsed="false">
      <c r="A39" s="353" t="s">
        <v>392</v>
      </c>
      <c r="B39" s="353"/>
      <c r="C39" s="353"/>
      <c r="D39" s="353"/>
      <c r="E39" s="348"/>
      <c r="F39" s="348"/>
      <c r="G39" s="351"/>
      <c r="H39" s="351"/>
      <c r="I39" s="365" t="n">
        <f aca="false">E39+G39</f>
        <v>0</v>
      </c>
      <c r="J39" s="365"/>
    </row>
    <row r="40" customFormat="false" ht="15" hidden="false" customHeight="true" outlineLevel="0" collapsed="false">
      <c r="A40" s="353" t="s">
        <v>670</v>
      </c>
      <c r="B40" s="353"/>
      <c r="C40" s="353"/>
      <c r="D40" s="353"/>
      <c r="E40" s="348"/>
      <c r="F40" s="348"/>
      <c r="G40" s="351"/>
      <c r="H40" s="351"/>
      <c r="I40" s="365" t="n">
        <f aca="false">E40+G40</f>
        <v>0</v>
      </c>
      <c r="J40" s="365"/>
    </row>
    <row r="41" customFormat="false" ht="15" hidden="false" customHeight="true" outlineLevel="0" collapsed="false">
      <c r="A41" s="353" t="s">
        <v>737</v>
      </c>
      <c r="B41" s="353"/>
      <c r="C41" s="353"/>
      <c r="D41" s="353"/>
      <c r="E41" s="348"/>
      <c r="F41" s="348"/>
      <c r="G41" s="351"/>
      <c r="H41" s="351"/>
      <c r="I41" s="365" t="n">
        <f aca="false">E41+G41</f>
        <v>0</v>
      </c>
      <c r="J41" s="365"/>
    </row>
    <row r="42" customFormat="false" ht="15" hidden="false" customHeight="true" outlineLevel="0" collapsed="false">
      <c r="A42" s="353" t="s">
        <v>738</v>
      </c>
      <c r="B42" s="353"/>
      <c r="C42" s="353"/>
      <c r="D42" s="353"/>
      <c r="E42" s="348"/>
      <c r="F42" s="348"/>
      <c r="G42" s="351"/>
      <c r="H42" s="351"/>
      <c r="I42" s="365" t="n">
        <f aca="false">E42+G42</f>
        <v>0</v>
      </c>
      <c r="J42" s="365"/>
    </row>
    <row r="43" customFormat="false" ht="15" hidden="false" customHeight="true" outlineLevel="0" collapsed="false">
      <c r="A43" s="368"/>
      <c r="B43" s="368"/>
      <c r="C43" s="368"/>
      <c r="D43" s="368"/>
      <c r="E43" s="356"/>
      <c r="F43" s="356"/>
      <c r="G43" s="381"/>
      <c r="H43" s="381"/>
      <c r="I43" s="375" t="n">
        <f aca="false">E43+G43</f>
        <v>0</v>
      </c>
      <c r="J43" s="375"/>
    </row>
    <row r="44" customFormat="false" ht="15" hidden="false" customHeight="true" outlineLevel="0" collapsed="false">
      <c r="A44" s="376"/>
      <c r="B44" s="376"/>
      <c r="C44" s="376"/>
      <c r="D44" s="376"/>
      <c r="E44" s="358" t="n">
        <f aca="false">SUM(E37:F43)</f>
        <v>0</v>
      </c>
      <c r="F44" s="358"/>
      <c r="G44" s="358" t="n">
        <f aca="false">SUM(G37:H43)</f>
        <v>0</v>
      </c>
      <c r="H44" s="358"/>
      <c r="I44" s="358" t="n">
        <f aca="false">SUM(I37:J43)</f>
        <v>0</v>
      </c>
      <c r="J44" s="358"/>
    </row>
    <row r="45" customFormat="false" ht="14.25" hidden="false" customHeight="false" outlineLevel="0" collapsed="false">
      <c r="A45" s="264"/>
      <c r="B45" s="264"/>
      <c r="C45" s="264"/>
      <c r="D45" s="264"/>
      <c r="E45" s="264"/>
      <c r="F45" s="264"/>
      <c r="G45" s="264"/>
      <c r="H45" s="264"/>
      <c r="I45" s="264"/>
      <c r="J45" s="264"/>
    </row>
    <row r="46" customFormat="false" ht="14.25" hidden="false" customHeight="false" outlineLevel="0" collapsed="false">
      <c r="A46" s="376" t="s">
        <v>739</v>
      </c>
      <c r="B46" s="376"/>
      <c r="C46" s="376"/>
      <c r="D46" s="376"/>
      <c r="E46" s="376"/>
      <c r="F46" s="376"/>
      <c r="G46" s="376"/>
      <c r="H46" s="376"/>
      <c r="I46" s="376"/>
      <c r="J46" s="376"/>
    </row>
  </sheetData>
  <mergeCells count="128">
    <mergeCell ref="A2:J2"/>
    <mergeCell ref="B5:F5"/>
    <mergeCell ref="G5:H5"/>
    <mergeCell ref="I5:J5"/>
    <mergeCell ref="A6:E6"/>
    <mergeCell ref="G6:H6"/>
    <mergeCell ref="I6:J6"/>
    <mergeCell ref="A7:E7"/>
    <mergeCell ref="G7:H7"/>
    <mergeCell ref="I7:J7"/>
    <mergeCell ref="A8:E8"/>
    <mergeCell ref="G8:H8"/>
    <mergeCell ref="I8:J8"/>
    <mergeCell ref="A9:E9"/>
    <mergeCell ref="G9:H9"/>
    <mergeCell ref="I9:J9"/>
    <mergeCell ref="A10:E10"/>
    <mergeCell ref="G10:H10"/>
    <mergeCell ref="I10:J10"/>
    <mergeCell ref="A11:E11"/>
    <mergeCell ref="G11:H11"/>
    <mergeCell ref="I11:J11"/>
    <mergeCell ref="A12:E12"/>
    <mergeCell ref="G12:H12"/>
    <mergeCell ref="I12:J12"/>
    <mergeCell ref="A13:E13"/>
    <mergeCell ref="G13:H13"/>
    <mergeCell ref="I13:J13"/>
    <mergeCell ref="A14:E14"/>
    <mergeCell ref="G14:H14"/>
    <mergeCell ref="I14:J14"/>
    <mergeCell ref="A15:E15"/>
    <mergeCell ref="G15:H15"/>
    <mergeCell ref="I15:J15"/>
    <mergeCell ref="A16:E16"/>
    <mergeCell ref="G16:H16"/>
    <mergeCell ref="I16:J16"/>
    <mergeCell ref="A17:E17"/>
    <mergeCell ref="G17:H17"/>
    <mergeCell ref="I17:J17"/>
    <mergeCell ref="A18:E18"/>
    <mergeCell ref="G18:H18"/>
    <mergeCell ref="I18:J18"/>
    <mergeCell ref="A19:E19"/>
    <mergeCell ref="G19:H19"/>
    <mergeCell ref="I19:J19"/>
    <mergeCell ref="G20:H20"/>
    <mergeCell ref="I20:J20"/>
    <mergeCell ref="A22:D22"/>
    <mergeCell ref="E22:F22"/>
    <mergeCell ref="A23:D23"/>
    <mergeCell ref="E23:F23"/>
    <mergeCell ref="G23:H23"/>
    <mergeCell ref="I23:J23"/>
    <mergeCell ref="A24:D24"/>
    <mergeCell ref="E24:F24"/>
    <mergeCell ref="G24:H24"/>
    <mergeCell ref="I24:J24"/>
    <mergeCell ref="A25:D25"/>
    <mergeCell ref="E25:F25"/>
    <mergeCell ref="G25:H25"/>
    <mergeCell ref="I25:J25"/>
    <mergeCell ref="A26:D26"/>
    <mergeCell ref="E26:F26"/>
    <mergeCell ref="G26:H26"/>
    <mergeCell ref="I26:J26"/>
    <mergeCell ref="A27:D27"/>
    <mergeCell ref="E27:F27"/>
    <mergeCell ref="G27:H27"/>
    <mergeCell ref="I27:J27"/>
    <mergeCell ref="G28:H28"/>
    <mergeCell ref="I28:J28"/>
    <mergeCell ref="A30:D30"/>
    <mergeCell ref="A31:D31"/>
    <mergeCell ref="E31:J31"/>
    <mergeCell ref="A32:D32"/>
    <mergeCell ref="E32:F32"/>
    <mergeCell ref="G32:H32"/>
    <mergeCell ref="I32:J32"/>
    <mergeCell ref="A33:D33"/>
    <mergeCell ref="E33:F33"/>
    <mergeCell ref="G33:H33"/>
    <mergeCell ref="I33:J33"/>
    <mergeCell ref="A34:D34"/>
    <mergeCell ref="E34:F34"/>
    <mergeCell ref="G34:H34"/>
    <mergeCell ref="I34:J34"/>
    <mergeCell ref="A35:D35"/>
    <mergeCell ref="E35:F35"/>
    <mergeCell ref="G35:H35"/>
    <mergeCell ref="I35:J35"/>
    <mergeCell ref="A36:D36"/>
    <mergeCell ref="E36:F36"/>
    <mergeCell ref="G36:H36"/>
    <mergeCell ref="I36:J36"/>
    <mergeCell ref="A37:D37"/>
    <mergeCell ref="E37:F37"/>
    <mergeCell ref="G37:H37"/>
    <mergeCell ref="I37:J37"/>
    <mergeCell ref="A38:D38"/>
    <mergeCell ref="E38:F38"/>
    <mergeCell ref="G38:H38"/>
    <mergeCell ref="I38:J38"/>
    <mergeCell ref="A39:D39"/>
    <mergeCell ref="E39:F39"/>
    <mergeCell ref="G39:H39"/>
    <mergeCell ref="I39:J39"/>
    <mergeCell ref="A40:D40"/>
    <mergeCell ref="E40:F40"/>
    <mergeCell ref="G40:H40"/>
    <mergeCell ref="I40:J40"/>
    <mergeCell ref="A41:D41"/>
    <mergeCell ref="E41:F41"/>
    <mergeCell ref="G41:H41"/>
    <mergeCell ref="I41:J41"/>
    <mergeCell ref="A42:D42"/>
    <mergeCell ref="E42:F42"/>
    <mergeCell ref="G42:H42"/>
    <mergeCell ref="I42:J42"/>
    <mergeCell ref="A43:D43"/>
    <mergeCell ref="E43:F43"/>
    <mergeCell ref="G43:H43"/>
    <mergeCell ref="I43:J43"/>
    <mergeCell ref="A44:D44"/>
    <mergeCell ref="E44:F44"/>
    <mergeCell ref="G44:H44"/>
    <mergeCell ref="I44:J44"/>
    <mergeCell ref="A46:J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8"/>
  <sheetViews>
    <sheetView showFormulas="false" showGridLines="false" showRowColHeaders="true" showZeros="true" rightToLeft="false" tabSelected="false" showOutlineSymbols="true" defaultGridColor="true" view="normal" topLeftCell="A8" colorId="64" zoomScale="100" zoomScaleNormal="100" zoomScalePageLayoutView="100" workbookViewId="0">
      <selection pane="topLeft" activeCell="G9" activeCellId="0" sqref="G9"/>
    </sheetView>
  </sheetViews>
  <sheetFormatPr defaultColWidth="9.14453125" defaultRowHeight="14.25" zeroHeight="false" outlineLevelRow="0" outlineLevelCol="0"/>
  <cols>
    <col collapsed="false" customWidth="false" hidden="false" outlineLevel="0" max="11" min="1" style="1" width="9.14"/>
    <col collapsed="false" customWidth="true" hidden="false" outlineLevel="0" max="12" min="12" style="1" width="9.86"/>
    <col collapsed="false" customWidth="false" hidden="false" outlineLevel="0" max="16384" min="13" style="1" width="9.14"/>
  </cols>
  <sheetData>
    <row r="1" s="6" customFormat="true" ht="20.25" hidden="false" customHeight="true" outlineLevel="0" collapsed="false">
      <c r="A1" s="120"/>
    </row>
    <row r="2" s="6" customFormat="true" ht="20.25" hidden="false" customHeight="true" outlineLevel="0" collapsed="false">
      <c r="A2" s="24" t="s">
        <v>532</v>
      </c>
      <c r="B2" s="24"/>
      <c r="C2" s="24"/>
      <c r="D2" s="24"/>
      <c r="E2" s="24"/>
      <c r="F2" s="24"/>
      <c r="G2" s="24"/>
      <c r="H2" s="24"/>
      <c r="I2" s="24"/>
      <c r="J2" s="24"/>
    </row>
    <row r="3" customFormat="false" ht="14.25" hidden="false" customHeight="false" outlineLevel="0" collapsed="false">
      <c r="A3" s="376"/>
      <c r="B3" s="376"/>
      <c r="C3" s="376"/>
      <c r="D3" s="376"/>
    </row>
    <row r="4" customFormat="false" ht="15" hidden="false" customHeight="true" outlineLevel="0" collapsed="false">
      <c r="A4" s="337" t="s">
        <v>704</v>
      </c>
      <c r="B4" s="338"/>
      <c r="C4" s="338"/>
      <c r="D4" s="338"/>
      <c r="E4" s="338"/>
      <c r="F4" s="338"/>
      <c r="G4" s="339" t="s">
        <v>652</v>
      </c>
      <c r="H4" s="339"/>
      <c r="I4" s="340"/>
      <c r="J4" s="340"/>
      <c r="L4" s="126" t="s">
        <v>628</v>
      </c>
    </row>
    <row r="5" customFormat="false" ht="15" hidden="false" customHeight="true" outlineLevel="0" collapsed="false">
      <c r="A5" s="337" t="s">
        <v>705</v>
      </c>
      <c r="B5" s="337"/>
      <c r="C5" s="337"/>
      <c r="D5" s="337"/>
      <c r="E5" s="337"/>
      <c r="F5" s="339" t="s">
        <v>586</v>
      </c>
      <c r="G5" s="341" t="s">
        <v>706</v>
      </c>
      <c r="H5" s="341"/>
      <c r="I5" s="339" t="s">
        <v>707</v>
      </c>
      <c r="J5" s="339"/>
    </row>
    <row r="6" customFormat="false" ht="15" hidden="false" customHeight="true" outlineLevel="0" collapsed="false">
      <c r="A6" s="342" t="s">
        <v>740</v>
      </c>
      <c r="B6" s="342"/>
      <c r="C6" s="342"/>
      <c r="D6" s="342"/>
      <c r="E6" s="342"/>
      <c r="F6" s="382"/>
      <c r="G6" s="383"/>
      <c r="H6" s="383"/>
      <c r="I6" s="384"/>
      <c r="J6" s="384"/>
    </row>
    <row r="7" customFormat="false" ht="15" hidden="false" customHeight="true" outlineLevel="0" collapsed="false">
      <c r="A7" s="346" t="s">
        <v>741</v>
      </c>
      <c r="B7" s="346"/>
      <c r="C7" s="346"/>
      <c r="D7" s="346"/>
      <c r="E7" s="346"/>
      <c r="F7" s="385"/>
      <c r="G7" s="351"/>
      <c r="H7" s="351"/>
      <c r="I7" s="352"/>
      <c r="J7" s="352"/>
    </row>
    <row r="8" customFormat="false" ht="15" hidden="false" customHeight="true" outlineLevel="0" collapsed="false">
      <c r="A8" s="346" t="s">
        <v>710</v>
      </c>
      <c r="B8" s="346"/>
      <c r="C8" s="346"/>
      <c r="D8" s="346"/>
      <c r="E8" s="346"/>
      <c r="F8" s="385"/>
      <c r="G8" s="348"/>
      <c r="H8" s="348"/>
      <c r="I8" s="349"/>
      <c r="J8" s="349"/>
    </row>
    <row r="9" customFormat="false" ht="15" hidden="false" customHeight="true" outlineLevel="0" collapsed="false">
      <c r="A9" s="346" t="s">
        <v>742</v>
      </c>
      <c r="B9" s="346"/>
      <c r="C9" s="346"/>
      <c r="D9" s="346"/>
      <c r="E9" s="346"/>
      <c r="F9" s="385"/>
      <c r="G9" s="348"/>
      <c r="H9" s="348"/>
      <c r="I9" s="349"/>
      <c r="J9" s="349"/>
    </row>
    <row r="10" customFormat="false" ht="15" hidden="false" customHeight="true" outlineLevel="0" collapsed="false">
      <c r="A10" s="346" t="s">
        <v>122</v>
      </c>
      <c r="B10" s="346"/>
      <c r="C10" s="346"/>
      <c r="D10" s="346"/>
      <c r="E10" s="346"/>
      <c r="F10" s="385"/>
      <c r="G10" s="348"/>
      <c r="H10" s="348"/>
      <c r="I10" s="352"/>
      <c r="J10" s="352"/>
    </row>
    <row r="11" customFormat="false" ht="15" hidden="false" customHeight="true" outlineLevel="0" collapsed="false">
      <c r="A11" s="346" t="s">
        <v>711</v>
      </c>
      <c r="B11" s="346"/>
      <c r="C11" s="346"/>
      <c r="D11" s="346"/>
      <c r="E11" s="346"/>
      <c r="F11" s="385"/>
      <c r="G11" s="348"/>
      <c r="H11" s="348"/>
      <c r="I11" s="349"/>
      <c r="J11" s="349"/>
    </row>
    <row r="12" customFormat="false" ht="15" hidden="false" customHeight="true" outlineLevel="0" collapsed="false">
      <c r="A12" s="346" t="s">
        <v>743</v>
      </c>
      <c r="B12" s="346"/>
      <c r="C12" s="346"/>
      <c r="D12" s="346"/>
      <c r="E12" s="346"/>
      <c r="F12" s="385"/>
      <c r="G12" s="348"/>
      <c r="H12" s="348"/>
      <c r="I12" s="349"/>
      <c r="J12" s="349"/>
    </row>
    <row r="13" customFormat="false" ht="15" hidden="false" customHeight="true" outlineLevel="0" collapsed="false">
      <c r="A13" s="346" t="s">
        <v>713</v>
      </c>
      <c r="B13" s="346"/>
      <c r="C13" s="346"/>
      <c r="D13" s="346"/>
      <c r="E13" s="346"/>
      <c r="F13" s="385"/>
      <c r="G13" s="348"/>
      <c r="H13" s="348"/>
      <c r="I13" s="349"/>
      <c r="J13" s="349"/>
    </row>
    <row r="14" customFormat="false" ht="15" hidden="false" customHeight="true" outlineLevel="0" collapsed="false">
      <c r="A14" s="346" t="s">
        <v>714</v>
      </c>
      <c r="B14" s="346"/>
      <c r="C14" s="346"/>
      <c r="D14" s="346"/>
      <c r="E14" s="346"/>
      <c r="F14" s="385"/>
      <c r="G14" s="348"/>
      <c r="H14" s="348"/>
      <c r="I14" s="349"/>
      <c r="J14" s="349"/>
    </row>
    <row r="15" customFormat="false" ht="15" hidden="false" customHeight="true" outlineLevel="0" collapsed="false">
      <c r="A15" s="346" t="s">
        <v>744</v>
      </c>
      <c r="B15" s="346"/>
      <c r="C15" s="346"/>
      <c r="D15" s="346"/>
      <c r="E15" s="346"/>
      <c r="F15" s="385"/>
      <c r="G15" s="348"/>
      <c r="H15" s="348"/>
      <c r="I15" s="349"/>
      <c r="J15" s="349"/>
    </row>
    <row r="16" customFormat="false" ht="15" hidden="false" customHeight="true" outlineLevel="0" collapsed="false">
      <c r="A16" s="346" t="s">
        <v>716</v>
      </c>
      <c r="B16" s="346"/>
      <c r="C16" s="346"/>
      <c r="D16" s="346"/>
      <c r="E16" s="346"/>
      <c r="F16" s="385"/>
      <c r="G16" s="348"/>
      <c r="H16" s="348"/>
      <c r="I16" s="349"/>
      <c r="J16" s="349"/>
    </row>
    <row r="17" customFormat="false" ht="15" hidden="false" customHeight="true" outlineLevel="0" collapsed="false">
      <c r="A17" s="353" t="s">
        <v>408</v>
      </c>
      <c r="B17" s="353"/>
      <c r="C17" s="353"/>
      <c r="D17" s="353"/>
      <c r="E17" s="353"/>
      <c r="F17" s="385"/>
      <c r="G17" s="348"/>
      <c r="H17" s="348"/>
      <c r="I17" s="352"/>
      <c r="J17" s="352"/>
    </row>
    <row r="18" customFormat="false" ht="15" hidden="false" customHeight="true" outlineLevel="0" collapsed="false">
      <c r="A18" s="354" t="s">
        <v>717</v>
      </c>
      <c r="B18" s="354"/>
      <c r="C18" s="354"/>
      <c r="D18" s="354"/>
      <c r="E18" s="354"/>
      <c r="F18" s="386"/>
      <c r="G18" s="356"/>
      <c r="H18" s="356"/>
      <c r="I18" s="357"/>
      <c r="J18" s="357"/>
    </row>
    <row r="19" customFormat="false" ht="15" hidden="false" customHeight="true" outlineLevel="0" collapsed="false">
      <c r="G19" s="358" t="n">
        <f aca="false">SUM(G6:H18)</f>
        <v>0</v>
      </c>
      <c r="H19" s="358"/>
      <c r="I19" s="358" t="n">
        <f aca="false">SUM(I6:J18)</f>
        <v>0</v>
      </c>
      <c r="J19" s="358"/>
    </row>
    <row r="21" customFormat="false" ht="15" hidden="false" customHeight="true" outlineLevel="0" collapsed="false">
      <c r="A21" s="359" t="s">
        <v>718</v>
      </c>
      <c r="B21" s="359"/>
      <c r="C21" s="359"/>
      <c r="D21" s="359"/>
      <c r="E21" s="360" t="n">
        <v>1</v>
      </c>
      <c r="F21" s="360"/>
      <c r="G21" s="264"/>
      <c r="H21" s="264"/>
      <c r="I21" s="264"/>
      <c r="J21" s="264"/>
    </row>
    <row r="22" customFormat="false" ht="15" hidden="false" customHeight="true" outlineLevel="0" collapsed="false">
      <c r="A22" s="361" t="s">
        <v>745</v>
      </c>
      <c r="B22" s="361"/>
      <c r="C22" s="361"/>
      <c r="D22" s="361"/>
      <c r="E22" s="339" t="s">
        <v>667</v>
      </c>
      <c r="F22" s="339"/>
      <c r="G22" s="341" t="s">
        <v>2</v>
      </c>
      <c r="H22" s="341"/>
      <c r="I22" s="339" t="s">
        <v>668</v>
      </c>
      <c r="J22" s="339"/>
    </row>
    <row r="23" customFormat="false" ht="15" hidden="false" customHeight="true" outlineLevel="0" collapsed="false">
      <c r="A23" s="342" t="s">
        <v>75</v>
      </c>
      <c r="B23" s="342"/>
      <c r="C23" s="342"/>
      <c r="D23" s="342"/>
      <c r="E23" s="362" t="n">
        <f aca="false">+G9</f>
        <v>0</v>
      </c>
      <c r="F23" s="362"/>
      <c r="G23" s="362" t="n">
        <f aca="false">IF(Index!$C$5="Yes",((E23/23*3)*$E$21),0)</f>
        <v>0</v>
      </c>
      <c r="H23" s="362"/>
      <c r="I23" s="363" t="n">
        <f aca="false">E23-G23</f>
        <v>0</v>
      </c>
      <c r="J23" s="363"/>
    </row>
    <row r="24" customFormat="false" ht="15" hidden="false" customHeight="true" outlineLevel="0" collapsed="false">
      <c r="A24" s="346" t="s">
        <v>746</v>
      </c>
      <c r="B24" s="346"/>
      <c r="C24" s="346"/>
      <c r="D24" s="346"/>
      <c r="E24" s="364" t="n">
        <f aca="false">+G12</f>
        <v>0</v>
      </c>
      <c r="F24" s="364"/>
      <c r="G24" s="364" t="n">
        <f aca="false">IF(Index!$C$5="Yes",((E24/23*3)*$E$21),0)</f>
        <v>0</v>
      </c>
      <c r="H24" s="364"/>
      <c r="I24" s="365" t="n">
        <f aca="false">E24-G24</f>
        <v>0</v>
      </c>
      <c r="J24" s="365"/>
    </row>
    <row r="25" customFormat="false" ht="15" hidden="false" customHeight="true" outlineLevel="0" collapsed="false">
      <c r="A25" s="387" t="s">
        <v>747</v>
      </c>
      <c r="B25" s="387"/>
      <c r="C25" s="387"/>
      <c r="D25" s="387"/>
      <c r="E25" s="348"/>
      <c r="F25" s="348"/>
      <c r="G25" s="364" t="n">
        <f aca="false">IF(Index!$C$5="Yes",((E25/23*3)*$E$21),0)</f>
        <v>0</v>
      </c>
      <c r="H25" s="364"/>
      <c r="I25" s="365" t="n">
        <f aca="false">E25-G25</f>
        <v>0</v>
      </c>
      <c r="J25" s="365"/>
    </row>
    <row r="26" customFormat="false" ht="15" hidden="false" customHeight="true" outlineLevel="0" collapsed="false">
      <c r="A26" s="368" t="s">
        <v>408</v>
      </c>
      <c r="B26" s="368"/>
      <c r="C26" s="368"/>
      <c r="D26" s="368"/>
      <c r="E26" s="356"/>
      <c r="F26" s="356"/>
      <c r="G26" s="369" t="n">
        <f aca="false">IF(Index!$C$5="Yes",((E26/23*3)*$E$21),0)</f>
        <v>0</v>
      </c>
      <c r="H26" s="369"/>
      <c r="I26" s="370" t="n">
        <f aca="false">E26-G26</f>
        <v>0</v>
      </c>
      <c r="J26" s="370"/>
    </row>
    <row r="27" customFormat="false" ht="15" hidden="false" customHeight="true" outlineLevel="0" collapsed="false">
      <c r="A27" s="264" t="s">
        <v>748</v>
      </c>
      <c r="G27" s="358" t="n">
        <f aca="false">SUM(G23:G26)</f>
        <v>0</v>
      </c>
      <c r="H27" s="358"/>
      <c r="I27" s="358" t="n">
        <f aca="false">SUM(I23:J26)</f>
        <v>0</v>
      </c>
      <c r="J27" s="358"/>
    </row>
    <row r="29" customFormat="false" ht="15" hidden="false" customHeight="true" outlineLevel="0" collapsed="false">
      <c r="A29" s="359" t="s">
        <v>723</v>
      </c>
      <c r="B29" s="359"/>
      <c r="C29" s="359"/>
      <c r="D29" s="359"/>
      <c r="E29" s="264"/>
      <c r="F29" s="264"/>
      <c r="G29" s="264"/>
      <c r="H29" s="264"/>
      <c r="I29" s="264"/>
      <c r="J29" s="264"/>
    </row>
    <row r="30" customFormat="false" ht="15" hidden="false" customHeight="true" outlineLevel="0" collapsed="false">
      <c r="A30" s="342" t="s">
        <v>749</v>
      </c>
      <c r="B30" s="342"/>
      <c r="C30" s="342"/>
      <c r="D30" s="342"/>
      <c r="E30" s="371"/>
      <c r="F30" s="371"/>
      <c r="G30" s="371"/>
      <c r="H30" s="371"/>
      <c r="I30" s="371"/>
      <c r="J30" s="371"/>
    </row>
    <row r="31" customFormat="false" ht="15" hidden="false" customHeight="true" outlineLevel="0" collapsed="false">
      <c r="A31" s="346" t="s">
        <v>725</v>
      </c>
      <c r="B31" s="346"/>
      <c r="C31" s="346"/>
      <c r="D31" s="346"/>
      <c r="E31" s="348"/>
      <c r="F31" s="348"/>
      <c r="G31" s="372" t="s">
        <v>726</v>
      </c>
      <c r="H31" s="372"/>
      <c r="I31" s="365" t="n">
        <f aca="false">IF(E32="",,ROUND((+E31/E32*E33),2))</f>
        <v>0</v>
      </c>
      <c r="J31" s="365"/>
    </row>
    <row r="32" customFormat="false" ht="15" hidden="false" customHeight="true" outlineLevel="0" collapsed="false">
      <c r="A32" s="346" t="s">
        <v>727</v>
      </c>
      <c r="B32" s="346"/>
      <c r="C32" s="346"/>
      <c r="D32" s="346"/>
      <c r="E32" s="348"/>
      <c r="F32" s="348"/>
      <c r="G32" s="372" t="s">
        <v>728</v>
      </c>
      <c r="H32" s="372"/>
      <c r="I32" s="365" t="n">
        <f aca="false">+I33-I31</f>
        <v>0</v>
      </c>
      <c r="J32" s="365"/>
    </row>
    <row r="33" customFormat="false" ht="15" hidden="false" customHeight="true" outlineLevel="0" collapsed="false">
      <c r="A33" s="354" t="s">
        <v>729</v>
      </c>
      <c r="B33" s="354"/>
      <c r="C33" s="354"/>
      <c r="D33" s="354"/>
      <c r="E33" s="373" t="n">
        <f aca="false">I27</f>
        <v>0</v>
      </c>
      <c r="F33" s="373"/>
      <c r="G33" s="374" t="s">
        <v>730</v>
      </c>
      <c r="H33" s="374"/>
      <c r="I33" s="375" t="n">
        <f aca="false">+E33</f>
        <v>0</v>
      </c>
      <c r="J33" s="375"/>
    </row>
    <row r="34" customFormat="false" ht="14.25" hidden="false" customHeight="false" outlineLevel="0" collapsed="false">
      <c r="A34" s="376"/>
      <c r="B34" s="376"/>
      <c r="C34" s="376"/>
      <c r="D34" s="376"/>
      <c r="E34" s="376"/>
      <c r="F34" s="376"/>
      <c r="G34" s="376"/>
      <c r="H34" s="376"/>
      <c r="I34" s="376"/>
      <c r="J34" s="376"/>
    </row>
    <row r="35" customFormat="false" ht="26.25" hidden="false" customHeight="true" outlineLevel="0" collapsed="false">
      <c r="A35" s="377" t="s">
        <v>750</v>
      </c>
      <c r="B35" s="377"/>
      <c r="C35" s="377"/>
      <c r="D35" s="377"/>
      <c r="E35" s="220" t="s">
        <v>751</v>
      </c>
      <c r="F35" s="220"/>
      <c r="G35" s="220" t="s">
        <v>752</v>
      </c>
      <c r="H35" s="220"/>
      <c r="I35" s="220" t="s">
        <v>734</v>
      </c>
      <c r="J35" s="220"/>
    </row>
    <row r="36" customFormat="false" ht="15" hidden="false" customHeight="true" outlineLevel="0" collapsed="false">
      <c r="A36" s="378" t="s">
        <v>735</v>
      </c>
      <c r="B36" s="378"/>
      <c r="C36" s="378"/>
      <c r="D36" s="378"/>
      <c r="E36" s="379" t="n">
        <f aca="false">I31</f>
        <v>0</v>
      </c>
      <c r="F36" s="379"/>
      <c r="G36" s="362" t="n">
        <f aca="false">IF($E$43=0,0,ROUND((E36/$E$43)*$I$27,2))</f>
        <v>0</v>
      </c>
      <c r="H36" s="362"/>
      <c r="I36" s="363" t="n">
        <f aca="false">E36-G36</f>
        <v>0</v>
      </c>
      <c r="J36" s="363"/>
    </row>
    <row r="37" customFormat="false" ht="15" hidden="false" customHeight="true" outlineLevel="0" collapsed="false">
      <c r="A37" s="353" t="s">
        <v>736</v>
      </c>
      <c r="B37" s="353"/>
      <c r="C37" s="353"/>
      <c r="D37" s="353"/>
      <c r="E37" s="388" t="n">
        <f aca="false">I32-E41</f>
        <v>0</v>
      </c>
      <c r="F37" s="388"/>
      <c r="G37" s="364" t="n">
        <f aca="false">IF($E$43=0,0,ROUND((E37/$E$43)*$I$27,2))</f>
        <v>0</v>
      </c>
      <c r="H37" s="364"/>
      <c r="I37" s="365" t="n">
        <f aca="false">E37-G37</f>
        <v>0</v>
      </c>
      <c r="J37" s="365"/>
    </row>
    <row r="38" customFormat="false" ht="15" hidden="false" customHeight="true" outlineLevel="0" collapsed="false">
      <c r="A38" s="353" t="s">
        <v>392</v>
      </c>
      <c r="B38" s="353"/>
      <c r="C38" s="353"/>
      <c r="D38" s="353"/>
      <c r="E38" s="348"/>
      <c r="F38" s="348"/>
      <c r="G38" s="351"/>
      <c r="H38" s="351"/>
      <c r="I38" s="365" t="n">
        <f aca="false">E38-G38</f>
        <v>0</v>
      </c>
      <c r="J38" s="365"/>
    </row>
    <row r="39" customFormat="false" ht="15" hidden="false" customHeight="true" outlineLevel="0" collapsed="false">
      <c r="A39" s="353" t="s">
        <v>670</v>
      </c>
      <c r="B39" s="353"/>
      <c r="C39" s="353"/>
      <c r="D39" s="353"/>
      <c r="E39" s="348"/>
      <c r="F39" s="348"/>
      <c r="G39" s="351"/>
      <c r="H39" s="351"/>
      <c r="I39" s="365" t="n">
        <f aca="false">E39-G39</f>
        <v>0</v>
      </c>
      <c r="J39" s="365"/>
    </row>
    <row r="40" customFormat="false" ht="15" hidden="false" customHeight="true" outlineLevel="0" collapsed="false">
      <c r="A40" s="353" t="s">
        <v>737</v>
      </c>
      <c r="B40" s="353"/>
      <c r="C40" s="353"/>
      <c r="D40" s="353"/>
      <c r="E40" s="348"/>
      <c r="F40" s="348"/>
      <c r="G40" s="351"/>
      <c r="H40" s="351"/>
      <c r="I40" s="365" t="n">
        <f aca="false">E40-G40</f>
        <v>0</v>
      </c>
      <c r="J40" s="365"/>
    </row>
    <row r="41" customFormat="false" ht="15" hidden="false" customHeight="true" outlineLevel="0" collapsed="false">
      <c r="A41" s="353" t="s">
        <v>738</v>
      </c>
      <c r="B41" s="353"/>
      <c r="C41" s="353"/>
      <c r="D41" s="353"/>
      <c r="E41" s="348"/>
      <c r="F41" s="348"/>
      <c r="G41" s="351"/>
      <c r="H41" s="351"/>
      <c r="I41" s="365" t="n">
        <f aca="false">E41-G41</f>
        <v>0</v>
      </c>
      <c r="J41" s="365"/>
    </row>
    <row r="42" customFormat="false" ht="15" hidden="false" customHeight="true" outlineLevel="0" collapsed="false">
      <c r="A42" s="368"/>
      <c r="B42" s="368"/>
      <c r="C42" s="368"/>
      <c r="D42" s="368"/>
      <c r="E42" s="356"/>
      <c r="F42" s="356"/>
      <c r="G42" s="381"/>
      <c r="H42" s="381"/>
      <c r="I42" s="375" t="n">
        <f aca="false">E42-G42</f>
        <v>0</v>
      </c>
      <c r="J42" s="375"/>
    </row>
    <row r="43" customFormat="false" ht="15" hidden="false" customHeight="true" outlineLevel="0" collapsed="false">
      <c r="A43" s="376"/>
      <c r="B43" s="376"/>
      <c r="C43" s="376"/>
      <c r="D43" s="376"/>
      <c r="E43" s="358" t="n">
        <f aca="false">SUM(E36:F42)</f>
        <v>0</v>
      </c>
      <c r="F43" s="358"/>
      <c r="G43" s="358" t="n">
        <f aca="false">SUM(G36:H42)</f>
        <v>0</v>
      </c>
      <c r="H43" s="358"/>
      <c r="I43" s="358" t="n">
        <f aca="false">SUM(I36:J42)</f>
        <v>0</v>
      </c>
      <c r="J43" s="358"/>
    </row>
    <row r="44" customFormat="false" ht="14.25" hidden="false" customHeight="false" outlineLevel="0" collapsed="false">
      <c r="A44" s="264"/>
      <c r="B44" s="264"/>
      <c r="C44" s="264"/>
      <c r="D44" s="264"/>
      <c r="E44" s="264"/>
      <c r="F44" s="264"/>
      <c r="G44" s="264"/>
      <c r="H44" s="264"/>
      <c r="I44" s="264"/>
      <c r="J44" s="264"/>
    </row>
    <row r="45" customFormat="false" ht="14.25" hidden="false" customHeight="false" outlineLevel="0" collapsed="false">
      <c r="A45" s="376" t="s">
        <v>739</v>
      </c>
      <c r="B45" s="376"/>
      <c r="C45" s="376"/>
      <c r="D45" s="376"/>
      <c r="E45" s="376"/>
      <c r="F45" s="376"/>
      <c r="G45" s="376"/>
      <c r="H45" s="376"/>
      <c r="I45" s="376"/>
      <c r="J45" s="376"/>
    </row>
    <row r="46" customFormat="false" ht="14.25" hidden="false" customHeight="false" outlineLevel="0" collapsed="false">
      <c r="A46" s="376"/>
      <c r="B46" s="376"/>
      <c r="C46" s="376"/>
      <c r="D46" s="376"/>
    </row>
    <row r="47" customFormat="false" ht="14.25" hidden="false" customHeight="false" outlineLevel="0" collapsed="false">
      <c r="A47" s="376"/>
      <c r="B47" s="376"/>
      <c r="C47" s="376"/>
      <c r="D47" s="376"/>
    </row>
    <row r="48" customFormat="false" ht="14.25" hidden="false" customHeight="false" outlineLevel="0" collapsed="false">
      <c r="A48" s="376"/>
      <c r="B48" s="376"/>
      <c r="C48" s="376"/>
      <c r="D48" s="376"/>
    </row>
  </sheetData>
  <mergeCells count="132">
    <mergeCell ref="A2:J2"/>
    <mergeCell ref="A3:D3"/>
    <mergeCell ref="B4:F4"/>
    <mergeCell ref="G4:H4"/>
    <mergeCell ref="I4:J4"/>
    <mergeCell ref="A5:E5"/>
    <mergeCell ref="G5:H5"/>
    <mergeCell ref="I5:J5"/>
    <mergeCell ref="A6:E6"/>
    <mergeCell ref="G6:H6"/>
    <mergeCell ref="I6:J6"/>
    <mergeCell ref="A7:E7"/>
    <mergeCell ref="G7:H7"/>
    <mergeCell ref="I7:J7"/>
    <mergeCell ref="A8:E8"/>
    <mergeCell ref="G8:H8"/>
    <mergeCell ref="I8:J8"/>
    <mergeCell ref="A9:E9"/>
    <mergeCell ref="G9:H9"/>
    <mergeCell ref="I9:J9"/>
    <mergeCell ref="A10:E10"/>
    <mergeCell ref="G10:H10"/>
    <mergeCell ref="I10:J10"/>
    <mergeCell ref="A11:E11"/>
    <mergeCell ref="G11:H11"/>
    <mergeCell ref="I11:J11"/>
    <mergeCell ref="A12:E12"/>
    <mergeCell ref="G12:H12"/>
    <mergeCell ref="I12:J12"/>
    <mergeCell ref="A13:E13"/>
    <mergeCell ref="G13:H13"/>
    <mergeCell ref="I13:J13"/>
    <mergeCell ref="A14:E14"/>
    <mergeCell ref="G14:H14"/>
    <mergeCell ref="I14:J14"/>
    <mergeCell ref="A15:E15"/>
    <mergeCell ref="G15:H15"/>
    <mergeCell ref="I15:J15"/>
    <mergeCell ref="A16:E16"/>
    <mergeCell ref="G16:H16"/>
    <mergeCell ref="I16:J16"/>
    <mergeCell ref="A17:E17"/>
    <mergeCell ref="G17:H17"/>
    <mergeCell ref="I17:J17"/>
    <mergeCell ref="A18:E18"/>
    <mergeCell ref="G18:H18"/>
    <mergeCell ref="I18:J18"/>
    <mergeCell ref="G19:H19"/>
    <mergeCell ref="I19:J19"/>
    <mergeCell ref="A21:D21"/>
    <mergeCell ref="E21:F21"/>
    <mergeCell ref="A22:D22"/>
    <mergeCell ref="E22:F22"/>
    <mergeCell ref="G22:H22"/>
    <mergeCell ref="I22:J22"/>
    <mergeCell ref="A23:D23"/>
    <mergeCell ref="E23:F23"/>
    <mergeCell ref="G23:H23"/>
    <mergeCell ref="I23:J23"/>
    <mergeCell ref="A24:D24"/>
    <mergeCell ref="E24:F24"/>
    <mergeCell ref="G24:H24"/>
    <mergeCell ref="I24:J24"/>
    <mergeCell ref="A25:D25"/>
    <mergeCell ref="E25:F25"/>
    <mergeCell ref="G25:H25"/>
    <mergeCell ref="I25:J25"/>
    <mergeCell ref="A26:D26"/>
    <mergeCell ref="E26:F26"/>
    <mergeCell ref="G26:H26"/>
    <mergeCell ref="I26:J26"/>
    <mergeCell ref="G27:H27"/>
    <mergeCell ref="I27:J27"/>
    <mergeCell ref="A29:D29"/>
    <mergeCell ref="A30:D30"/>
    <mergeCell ref="E30:J30"/>
    <mergeCell ref="A31:D31"/>
    <mergeCell ref="E31:F31"/>
    <mergeCell ref="G31:H31"/>
    <mergeCell ref="I31:J31"/>
    <mergeCell ref="A32:D32"/>
    <mergeCell ref="E32:F32"/>
    <mergeCell ref="G32:H32"/>
    <mergeCell ref="I32:J32"/>
    <mergeCell ref="A33:D33"/>
    <mergeCell ref="E33:F33"/>
    <mergeCell ref="G33:H33"/>
    <mergeCell ref="I33:J33"/>
    <mergeCell ref="A34:D34"/>
    <mergeCell ref="E34:F34"/>
    <mergeCell ref="G34:H34"/>
    <mergeCell ref="I34:J34"/>
    <mergeCell ref="A35:D35"/>
    <mergeCell ref="E35:F35"/>
    <mergeCell ref="G35:H35"/>
    <mergeCell ref="I35:J35"/>
    <mergeCell ref="A36:D36"/>
    <mergeCell ref="E36:F36"/>
    <mergeCell ref="G36:H36"/>
    <mergeCell ref="I36:J36"/>
    <mergeCell ref="A37:D37"/>
    <mergeCell ref="E37:F37"/>
    <mergeCell ref="G37:H37"/>
    <mergeCell ref="I37:J37"/>
    <mergeCell ref="A38:D38"/>
    <mergeCell ref="E38:F38"/>
    <mergeCell ref="G38:H38"/>
    <mergeCell ref="I38:J38"/>
    <mergeCell ref="A39:D39"/>
    <mergeCell ref="E39:F39"/>
    <mergeCell ref="G39:H39"/>
    <mergeCell ref="I39:J39"/>
    <mergeCell ref="A40:D40"/>
    <mergeCell ref="E40:F40"/>
    <mergeCell ref="G40:H40"/>
    <mergeCell ref="I40:J40"/>
    <mergeCell ref="A41:D41"/>
    <mergeCell ref="E41:F41"/>
    <mergeCell ref="G41:H41"/>
    <mergeCell ref="I41:J41"/>
    <mergeCell ref="A42:D42"/>
    <mergeCell ref="E42:F42"/>
    <mergeCell ref="G42:H42"/>
    <mergeCell ref="I42:J42"/>
    <mergeCell ref="A43:D43"/>
    <mergeCell ref="E43:F43"/>
    <mergeCell ref="G43:H43"/>
    <mergeCell ref="I43:J43"/>
    <mergeCell ref="A45:J45"/>
    <mergeCell ref="A46:D46"/>
    <mergeCell ref="A47:D47"/>
    <mergeCell ref="A48:D4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7" activeCellId="0" sqref="M7"/>
    </sheetView>
  </sheetViews>
  <sheetFormatPr defaultColWidth="9.14453125" defaultRowHeight="15" zeroHeight="false" outlineLevelRow="0" outlineLevelCol="0"/>
  <cols>
    <col collapsed="false" customWidth="false" hidden="false" outlineLevel="0" max="8" min="1" style="389" width="9.14"/>
    <col collapsed="false" customWidth="true" hidden="false" outlineLevel="0" max="9" min="9" style="389" width="13.71"/>
    <col collapsed="false" customWidth="true" hidden="false" outlineLevel="0" max="10" min="10" style="389" width="17.29"/>
    <col collapsed="false" customWidth="true" hidden="false" outlineLevel="0" max="11" min="11" style="389" width="3.43"/>
    <col collapsed="false" customWidth="true" hidden="false" outlineLevel="0" max="12" min="12" style="389" width="11.72"/>
    <col collapsed="false" customWidth="true" hidden="false" outlineLevel="0" max="13" min="13" style="389" width="86.86"/>
    <col collapsed="false" customWidth="false" hidden="false" outlineLevel="0" max="16384" min="14" style="389" width="9.14"/>
  </cols>
  <sheetData>
    <row r="1" customFormat="false" ht="19.7" hidden="false" customHeight="false" outlineLevel="0" collapsed="false">
      <c r="A1" s="54"/>
      <c r="B1" s="23"/>
      <c r="C1" s="23"/>
      <c r="D1" s="23"/>
      <c r="E1" s="23"/>
      <c r="F1" s="23"/>
      <c r="G1" s="23"/>
      <c r="H1" s="23"/>
      <c r="I1" s="23"/>
      <c r="J1" s="23"/>
      <c r="K1" s="23"/>
      <c r="L1" s="23"/>
    </row>
    <row r="2" customFormat="false" ht="19.7" hidden="false" customHeight="false" outlineLevel="0" collapsed="false">
      <c r="A2" s="24" t="s">
        <v>534</v>
      </c>
      <c r="B2" s="24"/>
      <c r="C2" s="24"/>
      <c r="D2" s="24"/>
      <c r="E2" s="24"/>
      <c r="F2" s="24"/>
      <c r="G2" s="24"/>
      <c r="H2" s="24"/>
      <c r="I2" s="24"/>
      <c r="J2" s="24"/>
      <c r="K2" s="23"/>
      <c r="L2" s="23"/>
    </row>
    <row r="3" customFormat="false" ht="15" hidden="false" customHeight="false" outlineLevel="0" collapsed="false">
      <c r="A3" s="51"/>
      <c r="B3" s="51"/>
      <c r="C3" s="51"/>
      <c r="D3" s="51"/>
      <c r="E3" s="51"/>
      <c r="F3" s="51"/>
      <c r="G3" s="51"/>
      <c r="H3" s="51"/>
      <c r="I3" s="51"/>
      <c r="J3" s="51"/>
      <c r="K3" s="51"/>
      <c r="L3" s="51"/>
    </row>
    <row r="4" customFormat="false" ht="15" hidden="false" customHeight="false" outlineLevel="0" collapsed="false">
      <c r="A4" s="51" t="s">
        <v>753</v>
      </c>
      <c r="B4" s="51"/>
      <c r="C4" s="51"/>
      <c r="D4" s="51"/>
      <c r="E4" s="51"/>
      <c r="F4" s="51"/>
      <c r="G4" s="51"/>
      <c r="H4" s="51"/>
      <c r="I4" s="51"/>
      <c r="J4" s="51"/>
      <c r="K4" s="51"/>
      <c r="L4" s="51"/>
    </row>
    <row r="5" customFormat="false" ht="99" hidden="false" customHeight="true" outlineLevel="0" collapsed="false">
      <c r="A5" s="390" t="s">
        <v>647</v>
      </c>
      <c r="B5" s="390"/>
      <c r="C5" s="391" t="s">
        <v>754</v>
      </c>
      <c r="D5" s="391"/>
      <c r="E5" s="391"/>
      <c r="F5" s="51"/>
      <c r="G5" s="390" t="s">
        <v>755</v>
      </c>
      <c r="H5" s="390"/>
      <c r="I5" s="392" t="s">
        <v>756</v>
      </c>
      <c r="J5" s="392"/>
      <c r="K5" s="51"/>
      <c r="L5" s="161" t="s">
        <v>628</v>
      </c>
      <c r="M5" s="393" t="s">
        <v>757</v>
      </c>
    </row>
    <row r="6" customFormat="false" ht="99.75" hidden="false" customHeight="true" outlineLevel="0" collapsed="false">
      <c r="A6" s="394" t="s">
        <v>12</v>
      </c>
      <c r="B6" s="394"/>
      <c r="C6" s="395" t="s">
        <v>758</v>
      </c>
      <c r="D6" s="395"/>
      <c r="E6" s="395"/>
      <c r="F6" s="51"/>
      <c r="G6" s="396" t="s">
        <v>759</v>
      </c>
      <c r="H6" s="396"/>
      <c r="I6" s="392" t="s">
        <v>760</v>
      </c>
      <c r="J6" s="392"/>
      <c r="K6" s="51"/>
      <c r="L6" s="51"/>
    </row>
    <row r="7" customFormat="false" ht="34.5" hidden="false" customHeight="true" outlineLevel="0" collapsed="false">
      <c r="A7" s="51"/>
      <c r="B7" s="51"/>
      <c r="C7" s="51"/>
      <c r="D7" s="51"/>
      <c r="E7" s="51"/>
      <c r="F7" s="51"/>
      <c r="G7" s="396" t="s">
        <v>761</v>
      </c>
      <c r="H7" s="396"/>
      <c r="I7" s="392" t="s">
        <v>762</v>
      </c>
      <c r="J7" s="392"/>
      <c r="K7" s="51"/>
      <c r="L7" s="51"/>
    </row>
    <row r="8" customFormat="false" ht="49.5" hidden="false" customHeight="true" outlineLevel="0" collapsed="false">
      <c r="A8" s="397"/>
      <c r="B8" s="397"/>
      <c r="C8" s="397"/>
      <c r="D8" s="397"/>
      <c r="E8" s="51"/>
      <c r="F8" s="51"/>
      <c r="G8" s="394" t="s">
        <v>763</v>
      </c>
      <c r="H8" s="394"/>
      <c r="I8" s="392" t="s">
        <v>762</v>
      </c>
      <c r="J8" s="392"/>
      <c r="K8" s="51"/>
      <c r="L8" s="51"/>
    </row>
    <row r="9" customFormat="false" ht="15" hidden="false" customHeight="false" outlineLevel="0" collapsed="false">
      <c r="A9" s="51"/>
      <c r="B9" s="51"/>
      <c r="C9" s="51"/>
      <c r="D9" s="51"/>
      <c r="E9" s="51"/>
      <c r="F9" s="51"/>
      <c r="G9" s="51"/>
      <c r="H9" s="51"/>
      <c r="I9" s="51"/>
      <c r="J9" s="51"/>
      <c r="K9" s="51"/>
      <c r="L9" s="51"/>
    </row>
    <row r="10" customFormat="false" ht="39.55" hidden="false" customHeight="false" outlineLevel="0" collapsed="false">
      <c r="A10" s="398" t="s">
        <v>764</v>
      </c>
      <c r="B10" s="398"/>
      <c r="C10" s="398"/>
      <c r="D10" s="398"/>
      <c r="E10" s="398"/>
      <c r="F10" s="398"/>
      <c r="G10" s="398"/>
      <c r="H10" s="398"/>
      <c r="I10" s="399"/>
      <c r="J10" s="399"/>
      <c r="K10" s="51"/>
      <c r="L10" s="51"/>
      <c r="M10" s="400" t="s">
        <v>765</v>
      </c>
    </row>
    <row r="11" customFormat="false" ht="15" hidden="false" customHeight="false" outlineLevel="0" collapsed="false">
      <c r="A11" s="401" t="s">
        <v>766</v>
      </c>
      <c r="B11" s="401"/>
      <c r="C11" s="401"/>
      <c r="D11" s="401"/>
      <c r="E11" s="401"/>
      <c r="F11" s="401"/>
      <c r="G11" s="401"/>
      <c r="H11" s="401"/>
      <c r="I11" s="402"/>
      <c r="J11" s="402"/>
      <c r="K11" s="51"/>
      <c r="L11" s="51"/>
      <c r="M11" s="400" t="s">
        <v>767</v>
      </c>
    </row>
    <row r="12" customFormat="false" ht="15" hidden="false" customHeight="false" outlineLevel="0" collapsed="false">
      <c r="A12" s="401" t="s">
        <v>768</v>
      </c>
      <c r="B12" s="401"/>
      <c r="C12" s="401"/>
      <c r="D12" s="401"/>
      <c r="E12" s="401"/>
      <c r="F12" s="401"/>
      <c r="G12" s="401"/>
      <c r="H12" s="401"/>
      <c r="I12" s="403" t="n">
        <f aca="false">I10-I11</f>
        <v>0</v>
      </c>
      <c r="J12" s="403"/>
      <c r="K12" s="51"/>
      <c r="L12" s="51"/>
      <c r="M12" s="400" t="s">
        <v>769</v>
      </c>
    </row>
    <row r="13" customFormat="false" ht="166.4" hidden="false" customHeight="false" outlineLevel="0" collapsed="false">
      <c r="A13" s="401" t="s">
        <v>770</v>
      </c>
      <c r="B13" s="401"/>
      <c r="C13" s="401"/>
      <c r="D13" s="401"/>
      <c r="E13" s="401"/>
      <c r="F13" s="401"/>
      <c r="G13" s="401"/>
      <c r="H13" s="401"/>
      <c r="I13" s="402"/>
      <c r="J13" s="402"/>
      <c r="K13" s="51"/>
      <c r="L13" s="51"/>
      <c r="M13" s="400" t="s">
        <v>771</v>
      </c>
    </row>
    <row r="14" customFormat="false" ht="52.2" hidden="false" customHeight="false" outlineLevel="0" collapsed="false">
      <c r="A14" s="401" t="s">
        <v>772</v>
      </c>
      <c r="B14" s="401"/>
      <c r="C14" s="401"/>
      <c r="D14" s="401"/>
      <c r="E14" s="401"/>
      <c r="F14" s="401"/>
      <c r="G14" s="401"/>
      <c r="H14" s="401"/>
      <c r="I14" s="404"/>
      <c r="J14" s="404"/>
      <c r="K14" s="51"/>
      <c r="L14" s="51"/>
      <c r="M14" s="400" t="s">
        <v>773</v>
      </c>
    </row>
    <row r="15" customFormat="false" ht="253.5" hidden="false" customHeight="true" outlineLevel="0" collapsed="false">
      <c r="A15" s="401" t="s">
        <v>774</v>
      </c>
      <c r="B15" s="401"/>
      <c r="C15" s="401"/>
      <c r="D15" s="401"/>
      <c r="E15" s="401"/>
      <c r="F15" s="401"/>
      <c r="G15" s="401"/>
      <c r="H15" s="401"/>
      <c r="I15" s="404"/>
      <c r="J15" s="404"/>
      <c r="K15" s="51"/>
      <c r="L15" s="51"/>
      <c r="M15" s="400" t="s">
        <v>775</v>
      </c>
    </row>
    <row r="16" customFormat="false" ht="15" hidden="false" customHeight="false" outlineLevel="0" collapsed="false">
      <c r="A16" s="401" t="s">
        <v>776</v>
      </c>
      <c r="B16" s="401"/>
      <c r="C16" s="401"/>
      <c r="D16" s="401"/>
      <c r="E16" s="401"/>
      <c r="F16" s="401"/>
      <c r="G16" s="401"/>
      <c r="H16" s="401"/>
      <c r="I16" s="405" t="n">
        <f aca="false">I12-I13+I14+I15</f>
        <v>0</v>
      </c>
      <c r="J16" s="405"/>
      <c r="K16" s="51"/>
      <c r="L16" s="51"/>
      <c r="M16" s="400"/>
    </row>
    <row r="17" customFormat="false" ht="15" hidden="false" customHeight="false" outlineLevel="0" collapsed="false">
      <c r="A17" s="406" t="s">
        <v>777</v>
      </c>
      <c r="B17" s="406"/>
      <c r="C17" s="406"/>
      <c r="D17" s="406"/>
      <c r="E17" s="406"/>
      <c r="F17" s="406"/>
      <c r="G17" s="406"/>
      <c r="H17" s="406"/>
      <c r="I17" s="407"/>
      <c r="J17" s="407"/>
      <c r="K17" s="51"/>
      <c r="L17" s="51"/>
      <c r="M17" s="400"/>
    </row>
    <row r="18" customFormat="false" ht="15" hidden="false" customHeight="false" outlineLevel="0" collapsed="false">
      <c r="A18" s="408" t="s">
        <v>778</v>
      </c>
      <c r="B18" s="408"/>
      <c r="C18" s="408"/>
      <c r="D18" s="408"/>
      <c r="E18" s="408"/>
      <c r="F18" s="409" t="s">
        <v>659</v>
      </c>
      <c r="G18" s="410"/>
      <c r="H18" s="411"/>
      <c r="I18" s="412" t="n">
        <f aca="false">I16+I17</f>
        <v>0</v>
      </c>
      <c r="J18" s="412"/>
      <c r="K18" s="51"/>
      <c r="L18" s="51"/>
    </row>
    <row r="19" customFormat="false" ht="15" hidden="false" customHeight="false" outlineLevel="0" collapsed="false">
      <c r="A19" s="51"/>
      <c r="B19" s="51"/>
      <c r="C19" s="51"/>
      <c r="D19" s="51"/>
      <c r="E19" s="51"/>
      <c r="F19" s="413" t="s">
        <v>660</v>
      </c>
      <c r="G19" s="414"/>
      <c r="H19" s="415"/>
      <c r="I19" s="416" t="n">
        <f aca="false">DSH!E47</f>
        <v>0</v>
      </c>
      <c r="J19" s="416"/>
      <c r="K19" s="51"/>
      <c r="L19" s="51"/>
    </row>
    <row r="20" customFormat="false" ht="15" hidden="false" customHeight="false" outlineLevel="0" collapsed="false">
      <c r="A20" s="51"/>
      <c r="B20" s="51"/>
      <c r="C20" s="51"/>
      <c r="D20" s="51"/>
      <c r="E20" s="51"/>
      <c r="F20" s="417" t="s">
        <v>591</v>
      </c>
      <c r="G20" s="418"/>
      <c r="H20" s="419"/>
      <c r="I20" s="420" t="n">
        <f aca="false">IFERROR(VALUE(I18) - VALUE(I19), 0)</f>
        <v>0</v>
      </c>
      <c r="J20" s="420"/>
      <c r="K20" s="51"/>
      <c r="L20" s="51"/>
      <c r="M20" s="421"/>
    </row>
    <row r="21" customFormat="false" ht="15.75" hidden="false" customHeight="false" outlineLevel="0" collapsed="false"/>
  </sheetData>
  <mergeCells count="33">
    <mergeCell ref="A2:J2"/>
    <mergeCell ref="A5:B5"/>
    <mergeCell ref="C5:E5"/>
    <mergeCell ref="G5:H5"/>
    <mergeCell ref="I5:J5"/>
    <mergeCell ref="A6:B6"/>
    <mergeCell ref="C6:E6"/>
    <mergeCell ref="G6:H6"/>
    <mergeCell ref="I6:J6"/>
    <mergeCell ref="G7:H7"/>
    <mergeCell ref="I7:J7"/>
    <mergeCell ref="A8:D8"/>
    <mergeCell ref="G8:H8"/>
    <mergeCell ref="I8:J8"/>
    <mergeCell ref="A10:H10"/>
    <mergeCell ref="I10:J10"/>
    <mergeCell ref="A11:H11"/>
    <mergeCell ref="I11:J11"/>
    <mergeCell ref="A12:H12"/>
    <mergeCell ref="I12:J12"/>
    <mergeCell ref="A13:H13"/>
    <mergeCell ref="I13:J13"/>
    <mergeCell ref="A14:H14"/>
    <mergeCell ref="I14:J14"/>
    <mergeCell ref="A15:H15"/>
    <mergeCell ref="I15:J15"/>
    <mergeCell ref="A16:H16"/>
    <mergeCell ref="I16:J16"/>
    <mergeCell ref="A17:H17"/>
    <mergeCell ref="I17:J17"/>
    <mergeCell ref="I18:J18"/>
    <mergeCell ref="I19:J19"/>
    <mergeCell ref="I20:J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55"/>
  <sheetViews>
    <sheetView showFormulas="false" showGridLines="false" showRowColHeaders="true" showZeros="true" rightToLeft="false" tabSelected="false" showOutlineSymbols="true" defaultGridColor="true" view="normal" topLeftCell="A131" colorId="64" zoomScale="100" zoomScaleNormal="100" zoomScalePageLayoutView="100" workbookViewId="0">
      <selection pane="topLeft" activeCell="G147" activeCellId="0" sqref="G147"/>
    </sheetView>
  </sheetViews>
  <sheetFormatPr defaultColWidth="9.14453125" defaultRowHeight="14.25" zeroHeight="false" outlineLevelRow="0" outlineLevelCol="0"/>
  <cols>
    <col collapsed="false" customWidth="false" hidden="false" outlineLevel="0" max="10" min="1" style="51" width="9.14"/>
    <col collapsed="false" customWidth="true" hidden="false" outlineLevel="0" max="11" min="11" style="51" width="2.57"/>
    <col collapsed="false" customWidth="true" hidden="false" outlineLevel="0" max="12" min="12" style="51" width="8.86"/>
    <col collapsed="false" customWidth="true" hidden="false" outlineLevel="0" max="13" min="13" style="421" width="103.28"/>
    <col collapsed="false" customWidth="true" hidden="false" outlineLevel="0" max="14" min="14" style="421" width="56.14"/>
    <col collapsed="false" customWidth="false" hidden="false" outlineLevel="0" max="16384" min="15" style="51" width="9.14"/>
  </cols>
  <sheetData>
    <row r="1" s="23" customFormat="true" ht="19.7" hidden="false" customHeight="false" outlineLevel="0" collapsed="false">
      <c r="A1" s="54"/>
      <c r="M1" s="422"/>
      <c r="N1" s="422"/>
    </row>
    <row r="2" s="23" customFormat="true" ht="19.7" hidden="false" customHeight="false" outlineLevel="0" collapsed="false">
      <c r="A2" s="24" t="s">
        <v>534</v>
      </c>
      <c r="B2" s="24"/>
      <c r="C2" s="24"/>
      <c r="D2" s="24"/>
      <c r="E2" s="24"/>
      <c r="F2" s="24"/>
      <c r="G2" s="24"/>
      <c r="H2" s="24"/>
      <c r="I2" s="24"/>
      <c r="J2" s="24"/>
      <c r="M2" s="423" t="s">
        <v>779</v>
      </c>
      <c r="N2" s="422"/>
    </row>
    <row r="4" customFormat="false" ht="14.25" hidden="false" customHeight="false" outlineLevel="0" collapsed="false">
      <c r="A4" s="51" t="s">
        <v>753</v>
      </c>
    </row>
    <row r="5" customFormat="false" ht="14.25" hidden="false" customHeight="false" outlineLevel="0" collapsed="false">
      <c r="A5" s="390" t="s">
        <v>647</v>
      </c>
      <c r="B5" s="390"/>
      <c r="C5" s="424" t="s">
        <v>780</v>
      </c>
      <c r="D5" s="424"/>
      <c r="E5" s="424"/>
      <c r="G5" s="390" t="s">
        <v>755</v>
      </c>
      <c r="H5" s="390"/>
      <c r="I5" s="425" t="n">
        <v>44923</v>
      </c>
      <c r="J5" s="425"/>
      <c r="L5" s="161" t="s">
        <v>628</v>
      </c>
    </row>
    <row r="6" customFormat="false" ht="14.25" hidden="false" customHeight="false" outlineLevel="0" collapsed="false">
      <c r="A6" s="394" t="s">
        <v>12</v>
      </c>
      <c r="B6" s="394"/>
      <c r="C6" s="426" t="s">
        <v>781</v>
      </c>
      <c r="D6" s="426"/>
      <c r="E6" s="426"/>
      <c r="G6" s="396" t="s">
        <v>759</v>
      </c>
      <c r="H6" s="396"/>
      <c r="I6" s="427" t="n">
        <v>107888.75</v>
      </c>
      <c r="J6" s="427"/>
    </row>
    <row r="7" customFormat="false" ht="14.25" hidden="false" customHeight="false" outlineLevel="0" collapsed="false">
      <c r="G7" s="396" t="s">
        <v>761</v>
      </c>
      <c r="H7" s="396"/>
      <c r="I7" s="428" t="s">
        <v>782</v>
      </c>
      <c r="J7" s="428"/>
    </row>
    <row r="8" customFormat="false" ht="14.25" hidden="false" customHeight="false" outlineLevel="0" collapsed="false">
      <c r="A8" s="397"/>
      <c r="B8" s="397"/>
      <c r="C8" s="397"/>
      <c r="D8" s="397"/>
      <c r="G8" s="394" t="s">
        <v>763</v>
      </c>
      <c r="H8" s="394"/>
      <c r="I8" s="429" t="n">
        <v>0.052</v>
      </c>
      <c r="J8" s="429"/>
    </row>
    <row r="10" customFormat="false" ht="26.85" hidden="false" customHeight="false" outlineLevel="0" collapsed="false">
      <c r="A10" s="398" t="s">
        <v>764</v>
      </c>
      <c r="B10" s="398"/>
      <c r="C10" s="398"/>
      <c r="D10" s="398"/>
      <c r="E10" s="398"/>
      <c r="F10" s="398"/>
      <c r="G10" s="398"/>
      <c r="H10" s="398"/>
      <c r="I10" s="399" t="n">
        <v>107888.75</v>
      </c>
      <c r="J10" s="399"/>
      <c r="M10" s="400" t="s">
        <v>783</v>
      </c>
    </row>
    <row r="11" customFormat="false" ht="14.25" hidden="false" customHeight="false" outlineLevel="0" collapsed="false">
      <c r="A11" s="401" t="s">
        <v>766</v>
      </c>
      <c r="B11" s="401"/>
      <c r="C11" s="401"/>
      <c r="D11" s="401"/>
      <c r="E11" s="401"/>
      <c r="F11" s="401"/>
      <c r="G11" s="401"/>
      <c r="H11" s="401"/>
      <c r="I11" s="402"/>
      <c r="J11" s="402"/>
    </row>
    <row r="12" customFormat="false" ht="14.25" hidden="false" customHeight="false" outlineLevel="0" collapsed="false">
      <c r="A12" s="401" t="s">
        <v>768</v>
      </c>
      <c r="B12" s="401"/>
      <c r="C12" s="401"/>
      <c r="D12" s="401"/>
      <c r="E12" s="401"/>
      <c r="F12" s="401"/>
      <c r="G12" s="401"/>
      <c r="H12" s="401"/>
      <c r="I12" s="403" t="n">
        <f aca="false">I10-I11</f>
        <v>107888.75</v>
      </c>
      <c r="J12" s="403"/>
    </row>
    <row r="13" customFormat="false" ht="100.5" hidden="false" customHeight="true" outlineLevel="0" collapsed="false">
      <c r="A13" s="401" t="s">
        <v>770</v>
      </c>
      <c r="B13" s="401"/>
      <c r="C13" s="401"/>
      <c r="D13" s="401"/>
      <c r="E13" s="401"/>
      <c r="F13" s="401"/>
      <c r="G13" s="401"/>
      <c r="H13" s="401"/>
      <c r="I13" s="402" t="n">
        <v>107888.75</v>
      </c>
      <c r="J13" s="402"/>
      <c r="M13" s="400" t="s">
        <v>784</v>
      </c>
    </row>
    <row r="14" customFormat="false" ht="14.25" hidden="false" customHeight="false" outlineLevel="0" collapsed="false">
      <c r="A14" s="401" t="s">
        <v>772</v>
      </c>
      <c r="B14" s="401"/>
      <c r="C14" s="401"/>
      <c r="D14" s="401"/>
      <c r="E14" s="401"/>
      <c r="F14" s="401"/>
      <c r="G14" s="401"/>
      <c r="H14" s="401"/>
      <c r="I14" s="404"/>
      <c r="J14" s="404"/>
    </row>
    <row r="15" customFormat="false" ht="34.5" hidden="false" customHeight="true" outlineLevel="0" collapsed="false">
      <c r="A15" s="401" t="s">
        <v>774</v>
      </c>
      <c r="B15" s="401"/>
      <c r="C15" s="401"/>
      <c r="D15" s="401"/>
      <c r="E15" s="401"/>
      <c r="F15" s="401"/>
      <c r="G15" s="401"/>
      <c r="H15" s="401"/>
      <c r="I15" s="404"/>
      <c r="J15" s="404"/>
      <c r="M15" s="400" t="s">
        <v>785</v>
      </c>
    </row>
    <row r="16" customFormat="false" ht="14.25" hidden="false" customHeight="false" outlineLevel="0" collapsed="false">
      <c r="A16" s="401" t="s">
        <v>776</v>
      </c>
      <c r="B16" s="401"/>
      <c r="C16" s="401"/>
      <c r="D16" s="401"/>
      <c r="E16" s="401"/>
      <c r="F16" s="401"/>
      <c r="G16" s="401"/>
      <c r="H16" s="401"/>
      <c r="I16" s="405" t="n">
        <f aca="false">I12-I13+I14+I15</f>
        <v>0</v>
      </c>
      <c r="J16" s="405"/>
    </row>
    <row r="17" customFormat="false" ht="14.25" hidden="false" customHeight="false" outlineLevel="0" collapsed="false">
      <c r="A17" s="406" t="s">
        <v>777</v>
      </c>
      <c r="B17" s="406"/>
      <c r="C17" s="406"/>
      <c r="D17" s="406"/>
      <c r="E17" s="406"/>
      <c r="F17" s="406"/>
      <c r="G17" s="406"/>
      <c r="H17" s="406"/>
      <c r="I17" s="407"/>
      <c r="J17" s="407"/>
    </row>
    <row r="18" customFormat="false" ht="14.25" hidden="false" customHeight="false" outlineLevel="0" collapsed="false">
      <c r="A18" s="408" t="s">
        <v>778</v>
      </c>
      <c r="B18" s="408"/>
      <c r="C18" s="408"/>
      <c r="D18" s="408"/>
      <c r="E18" s="408"/>
      <c r="F18" s="409" t="s">
        <v>659</v>
      </c>
      <c r="G18" s="410"/>
      <c r="H18" s="411"/>
      <c r="I18" s="412" t="n">
        <f aca="false">I16+I17</f>
        <v>0</v>
      </c>
      <c r="J18" s="412"/>
    </row>
    <row r="19" customFormat="false" ht="14.25" hidden="false" customHeight="false" outlineLevel="0" collapsed="false">
      <c r="F19" s="413" t="s">
        <v>660</v>
      </c>
      <c r="G19" s="414"/>
      <c r="H19" s="415"/>
      <c r="I19" s="416" t="n">
        <f aca="false">DSH!E47</f>
        <v>0</v>
      </c>
      <c r="J19" s="416"/>
    </row>
    <row r="20" customFormat="false" ht="14.25" hidden="false" customHeight="false" outlineLevel="0" collapsed="false">
      <c r="F20" s="417" t="s">
        <v>591</v>
      </c>
      <c r="G20" s="418"/>
      <c r="H20" s="419"/>
      <c r="I20" s="420" t="n">
        <f aca="false">IFERROR(VALUE(I18) - VALUE(I19), 0)</f>
        <v>0</v>
      </c>
      <c r="J20" s="420"/>
    </row>
    <row r="22" customFormat="false" ht="14.25" hidden="false" customHeight="false" outlineLevel="0" collapsed="false">
      <c r="A22" s="390" t="s">
        <v>647</v>
      </c>
      <c r="B22" s="390"/>
      <c r="C22" s="424" t="s">
        <v>780</v>
      </c>
      <c r="D22" s="424"/>
      <c r="E22" s="424"/>
      <c r="G22" s="390" t="s">
        <v>755</v>
      </c>
      <c r="H22" s="390"/>
      <c r="I22" s="425" t="n">
        <v>45287</v>
      </c>
      <c r="J22" s="425"/>
      <c r="L22" s="161" t="s">
        <v>628</v>
      </c>
    </row>
    <row r="23" customFormat="false" ht="14.25" hidden="false" customHeight="false" outlineLevel="0" collapsed="false">
      <c r="A23" s="394" t="s">
        <v>12</v>
      </c>
      <c r="B23" s="394"/>
      <c r="C23" s="426" t="s">
        <v>781</v>
      </c>
      <c r="D23" s="426"/>
      <c r="E23" s="426"/>
      <c r="G23" s="396" t="s">
        <v>759</v>
      </c>
      <c r="H23" s="396"/>
      <c r="I23" s="427" t="n">
        <v>107888.75</v>
      </c>
      <c r="J23" s="427"/>
    </row>
    <row r="24" customFormat="false" ht="14.25" hidden="false" customHeight="false" outlineLevel="0" collapsed="false">
      <c r="G24" s="396" t="s">
        <v>761</v>
      </c>
      <c r="H24" s="396"/>
      <c r="I24" s="428" t="s">
        <v>786</v>
      </c>
      <c r="J24" s="428"/>
    </row>
    <row r="25" customFormat="false" ht="14.25" hidden="false" customHeight="false" outlineLevel="0" collapsed="false">
      <c r="A25" s="397"/>
      <c r="B25" s="397"/>
      <c r="C25" s="397"/>
      <c r="D25" s="397"/>
      <c r="G25" s="394" t="s">
        <v>763</v>
      </c>
      <c r="H25" s="394"/>
      <c r="I25" s="429" t="n">
        <v>0.061</v>
      </c>
      <c r="J25" s="429"/>
    </row>
    <row r="27" customFormat="false" ht="14.25" hidden="false" customHeight="false" outlineLevel="0" collapsed="false">
      <c r="A27" s="398" t="s">
        <v>764</v>
      </c>
      <c r="B27" s="398"/>
      <c r="C27" s="398"/>
      <c r="D27" s="398"/>
      <c r="E27" s="398"/>
      <c r="F27" s="398"/>
      <c r="G27" s="398"/>
      <c r="H27" s="398"/>
      <c r="I27" s="399"/>
      <c r="J27" s="399"/>
    </row>
    <row r="28" customFormat="false" ht="14.25" hidden="false" customHeight="false" outlineLevel="0" collapsed="false">
      <c r="A28" s="401" t="s">
        <v>766</v>
      </c>
      <c r="B28" s="401"/>
      <c r="C28" s="401"/>
      <c r="D28" s="401"/>
      <c r="E28" s="401"/>
      <c r="F28" s="401"/>
      <c r="G28" s="401"/>
      <c r="H28" s="401"/>
      <c r="I28" s="402"/>
      <c r="J28" s="402"/>
    </row>
    <row r="29" customFormat="false" ht="14.25" hidden="false" customHeight="false" outlineLevel="0" collapsed="false">
      <c r="A29" s="401" t="s">
        <v>768</v>
      </c>
      <c r="B29" s="401"/>
      <c r="C29" s="401"/>
      <c r="D29" s="401"/>
      <c r="E29" s="401"/>
      <c r="F29" s="401"/>
      <c r="G29" s="401"/>
      <c r="H29" s="401"/>
      <c r="I29" s="403" t="n">
        <f aca="false">I27-I28</f>
        <v>0</v>
      </c>
      <c r="J29" s="403"/>
    </row>
    <row r="30" customFormat="false" ht="14.25" hidden="false" customHeight="false" outlineLevel="0" collapsed="false">
      <c r="A30" s="401" t="s">
        <v>770</v>
      </c>
      <c r="B30" s="401"/>
      <c r="C30" s="401"/>
      <c r="D30" s="401"/>
      <c r="E30" s="401"/>
      <c r="F30" s="401"/>
      <c r="G30" s="401"/>
      <c r="H30" s="401"/>
      <c r="I30" s="402"/>
      <c r="J30" s="402"/>
    </row>
    <row r="31" customFormat="false" ht="39.75" hidden="false" customHeight="true" outlineLevel="0" collapsed="false">
      <c r="A31" s="401" t="s">
        <v>772</v>
      </c>
      <c r="B31" s="401"/>
      <c r="C31" s="401"/>
      <c r="D31" s="401"/>
      <c r="E31" s="401"/>
      <c r="F31" s="401"/>
      <c r="G31" s="401"/>
      <c r="H31" s="401"/>
      <c r="I31" s="430" t="n">
        <v>107888.75</v>
      </c>
      <c r="J31" s="430"/>
      <c r="M31" s="400" t="s">
        <v>787</v>
      </c>
    </row>
    <row r="32" customFormat="false" ht="43.5" hidden="false" customHeight="true" outlineLevel="0" collapsed="false">
      <c r="A32" s="401" t="s">
        <v>774</v>
      </c>
      <c r="B32" s="401"/>
      <c r="C32" s="401"/>
      <c r="D32" s="401"/>
      <c r="E32" s="401"/>
      <c r="F32" s="401"/>
      <c r="G32" s="401"/>
      <c r="H32" s="401"/>
      <c r="I32" s="404"/>
      <c r="J32" s="404"/>
      <c r="M32" s="400" t="s">
        <v>788</v>
      </c>
    </row>
    <row r="33" customFormat="false" ht="14.25" hidden="false" customHeight="false" outlineLevel="0" collapsed="false">
      <c r="A33" s="401" t="s">
        <v>776</v>
      </c>
      <c r="B33" s="401"/>
      <c r="C33" s="401"/>
      <c r="D33" s="401"/>
      <c r="E33" s="401"/>
      <c r="F33" s="401"/>
      <c r="G33" s="401"/>
      <c r="H33" s="401"/>
      <c r="I33" s="405" t="n">
        <f aca="false">I29-I30+I31+I32</f>
        <v>107888.75</v>
      </c>
      <c r="J33" s="405"/>
    </row>
    <row r="34" customFormat="false" ht="14.25" hidden="false" customHeight="false" outlineLevel="0" collapsed="false">
      <c r="A34" s="406" t="s">
        <v>777</v>
      </c>
      <c r="B34" s="406"/>
      <c r="C34" s="406"/>
      <c r="D34" s="406"/>
      <c r="E34" s="406"/>
      <c r="F34" s="406"/>
      <c r="G34" s="406"/>
      <c r="H34" s="406"/>
      <c r="I34" s="407"/>
      <c r="J34" s="407"/>
    </row>
    <row r="35" customFormat="false" ht="14.25" hidden="false" customHeight="false" outlineLevel="0" collapsed="false">
      <c r="A35" s="408" t="s">
        <v>778</v>
      </c>
      <c r="B35" s="408"/>
      <c r="C35" s="408"/>
      <c r="D35" s="408"/>
      <c r="E35" s="408"/>
      <c r="F35" s="409" t="s">
        <v>659</v>
      </c>
      <c r="G35" s="410"/>
      <c r="H35" s="411"/>
      <c r="I35" s="412" t="n">
        <f aca="false">I33+I34</f>
        <v>107888.75</v>
      </c>
      <c r="J35" s="412"/>
      <c r="M35" s="400" t="s">
        <v>789</v>
      </c>
    </row>
    <row r="36" customFormat="false" ht="14.25" hidden="false" customHeight="false" outlineLevel="0" collapsed="false">
      <c r="F36" s="413" t="s">
        <v>660</v>
      </c>
      <c r="G36" s="414"/>
      <c r="H36" s="415"/>
      <c r="I36" s="416" t="n">
        <f aca="false">DSH!E48</f>
        <v>0</v>
      </c>
      <c r="J36" s="416"/>
    </row>
    <row r="37" customFormat="false" ht="14.25" hidden="false" customHeight="false" outlineLevel="0" collapsed="false">
      <c r="F37" s="417" t="s">
        <v>591</v>
      </c>
      <c r="G37" s="418"/>
      <c r="H37" s="419"/>
      <c r="I37" s="420" t="n">
        <f aca="false">IFERROR(VALUE(I35) - VALUE(I36), 0)</f>
        <v>107888.75</v>
      </c>
      <c r="J37" s="420"/>
    </row>
    <row r="39" customFormat="false" ht="14.25" hidden="false" customHeight="false" outlineLevel="0" collapsed="false">
      <c r="A39" s="390" t="s">
        <v>647</v>
      </c>
      <c r="B39" s="390"/>
      <c r="C39" s="424" t="s">
        <v>790</v>
      </c>
      <c r="D39" s="424"/>
      <c r="E39" s="424"/>
      <c r="G39" s="390" t="s">
        <v>755</v>
      </c>
      <c r="H39" s="390"/>
      <c r="I39" s="425" t="n">
        <v>44998</v>
      </c>
      <c r="J39" s="425"/>
      <c r="L39" s="161" t="s">
        <v>628</v>
      </c>
    </row>
    <row r="40" customFormat="false" ht="14.25" hidden="false" customHeight="false" outlineLevel="0" collapsed="false">
      <c r="A40" s="394" t="s">
        <v>12</v>
      </c>
      <c r="B40" s="394"/>
      <c r="C40" s="426" t="s">
        <v>791</v>
      </c>
      <c r="D40" s="426"/>
      <c r="E40" s="426"/>
      <c r="G40" s="396" t="s">
        <v>759</v>
      </c>
      <c r="H40" s="396"/>
      <c r="I40" s="427" t="n">
        <v>120247.36</v>
      </c>
      <c r="J40" s="427"/>
    </row>
    <row r="41" customFormat="false" ht="14.25" hidden="false" customHeight="false" outlineLevel="0" collapsed="false">
      <c r="G41" s="396" t="s">
        <v>761</v>
      </c>
      <c r="H41" s="396"/>
      <c r="I41" s="428" t="s">
        <v>792</v>
      </c>
      <c r="J41" s="428"/>
    </row>
    <row r="42" customFormat="false" ht="14.25" hidden="false" customHeight="false" outlineLevel="0" collapsed="false">
      <c r="A42" s="397"/>
      <c r="B42" s="397"/>
      <c r="C42" s="397"/>
      <c r="D42" s="397"/>
      <c r="G42" s="394" t="s">
        <v>763</v>
      </c>
      <c r="H42" s="394"/>
      <c r="I42" s="429" t="n">
        <v>0.055</v>
      </c>
      <c r="J42" s="429"/>
    </row>
    <row r="44" customFormat="false" ht="26.85" hidden="false" customHeight="false" outlineLevel="0" collapsed="false">
      <c r="A44" s="398" t="s">
        <v>764</v>
      </c>
      <c r="B44" s="398"/>
      <c r="C44" s="398"/>
      <c r="D44" s="398"/>
      <c r="E44" s="398"/>
      <c r="F44" s="398"/>
      <c r="G44" s="398"/>
      <c r="H44" s="398"/>
      <c r="I44" s="399" t="n">
        <v>120247.36</v>
      </c>
      <c r="J44" s="399"/>
      <c r="M44" s="400" t="s">
        <v>783</v>
      </c>
    </row>
    <row r="45" customFormat="false" ht="14.25" hidden="false" customHeight="false" outlineLevel="0" collapsed="false">
      <c r="A45" s="401" t="s">
        <v>766</v>
      </c>
      <c r="B45" s="401"/>
      <c r="C45" s="401"/>
      <c r="D45" s="401"/>
      <c r="E45" s="401"/>
      <c r="F45" s="401"/>
      <c r="G45" s="401"/>
      <c r="H45" s="401"/>
      <c r="I45" s="402"/>
      <c r="J45" s="402"/>
    </row>
    <row r="46" customFormat="false" ht="14.25" hidden="false" customHeight="false" outlineLevel="0" collapsed="false">
      <c r="A46" s="401" t="s">
        <v>768</v>
      </c>
      <c r="B46" s="401"/>
      <c r="C46" s="401"/>
      <c r="D46" s="401"/>
      <c r="E46" s="401"/>
      <c r="F46" s="401"/>
      <c r="G46" s="401"/>
      <c r="H46" s="401"/>
      <c r="I46" s="403" t="n">
        <f aca="false">I44-I45</f>
        <v>120247.36</v>
      </c>
      <c r="J46" s="403"/>
    </row>
    <row r="47" customFormat="false" ht="52.2" hidden="false" customHeight="false" outlineLevel="0" collapsed="false">
      <c r="A47" s="401" t="s">
        <v>770</v>
      </c>
      <c r="B47" s="401"/>
      <c r="C47" s="401"/>
      <c r="D47" s="401"/>
      <c r="E47" s="401"/>
      <c r="F47" s="401"/>
      <c r="G47" s="401"/>
      <c r="H47" s="401"/>
      <c r="I47" s="402" t="n">
        <v>123617.99</v>
      </c>
      <c r="J47" s="402"/>
      <c r="M47" s="400" t="s">
        <v>793</v>
      </c>
    </row>
    <row r="48" customFormat="false" ht="14.25" hidden="false" customHeight="false" outlineLevel="0" collapsed="false">
      <c r="A48" s="401" t="s">
        <v>772</v>
      </c>
      <c r="B48" s="401"/>
      <c r="C48" s="401"/>
      <c r="D48" s="401"/>
      <c r="E48" s="401"/>
      <c r="F48" s="401"/>
      <c r="G48" s="401"/>
      <c r="H48" s="401"/>
      <c r="I48" s="404"/>
      <c r="J48" s="404"/>
    </row>
    <row r="49" customFormat="false" ht="26.85" hidden="false" customHeight="false" outlineLevel="0" collapsed="false">
      <c r="A49" s="401" t="s">
        <v>774</v>
      </c>
      <c r="B49" s="401"/>
      <c r="C49" s="401"/>
      <c r="D49" s="401"/>
      <c r="E49" s="401"/>
      <c r="F49" s="401"/>
      <c r="G49" s="401"/>
      <c r="H49" s="401"/>
      <c r="I49" s="402" t="n">
        <f aca="false">+I47-I44</f>
        <v>3370.63</v>
      </c>
      <c r="J49" s="402"/>
      <c r="M49" s="400" t="s">
        <v>794</v>
      </c>
    </row>
    <row r="50" customFormat="false" ht="14.25" hidden="false" customHeight="false" outlineLevel="0" collapsed="false">
      <c r="A50" s="401" t="s">
        <v>776</v>
      </c>
      <c r="B50" s="401"/>
      <c r="C50" s="401"/>
      <c r="D50" s="401"/>
      <c r="E50" s="401"/>
      <c r="F50" s="401"/>
      <c r="G50" s="401"/>
      <c r="H50" s="401"/>
      <c r="I50" s="405" t="n">
        <f aca="false">I46-I47+I48+I49</f>
        <v>0</v>
      </c>
      <c r="J50" s="405"/>
      <c r="M50" s="400"/>
    </row>
    <row r="51" customFormat="false" ht="14.25" hidden="false" customHeight="false" outlineLevel="0" collapsed="false">
      <c r="A51" s="406" t="s">
        <v>777</v>
      </c>
      <c r="B51" s="406"/>
      <c r="C51" s="406"/>
      <c r="D51" s="406"/>
      <c r="E51" s="406"/>
      <c r="F51" s="406"/>
      <c r="G51" s="406"/>
      <c r="H51" s="406"/>
      <c r="I51" s="407"/>
      <c r="J51" s="407"/>
    </row>
    <row r="52" customFormat="false" ht="14.25" hidden="false" customHeight="false" outlineLevel="0" collapsed="false">
      <c r="A52" s="408" t="s">
        <v>778</v>
      </c>
      <c r="B52" s="408"/>
      <c r="C52" s="408"/>
      <c r="D52" s="408"/>
      <c r="E52" s="408"/>
      <c r="F52" s="409" t="s">
        <v>659</v>
      </c>
      <c r="G52" s="410"/>
      <c r="H52" s="411"/>
      <c r="I52" s="412" t="n">
        <f aca="false">I50+I51</f>
        <v>0</v>
      </c>
      <c r="J52" s="412"/>
    </row>
    <row r="53" customFormat="false" ht="14.25" hidden="false" customHeight="false" outlineLevel="0" collapsed="false">
      <c r="F53" s="413" t="s">
        <v>660</v>
      </c>
      <c r="G53" s="414"/>
      <c r="H53" s="415"/>
      <c r="I53" s="416" t="n">
        <f aca="false">DSH!E49</f>
        <v>0</v>
      </c>
      <c r="J53" s="416"/>
    </row>
    <row r="54" customFormat="false" ht="14.25" hidden="false" customHeight="false" outlineLevel="0" collapsed="false">
      <c r="F54" s="417" t="s">
        <v>591</v>
      </c>
      <c r="G54" s="418"/>
      <c r="H54" s="419"/>
      <c r="I54" s="420" t="n">
        <f aca="false">IFERROR(VALUE(I52) - VALUE(I53), 0)</f>
        <v>0</v>
      </c>
      <c r="J54" s="420"/>
    </row>
    <row r="56" customFormat="false" ht="14.25" hidden="false" customHeight="false" outlineLevel="0" collapsed="false">
      <c r="A56" s="390" t="s">
        <v>647</v>
      </c>
      <c r="B56" s="390"/>
      <c r="C56" s="424" t="s">
        <v>780</v>
      </c>
      <c r="D56" s="424"/>
      <c r="E56" s="424"/>
      <c r="G56" s="390" t="s">
        <v>755</v>
      </c>
      <c r="H56" s="390"/>
      <c r="I56" s="425" t="n">
        <v>45013</v>
      </c>
      <c r="J56" s="425"/>
      <c r="L56" s="161" t="s">
        <v>628</v>
      </c>
    </row>
    <row r="57" customFormat="false" ht="14.25" hidden="false" customHeight="false" outlineLevel="0" collapsed="false">
      <c r="A57" s="394" t="s">
        <v>12</v>
      </c>
      <c r="B57" s="394"/>
      <c r="C57" s="426" t="s">
        <v>795</v>
      </c>
      <c r="D57" s="426"/>
      <c r="E57" s="426"/>
      <c r="G57" s="396" t="s">
        <v>759</v>
      </c>
      <c r="H57" s="396"/>
      <c r="I57" s="427" t="n">
        <v>51464.41</v>
      </c>
      <c r="J57" s="427"/>
    </row>
    <row r="58" customFormat="false" ht="14.25" hidden="false" customHeight="false" outlineLevel="0" collapsed="false">
      <c r="G58" s="396" t="s">
        <v>761</v>
      </c>
      <c r="H58" s="396"/>
      <c r="I58" s="428" t="s">
        <v>786</v>
      </c>
      <c r="J58" s="428"/>
    </row>
    <row r="59" customFormat="false" ht="14.25" hidden="false" customHeight="false" outlineLevel="0" collapsed="false">
      <c r="A59" s="397"/>
      <c r="B59" s="397"/>
      <c r="C59" s="397"/>
      <c r="D59" s="397"/>
      <c r="G59" s="394" t="s">
        <v>763</v>
      </c>
      <c r="H59" s="394"/>
      <c r="I59" s="429" t="n">
        <v>0.055</v>
      </c>
      <c r="J59" s="429"/>
    </row>
    <row r="61" customFormat="false" ht="26.85" hidden="false" customHeight="false" outlineLevel="0" collapsed="false">
      <c r="A61" s="398" t="s">
        <v>764</v>
      </c>
      <c r="B61" s="398"/>
      <c r="C61" s="398"/>
      <c r="D61" s="398"/>
      <c r="E61" s="398"/>
      <c r="F61" s="398"/>
      <c r="G61" s="398"/>
      <c r="H61" s="398"/>
      <c r="I61" s="431" t="n">
        <v>51464.41</v>
      </c>
      <c r="J61" s="431"/>
      <c r="M61" s="400" t="s">
        <v>783</v>
      </c>
    </row>
    <row r="62" customFormat="false" ht="14.25" hidden="false" customHeight="false" outlineLevel="0" collapsed="false">
      <c r="A62" s="401" t="s">
        <v>766</v>
      </c>
      <c r="B62" s="401"/>
      <c r="C62" s="401"/>
      <c r="D62" s="401"/>
      <c r="E62" s="401"/>
      <c r="F62" s="401"/>
      <c r="G62" s="401"/>
      <c r="H62" s="401"/>
      <c r="I62" s="402"/>
      <c r="J62" s="402"/>
    </row>
    <row r="63" customFormat="false" ht="14.25" hidden="false" customHeight="false" outlineLevel="0" collapsed="false">
      <c r="A63" s="401" t="s">
        <v>768</v>
      </c>
      <c r="B63" s="401"/>
      <c r="C63" s="401"/>
      <c r="D63" s="401"/>
      <c r="E63" s="401"/>
      <c r="F63" s="401"/>
      <c r="G63" s="401"/>
      <c r="H63" s="401"/>
      <c r="I63" s="403" t="n">
        <f aca="false">I61-I62</f>
        <v>51464.41</v>
      </c>
      <c r="J63" s="403"/>
    </row>
    <row r="64" customFormat="false" ht="26.85" hidden="false" customHeight="false" outlineLevel="0" collapsed="false">
      <c r="A64" s="401" t="s">
        <v>770</v>
      </c>
      <c r="B64" s="401"/>
      <c r="C64" s="401"/>
      <c r="D64" s="401"/>
      <c r="E64" s="401"/>
      <c r="F64" s="401"/>
      <c r="G64" s="401"/>
      <c r="H64" s="401"/>
      <c r="I64" s="432" t="n">
        <v>55400</v>
      </c>
      <c r="J64" s="432"/>
      <c r="M64" s="400" t="s">
        <v>796</v>
      </c>
    </row>
    <row r="65" customFormat="false" ht="14.25" hidden="false" customHeight="false" outlineLevel="0" collapsed="false">
      <c r="A65" s="401" t="s">
        <v>772</v>
      </c>
      <c r="B65" s="401"/>
      <c r="C65" s="401"/>
      <c r="D65" s="401"/>
      <c r="E65" s="401"/>
      <c r="F65" s="401"/>
      <c r="G65" s="401"/>
      <c r="H65" s="401"/>
      <c r="I65" s="404"/>
      <c r="J65" s="404"/>
    </row>
    <row r="66" customFormat="false" ht="26.85" hidden="false" customHeight="false" outlineLevel="0" collapsed="false">
      <c r="A66" s="401" t="s">
        <v>774</v>
      </c>
      <c r="B66" s="401"/>
      <c r="C66" s="401"/>
      <c r="D66" s="401"/>
      <c r="E66" s="401"/>
      <c r="F66" s="401"/>
      <c r="G66" s="401"/>
      <c r="H66" s="401"/>
      <c r="I66" s="430" t="n">
        <f aca="false">+I64-I61</f>
        <v>3935.59</v>
      </c>
      <c r="J66" s="430"/>
      <c r="M66" s="400" t="s">
        <v>797</v>
      </c>
    </row>
    <row r="67" customFormat="false" ht="14.25" hidden="false" customHeight="false" outlineLevel="0" collapsed="false">
      <c r="A67" s="401" t="s">
        <v>776</v>
      </c>
      <c r="B67" s="401"/>
      <c r="C67" s="401"/>
      <c r="D67" s="401"/>
      <c r="E67" s="401"/>
      <c r="F67" s="401"/>
      <c r="G67" s="401"/>
      <c r="H67" s="401"/>
      <c r="I67" s="405" t="n">
        <f aca="false">I63-I64+I65+I66</f>
        <v>0</v>
      </c>
      <c r="J67" s="405"/>
    </row>
    <row r="68" customFormat="false" ht="14.25" hidden="false" customHeight="false" outlineLevel="0" collapsed="false">
      <c r="A68" s="406" t="s">
        <v>777</v>
      </c>
      <c r="B68" s="406"/>
      <c r="C68" s="406"/>
      <c r="D68" s="406"/>
      <c r="E68" s="406"/>
      <c r="F68" s="406"/>
      <c r="G68" s="406"/>
      <c r="H68" s="406"/>
      <c r="I68" s="407"/>
      <c r="J68" s="407"/>
    </row>
    <row r="69" customFormat="false" ht="14.25" hidden="false" customHeight="false" outlineLevel="0" collapsed="false">
      <c r="A69" s="408" t="s">
        <v>778</v>
      </c>
      <c r="B69" s="408"/>
      <c r="C69" s="408"/>
      <c r="D69" s="408"/>
      <c r="E69" s="408"/>
      <c r="F69" s="409" t="s">
        <v>659</v>
      </c>
      <c r="G69" s="410"/>
      <c r="H69" s="411"/>
      <c r="I69" s="412" t="n">
        <f aca="false">I67+I68</f>
        <v>0</v>
      </c>
      <c r="J69" s="412"/>
    </row>
    <row r="70" customFormat="false" ht="14.25" hidden="false" customHeight="false" outlineLevel="0" collapsed="false">
      <c r="F70" s="413" t="s">
        <v>660</v>
      </c>
      <c r="G70" s="414"/>
      <c r="H70" s="415"/>
      <c r="I70" s="416" t="n">
        <f aca="false">DSH!E50</f>
        <v>0</v>
      </c>
      <c r="J70" s="416"/>
    </row>
    <row r="71" customFormat="false" ht="14.25" hidden="false" customHeight="false" outlineLevel="0" collapsed="false">
      <c r="F71" s="417" t="s">
        <v>591</v>
      </c>
      <c r="G71" s="418"/>
      <c r="H71" s="419"/>
      <c r="I71" s="420" t="n">
        <f aca="false">IFERROR(VALUE(I69) - VALUE(I70), 0)</f>
        <v>0</v>
      </c>
      <c r="J71" s="420"/>
    </row>
    <row r="73" customFormat="false" ht="14.25" hidden="false" customHeight="false" outlineLevel="0" collapsed="false">
      <c r="A73" s="390" t="s">
        <v>647</v>
      </c>
      <c r="B73" s="390"/>
      <c r="C73" s="424" t="s">
        <v>798</v>
      </c>
      <c r="D73" s="424"/>
      <c r="E73" s="424"/>
      <c r="G73" s="390" t="s">
        <v>755</v>
      </c>
      <c r="H73" s="390"/>
      <c r="I73" s="425" t="n">
        <v>45043</v>
      </c>
      <c r="J73" s="425"/>
      <c r="L73" s="161" t="s">
        <v>628</v>
      </c>
    </row>
    <row r="74" customFormat="false" ht="14.25" hidden="false" customHeight="false" outlineLevel="0" collapsed="false">
      <c r="A74" s="394" t="s">
        <v>12</v>
      </c>
      <c r="B74" s="394"/>
      <c r="C74" s="426" t="s">
        <v>799</v>
      </c>
      <c r="D74" s="426"/>
      <c r="E74" s="426"/>
      <c r="G74" s="396" t="s">
        <v>759</v>
      </c>
      <c r="H74" s="396"/>
      <c r="I74" s="427" t="n">
        <v>120000</v>
      </c>
      <c r="J74" s="427"/>
      <c r="M74" s="433" t="s">
        <v>800</v>
      </c>
    </row>
    <row r="75" customFormat="false" ht="14.25" hidden="false" customHeight="false" outlineLevel="0" collapsed="false">
      <c r="G75" s="396" t="s">
        <v>761</v>
      </c>
      <c r="H75" s="396"/>
      <c r="I75" s="428" t="s">
        <v>801</v>
      </c>
      <c r="J75" s="428"/>
    </row>
    <row r="76" customFormat="false" ht="14.25" hidden="false" customHeight="false" outlineLevel="0" collapsed="false">
      <c r="A76" s="397"/>
      <c r="B76" s="397"/>
      <c r="C76" s="397"/>
      <c r="D76" s="397"/>
      <c r="G76" s="394" t="s">
        <v>763</v>
      </c>
      <c r="H76" s="394"/>
      <c r="I76" s="429" t="n">
        <v>0.0535</v>
      </c>
      <c r="J76" s="429"/>
    </row>
    <row r="78" customFormat="false" ht="14.25" hidden="false" customHeight="false" outlineLevel="0" collapsed="false">
      <c r="A78" s="398" t="s">
        <v>764</v>
      </c>
      <c r="B78" s="398"/>
      <c r="C78" s="398"/>
      <c r="D78" s="398"/>
      <c r="E78" s="398"/>
      <c r="F78" s="398"/>
      <c r="G78" s="398"/>
      <c r="H78" s="398"/>
      <c r="I78" s="399"/>
      <c r="J78" s="399"/>
    </row>
    <row r="79" customFormat="false" ht="14.25" hidden="false" customHeight="false" outlineLevel="0" collapsed="false">
      <c r="A79" s="401" t="s">
        <v>766</v>
      </c>
      <c r="B79" s="401"/>
      <c r="C79" s="401"/>
      <c r="D79" s="401"/>
      <c r="E79" s="401"/>
      <c r="F79" s="401"/>
      <c r="G79" s="401"/>
      <c r="H79" s="401"/>
      <c r="I79" s="402"/>
      <c r="J79" s="402"/>
    </row>
    <row r="80" customFormat="false" ht="14.25" hidden="false" customHeight="false" outlineLevel="0" collapsed="false">
      <c r="A80" s="401" t="s">
        <v>768</v>
      </c>
      <c r="B80" s="401"/>
      <c r="C80" s="401"/>
      <c r="D80" s="401"/>
      <c r="E80" s="401"/>
      <c r="F80" s="401"/>
      <c r="G80" s="401"/>
      <c r="H80" s="401"/>
      <c r="I80" s="403" t="n">
        <f aca="false">I78-I79</f>
        <v>0</v>
      </c>
      <c r="J80" s="403"/>
    </row>
    <row r="81" customFormat="false" ht="37.5" hidden="false" customHeight="true" outlineLevel="0" collapsed="false">
      <c r="A81" s="401" t="s">
        <v>770</v>
      </c>
      <c r="B81" s="401"/>
      <c r="C81" s="401"/>
      <c r="D81" s="401"/>
      <c r="E81" s="401"/>
      <c r="F81" s="401"/>
      <c r="G81" s="401"/>
      <c r="H81" s="401"/>
      <c r="I81" s="434" t="n">
        <v>122635.8</v>
      </c>
      <c r="J81" s="434"/>
      <c r="M81" s="400" t="s">
        <v>802</v>
      </c>
    </row>
    <row r="82" customFormat="false" ht="43.5" hidden="false" customHeight="true" outlineLevel="0" collapsed="false">
      <c r="A82" s="401" t="s">
        <v>772</v>
      </c>
      <c r="B82" s="401"/>
      <c r="C82" s="401"/>
      <c r="D82" s="401"/>
      <c r="E82" s="401"/>
      <c r="F82" s="401"/>
      <c r="G82" s="401"/>
      <c r="H82" s="401"/>
      <c r="I82" s="430" t="n">
        <v>120000</v>
      </c>
      <c r="J82" s="430"/>
      <c r="M82" s="400" t="s">
        <v>803</v>
      </c>
    </row>
    <row r="83" customFormat="false" ht="14.25" hidden="false" customHeight="false" outlineLevel="0" collapsed="false">
      <c r="A83" s="401" t="s">
        <v>774</v>
      </c>
      <c r="B83" s="401"/>
      <c r="C83" s="401"/>
      <c r="D83" s="401"/>
      <c r="E83" s="401"/>
      <c r="F83" s="401"/>
      <c r="G83" s="401"/>
      <c r="H83" s="401"/>
      <c r="I83" s="402" t="n">
        <f aca="false">+IF(I81&gt;0,I81-I74,0)</f>
        <v>2635.8</v>
      </c>
      <c r="J83" s="402"/>
      <c r="M83" s="400" t="s">
        <v>804</v>
      </c>
    </row>
    <row r="84" customFormat="false" ht="14.25" hidden="false" customHeight="false" outlineLevel="0" collapsed="false">
      <c r="A84" s="401" t="s">
        <v>776</v>
      </c>
      <c r="B84" s="401"/>
      <c r="C84" s="401"/>
      <c r="D84" s="401"/>
      <c r="E84" s="401"/>
      <c r="F84" s="401"/>
      <c r="G84" s="401"/>
      <c r="H84" s="401"/>
      <c r="I84" s="405" t="n">
        <f aca="false">I80-I81+I82+I83</f>
        <v>0</v>
      </c>
      <c r="J84" s="405"/>
    </row>
    <row r="85" customFormat="false" ht="14.25" hidden="false" customHeight="false" outlineLevel="0" collapsed="false">
      <c r="A85" s="406" t="s">
        <v>777</v>
      </c>
      <c r="B85" s="406"/>
      <c r="C85" s="406"/>
      <c r="D85" s="406"/>
      <c r="E85" s="406"/>
      <c r="F85" s="406"/>
      <c r="G85" s="406"/>
      <c r="H85" s="406"/>
      <c r="I85" s="407"/>
      <c r="J85" s="407"/>
    </row>
    <row r="86" customFormat="false" ht="14.25" hidden="false" customHeight="false" outlineLevel="0" collapsed="false">
      <c r="A86" s="408" t="s">
        <v>778</v>
      </c>
      <c r="B86" s="408"/>
      <c r="C86" s="408"/>
      <c r="D86" s="408"/>
      <c r="E86" s="408"/>
      <c r="F86" s="409" t="s">
        <v>659</v>
      </c>
      <c r="G86" s="410"/>
      <c r="H86" s="411"/>
      <c r="I86" s="412" t="n">
        <f aca="false">I84+I85</f>
        <v>0</v>
      </c>
      <c r="J86" s="412"/>
    </row>
    <row r="87" customFormat="false" ht="14.25" hidden="false" customHeight="false" outlineLevel="0" collapsed="false">
      <c r="F87" s="413" t="s">
        <v>660</v>
      </c>
      <c r="G87" s="414"/>
      <c r="H87" s="415"/>
      <c r="I87" s="416" t="n">
        <f aca="false">DSH!E51</f>
        <v>0</v>
      </c>
      <c r="J87" s="416"/>
    </row>
    <row r="88" customFormat="false" ht="14.25" hidden="false" customHeight="false" outlineLevel="0" collapsed="false">
      <c r="F88" s="417" t="s">
        <v>591</v>
      </c>
      <c r="G88" s="418"/>
      <c r="H88" s="419"/>
      <c r="I88" s="420" t="n">
        <f aca="false">IFERROR(VALUE(I86) - VALUE(I87), 0)</f>
        <v>0</v>
      </c>
      <c r="J88" s="420"/>
    </row>
    <row r="90" customFormat="false" ht="14.25" hidden="false" customHeight="false" outlineLevel="0" collapsed="false">
      <c r="A90" s="390" t="s">
        <v>647</v>
      </c>
      <c r="B90" s="390"/>
      <c r="C90" s="424" t="s">
        <v>798</v>
      </c>
      <c r="D90" s="424"/>
      <c r="E90" s="424"/>
      <c r="G90" s="390" t="s">
        <v>755</v>
      </c>
      <c r="H90" s="390"/>
      <c r="I90" s="425" t="n">
        <v>45223</v>
      </c>
      <c r="J90" s="425"/>
      <c r="L90" s="161" t="s">
        <v>628</v>
      </c>
      <c r="M90" s="433" t="s">
        <v>805</v>
      </c>
    </row>
    <row r="91" customFormat="false" ht="14.25" hidden="false" customHeight="false" outlineLevel="0" collapsed="false">
      <c r="A91" s="394" t="s">
        <v>12</v>
      </c>
      <c r="B91" s="394"/>
      <c r="C91" s="426" t="s">
        <v>799</v>
      </c>
      <c r="D91" s="426"/>
      <c r="E91" s="426"/>
      <c r="G91" s="396" t="s">
        <v>759</v>
      </c>
      <c r="H91" s="396"/>
      <c r="I91" s="427" t="n">
        <v>122635.8</v>
      </c>
      <c r="J91" s="427"/>
      <c r="N91" s="400"/>
    </row>
    <row r="92" customFormat="false" ht="14.25" hidden="false" customHeight="false" outlineLevel="0" collapsed="false">
      <c r="G92" s="396" t="s">
        <v>761</v>
      </c>
      <c r="H92" s="396"/>
      <c r="I92" s="428" t="s">
        <v>801</v>
      </c>
      <c r="J92" s="428"/>
      <c r="M92" s="400" t="s">
        <v>806</v>
      </c>
    </row>
    <row r="93" customFormat="false" ht="14.25" hidden="false" customHeight="false" outlineLevel="0" collapsed="false">
      <c r="A93" s="397"/>
      <c r="B93" s="397"/>
      <c r="C93" s="397"/>
      <c r="D93" s="397"/>
      <c r="G93" s="394" t="s">
        <v>763</v>
      </c>
      <c r="H93" s="394"/>
      <c r="I93" s="429" t="n">
        <v>0.0535</v>
      </c>
      <c r="J93" s="429"/>
    </row>
    <row r="95" customFormat="false" ht="14.25" hidden="false" customHeight="false" outlineLevel="0" collapsed="false">
      <c r="A95" s="398" t="s">
        <v>764</v>
      </c>
      <c r="B95" s="398"/>
      <c r="C95" s="398"/>
      <c r="D95" s="398"/>
      <c r="E95" s="398"/>
      <c r="F95" s="398"/>
      <c r="G95" s="398"/>
      <c r="H95" s="398"/>
      <c r="I95" s="399"/>
      <c r="J95" s="399"/>
    </row>
    <row r="96" customFormat="false" ht="14.25" hidden="false" customHeight="false" outlineLevel="0" collapsed="false">
      <c r="A96" s="401" t="s">
        <v>766</v>
      </c>
      <c r="B96" s="401"/>
      <c r="C96" s="401"/>
      <c r="D96" s="401"/>
      <c r="E96" s="401"/>
      <c r="F96" s="401"/>
      <c r="G96" s="401"/>
      <c r="H96" s="401"/>
      <c r="I96" s="402"/>
      <c r="J96" s="402"/>
    </row>
    <row r="97" customFormat="false" ht="14.25" hidden="false" customHeight="false" outlineLevel="0" collapsed="false">
      <c r="A97" s="401" t="s">
        <v>768</v>
      </c>
      <c r="B97" s="401"/>
      <c r="C97" s="401"/>
      <c r="D97" s="401"/>
      <c r="E97" s="401"/>
      <c r="F97" s="401"/>
      <c r="G97" s="401"/>
      <c r="H97" s="401"/>
      <c r="I97" s="403" t="n">
        <f aca="false">I95-I96</f>
        <v>0</v>
      </c>
      <c r="J97" s="403"/>
    </row>
    <row r="98" customFormat="false" ht="14.25" hidden="false" customHeight="false" outlineLevel="0" collapsed="false">
      <c r="A98" s="401" t="s">
        <v>770</v>
      </c>
      <c r="B98" s="401"/>
      <c r="C98" s="401"/>
      <c r="D98" s="401"/>
      <c r="E98" s="401"/>
      <c r="F98" s="401"/>
      <c r="G98" s="401"/>
      <c r="H98" s="401"/>
      <c r="I98" s="402"/>
      <c r="J98" s="402"/>
    </row>
    <row r="99" customFormat="false" ht="14.25" hidden="false" customHeight="false" outlineLevel="0" collapsed="false">
      <c r="A99" s="401" t="s">
        <v>772</v>
      </c>
      <c r="B99" s="401"/>
      <c r="C99" s="401"/>
      <c r="D99" s="401"/>
      <c r="E99" s="401"/>
      <c r="F99" s="401"/>
      <c r="G99" s="401"/>
      <c r="H99" s="401"/>
      <c r="I99" s="404" t="n">
        <v>122635.8</v>
      </c>
      <c r="J99" s="404"/>
      <c r="M99" s="400" t="s">
        <v>807</v>
      </c>
    </row>
    <row r="100" customFormat="false" ht="14.25" hidden="false" customHeight="false" outlineLevel="0" collapsed="false">
      <c r="A100" s="401" t="s">
        <v>774</v>
      </c>
      <c r="B100" s="401"/>
      <c r="C100" s="401"/>
      <c r="D100" s="401"/>
      <c r="E100" s="401"/>
      <c r="F100" s="401"/>
      <c r="G100" s="401"/>
      <c r="H100" s="401"/>
      <c r="I100" s="402"/>
      <c r="J100" s="402"/>
    </row>
    <row r="101" customFormat="false" ht="14.25" hidden="false" customHeight="false" outlineLevel="0" collapsed="false">
      <c r="A101" s="401" t="s">
        <v>776</v>
      </c>
      <c r="B101" s="401"/>
      <c r="C101" s="401"/>
      <c r="D101" s="401"/>
      <c r="E101" s="401"/>
      <c r="F101" s="401"/>
      <c r="G101" s="401"/>
      <c r="H101" s="401"/>
      <c r="I101" s="405" t="n">
        <f aca="false">I97-I98+I99+I100</f>
        <v>122635.8</v>
      </c>
      <c r="J101" s="405"/>
    </row>
    <row r="102" customFormat="false" ht="14.25" hidden="false" customHeight="false" outlineLevel="0" collapsed="false">
      <c r="A102" s="406" t="s">
        <v>777</v>
      </c>
      <c r="B102" s="406"/>
      <c r="C102" s="406"/>
      <c r="D102" s="406"/>
      <c r="E102" s="406"/>
      <c r="F102" s="406"/>
      <c r="G102" s="406"/>
      <c r="H102" s="406"/>
      <c r="I102" s="407"/>
      <c r="J102" s="407"/>
    </row>
    <row r="103" customFormat="false" ht="14.25" hidden="false" customHeight="false" outlineLevel="0" collapsed="false">
      <c r="A103" s="408" t="s">
        <v>778</v>
      </c>
      <c r="B103" s="408"/>
      <c r="C103" s="408"/>
      <c r="D103" s="408"/>
      <c r="E103" s="408"/>
      <c r="F103" s="409" t="s">
        <v>659</v>
      </c>
      <c r="G103" s="410"/>
      <c r="H103" s="411"/>
      <c r="I103" s="412" t="n">
        <f aca="false">I101+I102</f>
        <v>122635.8</v>
      </c>
      <c r="J103" s="412"/>
      <c r="M103" s="400" t="s">
        <v>808</v>
      </c>
    </row>
    <row r="104" customFormat="false" ht="14.25" hidden="false" customHeight="false" outlineLevel="0" collapsed="false">
      <c r="F104" s="413" t="s">
        <v>660</v>
      </c>
      <c r="G104" s="414"/>
      <c r="H104" s="415"/>
      <c r="I104" s="416"/>
      <c r="J104" s="416"/>
      <c r="M104" s="400"/>
    </row>
    <row r="105" customFormat="false" ht="14.25" hidden="false" customHeight="false" outlineLevel="0" collapsed="false">
      <c r="F105" s="417" t="s">
        <v>591</v>
      </c>
      <c r="G105" s="418"/>
      <c r="H105" s="419"/>
      <c r="I105" s="420" t="n">
        <f aca="false">IFERROR(VALUE(I103) - VALUE(I104), 0)</f>
        <v>122635.8</v>
      </c>
      <c r="J105" s="420"/>
    </row>
    <row r="107" customFormat="false" ht="14.25" hidden="false" customHeight="false" outlineLevel="0" collapsed="false">
      <c r="A107" s="390" t="s">
        <v>647</v>
      </c>
      <c r="B107" s="390"/>
      <c r="C107" s="424" t="s">
        <v>790</v>
      </c>
      <c r="D107" s="424"/>
      <c r="E107" s="424"/>
      <c r="G107" s="390" t="s">
        <v>755</v>
      </c>
      <c r="H107" s="390"/>
      <c r="I107" s="425" t="n">
        <v>44998</v>
      </c>
      <c r="J107" s="425"/>
      <c r="L107" s="161" t="s">
        <v>628</v>
      </c>
    </row>
    <row r="108" customFormat="false" ht="14.25" hidden="false" customHeight="false" outlineLevel="0" collapsed="false">
      <c r="A108" s="394" t="s">
        <v>12</v>
      </c>
      <c r="B108" s="394"/>
      <c r="C108" s="426" t="s">
        <v>791</v>
      </c>
      <c r="D108" s="426"/>
      <c r="E108" s="426"/>
      <c r="G108" s="396" t="s">
        <v>759</v>
      </c>
      <c r="H108" s="396"/>
      <c r="I108" s="427" t="n">
        <v>120247.36</v>
      </c>
      <c r="J108" s="427"/>
    </row>
    <row r="109" customFormat="false" ht="14.25" hidden="false" customHeight="false" outlineLevel="0" collapsed="false">
      <c r="G109" s="396" t="s">
        <v>761</v>
      </c>
      <c r="H109" s="396"/>
      <c r="I109" s="428" t="s">
        <v>792</v>
      </c>
      <c r="J109" s="428"/>
    </row>
    <row r="110" customFormat="false" ht="14.25" hidden="false" customHeight="false" outlineLevel="0" collapsed="false">
      <c r="A110" s="397"/>
      <c r="B110" s="397"/>
      <c r="C110" s="397"/>
      <c r="D110" s="397"/>
      <c r="G110" s="394" t="s">
        <v>763</v>
      </c>
      <c r="H110" s="394"/>
      <c r="I110" s="429" t="n">
        <v>0.055</v>
      </c>
      <c r="J110" s="429"/>
    </row>
    <row r="112" customFormat="false" ht="14.25" hidden="false" customHeight="false" outlineLevel="0" collapsed="false">
      <c r="A112" s="398" t="s">
        <v>764</v>
      </c>
      <c r="B112" s="398"/>
      <c r="C112" s="398"/>
      <c r="D112" s="398"/>
      <c r="E112" s="398"/>
      <c r="F112" s="398"/>
      <c r="G112" s="398"/>
      <c r="H112" s="398"/>
      <c r="I112" s="399" t="n">
        <v>120247.36</v>
      </c>
      <c r="J112" s="399"/>
    </row>
    <row r="113" customFormat="false" ht="14.25" hidden="false" customHeight="false" outlineLevel="0" collapsed="false">
      <c r="A113" s="401" t="s">
        <v>766</v>
      </c>
      <c r="B113" s="401"/>
      <c r="C113" s="401"/>
      <c r="D113" s="401"/>
      <c r="E113" s="401"/>
      <c r="F113" s="401"/>
      <c r="G113" s="401"/>
      <c r="H113" s="401"/>
      <c r="I113" s="402"/>
      <c r="J113" s="402"/>
    </row>
    <row r="114" customFormat="false" ht="14.25" hidden="false" customHeight="false" outlineLevel="0" collapsed="false">
      <c r="A114" s="401" t="s">
        <v>768</v>
      </c>
      <c r="B114" s="401"/>
      <c r="C114" s="401"/>
      <c r="D114" s="401"/>
      <c r="E114" s="401"/>
      <c r="F114" s="401"/>
      <c r="G114" s="401"/>
      <c r="H114" s="401"/>
      <c r="I114" s="403" t="n">
        <f aca="false">I112-I113</f>
        <v>120247.36</v>
      </c>
      <c r="J114" s="403"/>
    </row>
    <row r="115" customFormat="false" ht="26.85" hidden="false" customHeight="false" outlineLevel="0" collapsed="false">
      <c r="A115" s="401" t="s">
        <v>770</v>
      </c>
      <c r="B115" s="401"/>
      <c r="C115" s="401"/>
      <c r="D115" s="401"/>
      <c r="E115" s="401"/>
      <c r="F115" s="401"/>
      <c r="G115" s="401"/>
      <c r="H115" s="401"/>
      <c r="I115" s="402"/>
      <c r="J115" s="402"/>
      <c r="M115" s="400" t="s">
        <v>809</v>
      </c>
    </row>
    <row r="116" customFormat="false" ht="14.25" hidden="false" customHeight="false" outlineLevel="0" collapsed="false">
      <c r="A116" s="401" t="s">
        <v>772</v>
      </c>
      <c r="B116" s="401"/>
      <c r="C116" s="401"/>
      <c r="D116" s="401"/>
      <c r="E116" s="401"/>
      <c r="F116" s="401"/>
      <c r="G116" s="401"/>
      <c r="H116" s="401"/>
      <c r="I116" s="404"/>
      <c r="J116" s="404"/>
    </row>
    <row r="117" customFormat="false" ht="26.85" hidden="false" customHeight="false" outlineLevel="0" collapsed="false">
      <c r="A117" s="401" t="s">
        <v>774</v>
      </c>
      <c r="B117" s="401"/>
      <c r="C117" s="401"/>
      <c r="D117" s="401"/>
      <c r="E117" s="401"/>
      <c r="F117" s="401"/>
      <c r="G117" s="401"/>
      <c r="H117" s="401"/>
      <c r="I117" s="402"/>
      <c r="J117" s="402"/>
      <c r="M117" s="400" t="s">
        <v>810</v>
      </c>
    </row>
    <row r="118" customFormat="false" ht="14.25" hidden="false" customHeight="false" outlineLevel="0" collapsed="false">
      <c r="A118" s="401" t="s">
        <v>776</v>
      </c>
      <c r="B118" s="401"/>
      <c r="C118" s="401"/>
      <c r="D118" s="401"/>
      <c r="E118" s="401"/>
      <c r="F118" s="401"/>
      <c r="G118" s="401"/>
      <c r="H118" s="401"/>
      <c r="I118" s="405" t="n">
        <f aca="false">I114-I115+I116+I117</f>
        <v>120247.36</v>
      </c>
      <c r="J118" s="405"/>
      <c r="M118" s="400"/>
    </row>
    <row r="119" customFormat="false" ht="14.25" hidden="false" customHeight="false" outlineLevel="0" collapsed="false">
      <c r="A119" s="406" t="s">
        <v>777</v>
      </c>
      <c r="B119" s="406"/>
      <c r="C119" s="406"/>
      <c r="D119" s="406"/>
      <c r="E119" s="406"/>
      <c r="F119" s="406"/>
      <c r="G119" s="406"/>
      <c r="H119" s="406"/>
      <c r="I119" s="407"/>
      <c r="J119" s="407"/>
    </row>
    <row r="120" customFormat="false" ht="14.25" hidden="false" customHeight="false" outlineLevel="0" collapsed="false">
      <c r="A120" s="408" t="s">
        <v>778</v>
      </c>
      <c r="B120" s="408"/>
      <c r="C120" s="408"/>
      <c r="D120" s="408"/>
      <c r="E120" s="408"/>
      <c r="F120" s="409" t="s">
        <v>659</v>
      </c>
      <c r="G120" s="410"/>
      <c r="H120" s="411"/>
      <c r="I120" s="412" t="n">
        <f aca="false">I118+I119</f>
        <v>120247.36</v>
      </c>
      <c r="J120" s="412"/>
    </row>
    <row r="121" customFormat="false" ht="14.25" hidden="false" customHeight="false" outlineLevel="0" collapsed="false">
      <c r="F121" s="413" t="s">
        <v>660</v>
      </c>
      <c r="G121" s="414"/>
      <c r="H121" s="415"/>
      <c r="I121" s="416"/>
      <c r="J121" s="416"/>
      <c r="M121" s="400"/>
    </row>
    <row r="122" customFormat="false" ht="14.25" hidden="false" customHeight="false" outlineLevel="0" collapsed="false">
      <c r="F122" s="417" t="s">
        <v>591</v>
      </c>
      <c r="G122" s="418"/>
      <c r="H122" s="419"/>
      <c r="I122" s="420" t="n">
        <f aca="false">IFERROR(VALUE(I120) - VALUE(I121), 0)</f>
        <v>120247.36</v>
      </c>
      <c r="J122" s="420"/>
    </row>
    <row r="124" customFormat="false" ht="52.2" hidden="false" customHeight="false" outlineLevel="0" collapsed="false">
      <c r="A124" s="390" t="s">
        <v>647</v>
      </c>
      <c r="B124" s="390"/>
      <c r="C124" s="424" t="s">
        <v>780</v>
      </c>
      <c r="D124" s="424"/>
      <c r="E124" s="424"/>
      <c r="G124" s="390" t="s">
        <v>755</v>
      </c>
      <c r="H124" s="390"/>
      <c r="I124" s="425" t="n">
        <v>44600</v>
      </c>
      <c r="J124" s="425"/>
      <c r="L124" s="161" t="s">
        <v>628</v>
      </c>
      <c r="M124" s="423" t="s">
        <v>811</v>
      </c>
    </row>
    <row r="125" customFormat="false" ht="14.25" hidden="false" customHeight="false" outlineLevel="0" collapsed="false">
      <c r="A125" s="394" t="s">
        <v>12</v>
      </c>
      <c r="B125" s="394"/>
      <c r="C125" s="426" t="s">
        <v>812</v>
      </c>
      <c r="D125" s="426"/>
      <c r="E125" s="426"/>
      <c r="G125" s="396" t="s">
        <v>759</v>
      </c>
      <c r="H125" s="396"/>
      <c r="I125" s="427" t="n">
        <v>171579.29</v>
      </c>
      <c r="J125" s="427"/>
    </row>
    <row r="126" customFormat="false" ht="14.25" hidden="false" customHeight="false" outlineLevel="0" collapsed="false">
      <c r="G126" s="396" t="s">
        <v>761</v>
      </c>
      <c r="H126" s="396"/>
      <c r="I126" s="428" t="s">
        <v>813</v>
      </c>
      <c r="J126" s="428"/>
    </row>
    <row r="127" customFormat="false" ht="14.25" hidden="false" customHeight="false" outlineLevel="0" collapsed="false">
      <c r="A127" s="397"/>
      <c r="B127" s="397"/>
      <c r="C127" s="397"/>
      <c r="D127" s="397"/>
      <c r="G127" s="394" t="s">
        <v>763</v>
      </c>
      <c r="H127" s="394"/>
      <c r="I127" s="429" t="n">
        <v>0.015</v>
      </c>
      <c r="J127" s="429"/>
    </row>
    <row r="129" customFormat="false" ht="26.85" hidden="false" customHeight="false" outlineLevel="0" collapsed="false">
      <c r="A129" s="398" t="s">
        <v>764</v>
      </c>
      <c r="B129" s="398"/>
      <c r="C129" s="398"/>
      <c r="D129" s="398"/>
      <c r="E129" s="398"/>
      <c r="F129" s="398"/>
      <c r="G129" s="398"/>
      <c r="H129" s="398"/>
      <c r="I129" s="399" t="n">
        <v>171579.29</v>
      </c>
      <c r="J129" s="399"/>
      <c r="L129" s="435"/>
      <c r="M129" s="400" t="s">
        <v>814</v>
      </c>
    </row>
    <row r="130" customFormat="false" ht="14.25" hidden="false" customHeight="false" outlineLevel="0" collapsed="false">
      <c r="A130" s="401" t="s">
        <v>766</v>
      </c>
      <c r="B130" s="401"/>
      <c r="C130" s="401"/>
      <c r="D130" s="401"/>
      <c r="E130" s="401"/>
      <c r="F130" s="401"/>
      <c r="G130" s="401"/>
      <c r="H130" s="401"/>
      <c r="I130" s="402"/>
      <c r="J130" s="402"/>
    </row>
    <row r="131" customFormat="false" ht="14.25" hidden="false" customHeight="false" outlineLevel="0" collapsed="false">
      <c r="A131" s="401" t="s">
        <v>768</v>
      </c>
      <c r="B131" s="401"/>
      <c r="C131" s="401"/>
      <c r="D131" s="401"/>
      <c r="E131" s="401"/>
      <c r="F131" s="401"/>
      <c r="G131" s="401"/>
      <c r="H131" s="401"/>
      <c r="I131" s="403" t="n">
        <f aca="false">I129-I130</f>
        <v>171579.29</v>
      </c>
      <c r="J131" s="403"/>
    </row>
    <row r="132" customFormat="false" ht="14.25" hidden="false" customHeight="false" outlineLevel="0" collapsed="false">
      <c r="A132" s="401" t="s">
        <v>770</v>
      </c>
      <c r="B132" s="401"/>
      <c r="C132" s="401"/>
      <c r="D132" s="401"/>
      <c r="E132" s="401"/>
      <c r="F132" s="401"/>
      <c r="G132" s="401"/>
      <c r="H132" s="401"/>
      <c r="I132" s="402"/>
      <c r="J132" s="402"/>
    </row>
    <row r="133" customFormat="false" ht="14.25" hidden="false" customHeight="false" outlineLevel="0" collapsed="false">
      <c r="A133" s="401" t="s">
        <v>772</v>
      </c>
      <c r="B133" s="401"/>
      <c r="C133" s="401"/>
      <c r="D133" s="401"/>
      <c r="E133" s="401"/>
      <c r="F133" s="401"/>
      <c r="G133" s="401"/>
      <c r="H133" s="401"/>
      <c r="I133" s="404"/>
      <c r="J133" s="404"/>
    </row>
    <row r="134" customFormat="false" ht="14.25" hidden="false" customHeight="false" outlineLevel="0" collapsed="false">
      <c r="A134" s="401" t="s">
        <v>774</v>
      </c>
      <c r="B134" s="401"/>
      <c r="C134" s="401"/>
      <c r="D134" s="401"/>
      <c r="E134" s="401"/>
      <c r="F134" s="401"/>
      <c r="G134" s="401"/>
      <c r="H134" s="401"/>
      <c r="I134" s="402" t="n">
        <v>2510.96</v>
      </c>
      <c r="J134" s="402"/>
      <c r="M134" s="400" t="s">
        <v>815</v>
      </c>
    </row>
    <row r="135" customFormat="false" ht="26.85" hidden="false" customHeight="false" outlineLevel="0" collapsed="false">
      <c r="A135" s="401" t="s">
        <v>776</v>
      </c>
      <c r="B135" s="401"/>
      <c r="C135" s="401"/>
      <c r="D135" s="401"/>
      <c r="E135" s="401"/>
      <c r="F135" s="401"/>
      <c r="G135" s="401"/>
      <c r="H135" s="401"/>
      <c r="I135" s="405" t="n">
        <f aca="false">I131-I132+I133+I134</f>
        <v>174090.25</v>
      </c>
      <c r="J135" s="405"/>
      <c r="M135" s="400" t="s">
        <v>816</v>
      </c>
      <c r="N135" s="436" t="n">
        <v>174090.25</v>
      </c>
    </row>
    <row r="136" customFormat="false" ht="14.25" hidden="false" customHeight="false" outlineLevel="0" collapsed="false">
      <c r="A136" s="406" t="s">
        <v>777</v>
      </c>
      <c r="B136" s="406"/>
      <c r="C136" s="406"/>
      <c r="D136" s="406"/>
      <c r="E136" s="406"/>
      <c r="F136" s="406"/>
      <c r="G136" s="406"/>
      <c r="H136" s="406"/>
      <c r="I136" s="407"/>
      <c r="J136" s="407"/>
      <c r="M136" s="400" t="s">
        <v>817</v>
      </c>
      <c r="N136" s="436" t="n">
        <f aca="false">+I129</f>
        <v>171579.29</v>
      </c>
    </row>
    <row r="137" customFormat="false" ht="14.25" hidden="false" customHeight="false" outlineLevel="0" collapsed="false">
      <c r="A137" s="408" t="s">
        <v>778</v>
      </c>
      <c r="B137" s="408"/>
      <c r="C137" s="408"/>
      <c r="D137" s="408"/>
      <c r="E137" s="408"/>
      <c r="F137" s="409" t="s">
        <v>659</v>
      </c>
      <c r="G137" s="410"/>
      <c r="H137" s="411"/>
      <c r="I137" s="412" t="n">
        <f aca="false">I135+I136</f>
        <v>174090.25</v>
      </c>
      <c r="J137" s="412"/>
      <c r="M137" s="437" t="s">
        <v>774</v>
      </c>
      <c r="N137" s="438" t="n">
        <f aca="false">+N135-N136</f>
        <v>2510.95999999999</v>
      </c>
    </row>
    <row r="138" customFormat="false" ht="14.25" hidden="false" customHeight="false" outlineLevel="0" collapsed="false">
      <c r="F138" s="413" t="s">
        <v>660</v>
      </c>
      <c r="G138" s="414"/>
      <c r="H138" s="415"/>
      <c r="I138" s="416"/>
      <c r="J138" s="416"/>
    </row>
    <row r="139" customFormat="false" ht="14.25" hidden="false" customHeight="false" outlineLevel="0" collapsed="false">
      <c r="F139" s="417" t="s">
        <v>591</v>
      </c>
      <c r="G139" s="418"/>
      <c r="H139" s="419"/>
      <c r="I139" s="420" t="n">
        <f aca="false">IFERROR(VALUE(I137) - VALUE(I138), 0)</f>
        <v>174090.25</v>
      </c>
      <c r="J139" s="420"/>
    </row>
    <row r="155" customFormat="false" ht="14.25" hidden="false" customHeight="false" outlineLevel="0" collapsed="false">
      <c r="B155" s="173" t="s">
        <v>818</v>
      </c>
      <c r="C155" s="173" t="s">
        <v>819</v>
      </c>
    </row>
  </sheetData>
  <mergeCells count="257">
    <mergeCell ref="A2:J2"/>
    <mergeCell ref="A5:B5"/>
    <mergeCell ref="C5:E5"/>
    <mergeCell ref="G5:H5"/>
    <mergeCell ref="I5:J5"/>
    <mergeCell ref="A6:B6"/>
    <mergeCell ref="C6:E6"/>
    <mergeCell ref="G6:H6"/>
    <mergeCell ref="I6:J6"/>
    <mergeCell ref="G7:H7"/>
    <mergeCell ref="I7:J7"/>
    <mergeCell ref="A8:D8"/>
    <mergeCell ref="G8:H8"/>
    <mergeCell ref="I8:J8"/>
    <mergeCell ref="A10:H10"/>
    <mergeCell ref="I10:J10"/>
    <mergeCell ref="A11:H11"/>
    <mergeCell ref="I11:J11"/>
    <mergeCell ref="A12:H12"/>
    <mergeCell ref="I12:J12"/>
    <mergeCell ref="A13:H13"/>
    <mergeCell ref="I13:J13"/>
    <mergeCell ref="A14:H14"/>
    <mergeCell ref="I14:J14"/>
    <mergeCell ref="A15:H15"/>
    <mergeCell ref="I15:J15"/>
    <mergeCell ref="A16:H16"/>
    <mergeCell ref="I16:J16"/>
    <mergeCell ref="A17:H17"/>
    <mergeCell ref="I17:J17"/>
    <mergeCell ref="I18:J18"/>
    <mergeCell ref="I19:J19"/>
    <mergeCell ref="I20:J20"/>
    <mergeCell ref="A22:B22"/>
    <mergeCell ref="C22:E22"/>
    <mergeCell ref="G22:H22"/>
    <mergeCell ref="I22:J22"/>
    <mergeCell ref="A23:B23"/>
    <mergeCell ref="C23:E23"/>
    <mergeCell ref="G23:H23"/>
    <mergeCell ref="I23:J23"/>
    <mergeCell ref="G24:H24"/>
    <mergeCell ref="I24:J24"/>
    <mergeCell ref="A25:D25"/>
    <mergeCell ref="G25:H25"/>
    <mergeCell ref="I25:J25"/>
    <mergeCell ref="A27:H27"/>
    <mergeCell ref="I27:J27"/>
    <mergeCell ref="A28:H28"/>
    <mergeCell ref="I28:J28"/>
    <mergeCell ref="A29:H29"/>
    <mergeCell ref="I29:J29"/>
    <mergeCell ref="A30:H30"/>
    <mergeCell ref="I30:J30"/>
    <mergeCell ref="A31:H31"/>
    <mergeCell ref="I31:J31"/>
    <mergeCell ref="A32:H32"/>
    <mergeCell ref="I32:J32"/>
    <mergeCell ref="A33:H33"/>
    <mergeCell ref="I33:J33"/>
    <mergeCell ref="A34:H34"/>
    <mergeCell ref="I34:J34"/>
    <mergeCell ref="I35:J35"/>
    <mergeCell ref="I36:J36"/>
    <mergeCell ref="I37:J37"/>
    <mergeCell ref="A39:B39"/>
    <mergeCell ref="C39:E39"/>
    <mergeCell ref="G39:H39"/>
    <mergeCell ref="I39:J39"/>
    <mergeCell ref="A40:B40"/>
    <mergeCell ref="C40:E40"/>
    <mergeCell ref="G40:H40"/>
    <mergeCell ref="I40:J40"/>
    <mergeCell ref="G41:H41"/>
    <mergeCell ref="I41:J41"/>
    <mergeCell ref="A42:D42"/>
    <mergeCell ref="G42:H42"/>
    <mergeCell ref="I42:J42"/>
    <mergeCell ref="A44:H44"/>
    <mergeCell ref="I44:J44"/>
    <mergeCell ref="A45:H45"/>
    <mergeCell ref="I45:J45"/>
    <mergeCell ref="A46:H46"/>
    <mergeCell ref="I46:J46"/>
    <mergeCell ref="A47:H47"/>
    <mergeCell ref="I47:J47"/>
    <mergeCell ref="A48:H48"/>
    <mergeCell ref="I48:J48"/>
    <mergeCell ref="A49:H49"/>
    <mergeCell ref="I49:J49"/>
    <mergeCell ref="A50:H50"/>
    <mergeCell ref="I50:J50"/>
    <mergeCell ref="A51:H51"/>
    <mergeCell ref="I51:J51"/>
    <mergeCell ref="I52:J52"/>
    <mergeCell ref="I53:J53"/>
    <mergeCell ref="I54:J54"/>
    <mergeCell ref="A56:B56"/>
    <mergeCell ref="C56:E56"/>
    <mergeCell ref="G56:H56"/>
    <mergeCell ref="I56:J56"/>
    <mergeCell ref="A57:B57"/>
    <mergeCell ref="C57:E57"/>
    <mergeCell ref="G57:H57"/>
    <mergeCell ref="I57:J57"/>
    <mergeCell ref="G58:H58"/>
    <mergeCell ref="I58:J58"/>
    <mergeCell ref="A59:D59"/>
    <mergeCell ref="G59:H59"/>
    <mergeCell ref="I59:J59"/>
    <mergeCell ref="A61:H61"/>
    <mergeCell ref="I61:J61"/>
    <mergeCell ref="A62:H62"/>
    <mergeCell ref="I62:J62"/>
    <mergeCell ref="A63:H63"/>
    <mergeCell ref="I63:J63"/>
    <mergeCell ref="A64:H64"/>
    <mergeCell ref="I64:J64"/>
    <mergeCell ref="A65:H65"/>
    <mergeCell ref="I65:J65"/>
    <mergeCell ref="A66:H66"/>
    <mergeCell ref="I66:J66"/>
    <mergeCell ref="A67:H67"/>
    <mergeCell ref="I67:J67"/>
    <mergeCell ref="A68:H68"/>
    <mergeCell ref="I68:J68"/>
    <mergeCell ref="I69:J69"/>
    <mergeCell ref="I70:J70"/>
    <mergeCell ref="I71:J71"/>
    <mergeCell ref="A73:B73"/>
    <mergeCell ref="C73:E73"/>
    <mergeCell ref="G73:H73"/>
    <mergeCell ref="I73:J73"/>
    <mergeCell ref="A74:B74"/>
    <mergeCell ref="C74:E74"/>
    <mergeCell ref="G74:H74"/>
    <mergeCell ref="I74:J74"/>
    <mergeCell ref="G75:H75"/>
    <mergeCell ref="I75:J75"/>
    <mergeCell ref="A76:D76"/>
    <mergeCell ref="G76:H76"/>
    <mergeCell ref="I76:J76"/>
    <mergeCell ref="A78:H78"/>
    <mergeCell ref="I78:J78"/>
    <mergeCell ref="A79:H79"/>
    <mergeCell ref="I79:J79"/>
    <mergeCell ref="A80:H80"/>
    <mergeCell ref="I80:J80"/>
    <mergeCell ref="A81:H81"/>
    <mergeCell ref="I81:J81"/>
    <mergeCell ref="A82:H82"/>
    <mergeCell ref="I82:J82"/>
    <mergeCell ref="A83:H83"/>
    <mergeCell ref="I83:J83"/>
    <mergeCell ref="A84:H84"/>
    <mergeCell ref="I84:J84"/>
    <mergeCell ref="A85:H85"/>
    <mergeCell ref="I85:J85"/>
    <mergeCell ref="I86:J86"/>
    <mergeCell ref="I87:J87"/>
    <mergeCell ref="I88:J88"/>
    <mergeCell ref="A90:B90"/>
    <mergeCell ref="C90:E90"/>
    <mergeCell ref="G90:H90"/>
    <mergeCell ref="I90:J90"/>
    <mergeCell ref="A91:B91"/>
    <mergeCell ref="C91:E91"/>
    <mergeCell ref="G91:H91"/>
    <mergeCell ref="I91:J91"/>
    <mergeCell ref="G92:H92"/>
    <mergeCell ref="I92:J92"/>
    <mergeCell ref="A93:D93"/>
    <mergeCell ref="G93:H93"/>
    <mergeCell ref="I93:J93"/>
    <mergeCell ref="A95:H95"/>
    <mergeCell ref="I95:J95"/>
    <mergeCell ref="A96:H96"/>
    <mergeCell ref="I96:J96"/>
    <mergeCell ref="A97:H97"/>
    <mergeCell ref="I97:J97"/>
    <mergeCell ref="A98:H98"/>
    <mergeCell ref="I98:J98"/>
    <mergeCell ref="A99:H99"/>
    <mergeCell ref="I99:J99"/>
    <mergeCell ref="A100:H100"/>
    <mergeCell ref="I100:J100"/>
    <mergeCell ref="A101:H101"/>
    <mergeCell ref="I101:J101"/>
    <mergeCell ref="A102:H102"/>
    <mergeCell ref="I102:J102"/>
    <mergeCell ref="I103:J103"/>
    <mergeCell ref="I104:J104"/>
    <mergeCell ref="I105:J105"/>
    <mergeCell ref="A107:B107"/>
    <mergeCell ref="C107:E107"/>
    <mergeCell ref="G107:H107"/>
    <mergeCell ref="I107:J107"/>
    <mergeCell ref="A108:B108"/>
    <mergeCell ref="C108:E108"/>
    <mergeCell ref="G108:H108"/>
    <mergeCell ref="I108:J108"/>
    <mergeCell ref="G109:H109"/>
    <mergeCell ref="I109:J109"/>
    <mergeCell ref="A110:D110"/>
    <mergeCell ref="G110:H110"/>
    <mergeCell ref="I110:J110"/>
    <mergeCell ref="A112:H112"/>
    <mergeCell ref="I112:J112"/>
    <mergeCell ref="A113:H113"/>
    <mergeCell ref="I113:J113"/>
    <mergeCell ref="A114:H114"/>
    <mergeCell ref="I114:J114"/>
    <mergeCell ref="A115:H115"/>
    <mergeCell ref="I115:J115"/>
    <mergeCell ref="A116:H116"/>
    <mergeCell ref="I116:J116"/>
    <mergeCell ref="A117:H117"/>
    <mergeCell ref="I117:J117"/>
    <mergeCell ref="A118:H118"/>
    <mergeCell ref="I118:J118"/>
    <mergeCell ref="A119:H119"/>
    <mergeCell ref="I119:J119"/>
    <mergeCell ref="I120:J120"/>
    <mergeCell ref="I121:J121"/>
    <mergeCell ref="I122:J122"/>
    <mergeCell ref="A124:B124"/>
    <mergeCell ref="C124:E124"/>
    <mergeCell ref="G124:H124"/>
    <mergeCell ref="I124:J124"/>
    <mergeCell ref="A125:B125"/>
    <mergeCell ref="C125:E125"/>
    <mergeCell ref="G125:H125"/>
    <mergeCell ref="I125:J125"/>
    <mergeCell ref="G126:H126"/>
    <mergeCell ref="I126:J126"/>
    <mergeCell ref="A127:D127"/>
    <mergeCell ref="G127:H127"/>
    <mergeCell ref="I127:J127"/>
    <mergeCell ref="A129:H129"/>
    <mergeCell ref="I129:J129"/>
    <mergeCell ref="A130:H130"/>
    <mergeCell ref="I130:J130"/>
    <mergeCell ref="A131:H131"/>
    <mergeCell ref="I131:J131"/>
    <mergeCell ref="A132:H132"/>
    <mergeCell ref="I132:J132"/>
    <mergeCell ref="A133:H133"/>
    <mergeCell ref="I133:J133"/>
    <mergeCell ref="A134:H134"/>
    <mergeCell ref="I134:J134"/>
    <mergeCell ref="A135:H135"/>
    <mergeCell ref="I135:J135"/>
    <mergeCell ref="A136:H136"/>
    <mergeCell ref="I136:J136"/>
    <mergeCell ref="I137:J137"/>
    <mergeCell ref="I138:J138"/>
    <mergeCell ref="I139:J1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9.14453125" defaultRowHeight="15" zeroHeight="false" outlineLevelRow="0" outlineLevelCol="0"/>
  <cols>
    <col collapsed="false" customWidth="true" hidden="false" outlineLevel="0" max="1" min="1" style="260" width="36.86"/>
    <col collapsed="false" customWidth="true" hidden="false" outlineLevel="0" max="2" min="2" style="260" width="28.14"/>
    <col collapsed="false" customWidth="true" hidden="false" outlineLevel="0" max="3" min="3" style="260" width="19.15"/>
    <col collapsed="false" customWidth="true" hidden="false" outlineLevel="0" max="4" min="4" style="260" width="17.14"/>
    <col collapsed="false" customWidth="true" hidden="false" outlineLevel="0" max="5" min="5" style="260" width="15.15"/>
    <col collapsed="false" customWidth="false" hidden="false" outlineLevel="0" max="6" min="6" style="260" width="9.14"/>
    <col collapsed="false" customWidth="true" hidden="false" outlineLevel="0" max="7" min="7" style="260" width="10.57"/>
    <col collapsed="false" customWidth="false" hidden="false" outlineLevel="0" max="8" min="8" style="260" width="9.14"/>
    <col collapsed="false" customWidth="true" hidden="false" outlineLevel="0" max="9" min="9" style="260" width="23.43"/>
    <col collapsed="false" customWidth="false" hidden="false" outlineLevel="0" max="16384" min="10" style="260" width="9.14"/>
  </cols>
  <sheetData>
    <row r="1" s="23" customFormat="true" ht="20.25" hidden="false" customHeight="true" outlineLevel="0" collapsed="false">
      <c r="A1" s="54"/>
    </row>
    <row r="2" s="23" customFormat="true" ht="20.25" hidden="false" customHeight="true" outlineLevel="0" collapsed="false">
      <c r="A2" s="24" t="s">
        <v>536</v>
      </c>
      <c r="B2" s="24"/>
      <c r="C2" s="24"/>
      <c r="D2" s="24"/>
      <c r="E2" s="24"/>
    </row>
    <row r="4" customFormat="false" ht="15.75" hidden="false" customHeight="true" outlineLevel="0" collapsed="false">
      <c r="A4" s="439" t="s">
        <v>820</v>
      </c>
      <c r="B4" s="439"/>
      <c r="C4" s="439"/>
      <c r="D4" s="440"/>
      <c r="E4" s="440"/>
      <c r="G4" s="161" t="s">
        <v>628</v>
      </c>
    </row>
    <row r="5" customFormat="false" ht="15" hidden="false" customHeight="false" outlineLevel="0" collapsed="false">
      <c r="A5" s="441"/>
      <c r="B5" s="442"/>
      <c r="C5" s="442"/>
      <c r="D5" s="442" t="s">
        <v>821</v>
      </c>
      <c r="E5" s="442" t="s">
        <v>822</v>
      </c>
    </row>
    <row r="6" customFormat="false" ht="15" hidden="false" customHeight="false" outlineLevel="0" collapsed="false">
      <c r="A6" s="443" t="s">
        <v>764</v>
      </c>
      <c r="B6" s="444"/>
      <c r="C6" s="444"/>
      <c r="D6" s="445"/>
      <c r="E6" s="446"/>
    </row>
    <row r="7" customFormat="false" ht="15" hidden="false" customHeight="false" outlineLevel="0" collapsed="false">
      <c r="A7" s="447" t="s">
        <v>823</v>
      </c>
      <c r="B7" s="448"/>
      <c r="C7" s="448"/>
      <c r="D7" s="449"/>
      <c r="E7" s="450"/>
    </row>
    <row r="8" customFormat="false" ht="15" hidden="false" customHeight="false" outlineLevel="0" collapsed="false">
      <c r="A8" s="447" t="s">
        <v>824</v>
      </c>
      <c r="B8" s="448"/>
      <c r="C8" s="448"/>
      <c r="D8" s="449"/>
      <c r="E8" s="450"/>
    </row>
    <row r="9" customFormat="false" ht="15" hidden="false" customHeight="false" outlineLevel="0" collapsed="false">
      <c r="A9" s="447" t="s">
        <v>825</v>
      </c>
      <c r="B9" s="448"/>
      <c r="C9" s="448"/>
      <c r="D9" s="449"/>
      <c r="E9" s="451"/>
    </row>
    <row r="10" customFormat="false" ht="15" hidden="false" customHeight="false" outlineLevel="0" collapsed="false">
      <c r="A10" s="447" t="s">
        <v>826</v>
      </c>
      <c r="B10" s="448"/>
      <c r="C10" s="448"/>
      <c r="D10" s="449"/>
      <c r="E10" s="450"/>
    </row>
    <row r="11" customFormat="false" ht="15" hidden="false" customHeight="false" outlineLevel="0" collapsed="false">
      <c r="A11" s="447" t="s">
        <v>827</v>
      </c>
      <c r="B11" s="448"/>
      <c r="C11" s="448"/>
      <c r="D11" s="449"/>
      <c r="E11" s="452"/>
    </row>
    <row r="12" customFormat="false" ht="15" hidden="false" customHeight="false" outlineLevel="0" collapsed="false">
      <c r="A12" s="453" t="s">
        <v>778</v>
      </c>
      <c r="B12" s="454" t="s">
        <v>828</v>
      </c>
      <c r="C12" s="455" t="n">
        <f aca="false">IF(D12=0,0,(+E12/D12))</f>
        <v>0</v>
      </c>
      <c r="D12" s="455" t="n">
        <f aca="false">SUM(D6:D8)-D9+D10+D11</f>
        <v>0</v>
      </c>
      <c r="E12" s="456" t="n">
        <f aca="false">SUM(E6:E8)-E9+SUM(E10:E11)</f>
        <v>0</v>
      </c>
    </row>
    <row r="13" customFormat="false" ht="15.75" hidden="false" customHeight="true" outlineLevel="0" collapsed="false">
      <c r="C13" s="457" t="s">
        <v>660</v>
      </c>
      <c r="D13" s="457"/>
      <c r="E13" s="458" t="n">
        <f aca="false">DSH!E53</f>
        <v>0</v>
      </c>
    </row>
    <row r="14" customFormat="false" ht="15.75" hidden="false" customHeight="true" outlineLevel="0" collapsed="false">
      <c r="C14" s="459" t="s">
        <v>591</v>
      </c>
      <c r="D14" s="459"/>
      <c r="E14" s="456" t="n">
        <f aca="false">IFERROR(VALUE(E12) - VALUE(E13), 0)</f>
        <v>0</v>
      </c>
    </row>
    <row r="16" customFormat="false" ht="15.75" hidden="false" customHeight="true" outlineLevel="0" collapsed="false">
      <c r="A16" s="439" t="s">
        <v>820</v>
      </c>
      <c r="B16" s="439"/>
      <c r="C16" s="439"/>
      <c r="D16" s="440"/>
      <c r="E16" s="440"/>
      <c r="G16" s="161" t="s">
        <v>628</v>
      </c>
    </row>
    <row r="17" customFormat="false" ht="15" hidden="false" customHeight="false" outlineLevel="0" collapsed="false">
      <c r="A17" s="441"/>
      <c r="B17" s="442"/>
      <c r="C17" s="442"/>
      <c r="D17" s="442" t="s">
        <v>821</v>
      </c>
      <c r="E17" s="442" t="s">
        <v>822</v>
      </c>
    </row>
    <row r="18" customFormat="false" ht="15" hidden="false" customHeight="false" outlineLevel="0" collapsed="false">
      <c r="A18" s="443" t="s">
        <v>764</v>
      </c>
      <c r="B18" s="444"/>
      <c r="C18" s="444"/>
      <c r="D18" s="445"/>
      <c r="E18" s="446"/>
    </row>
    <row r="19" customFormat="false" ht="15" hidden="false" customHeight="false" outlineLevel="0" collapsed="false">
      <c r="A19" s="447" t="s">
        <v>823</v>
      </c>
      <c r="B19" s="448"/>
      <c r="C19" s="448"/>
      <c r="D19" s="449"/>
      <c r="E19" s="450"/>
    </row>
    <row r="20" customFormat="false" ht="15" hidden="false" customHeight="false" outlineLevel="0" collapsed="false">
      <c r="A20" s="447" t="s">
        <v>824</v>
      </c>
      <c r="B20" s="448"/>
      <c r="C20" s="448"/>
      <c r="D20" s="449"/>
      <c r="E20" s="450"/>
    </row>
    <row r="21" customFormat="false" ht="15" hidden="false" customHeight="false" outlineLevel="0" collapsed="false">
      <c r="A21" s="447" t="s">
        <v>825</v>
      </c>
      <c r="B21" s="448"/>
      <c r="C21" s="448"/>
      <c r="D21" s="449"/>
      <c r="E21" s="451"/>
    </row>
    <row r="22" customFormat="false" ht="15" hidden="false" customHeight="false" outlineLevel="0" collapsed="false">
      <c r="A22" s="447" t="s">
        <v>826</v>
      </c>
      <c r="B22" s="448"/>
      <c r="C22" s="448"/>
      <c r="D22" s="449"/>
      <c r="E22" s="450"/>
    </row>
    <row r="23" customFormat="false" ht="15" hidden="false" customHeight="false" outlineLevel="0" collapsed="false">
      <c r="A23" s="447" t="s">
        <v>827</v>
      </c>
      <c r="B23" s="448"/>
      <c r="C23" s="448"/>
      <c r="D23" s="449"/>
      <c r="E23" s="452"/>
    </row>
    <row r="24" customFormat="false" ht="15" hidden="false" customHeight="false" outlineLevel="0" collapsed="false">
      <c r="A24" s="453" t="s">
        <v>778</v>
      </c>
      <c r="B24" s="454" t="s">
        <v>828</v>
      </c>
      <c r="C24" s="455" t="n">
        <f aca="false">IF(D24=0,0,(+E24/D24))</f>
        <v>0</v>
      </c>
      <c r="D24" s="455" t="n">
        <f aca="false">SUM(D18:D20)-D21+D22+D23</f>
        <v>0</v>
      </c>
      <c r="E24" s="456" t="n">
        <f aca="false">SUM(E18:E20)-E21+SUM(E22:E23)</f>
        <v>0</v>
      </c>
    </row>
    <row r="25" customFormat="false" ht="15.75" hidden="false" customHeight="true" outlineLevel="0" collapsed="false">
      <c r="C25" s="457" t="s">
        <v>660</v>
      </c>
      <c r="D25" s="457"/>
      <c r="E25" s="458" t="n">
        <f aca="false">DSH!E54</f>
        <v>0</v>
      </c>
    </row>
    <row r="26" customFormat="false" ht="15.75" hidden="false" customHeight="true" outlineLevel="0" collapsed="false">
      <c r="C26" s="459" t="s">
        <v>591</v>
      </c>
      <c r="D26" s="459"/>
      <c r="E26" s="456" t="n">
        <f aca="false">IFERROR(VALUE(E24) - VALUE(E25), 0)</f>
        <v>0</v>
      </c>
    </row>
    <row r="28" customFormat="false" ht="15.75" hidden="false" customHeight="true" outlineLevel="0" collapsed="false">
      <c r="A28" s="439" t="s">
        <v>820</v>
      </c>
      <c r="B28" s="439"/>
      <c r="C28" s="439"/>
      <c r="D28" s="440"/>
      <c r="E28" s="440"/>
      <c r="G28" s="161" t="s">
        <v>628</v>
      </c>
    </row>
    <row r="29" customFormat="false" ht="15" hidden="false" customHeight="false" outlineLevel="0" collapsed="false">
      <c r="A29" s="441"/>
      <c r="B29" s="442"/>
      <c r="C29" s="442"/>
      <c r="D29" s="442" t="s">
        <v>821</v>
      </c>
      <c r="E29" s="442" t="s">
        <v>822</v>
      </c>
    </row>
    <row r="30" customFormat="false" ht="15" hidden="false" customHeight="false" outlineLevel="0" collapsed="false">
      <c r="A30" s="443" t="s">
        <v>764</v>
      </c>
      <c r="B30" s="444"/>
      <c r="C30" s="444"/>
      <c r="D30" s="445"/>
      <c r="E30" s="446"/>
    </row>
    <row r="31" customFormat="false" ht="15" hidden="false" customHeight="false" outlineLevel="0" collapsed="false">
      <c r="A31" s="447" t="s">
        <v>823</v>
      </c>
      <c r="B31" s="448"/>
      <c r="C31" s="448"/>
      <c r="D31" s="449"/>
      <c r="E31" s="450"/>
    </row>
    <row r="32" customFormat="false" ht="15" hidden="false" customHeight="false" outlineLevel="0" collapsed="false">
      <c r="A32" s="447" t="s">
        <v>824</v>
      </c>
      <c r="B32" s="448"/>
      <c r="C32" s="448"/>
      <c r="D32" s="449"/>
      <c r="E32" s="450"/>
    </row>
    <row r="33" customFormat="false" ht="15" hidden="false" customHeight="false" outlineLevel="0" collapsed="false">
      <c r="A33" s="447" t="s">
        <v>825</v>
      </c>
      <c r="B33" s="448"/>
      <c r="C33" s="448"/>
      <c r="D33" s="449"/>
      <c r="E33" s="451"/>
    </row>
    <row r="34" customFormat="false" ht="15" hidden="false" customHeight="false" outlineLevel="0" collapsed="false">
      <c r="A34" s="447" t="s">
        <v>826</v>
      </c>
      <c r="B34" s="448"/>
      <c r="C34" s="448"/>
      <c r="D34" s="449"/>
      <c r="E34" s="450"/>
    </row>
    <row r="35" customFormat="false" ht="15" hidden="false" customHeight="false" outlineLevel="0" collapsed="false">
      <c r="A35" s="447" t="s">
        <v>827</v>
      </c>
      <c r="B35" s="448"/>
      <c r="C35" s="448"/>
      <c r="D35" s="449"/>
      <c r="E35" s="452"/>
    </row>
    <row r="36" customFormat="false" ht="15" hidden="false" customHeight="false" outlineLevel="0" collapsed="false">
      <c r="A36" s="453" t="s">
        <v>778</v>
      </c>
      <c r="B36" s="454" t="s">
        <v>828</v>
      </c>
      <c r="C36" s="455" t="n">
        <f aca="false">IF(D36=0,0,(+E36/D36))</f>
        <v>0</v>
      </c>
      <c r="D36" s="455" t="n">
        <f aca="false">SUM(D30:D32)-D33+D34+D35</f>
        <v>0</v>
      </c>
      <c r="E36" s="456" t="n">
        <f aca="false">SUM(E30:E32)-E33+SUM(E34:E35)</f>
        <v>0</v>
      </c>
    </row>
    <row r="37" customFormat="false" ht="15.75" hidden="false" customHeight="true" outlineLevel="0" collapsed="false">
      <c r="C37" s="457" t="s">
        <v>660</v>
      </c>
      <c r="D37" s="457"/>
      <c r="E37" s="458" t="n">
        <f aca="false">DSH!E55</f>
        <v>0</v>
      </c>
    </row>
    <row r="38" customFormat="false" ht="15.75" hidden="false" customHeight="true" outlineLevel="0" collapsed="false">
      <c r="C38" s="459" t="s">
        <v>591</v>
      </c>
      <c r="D38" s="459"/>
      <c r="E38" s="456" t="n">
        <f aca="false">IFERROR(VALUE(E36) - VALUE(E37), 0)</f>
        <v>0</v>
      </c>
    </row>
    <row r="40" customFormat="false" ht="15.75" hidden="false" customHeight="true" outlineLevel="0" collapsed="false">
      <c r="A40" s="439" t="s">
        <v>820</v>
      </c>
      <c r="B40" s="439"/>
      <c r="C40" s="439"/>
      <c r="D40" s="440"/>
      <c r="E40" s="440"/>
      <c r="G40" s="161" t="s">
        <v>628</v>
      </c>
    </row>
    <row r="41" customFormat="false" ht="15" hidden="false" customHeight="false" outlineLevel="0" collapsed="false">
      <c r="A41" s="441"/>
      <c r="B41" s="442"/>
      <c r="C41" s="442"/>
      <c r="D41" s="442" t="s">
        <v>821</v>
      </c>
      <c r="E41" s="442" t="s">
        <v>822</v>
      </c>
    </row>
    <row r="42" customFormat="false" ht="15" hidden="false" customHeight="false" outlineLevel="0" collapsed="false">
      <c r="A42" s="443" t="s">
        <v>764</v>
      </c>
      <c r="B42" s="444"/>
      <c r="C42" s="444"/>
      <c r="D42" s="445"/>
      <c r="E42" s="446"/>
    </row>
    <row r="43" customFormat="false" ht="15" hidden="false" customHeight="false" outlineLevel="0" collapsed="false">
      <c r="A43" s="447" t="s">
        <v>823</v>
      </c>
      <c r="B43" s="448"/>
      <c r="C43" s="448"/>
      <c r="D43" s="449"/>
      <c r="E43" s="450"/>
    </row>
    <row r="44" customFormat="false" ht="15" hidden="false" customHeight="false" outlineLevel="0" collapsed="false">
      <c r="A44" s="447" t="s">
        <v>824</v>
      </c>
      <c r="B44" s="448"/>
      <c r="C44" s="448"/>
      <c r="D44" s="449"/>
      <c r="E44" s="450"/>
    </row>
    <row r="45" customFormat="false" ht="15" hidden="false" customHeight="false" outlineLevel="0" collapsed="false">
      <c r="A45" s="447" t="s">
        <v>825</v>
      </c>
      <c r="B45" s="448"/>
      <c r="C45" s="448"/>
      <c r="D45" s="449"/>
      <c r="E45" s="451"/>
    </row>
    <row r="46" customFormat="false" ht="15" hidden="false" customHeight="false" outlineLevel="0" collapsed="false">
      <c r="A46" s="447" t="s">
        <v>826</v>
      </c>
      <c r="B46" s="448"/>
      <c r="C46" s="448"/>
      <c r="D46" s="449"/>
      <c r="E46" s="450"/>
    </row>
    <row r="47" customFormat="false" ht="15" hidden="false" customHeight="false" outlineLevel="0" collapsed="false">
      <c r="A47" s="447" t="s">
        <v>827</v>
      </c>
      <c r="B47" s="448"/>
      <c r="C47" s="448"/>
      <c r="D47" s="449"/>
      <c r="E47" s="452"/>
    </row>
    <row r="48" customFormat="false" ht="15" hidden="false" customHeight="false" outlineLevel="0" collapsed="false">
      <c r="A48" s="453" t="s">
        <v>778</v>
      </c>
      <c r="B48" s="454" t="s">
        <v>828</v>
      </c>
      <c r="C48" s="455" t="n">
        <f aca="false">IF(D48=0,0,(+E48/D48))</f>
        <v>0</v>
      </c>
      <c r="D48" s="455" t="n">
        <f aca="false">SUM(D42:D44)-D45+D46+D47</f>
        <v>0</v>
      </c>
      <c r="E48" s="456" t="n">
        <f aca="false">SUM(E42:E44)-E45+SUM(E46:E47)</f>
        <v>0</v>
      </c>
    </row>
    <row r="49" customFormat="false" ht="15.75" hidden="false" customHeight="true" outlineLevel="0" collapsed="false">
      <c r="C49" s="457" t="s">
        <v>660</v>
      </c>
      <c r="D49" s="457"/>
      <c r="E49" s="458" t="n">
        <f aca="false">DSH!E56</f>
        <v>0</v>
      </c>
    </row>
    <row r="50" customFormat="false" ht="15.75" hidden="false" customHeight="true" outlineLevel="0" collapsed="false">
      <c r="C50" s="459" t="s">
        <v>591</v>
      </c>
      <c r="D50" s="459"/>
      <c r="E50" s="456" t="n">
        <f aca="false">IFERROR(VALUE(E48) - VALUE(E49), 0)</f>
        <v>0</v>
      </c>
    </row>
    <row r="52" customFormat="false" ht="15.75" hidden="false" customHeight="true" outlineLevel="0" collapsed="false">
      <c r="A52" s="439" t="s">
        <v>820</v>
      </c>
      <c r="B52" s="439"/>
      <c r="C52" s="439"/>
      <c r="D52" s="440"/>
      <c r="E52" s="440"/>
      <c r="G52" s="161" t="s">
        <v>628</v>
      </c>
    </row>
    <row r="53" customFormat="false" ht="15" hidden="false" customHeight="false" outlineLevel="0" collapsed="false">
      <c r="A53" s="441"/>
      <c r="B53" s="442"/>
      <c r="C53" s="442"/>
      <c r="D53" s="442" t="s">
        <v>821</v>
      </c>
      <c r="E53" s="442" t="s">
        <v>822</v>
      </c>
    </row>
    <row r="54" customFormat="false" ht="15" hidden="false" customHeight="false" outlineLevel="0" collapsed="false">
      <c r="A54" s="443" t="s">
        <v>764</v>
      </c>
      <c r="B54" s="444"/>
      <c r="C54" s="444"/>
      <c r="D54" s="445"/>
      <c r="E54" s="446"/>
    </row>
    <row r="55" customFormat="false" ht="15" hidden="false" customHeight="false" outlineLevel="0" collapsed="false">
      <c r="A55" s="447" t="s">
        <v>823</v>
      </c>
      <c r="B55" s="448"/>
      <c r="C55" s="448"/>
      <c r="D55" s="449"/>
      <c r="E55" s="450"/>
    </row>
    <row r="56" customFormat="false" ht="15" hidden="false" customHeight="false" outlineLevel="0" collapsed="false">
      <c r="A56" s="447" t="s">
        <v>824</v>
      </c>
      <c r="B56" s="448"/>
      <c r="C56" s="448"/>
      <c r="D56" s="449"/>
      <c r="E56" s="450"/>
    </row>
    <row r="57" customFormat="false" ht="15" hidden="false" customHeight="false" outlineLevel="0" collapsed="false">
      <c r="A57" s="447" t="s">
        <v>825</v>
      </c>
      <c r="B57" s="448"/>
      <c r="C57" s="448"/>
      <c r="D57" s="449"/>
      <c r="E57" s="451"/>
    </row>
    <row r="58" customFormat="false" ht="15" hidden="false" customHeight="false" outlineLevel="0" collapsed="false">
      <c r="A58" s="447" t="s">
        <v>826</v>
      </c>
      <c r="B58" s="448"/>
      <c r="C58" s="448"/>
      <c r="D58" s="449"/>
      <c r="E58" s="450"/>
    </row>
    <row r="59" customFormat="false" ht="15" hidden="false" customHeight="false" outlineLevel="0" collapsed="false">
      <c r="A59" s="447" t="s">
        <v>827</v>
      </c>
      <c r="B59" s="448"/>
      <c r="C59" s="448"/>
      <c r="D59" s="449"/>
      <c r="E59" s="452"/>
    </row>
    <row r="60" customFormat="false" ht="15" hidden="false" customHeight="false" outlineLevel="0" collapsed="false">
      <c r="A60" s="453" t="s">
        <v>778</v>
      </c>
      <c r="B60" s="454" t="s">
        <v>828</v>
      </c>
      <c r="C60" s="455" t="n">
        <f aca="false">IF(D60=0,0,(+E60/D60))</f>
        <v>0</v>
      </c>
      <c r="D60" s="455" t="n">
        <f aca="false">SUM(D54:D56)-D57+D58+D59</f>
        <v>0</v>
      </c>
      <c r="E60" s="456" t="n">
        <f aca="false">SUM(E54:E56)-E57+SUM(E58:E59)</f>
        <v>0</v>
      </c>
    </row>
    <row r="61" customFormat="false" ht="15.75" hidden="false" customHeight="true" outlineLevel="0" collapsed="false">
      <c r="C61" s="457" t="s">
        <v>660</v>
      </c>
      <c r="D61" s="457"/>
      <c r="E61" s="458" t="n">
        <f aca="false">DSH!E57</f>
        <v>0</v>
      </c>
    </row>
    <row r="62" customFormat="false" ht="15.75" hidden="false" customHeight="true" outlineLevel="0" collapsed="false">
      <c r="C62" s="459" t="s">
        <v>591</v>
      </c>
      <c r="D62" s="459"/>
      <c r="E62" s="456" t="n">
        <f aca="false">IFERROR(VALUE(E60) - VALUE(E61), 0)</f>
        <v>0</v>
      </c>
    </row>
    <row r="64" customFormat="false" ht="15.75" hidden="false" customHeight="true" outlineLevel="0" collapsed="false">
      <c r="A64" s="439" t="s">
        <v>820</v>
      </c>
      <c r="B64" s="439"/>
      <c r="C64" s="439"/>
      <c r="D64" s="440"/>
      <c r="E64" s="440"/>
      <c r="G64" s="161" t="s">
        <v>628</v>
      </c>
    </row>
    <row r="65" customFormat="false" ht="15" hidden="false" customHeight="false" outlineLevel="0" collapsed="false">
      <c r="A65" s="441"/>
      <c r="B65" s="442"/>
      <c r="C65" s="442"/>
      <c r="D65" s="442" t="s">
        <v>821</v>
      </c>
      <c r="E65" s="442" t="s">
        <v>822</v>
      </c>
    </row>
    <row r="66" customFormat="false" ht="15" hidden="false" customHeight="false" outlineLevel="0" collapsed="false">
      <c r="A66" s="443" t="s">
        <v>764</v>
      </c>
      <c r="B66" s="444"/>
      <c r="C66" s="444"/>
      <c r="D66" s="445"/>
      <c r="E66" s="446"/>
    </row>
    <row r="67" customFormat="false" ht="15" hidden="false" customHeight="false" outlineLevel="0" collapsed="false">
      <c r="A67" s="447" t="s">
        <v>823</v>
      </c>
      <c r="B67" s="448"/>
      <c r="C67" s="448"/>
      <c r="D67" s="449"/>
      <c r="E67" s="450"/>
    </row>
    <row r="68" customFormat="false" ht="15" hidden="false" customHeight="false" outlineLevel="0" collapsed="false">
      <c r="A68" s="447" t="s">
        <v>824</v>
      </c>
      <c r="B68" s="448"/>
      <c r="C68" s="448"/>
      <c r="D68" s="449"/>
      <c r="E68" s="450"/>
    </row>
    <row r="69" customFormat="false" ht="15" hidden="false" customHeight="false" outlineLevel="0" collapsed="false">
      <c r="A69" s="447" t="s">
        <v>825</v>
      </c>
      <c r="B69" s="448"/>
      <c r="C69" s="448"/>
      <c r="D69" s="449"/>
      <c r="E69" s="451"/>
    </row>
    <row r="70" customFormat="false" ht="15" hidden="false" customHeight="false" outlineLevel="0" collapsed="false">
      <c r="A70" s="447" t="s">
        <v>826</v>
      </c>
      <c r="B70" s="448"/>
      <c r="C70" s="448"/>
      <c r="D70" s="449"/>
      <c r="E70" s="450"/>
    </row>
    <row r="71" customFormat="false" ht="15" hidden="false" customHeight="false" outlineLevel="0" collapsed="false">
      <c r="A71" s="447" t="s">
        <v>827</v>
      </c>
      <c r="B71" s="448"/>
      <c r="C71" s="448"/>
      <c r="D71" s="449"/>
      <c r="E71" s="452"/>
    </row>
    <row r="72" customFormat="false" ht="15" hidden="false" customHeight="false" outlineLevel="0" collapsed="false">
      <c r="A72" s="453" t="s">
        <v>778</v>
      </c>
      <c r="B72" s="454" t="s">
        <v>828</v>
      </c>
      <c r="C72" s="455" t="n">
        <f aca="false">IF(D72=0,0,(+E72/D72))</f>
        <v>0</v>
      </c>
      <c r="D72" s="455" t="n">
        <f aca="false">SUM(D66:D68)-D69+D70+D71</f>
        <v>0</v>
      </c>
      <c r="E72" s="456" t="n">
        <f aca="false">SUM(E66:E68)-E69+SUM(E70:E71)</f>
        <v>0</v>
      </c>
    </row>
    <row r="73" customFormat="false" ht="15.75" hidden="false" customHeight="true" outlineLevel="0" collapsed="false">
      <c r="C73" s="457" t="s">
        <v>660</v>
      </c>
      <c r="D73" s="457"/>
      <c r="E73" s="458" t="n">
        <f aca="false">DSH!E58</f>
        <v>0</v>
      </c>
    </row>
    <row r="74" customFormat="false" ht="15.75" hidden="false" customHeight="true" outlineLevel="0" collapsed="false">
      <c r="C74" s="459" t="s">
        <v>591</v>
      </c>
      <c r="D74" s="459"/>
      <c r="E74" s="456" t="n">
        <f aca="false">IFERROR(VALUE(E72) - VALUE(E73), 0)</f>
        <v>0</v>
      </c>
    </row>
    <row r="76" customFormat="false" ht="15.75" hidden="false" customHeight="true" outlineLevel="0" collapsed="false">
      <c r="A76" s="439" t="s">
        <v>820</v>
      </c>
      <c r="B76" s="439"/>
      <c r="C76" s="439"/>
      <c r="D76" s="440"/>
      <c r="E76" s="440"/>
      <c r="G76" s="161" t="s">
        <v>628</v>
      </c>
    </row>
    <row r="77" customFormat="false" ht="15" hidden="false" customHeight="false" outlineLevel="0" collapsed="false">
      <c r="A77" s="441"/>
      <c r="B77" s="442"/>
      <c r="C77" s="442"/>
      <c r="D77" s="442" t="s">
        <v>821</v>
      </c>
      <c r="E77" s="442" t="s">
        <v>822</v>
      </c>
    </row>
    <row r="78" customFormat="false" ht="15" hidden="false" customHeight="false" outlineLevel="0" collapsed="false">
      <c r="A78" s="443" t="s">
        <v>764</v>
      </c>
      <c r="B78" s="444"/>
      <c r="C78" s="444"/>
      <c r="D78" s="445"/>
      <c r="E78" s="446"/>
    </row>
    <row r="79" customFormat="false" ht="15" hidden="false" customHeight="false" outlineLevel="0" collapsed="false">
      <c r="A79" s="447" t="s">
        <v>823</v>
      </c>
      <c r="B79" s="448"/>
      <c r="C79" s="448"/>
      <c r="D79" s="449"/>
      <c r="E79" s="450"/>
    </row>
    <row r="80" customFormat="false" ht="15" hidden="false" customHeight="false" outlineLevel="0" collapsed="false">
      <c r="A80" s="447" t="s">
        <v>824</v>
      </c>
      <c r="B80" s="448"/>
      <c r="C80" s="448"/>
      <c r="D80" s="449"/>
      <c r="E80" s="450"/>
    </row>
    <row r="81" customFormat="false" ht="15" hidden="false" customHeight="false" outlineLevel="0" collapsed="false">
      <c r="A81" s="447" t="s">
        <v>825</v>
      </c>
      <c r="B81" s="448"/>
      <c r="C81" s="448"/>
      <c r="D81" s="449"/>
      <c r="E81" s="451"/>
    </row>
    <row r="82" customFormat="false" ht="15" hidden="false" customHeight="false" outlineLevel="0" collapsed="false">
      <c r="A82" s="447" t="s">
        <v>826</v>
      </c>
      <c r="B82" s="448"/>
      <c r="C82" s="448"/>
      <c r="D82" s="449"/>
      <c r="E82" s="450"/>
    </row>
    <row r="83" customFormat="false" ht="15" hidden="false" customHeight="false" outlineLevel="0" collapsed="false">
      <c r="A83" s="447" t="s">
        <v>827</v>
      </c>
      <c r="B83" s="448"/>
      <c r="C83" s="448"/>
      <c r="D83" s="449"/>
      <c r="E83" s="452"/>
    </row>
    <row r="84" customFormat="false" ht="15" hidden="false" customHeight="false" outlineLevel="0" collapsed="false">
      <c r="A84" s="453" t="s">
        <v>778</v>
      </c>
      <c r="B84" s="454" t="s">
        <v>828</v>
      </c>
      <c r="C84" s="455" t="n">
        <f aca="false">IF(D84=0,0,(+E84/D84))</f>
        <v>0</v>
      </c>
      <c r="D84" s="455" t="n">
        <f aca="false">SUM(D78:D80)-D81+D82+D83</f>
        <v>0</v>
      </c>
      <c r="E84" s="456" t="n">
        <f aca="false">SUM(E78:E80)-E81+SUM(E82:E83)</f>
        <v>0</v>
      </c>
    </row>
    <row r="85" customFormat="false" ht="15.75" hidden="false" customHeight="true" outlineLevel="0" collapsed="false">
      <c r="C85" s="457" t="s">
        <v>660</v>
      </c>
      <c r="D85" s="457"/>
      <c r="E85" s="458" t="n">
        <f aca="false">DSH!E59</f>
        <v>0</v>
      </c>
    </row>
    <row r="86" customFormat="false" ht="15.75" hidden="false" customHeight="true" outlineLevel="0" collapsed="false">
      <c r="C86" s="459" t="s">
        <v>591</v>
      </c>
      <c r="D86" s="459"/>
      <c r="E86" s="456" t="n">
        <f aca="false">IFERROR(VALUE(E84) - VALUE(E85), 0)</f>
        <v>0</v>
      </c>
    </row>
  </sheetData>
  <mergeCells count="22">
    <mergeCell ref="A2:E2"/>
    <mergeCell ref="D4:E4"/>
    <mergeCell ref="C13:D13"/>
    <mergeCell ref="C14:D14"/>
    <mergeCell ref="D16:E16"/>
    <mergeCell ref="C25:D25"/>
    <mergeCell ref="C26:D26"/>
    <mergeCell ref="D28:E28"/>
    <mergeCell ref="C37:D37"/>
    <mergeCell ref="C38:D38"/>
    <mergeCell ref="D40:E40"/>
    <mergeCell ref="C49:D49"/>
    <mergeCell ref="C50:D50"/>
    <mergeCell ref="D52:E52"/>
    <mergeCell ref="C61:D61"/>
    <mergeCell ref="C62:D62"/>
    <mergeCell ref="D64:E64"/>
    <mergeCell ref="C73:D73"/>
    <mergeCell ref="C74:D74"/>
    <mergeCell ref="D76:E76"/>
    <mergeCell ref="C85:D85"/>
    <mergeCell ref="C86:D8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9.14453125" defaultRowHeight="14.25" zeroHeight="false" outlineLevelRow="0" outlineLevelCol="0"/>
  <cols>
    <col collapsed="false" customWidth="true" hidden="false" outlineLevel="0" max="1" min="1" style="1" width="17.43"/>
    <col collapsed="false" customWidth="true" hidden="false" outlineLevel="0" max="2" min="2" style="1" width="11.15"/>
    <col collapsed="false" customWidth="true" hidden="false" outlineLevel="0" max="3" min="3" style="1" width="33"/>
    <col collapsed="false" customWidth="true" hidden="false" outlineLevel="0" max="4" min="4" style="1" width="17.14"/>
    <col collapsed="false" customWidth="true" hidden="false" outlineLevel="0" max="5" min="5" style="1" width="14.14"/>
    <col collapsed="false" customWidth="false" hidden="false" outlineLevel="0" max="6" min="6" style="1" width="9.14"/>
    <col collapsed="false" customWidth="true" hidden="false" outlineLevel="0" max="7" min="7" style="1" width="9.86"/>
    <col collapsed="false" customWidth="false" hidden="false" outlineLevel="0" max="16384" min="8" style="1" width="9.14"/>
  </cols>
  <sheetData>
    <row r="1" s="6" customFormat="true" ht="20.25" hidden="false" customHeight="true" outlineLevel="0" collapsed="false">
      <c r="A1" s="120"/>
      <c r="B1" s="120"/>
    </row>
    <row r="2" s="6" customFormat="true" ht="20.25" hidden="false" customHeight="true" outlineLevel="0" collapsed="false">
      <c r="A2" s="24" t="s">
        <v>538</v>
      </c>
      <c r="B2" s="24"/>
      <c r="C2" s="24"/>
      <c r="D2" s="24"/>
      <c r="E2" s="24"/>
    </row>
    <row r="4" customFormat="false" ht="15" hidden="false" customHeight="true" outlineLevel="0" collapsed="false">
      <c r="A4" s="460" t="s">
        <v>586</v>
      </c>
      <c r="B4" s="461" t="s">
        <v>829</v>
      </c>
      <c r="C4" s="461"/>
      <c r="D4" s="461"/>
      <c r="E4" s="460" t="s">
        <v>655</v>
      </c>
      <c r="G4" s="126" t="s">
        <v>628</v>
      </c>
    </row>
    <row r="5" customFormat="false" ht="15" hidden="false" customHeight="true" outlineLevel="0" collapsed="false">
      <c r="A5" s="462"/>
      <c r="B5" s="463"/>
      <c r="C5" s="463"/>
      <c r="D5" s="463"/>
      <c r="E5" s="464"/>
    </row>
    <row r="6" customFormat="false" ht="15" hidden="false" customHeight="true" outlineLevel="0" collapsed="false">
      <c r="A6" s="465"/>
      <c r="B6" s="251"/>
      <c r="C6" s="251"/>
      <c r="D6" s="251"/>
      <c r="E6" s="252"/>
    </row>
    <row r="7" customFormat="false" ht="15" hidden="false" customHeight="true" outlineLevel="0" collapsed="false">
      <c r="A7" s="465"/>
      <c r="B7" s="251"/>
      <c r="C7" s="251"/>
      <c r="D7" s="251"/>
      <c r="E7" s="252"/>
    </row>
    <row r="8" customFormat="false" ht="15" hidden="false" customHeight="true" outlineLevel="0" collapsed="false">
      <c r="A8" s="465"/>
      <c r="B8" s="251"/>
      <c r="C8" s="251"/>
      <c r="D8" s="251"/>
      <c r="E8" s="252"/>
    </row>
    <row r="9" customFormat="false" ht="15" hidden="false" customHeight="true" outlineLevel="0" collapsed="false">
      <c r="A9" s="465"/>
      <c r="B9" s="251"/>
      <c r="C9" s="251"/>
      <c r="D9" s="251"/>
      <c r="E9" s="252"/>
    </row>
    <row r="10" customFormat="false" ht="15" hidden="false" customHeight="true" outlineLevel="0" collapsed="false">
      <c r="A10" s="465"/>
      <c r="B10" s="251"/>
      <c r="C10" s="251"/>
      <c r="D10" s="251"/>
      <c r="E10" s="252"/>
    </row>
    <row r="11" customFormat="false" ht="15" hidden="false" customHeight="true" outlineLevel="0" collapsed="false">
      <c r="A11" s="465"/>
      <c r="B11" s="251"/>
      <c r="C11" s="251"/>
      <c r="D11" s="251"/>
      <c r="E11" s="466"/>
    </row>
    <row r="12" customFormat="false" ht="15" hidden="false" customHeight="true" outlineLevel="0" collapsed="false">
      <c r="A12" s="465"/>
      <c r="B12" s="251"/>
      <c r="C12" s="251"/>
      <c r="D12" s="251"/>
      <c r="E12" s="252"/>
    </row>
    <row r="13" customFormat="false" ht="15" hidden="false" customHeight="true" outlineLevel="0" collapsed="false">
      <c r="A13" s="465"/>
      <c r="B13" s="251"/>
      <c r="C13" s="251"/>
      <c r="D13" s="251"/>
      <c r="E13" s="252"/>
    </row>
    <row r="14" customFormat="false" ht="15" hidden="false" customHeight="true" outlineLevel="0" collapsed="false">
      <c r="A14" s="465"/>
      <c r="B14" s="251"/>
      <c r="C14" s="251"/>
      <c r="D14" s="251"/>
      <c r="E14" s="252"/>
    </row>
    <row r="15" customFormat="false" ht="15" hidden="false" customHeight="true" outlineLevel="0" collapsed="false">
      <c r="A15" s="465"/>
      <c r="B15" s="251"/>
      <c r="C15" s="251"/>
      <c r="D15" s="251"/>
      <c r="E15" s="252"/>
    </row>
    <row r="16" customFormat="false" ht="15" hidden="false" customHeight="true" outlineLevel="0" collapsed="false">
      <c r="A16" s="467"/>
      <c r="B16" s="254"/>
      <c r="C16" s="254"/>
      <c r="D16" s="254"/>
      <c r="E16" s="255"/>
    </row>
    <row r="17" customFormat="false" ht="15" hidden="false" customHeight="true" outlineLevel="0" collapsed="false">
      <c r="A17" s="460"/>
      <c r="B17" s="461" t="s">
        <v>496</v>
      </c>
      <c r="C17" s="461"/>
      <c r="D17" s="461"/>
      <c r="E17" s="468" t="n">
        <f aca="false">SUM(E5:E16)</f>
        <v>0</v>
      </c>
    </row>
    <row r="19" customFormat="false" ht="14.25" hidden="false" customHeight="false" outlineLevel="0" collapsed="false">
      <c r="C19" s="207" t="s">
        <v>659</v>
      </c>
      <c r="D19" s="208"/>
      <c r="E19" s="209" t="n">
        <f aca="false">E17</f>
        <v>0</v>
      </c>
    </row>
    <row r="20" customFormat="false" ht="14.25" hidden="false" customHeight="false" outlineLevel="0" collapsed="false">
      <c r="C20" s="210" t="s">
        <v>660</v>
      </c>
      <c r="D20" s="211"/>
      <c r="E20" s="468" t="n">
        <f aca="false">DSH!E24</f>
        <v>0</v>
      </c>
    </row>
    <row r="21" customFormat="false" ht="14.25" hidden="false" customHeight="false" outlineLevel="0" collapsed="false">
      <c r="C21" s="213" t="s">
        <v>591</v>
      </c>
      <c r="D21" s="214"/>
      <c r="E21" s="215" t="n">
        <f aca="false">IFERROR(VALUE(E19) - VALUE(E20), 0)</f>
        <v>0</v>
      </c>
    </row>
  </sheetData>
  <mergeCells count="15">
    <mergeCell ref="A2:E2"/>
    <mergeCell ref="B4:D4"/>
    <mergeCell ref="B5:D5"/>
    <mergeCell ref="B6:D6"/>
    <mergeCell ref="B7:D7"/>
    <mergeCell ref="B8:D8"/>
    <mergeCell ref="B9:D9"/>
    <mergeCell ref="B10:D10"/>
    <mergeCell ref="B11:D11"/>
    <mergeCell ref="B12:D12"/>
    <mergeCell ref="B13:D13"/>
    <mergeCell ref="B14:D14"/>
    <mergeCell ref="B15:D15"/>
    <mergeCell ref="B16:D16"/>
    <mergeCell ref="B17:D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8"/>
  <sheetViews>
    <sheetView showFormulas="false" showGridLines="false" showRowColHeaders="true" showZeros="true" rightToLeft="false" tabSelected="false" showOutlineSymbols="true" defaultGridColor="true" view="normal" topLeftCell="A50" colorId="64" zoomScale="100" zoomScaleNormal="100" zoomScalePageLayoutView="100" workbookViewId="0">
      <selection pane="topLeft" activeCell="G9" activeCellId="0" sqref="G9"/>
    </sheetView>
  </sheetViews>
  <sheetFormatPr defaultColWidth="9.14453125" defaultRowHeight="12.75" zeroHeight="false" outlineLevelRow="0" outlineLevelCol="0"/>
  <cols>
    <col collapsed="false" customWidth="true" hidden="false" outlineLevel="0" max="1" min="1" style="469" width="3.15"/>
    <col collapsed="false" customWidth="true" hidden="false" outlineLevel="0" max="4" min="2" style="469" width="13.86"/>
    <col collapsed="false" customWidth="true" hidden="false" outlineLevel="0" max="6" min="5" style="469" width="16.86"/>
    <col collapsed="false" customWidth="true" hidden="false" outlineLevel="0" max="9" min="7" style="469" width="13.86"/>
    <col collapsed="false" customWidth="true" hidden="false" outlineLevel="0" max="10" min="10" style="470" width="13.86"/>
    <col collapsed="false" customWidth="true" hidden="false" outlineLevel="0" max="12" min="11" style="469" width="13.86"/>
    <col collapsed="false" customWidth="true" hidden="false" outlineLevel="0" max="13" min="13" style="469" width="6.86"/>
    <col collapsed="false" customWidth="true" hidden="false" outlineLevel="0" max="14" min="14" style="469" width="14.43"/>
    <col collapsed="false" customWidth="false" hidden="false" outlineLevel="0" max="16384" min="15" style="469" width="9.14"/>
  </cols>
  <sheetData>
    <row r="1" s="6" customFormat="true" ht="20.25" hidden="false" customHeight="true" outlineLevel="0" collapsed="false">
      <c r="A1" s="120"/>
    </row>
    <row r="2" s="6" customFormat="true" ht="20.25" hidden="false" customHeight="true" outlineLevel="0" collapsed="false">
      <c r="A2" s="218"/>
      <c r="B2" s="218"/>
      <c r="C2" s="218"/>
      <c r="D2" s="218"/>
      <c r="E2" s="218"/>
      <c r="F2" s="218"/>
      <c r="G2" s="174" t="s">
        <v>540</v>
      </c>
      <c r="H2" s="218"/>
      <c r="I2" s="218"/>
      <c r="J2" s="218"/>
      <c r="K2" s="218"/>
      <c r="L2" s="218"/>
    </row>
    <row r="3" customFormat="false" ht="18.75" hidden="false" customHeight="true" outlineLevel="0" collapsed="false">
      <c r="B3" s="471" t="s">
        <v>830</v>
      </c>
      <c r="C3" s="471"/>
      <c r="D3" s="472" t="s">
        <v>831</v>
      </c>
      <c r="E3" s="473"/>
      <c r="F3" s="473"/>
      <c r="G3" s="474"/>
      <c r="H3" s="474"/>
      <c r="I3" s="474"/>
      <c r="J3" s="474"/>
      <c r="K3" s="474"/>
      <c r="L3" s="474"/>
    </row>
    <row r="4" customFormat="false" ht="18.75" hidden="false" customHeight="true" outlineLevel="0" collapsed="false">
      <c r="B4" s="471" t="s">
        <v>832</v>
      </c>
      <c r="C4" s="471"/>
      <c r="D4" s="475" t="s">
        <v>833</v>
      </c>
      <c r="E4" s="473"/>
      <c r="F4" s="473"/>
      <c r="G4" s="473"/>
      <c r="I4" s="476"/>
      <c r="J4" s="476"/>
    </row>
    <row r="5" customFormat="false" ht="18.75" hidden="false" customHeight="true" outlineLevel="0" collapsed="false">
      <c r="B5" s="477"/>
      <c r="C5" s="477"/>
      <c r="D5" s="477"/>
      <c r="E5" s="473"/>
    </row>
    <row r="6" customFormat="false" ht="30" hidden="false" customHeight="true" outlineLevel="0" collapsed="false">
      <c r="B6" s="478" t="s">
        <v>834</v>
      </c>
      <c r="C6" s="478"/>
      <c r="D6" s="478"/>
      <c r="E6" s="478"/>
      <c r="F6" s="478"/>
      <c r="G6" s="478"/>
      <c r="H6" s="478"/>
      <c r="I6" s="478"/>
      <c r="J6" s="478"/>
      <c r="K6" s="478"/>
      <c r="L6" s="478"/>
      <c r="N6" s="126" t="s">
        <v>628</v>
      </c>
    </row>
    <row r="7" customFormat="false" ht="18.75" hidden="false" customHeight="true" outlineLevel="0" collapsed="false">
      <c r="B7" s="477"/>
      <c r="C7" s="477"/>
      <c r="D7" s="477"/>
      <c r="E7" s="477"/>
      <c r="F7" s="477"/>
      <c r="G7" s="477"/>
      <c r="H7" s="477"/>
      <c r="I7" s="477"/>
      <c r="J7" s="479"/>
      <c r="K7" s="477"/>
      <c r="L7" s="477"/>
    </row>
    <row r="8" customFormat="false" ht="18.75" hidden="false" customHeight="true" outlineLevel="0" collapsed="false">
      <c r="B8" s="480" t="s">
        <v>835</v>
      </c>
      <c r="C8" s="480" t="s">
        <v>836</v>
      </c>
      <c r="D8" s="480" t="s">
        <v>837</v>
      </c>
      <c r="E8" s="480" t="s">
        <v>838</v>
      </c>
      <c r="F8" s="480" t="s">
        <v>839</v>
      </c>
      <c r="G8" s="480" t="s">
        <v>840</v>
      </c>
      <c r="H8" s="480" t="s">
        <v>841</v>
      </c>
      <c r="I8" s="480" t="s">
        <v>838</v>
      </c>
      <c r="J8" s="480" t="s">
        <v>842</v>
      </c>
      <c r="K8" s="480" t="s">
        <v>843</v>
      </c>
      <c r="L8" s="481" t="s">
        <v>844</v>
      </c>
    </row>
    <row r="9" s="470" customFormat="true" ht="18.75" hidden="false" customHeight="true" outlineLevel="0" collapsed="false">
      <c r="B9" s="480"/>
      <c r="C9" s="480"/>
      <c r="D9" s="480"/>
      <c r="E9" s="480"/>
      <c r="F9" s="480"/>
      <c r="G9" s="480"/>
      <c r="H9" s="480"/>
      <c r="I9" s="480"/>
      <c r="J9" s="480"/>
      <c r="K9" s="480"/>
      <c r="L9" s="481"/>
    </row>
    <row r="10" customFormat="false" ht="18.75" hidden="false" customHeight="true" outlineLevel="0" collapsed="false">
      <c r="B10" s="482" t="n">
        <f aca="false">IF(D4="monthly", DATE(YEAR(Index!C4), MONTH(Index!C4)-10, 0), IF(D4="2 monthly", DATE(YEAR(Index!C4), MONTH(Index!C4)-9, 0), IF(D4="6 monthly", DATE(YEAR(Index!C4), MONTH(Index!C4)-5, 0), "")))</f>
        <v>45046</v>
      </c>
      <c r="C10" s="483" t="n">
        <f aca="false">D10*23/3</f>
        <v>0</v>
      </c>
      <c r="D10" s="484"/>
      <c r="E10" s="484"/>
      <c r="F10" s="485"/>
      <c r="G10" s="483" t="n">
        <f aca="false">H10*23/3</f>
        <v>0</v>
      </c>
      <c r="H10" s="484"/>
      <c r="I10" s="485"/>
      <c r="J10" s="485"/>
      <c r="K10" s="483" t="n">
        <f aca="false">H10+I10+J10-D10-E10-F10</f>
        <v>0</v>
      </c>
      <c r="L10" s="486"/>
    </row>
    <row r="11" customFormat="false" ht="18.75" hidden="false" customHeight="true" outlineLevel="0" collapsed="false">
      <c r="B11" s="487" t="n">
        <f aca="false">IF($D$4="monthly", DATE(YEAR($B$10), MONTH($B$10)+2, 0), IF($D$4="2 monthly", DATE(YEAR($B$10), MONTH($B$10)+3, 0), IF($D$4="6 monthly", Index!C4, "")))</f>
        <v>45077</v>
      </c>
      <c r="C11" s="488" t="n">
        <f aca="false">D11*23/3</f>
        <v>0</v>
      </c>
      <c r="D11" s="489"/>
      <c r="E11" s="489"/>
      <c r="F11" s="489"/>
      <c r="G11" s="488" t="n">
        <f aca="false">H11*23/3</f>
        <v>0</v>
      </c>
      <c r="H11" s="489"/>
      <c r="I11" s="489"/>
      <c r="J11" s="489"/>
      <c r="K11" s="488" t="n">
        <f aca="false">H11+I11+J11-D11-E11-F11</f>
        <v>0</v>
      </c>
      <c r="L11" s="486"/>
    </row>
    <row r="12" customFormat="false" ht="18.75" hidden="false" customHeight="true" outlineLevel="0" collapsed="false">
      <c r="B12" s="487" t="n">
        <f aca="false">IF($D$4="monthly",DATE(YEAR($B$10),MONTH($B$10)+3,0),IF($D$4="2 monthly",DATE(YEAR($B$10),MONTH($B$10)+5,0),""))</f>
        <v>45107</v>
      </c>
      <c r="C12" s="488" t="n">
        <f aca="false">D12*23/3</f>
        <v>0</v>
      </c>
      <c r="D12" s="489"/>
      <c r="E12" s="489"/>
      <c r="F12" s="489"/>
      <c r="G12" s="488" t="n">
        <f aca="false">H12*23/3</f>
        <v>0</v>
      </c>
      <c r="H12" s="489"/>
      <c r="I12" s="489"/>
      <c r="J12" s="489"/>
      <c r="K12" s="488" t="n">
        <f aca="false">H12+I12+J12-D12-E12-F12</f>
        <v>0</v>
      </c>
      <c r="L12" s="486"/>
    </row>
    <row r="13" customFormat="false" ht="18.75" hidden="false" customHeight="true" outlineLevel="0" collapsed="false">
      <c r="B13" s="487" t="n">
        <f aca="false">IF($D$4="monthly",DATE(YEAR($B$10),MONTH($B$10)+4,0),IF($D$4="2 monthly",DATE(YEAR($B$10),MONTH($B$10)+7,0),""))</f>
        <v>45138</v>
      </c>
      <c r="C13" s="488" t="n">
        <f aca="false">D13*23/3</f>
        <v>0</v>
      </c>
      <c r="D13" s="489"/>
      <c r="E13" s="489"/>
      <c r="F13" s="489"/>
      <c r="G13" s="488" t="n">
        <f aca="false">H13*23/3</f>
        <v>0</v>
      </c>
      <c r="H13" s="489"/>
      <c r="I13" s="489"/>
      <c r="J13" s="489"/>
      <c r="K13" s="488" t="n">
        <f aca="false">H13+I13+J13-D13-E13-F13</f>
        <v>0</v>
      </c>
      <c r="L13" s="486"/>
    </row>
    <row r="14" customFormat="false" ht="18.75" hidden="false" customHeight="true" outlineLevel="0" collapsed="false">
      <c r="B14" s="487" t="n">
        <f aca="false">IF($D$4="monthly",DATE(YEAR($B$10),MONTH($B$10)+5,0),IF($D$4="2 monthly",DATE(YEAR($B$10),MONTH($B$10)+9,0),""))</f>
        <v>45169</v>
      </c>
      <c r="C14" s="488" t="n">
        <f aca="false">D14*23/3</f>
        <v>0</v>
      </c>
      <c r="D14" s="489"/>
      <c r="E14" s="489"/>
      <c r="F14" s="489"/>
      <c r="G14" s="488" t="n">
        <f aca="false">H14*23/3</f>
        <v>0</v>
      </c>
      <c r="H14" s="489"/>
      <c r="I14" s="489"/>
      <c r="J14" s="489"/>
      <c r="K14" s="488" t="n">
        <f aca="false">H14+I14+J14-D14-E14-F14</f>
        <v>0</v>
      </c>
      <c r="L14" s="486"/>
    </row>
    <row r="15" customFormat="false" ht="18.75" hidden="false" customHeight="true" outlineLevel="0" collapsed="false">
      <c r="B15" s="487" t="n">
        <f aca="false">IF($D$4="monthly",DATE(YEAR($B$10),MONTH($B$10)+6,0),IF($D$4="2 monthly",DATE(YEAR($B$10),MONTH($B$10)+11,0),""))</f>
        <v>45199</v>
      </c>
      <c r="C15" s="488" t="n">
        <f aca="false">D15*23/3</f>
        <v>0</v>
      </c>
      <c r="D15" s="489"/>
      <c r="E15" s="489"/>
      <c r="F15" s="489"/>
      <c r="G15" s="488" t="n">
        <f aca="false">H15*23/3</f>
        <v>0</v>
      </c>
      <c r="H15" s="489"/>
      <c r="I15" s="489"/>
      <c r="J15" s="489"/>
      <c r="K15" s="488" t="n">
        <f aca="false">H15+I15+J15-D15-E15-F15</f>
        <v>0</v>
      </c>
      <c r="L15" s="486"/>
    </row>
    <row r="16" customFormat="false" ht="18.75" hidden="false" customHeight="true" outlineLevel="0" collapsed="false">
      <c r="B16" s="487" t="n">
        <f aca="false">IF($D$4="monthly", DATE(YEAR($B$10), MONTH($B$10)+7, 0),"")</f>
        <v>45230</v>
      </c>
      <c r="C16" s="488" t="n">
        <f aca="false">D16*23/3</f>
        <v>0</v>
      </c>
      <c r="D16" s="489"/>
      <c r="E16" s="489"/>
      <c r="F16" s="489"/>
      <c r="G16" s="488" t="n">
        <f aca="false">H16*23/3</f>
        <v>0</v>
      </c>
      <c r="H16" s="489"/>
      <c r="I16" s="489"/>
      <c r="J16" s="489"/>
      <c r="K16" s="488" t="n">
        <f aca="false">H16+I16+J16-D16-E16-F16</f>
        <v>0</v>
      </c>
      <c r="L16" s="486"/>
    </row>
    <row r="17" customFormat="false" ht="18.75" hidden="false" customHeight="true" outlineLevel="0" collapsed="false">
      <c r="B17" s="487" t="n">
        <f aca="false">IF($D$4="monthly", DATE(YEAR($B$10), MONTH($B$10)+8, 0),"")</f>
        <v>45260</v>
      </c>
      <c r="C17" s="488" t="n">
        <f aca="false">D17*23/3</f>
        <v>0</v>
      </c>
      <c r="D17" s="489"/>
      <c r="E17" s="489"/>
      <c r="F17" s="489"/>
      <c r="G17" s="488" t="n">
        <f aca="false">H17*23/3</f>
        <v>0</v>
      </c>
      <c r="H17" s="489"/>
      <c r="I17" s="489"/>
      <c r="J17" s="489"/>
      <c r="K17" s="488" t="n">
        <f aca="false">H17+I17+J17-D17-E17-F17</f>
        <v>0</v>
      </c>
      <c r="L17" s="486"/>
    </row>
    <row r="18" customFormat="false" ht="18.75" hidden="false" customHeight="true" outlineLevel="0" collapsed="false">
      <c r="B18" s="487" t="n">
        <f aca="false">IF($D$4="monthly", DATE(YEAR($B$10), MONTH($B$10)+9, 0),"")</f>
        <v>45291</v>
      </c>
      <c r="C18" s="488" t="n">
        <f aca="false">D18*23/3</f>
        <v>0</v>
      </c>
      <c r="D18" s="489"/>
      <c r="E18" s="489"/>
      <c r="F18" s="489"/>
      <c r="G18" s="488" t="n">
        <f aca="false">H18*23/3</f>
        <v>0</v>
      </c>
      <c r="H18" s="489"/>
      <c r="I18" s="489"/>
      <c r="J18" s="489"/>
      <c r="K18" s="488" t="n">
        <f aca="false">H18+I18+J18-D18-E18-F18</f>
        <v>0</v>
      </c>
      <c r="L18" s="486"/>
    </row>
    <row r="19" customFormat="false" ht="18.75" hidden="false" customHeight="true" outlineLevel="0" collapsed="false">
      <c r="B19" s="487" t="n">
        <f aca="false">IF($D$4="monthly", DATE(YEAR($B$10), MONTH($B$10)+10, 0),"")</f>
        <v>45322</v>
      </c>
      <c r="C19" s="488" t="n">
        <f aca="false">D19*23/3</f>
        <v>0</v>
      </c>
      <c r="D19" s="489"/>
      <c r="E19" s="489"/>
      <c r="F19" s="489"/>
      <c r="G19" s="488" t="n">
        <f aca="false">H19*23/3</f>
        <v>0</v>
      </c>
      <c r="H19" s="489"/>
      <c r="I19" s="489"/>
      <c r="J19" s="489"/>
      <c r="K19" s="488" t="n">
        <f aca="false">H19+I19+J19-D19-E19-F19</f>
        <v>0</v>
      </c>
      <c r="L19" s="486"/>
    </row>
    <row r="20" customFormat="false" ht="18.75" hidden="false" customHeight="true" outlineLevel="0" collapsed="false">
      <c r="B20" s="487" t="n">
        <f aca="false">IF($D$4="monthly", DATE(YEAR($B$10), MONTH($B$10)+11, 0),"")</f>
        <v>45351</v>
      </c>
      <c r="C20" s="488" t="n">
        <f aca="false">D20*23/3</f>
        <v>0</v>
      </c>
      <c r="D20" s="489"/>
      <c r="E20" s="489"/>
      <c r="F20" s="489"/>
      <c r="G20" s="488" t="n">
        <f aca="false">H20*23/3</f>
        <v>0</v>
      </c>
      <c r="H20" s="489"/>
      <c r="I20" s="489"/>
      <c r="J20" s="489"/>
      <c r="K20" s="488" t="n">
        <f aca="false">H20+I20+J20-D20-E20-F20</f>
        <v>0</v>
      </c>
      <c r="L20" s="486"/>
    </row>
    <row r="21" customFormat="false" ht="18.75" hidden="false" customHeight="true" outlineLevel="0" collapsed="false">
      <c r="B21" s="487" t="n">
        <f aca="false">IF($D$4="monthly", DATE(YEAR($B$10), MONTH($B$10)+12, 0),"")</f>
        <v>45382</v>
      </c>
      <c r="C21" s="488" t="n">
        <f aca="false">D21*23/3</f>
        <v>0</v>
      </c>
      <c r="D21" s="489"/>
      <c r="E21" s="489"/>
      <c r="F21" s="489"/>
      <c r="G21" s="488" t="n">
        <f aca="false">H21*23/3</f>
        <v>0</v>
      </c>
      <c r="H21" s="489"/>
      <c r="I21" s="489"/>
      <c r="J21" s="489"/>
      <c r="K21" s="488" t="n">
        <f aca="false">H21+I21+J21-D21-E21-F21</f>
        <v>0</v>
      </c>
      <c r="L21" s="486"/>
    </row>
    <row r="22" customFormat="false" ht="11.25" hidden="false" customHeight="true" outlineLevel="0" collapsed="false">
      <c r="B22" s="477"/>
      <c r="C22" s="477"/>
      <c r="D22" s="477"/>
      <c r="E22" s="477"/>
      <c r="F22" s="477"/>
      <c r="G22" s="477"/>
      <c r="H22" s="477"/>
      <c r="I22" s="477"/>
      <c r="J22" s="477"/>
      <c r="K22" s="477"/>
      <c r="L22" s="477"/>
    </row>
    <row r="23" customFormat="false" ht="18.75" hidden="false" customHeight="true" outlineLevel="0" collapsed="false">
      <c r="B23" s="490" t="s">
        <v>669</v>
      </c>
      <c r="C23" s="491" t="n">
        <f aca="false">SUM(C10:C21)</f>
        <v>0</v>
      </c>
      <c r="D23" s="491" t="n">
        <f aca="false">SUM(D10:D21)</f>
        <v>0</v>
      </c>
      <c r="E23" s="491" t="n">
        <f aca="false">SUM(E10:E21)</f>
        <v>0</v>
      </c>
      <c r="F23" s="491" t="n">
        <f aca="false">SUM(F10:F21)</f>
        <v>0</v>
      </c>
      <c r="G23" s="491" t="n">
        <f aca="false">SUM(G10:G21)</f>
        <v>0</v>
      </c>
      <c r="H23" s="491" t="n">
        <f aca="false">SUM(H10:H21)</f>
        <v>0</v>
      </c>
      <c r="I23" s="491" t="n">
        <f aca="false">SUM(I10:I21)</f>
        <v>0</v>
      </c>
      <c r="J23" s="491" t="n">
        <f aca="false">SUM(J10:J21)</f>
        <v>0</v>
      </c>
      <c r="K23" s="491" t="n">
        <f aca="false">SUM(K10:K21)</f>
        <v>0</v>
      </c>
    </row>
    <row r="24" customFormat="false" ht="18.75" hidden="false" customHeight="true" outlineLevel="0" collapsed="false">
      <c r="C24" s="492"/>
      <c r="D24" s="492"/>
      <c r="E24" s="492"/>
      <c r="F24" s="492"/>
      <c r="G24" s="492"/>
      <c r="H24" s="492"/>
      <c r="I24" s="492"/>
      <c r="J24" s="493"/>
      <c r="K24" s="492"/>
    </row>
    <row r="25" customFormat="false" ht="18.75" hidden="false" customHeight="true" outlineLevel="0" collapsed="false">
      <c r="C25" s="494" t="s">
        <v>845</v>
      </c>
      <c r="D25" s="489" t="n">
        <f aca="false">SUM(GPV!E8:E19)</f>
        <v>0</v>
      </c>
      <c r="E25" s="495"/>
      <c r="G25" s="494" t="s">
        <v>846</v>
      </c>
      <c r="H25" s="489" t="n">
        <f aca="false">SUM(GPV!E26:E37)</f>
        <v>0</v>
      </c>
      <c r="I25" s="496" t="s">
        <v>847</v>
      </c>
      <c r="J25" s="496"/>
      <c r="K25" s="496"/>
      <c r="L25" s="497" t="s">
        <v>848</v>
      </c>
    </row>
    <row r="26" customFormat="false" ht="11.25" hidden="false" customHeight="true" outlineLevel="0" collapsed="false">
      <c r="D26" s="477"/>
      <c r="H26" s="477"/>
      <c r="K26" s="498"/>
      <c r="L26" s="477"/>
    </row>
    <row r="27" customFormat="false" ht="18.75" hidden="false" customHeight="true" outlineLevel="0" collapsed="false">
      <c r="C27" s="490" t="s">
        <v>591</v>
      </c>
      <c r="D27" s="491" t="n">
        <f aca="false">D23-D25</f>
        <v>0</v>
      </c>
      <c r="E27" s="498"/>
      <c r="F27" s="498"/>
      <c r="G27" s="498"/>
      <c r="H27" s="491" t="n">
        <f aca="false">H25-H23</f>
        <v>0</v>
      </c>
      <c r="I27" s="498"/>
      <c r="J27" s="499"/>
      <c r="K27" s="491" t="n">
        <f aca="false">D27+H27</f>
        <v>0</v>
      </c>
    </row>
    <row r="28" customFormat="false" ht="18.75" hidden="false" customHeight="true" outlineLevel="0" collapsed="false">
      <c r="D28" s="492"/>
      <c r="H28" s="492"/>
      <c r="K28" s="492"/>
    </row>
    <row r="29" customFormat="false" ht="30" hidden="false" customHeight="true" outlineLevel="0" collapsed="false">
      <c r="B29" s="478" t="s">
        <v>849</v>
      </c>
      <c r="C29" s="478"/>
      <c r="D29" s="478"/>
      <c r="E29" s="478"/>
      <c r="F29" s="478"/>
      <c r="G29" s="478"/>
      <c r="H29" s="478"/>
      <c r="I29" s="478"/>
      <c r="J29" s="478"/>
      <c r="K29" s="478"/>
      <c r="L29" s="478"/>
    </row>
    <row r="30" customFormat="false" ht="11.25" hidden="false" customHeight="true" outlineLevel="0" collapsed="false">
      <c r="A30" s="473"/>
      <c r="B30" s="500"/>
      <c r="C30" s="500"/>
      <c r="D30" s="500"/>
      <c r="E30" s="500"/>
      <c r="F30" s="500"/>
      <c r="G30" s="500"/>
      <c r="H30" s="500"/>
      <c r="I30" s="500"/>
      <c r="J30" s="500"/>
      <c r="K30" s="500"/>
      <c r="L30" s="500"/>
      <c r="M30" s="473"/>
    </row>
    <row r="31" customFormat="false" ht="22.5" hidden="false" customHeight="true" outlineLevel="0" collapsed="false">
      <c r="A31" s="473"/>
      <c r="B31" s="501" t="s">
        <v>850</v>
      </c>
      <c r="C31" s="501"/>
      <c r="D31" s="501"/>
      <c r="E31" s="501"/>
      <c r="F31" s="501"/>
      <c r="G31" s="501"/>
      <c r="H31" s="501"/>
      <c r="I31" s="501"/>
      <c r="J31" s="501"/>
      <c r="K31" s="501"/>
      <c r="L31" s="501"/>
      <c r="M31" s="473"/>
    </row>
    <row r="32" customFormat="false" ht="18.75" hidden="false" customHeight="true" outlineLevel="0" collapsed="false">
      <c r="B32" s="502"/>
      <c r="C32" s="503"/>
      <c r="D32" s="503"/>
      <c r="E32" s="503"/>
      <c r="F32" s="503"/>
      <c r="G32" s="503"/>
      <c r="H32" s="503"/>
      <c r="I32" s="503"/>
      <c r="J32" s="503"/>
      <c r="K32" s="504" t="s">
        <v>654</v>
      </c>
      <c r="L32" s="505"/>
    </row>
    <row r="33" s="469" customFormat="true" ht="18.75" hidden="false" customHeight="true" outlineLevel="0" collapsed="false">
      <c r="B33" s="506" t="s">
        <v>851</v>
      </c>
      <c r="C33" s="507"/>
      <c r="D33" s="507"/>
      <c r="E33" s="507"/>
      <c r="F33" s="507"/>
      <c r="G33" s="507"/>
      <c r="H33" s="507"/>
      <c r="I33" s="508"/>
      <c r="K33" s="470" t="s">
        <v>852</v>
      </c>
      <c r="L33" s="509" t="n">
        <f aca="false">SUMIF(L10:L21,"No",K10:K21)</f>
        <v>0</v>
      </c>
    </row>
    <row r="34" s="469" customFormat="true" ht="18.75" hidden="false" customHeight="true" outlineLevel="0" collapsed="false">
      <c r="B34" s="506"/>
      <c r="C34" s="507"/>
      <c r="D34" s="507"/>
      <c r="E34" s="507"/>
      <c r="F34" s="507"/>
      <c r="G34" s="507"/>
      <c r="H34" s="507"/>
      <c r="K34" s="470"/>
      <c r="L34" s="510"/>
    </row>
    <row r="35" s="469" customFormat="true" ht="18.75" hidden="false" customHeight="true" outlineLevel="0" collapsed="false">
      <c r="B35" s="506" t="s">
        <v>853</v>
      </c>
      <c r="C35" s="507"/>
      <c r="D35" s="507"/>
      <c r="E35" s="507"/>
      <c r="F35" s="507"/>
      <c r="G35" s="507"/>
      <c r="H35" s="507"/>
      <c r="K35" s="511"/>
      <c r="L35" s="512"/>
    </row>
    <row r="36" s="469" customFormat="true" ht="18.75" hidden="false" customHeight="true" outlineLevel="0" collapsed="false">
      <c r="B36" s="506"/>
      <c r="C36" s="507"/>
      <c r="D36" s="507"/>
      <c r="E36" s="507"/>
      <c r="F36" s="507"/>
      <c r="G36" s="507"/>
      <c r="H36" s="507"/>
      <c r="K36" s="479"/>
      <c r="L36" s="510"/>
    </row>
    <row r="37" s="469" customFormat="true" ht="18.75" hidden="false" customHeight="true" outlineLevel="0" collapsed="false">
      <c r="B37" s="506" t="s">
        <v>854</v>
      </c>
      <c r="C37" s="507"/>
      <c r="D37" s="507" t="s">
        <v>855</v>
      </c>
      <c r="E37" s="507"/>
      <c r="F37" s="507"/>
      <c r="G37" s="507"/>
      <c r="H37" s="507"/>
      <c r="K37" s="470" t="s">
        <v>599</v>
      </c>
      <c r="L37" s="509" t="n">
        <f aca="true" t="array" ref="L37:L37">IFERROR(-IF(D3="Payments", INDIRECT("ACR!H13"), 0), 0)</f>
        <v>-0</v>
      </c>
    </row>
    <row r="38" s="469" customFormat="true" ht="18.75" hidden="false" customHeight="true" outlineLevel="0" collapsed="false">
      <c r="B38" s="506" t="s">
        <v>856</v>
      </c>
      <c r="C38" s="507"/>
      <c r="D38" s="507" t="s">
        <v>855</v>
      </c>
      <c r="E38" s="507"/>
      <c r="F38" s="507"/>
      <c r="G38" s="507"/>
      <c r="H38" s="507"/>
      <c r="K38" s="470" t="s">
        <v>605</v>
      </c>
      <c r="L38" s="509" t="n">
        <f aca="true">IF(D3="Invoice",0,IFERROR(INDIRECT(""),0)+IFERROR(INDIRECT("'ACP'!H13"),0))</f>
        <v>0</v>
      </c>
    </row>
    <row r="39" s="469" customFormat="true" ht="18.75" hidden="false" customHeight="true" outlineLevel="0" collapsed="false">
      <c r="B39" s="506"/>
      <c r="C39" s="507"/>
      <c r="D39" s="507"/>
      <c r="E39" s="507"/>
      <c r="F39" s="507"/>
      <c r="G39" s="507"/>
      <c r="H39" s="507"/>
      <c r="K39" s="470"/>
      <c r="L39" s="510"/>
    </row>
    <row r="40" customFormat="false" ht="18.75" hidden="false" customHeight="true" outlineLevel="0" collapsed="false">
      <c r="B40" s="506" t="s">
        <v>857</v>
      </c>
      <c r="C40" s="507"/>
      <c r="D40" s="494" t="s">
        <v>858</v>
      </c>
      <c r="E40" s="507"/>
      <c r="F40" s="507"/>
      <c r="G40" s="507"/>
      <c r="H40" s="507"/>
      <c r="I40" s="513" t="s">
        <v>859</v>
      </c>
      <c r="J40" s="495"/>
      <c r="K40" s="470" t="s">
        <v>860</v>
      </c>
      <c r="L40" s="514"/>
    </row>
    <row r="41" s="469" customFormat="true" ht="18.75" hidden="false" customHeight="true" outlineLevel="0" collapsed="false">
      <c r="B41" s="506" t="s">
        <v>861</v>
      </c>
      <c r="C41" s="507"/>
      <c r="D41" s="507"/>
      <c r="E41" s="507"/>
      <c r="F41" s="507"/>
      <c r="G41" s="507"/>
      <c r="H41" s="507"/>
      <c r="I41" s="477"/>
      <c r="K41" s="470" t="s">
        <v>860</v>
      </c>
      <c r="L41" s="514"/>
    </row>
    <row r="42" s="469" customFormat="true" ht="18.75" hidden="false" customHeight="true" outlineLevel="0" collapsed="false">
      <c r="B42" s="506"/>
      <c r="C42" s="507"/>
      <c r="D42" s="507"/>
      <c r="E42" s="507"/>
      <c r="F42" s="507"/>
      <c r="G42" s="507"/>
      <c r="H42" s="507"/>
      <c r="K42" s="470"/>
      <c r="L42" s="510"/>
    </row>
    <row r="43" s="469" customFormat="true" ht="18.75" hidden="false" customHeight="true" outlineLevel="0" collapsed="false">
      <c r="B43" s="506" t="s">
        <v>862</v>
      </c>
      <c r="C43" s="507"/>
      <c r="D43" s="507"/>
      <c r="E43" s="507"/>
      <c r="F43" s="507"/>
      <c r="G43" s="507"/>
      <c r="H43" s="507"/>
      <c r="K43" s="511"/>
      <c r="L43" s="515"/>
    </row>
    <row r="44" s="469" customFormat="true" ht="18.75" hidden="false" customHeight="true" outlineLevel="0" collapsed="false">
      <c r="B44" s="506" t="s">
        <v>863</v>
      </c>
      <c r="C44" s="507"/>
      <c r="D44" s="507"/>
      <c r="E44" s="507"/>
      <c r="F44" s="507"/>
      <c r="G44" s="507"/>
      <c r="H44" s="507"/>
      <c r="K44" s="511"/>
      <c r="L44" s="512"/>
    </row>
    <row r="45" s="469" customFormat="true" ht="18.75" hidden="false" customHeight="true" outlineLevel="0" collapsed="false">
      <c r="B45" s="506"/>
      <c r="C45" s="507"/>
      <c r="D45" s="507"/>
      <c r="E45" s="507"/>
      <c r="F45" s="507"/>
      <c r="G45" s="507"/>
      <c r="H45" s="507"/>
      <c r="K45" s="479"/>
      <c r="L45" s="510"/>
    </row>
    <row r="46" s="469" customFormat="true" ht="18.75" hidden="false" customHeight="true" outlineLevel="0" collapsed="false">
      <c r="B46" s="506" t="s">
        <v>864</v>
      </c>
      <c r="C46" s="507"/>
      <c r="D46" s="507"/>
      <c r="E46" s="507"/>
      <c r="F46" s="507"/>
      <c r="G46" s="507"/>
      <c r="H46" s="507"/>
      <c r="K46" s="511"/>
      <c r="L46" s="515"/>
    </row>
    <row r="47" s="469" customFormat="true" ht="18.75" hidden="false" customHeight="true" outlineLevel="0" collapsed="false">
      <c r="B47" s="506" t="s">
        <v>865</v>
      </c>
      <c r="C47" s="507"/>
      <c r="D47" s="507"/>
      <c r="E47" s="507"/>
      <c r="F47" s="507"/>
      <c r="G47" s="507"/>
      <c r="H47" s="507"/>
      <c r="K47" s="511"/>
      <c r="L47" s="512"/>
    </row>
    <row r="48" customFormat="false" ht="18.75" hidden="false" customHeight="true" outlineLevel="0" collapsed="false">
      <c r="B48" s="495"/>
      <c r="K48" s="516"/>
      <c r="L48" s="517"/>
    </row>
    <row r="49" customFormat="false" ht="18.75" hidden="false" customHeight="true" outlineLevel="0" collapsed="false">
      <c r="B49" s="477"/>
      <c r="C49" s="477"/>
      <c r="D49" s="477"/>
      <c r="E49" s="477"/>
      <c r="F49" s="477"/>
      <c r="G49" s="477"/>
      <c r="H49" s="477"/>
      <c r="I49" s="477"/>
      <c r="J49" s="479"/>
      <c r="K49" s="518"/>
      <c r="L49" s="477"/>
    </row>
    <row r="50" customFormat="false" ht="30" hidden="false" customHeight="true" outlineLevel="0" collapsed="false">
      <c r="B50" s="478" t="s">
        <v>866</v>
      </c>
      <c r="C50" s="478"/>
      <c r="D50" s="478"/>
      <c r="E50" s="478"/>
      <c r="F50" s="478"/>
      <c r="G50" s="478"/>
      <c r="H50" s="478"/>
      <c r="I50" s="478"/>
      <c r="J50" s="478"/>
      <c r="K50" s="478"/>
      <c r="L50" s="478"/>
    </row>
    <row r="51" customFormat="false" ht="11.25" hidden="false" customHeight="true" outlineLevel="0" collapsed="false">
      <c r="B51" s="477"/>
      <c r="C51" s="477"/>
      <c r="D51" s="477"/>
      <c r="E51" s="477"/>
      <c r="F51" s="477"/>
      <c r="G51" s="477"/>
      <c r="H51" s="477"/>
      <c r="I51" s="477"/>
      <c r="J51" s="479"/>
      <c r="K51" s="518"/>
      <c r="L51" s="477"/>
    </row>
    <row r="52" customFormat="false" ht="22.5" hidden="false" customHeight="true" outlineLevel="0" collapsed="false">
      <c r="B52" s="519"/>
      <c r="C52" s="470"/>
      <c r="D52" s="520" t="s">
        <v>867</v>
      </c>
      <c r="E52" s="520"/>
      <c r="F52" s="520"/>
      <c r="G52" s="520"/>
      <c r="H52" s="520"/>
      <c r="I52" s="520"/>
      <c r="J52" s="520"/>
      <c r="K52" s="520" t="s">
        <v>654</v>
      </c>
      <c r="L52" s="501" t="s">
        <v>655</v>
      </c>
    </row>
    <row r="53" customFormat="false" ht="18.75" hidden="false" customHeight="true" outlineLevel="0" collapsed="false">
      <c r="B53" s="521" t="s">
        <v>868</v>
      </c>
      <c r="D53" s="522"/>
      <c r="E53" s="522"/>
      <c r="F53" s="522"/>
      <c r="G53" s="522"/>
      <c r="H53" s="522"/>
      <c r="I53" s="522"/>
      <c r="J53" s="522"/>
      <c r="K53" s="522"/>
      <c r="L53" s="523"/>
    </row>
    <row r="54" customFormat="false" ht="18.75" hidden="false" customHeight="true" outlineLevel="0" collapsed="false">
      <c r="B54" s="521"/>
      <c r="D54" s="511"/>
      <c r="E54" s="511"/>
      <c r="F54" s="511"/>
      <c r="G54" s="511"/>
      <c r="H54" s="511"/>
      <c r="I54" s="511"/>
      <c r="J54" s="511"/>
      <c r="K54" s="511"/>
      <c r="L54" s="515"/>
    </row>
    <row r="55" customFormat="false" ht="18.75" hidden="false" customHeight="true" outlineLevel="0" collapsed="false">
      <c r="B55" s="521"/>
      <c r="D55" s="511"/>
      <c r="E55" s="511"/>
      <c r="F55" s="511"/>
      <c r="G55" s="511"/>
      <c r="H55" s="511"/>
      <c r="I55" s="511"/>
      <c r="J55" s="511"/>
      <c r="K55" s="511"/>
      <c r="L55" s="515"/>
    </row>
    <row r="56" customFormat="false" ht="18.75" hidden="false" customHeight="true" outlineLevel="0" collapsed="false">
      <c r="B56" s="521"/>
      <c r="D56" s="511"/>
      <c r="E56" s="511"/>
      <c r="F56" s="511"/>
      <c r="G56" s="511"/>
      <c r="H56" s="511"/>
      <c r="I56" s="511"/>
      <c r="J56" s="511"/>
      <c r="K56" s="511"/>
      <c r="L56" s="515"/>
    </row>
    <row r="57" customFormat="false" ht="18.75" hidden="false" customHeight="true" outlineLevel="0" collapsed="false">
      <c r="B57" s="521"/>
      <c r="D57" s="511"/>
      <c r="E57" s="511"/>
      <c r="F57" s="511"/>
      <c r="G57" s="511"/>
      <c r="H57" s="511"/>
      <c r="I57" s="511"/>
      <c r="J57" s="511"/>
      <c r="K57" s="511"/>
      <c r="L57" s="515"/>
    </row>
    <row r="58" customFormat="false" ht="18.75" hidden="false" customHeight="true" outlineLevel="0" collapsed="false">
      <c r="B58" s="521"/>
      <c r="D58" s="511"/>
      <c r="E58" s="511"/>
      <c r="F58" s="511"/>
      <c r="G58" s="511"/>
      <c r="H58" s="511"/>
      <c r="I58" s="511"/>
      <c r="J58" s="511"/>
      <c r="K58" s="511"/>
      <c r="L58" s="515"/>
    </row>
    <row r="59" customFormat="false" ht="18.75" hidden="false" customHeight="true" outlineLevel="0" collapsed="false">
      <c r="B59" s="521"/>
      <c r="D59" s="511"/>
      <c r="E59" s="511"/>
      <c r="F59" s="511"/>
      <c r="G59" s="511"/>
      <c r="H59" s="511"/>
      <c r="I59" s="511"/>
      <c r="J59" s="511"/>
      <c r="K59" s="511"/>
      <c r="L59" s="515"/>
    </row>
    <row r="60" customFormat="false" ht="18.75" hidden="false" customHeight="true" outlineLevel="0" collapsed="false">
      <c r="B60" s="521" t="s">
        <v>869</v>
      </c>
      <c r="D60" s="524"/>
      <c r="E60" s="524"/>
      <c r="F60" s="524"/>
      <c r="G60" s="524"/>
      <c r="H60" s="524"/>
      <c r="I60" s="524"/>
      <c r="J60" s="524"/>
      <c r="K60" s="511"/>
      <c r="L60" s="512"/>
    </row>
    <row r="61" customFormat="false" ht="18.75" hidden="false" customHeight="true" outlineLevel="0" collapsed="false">
      <c r="B61" s="521"/>
      <c r="D61" s="524"/>
      <c r="E61" s="524"/>
      <c r="F61" s="524"/>
      <c r="G61" s="524"/>
      <c r="H61" s="524"/>
      <c r="I61" s="524"/>
      <c r="J61" s="524"/>
      <c r="K61" s="511"/>
      <c r="L61" s="512"/>
    </row>
    <row r="62" customFormat="false" ht="18.75" hidden="false" customHeight="true" outlineLevel="0" collapsed="false">
      <c r="B62" s="521"/>
      <c r="D62" s="524"/>
      <c r="E62" s="524"/>
      <c r="F62" s="524"/>
      <c r="G62" s="524"/>
      <c r="H62" s="524"/>
      <c r="I62" s="524"/>
      <c r="J62" s="524"/>
      <c r="K62" s="511"/>
      <c r="L62" s="512"/>
    </row>
    <row r="63" customFormat="false" ht="18.75" hidden="false" customHeight="true" outlineLevel="0" collapsed="false">
      <c r="B63" s="521"/>
      <c r="D63" s="524"/>
      <c r="E63" s="524"/>
      <c r="F63" s="524"/>
      <c r="G63" s="524"/>
      <c r="H63" s="524"/>
      <c r="I63" s="524"/>
      <c r="J63" s="524"/>
      <c r="K63" s="511"/>
      <c r="L63" s="512"/>
    </row>
    <row r="64" customFormat="false" ht="18.75" hidden="false" customHeight="true" outlineLevel="0" collapsed="false">
      <c r="B64" s="521"/>
      <c r="D64" s="524"/>
      <c r="E64" s="524"/>
      <c r="F64" s="524"/>
      <c r="G64" s="524"/>
      <c r="H64" s="524"/>
      <c r="I64" s="524"/>
      <c r="J64" s="524"/>
      <c r="K64" s="511"/>
      <c r="L64" s="512"/>
    </row>
    <row r="65" customFormat="false" ht="18.75" hidden="false" customHeight="true" outlineLevel="0" collapsed="false">
      <c r="B65" s="521"/>
      <c r="D65" s="524"/>
      <c r="E65" s="524"/>
      <c r="F65" s="524"/>
      <c r="G65" s="524"/>
      <c r="H65" s="524"/>
      <c r="I65" s="524"/>
      <c r="J65" s="524"/>
      <c r="K65" s="511"/>
      <c r="L65" s="512"/>
    </row>
    <row r="66" customFormat="false" ht="18.75" hidden="false" customHeight="true" outlineLevel="0" collapsed="false">
      <c r="B66" s="521"/>
      <c r="D66" s="524"/>
      <c r="E66" s="524"/>
      <c r="F66" s="524"/>
      <c r="G66" s="524"/>
      <c r="H66" s="524"/>
      <c r="I66" s="524"/>
      <c r="J66" s="524"/>
      <c r="K66" s="511"/>
      <c r="L66" s="512"/>
    </row>
    <row r="67" customFormat="false" ht="18.75" hidden="false" customHeight="true" outlineLevel="0" collapsed="false">
      <c r="B67" s="521" t="s">
        <v>870</v>
      </c>
      <c r="D67" s="524"/>
      <c r="E67" s="524"/>
      <c r="F67" s="524"/>
      <c r="G67" s="524"/>
      <c r="H67" s="524"/>
      <c r="I67" s="524"/>
      <c r="J67" s="524"/>
      <c r="K67" s="511"/>
      <c r="L67" s="512"/>
    </row>
    <row r="68" customFormat="false" ht="18.75" hidden="false" customHeight="true" outlineLevel="0" collapsed="false">
      <c r="B68" s="521"/>
      <c r="D68" s="524"/>
      <c r="E68" s="524"/>
      <c r="F68" s="524"/>
      <c r="G68" s="524"/>
      <c r="H68" s="524"/>
      <c r="I68" s="524"/>
      <c r="J68" s="524"/>
      <c r="K68" s="511"/>
      <c r="L68" s="512"/>
    </row>
    <row r="69" customFormat="false" ht="18.75" hidden="false" customHeight="true" outlineLevel="0" collapsed="false">
      <c r="B69" s="521"/>
      <c r="D69" s="524"/>
      <c r="E69" s="524"/>
      <c r="F69" s="524"/>
      <c r="G69" s="524"/>
      <c r="H69" s="524"/>
      <c r="I69" s="524"/>
      <c r="J69" s="524"/>
      <c r="K69" s="511"/>
      <c r="L69" s="512"/>
    </row>
    <row r="70" customFormat="false" ht="18.75" hidden="false" customHeight="true" outlineLevel="0" collapsed="false">
      <c r="B70" s="521"/>
      <c r="D70" s="524"/>
      <c r="E70" s="524"/>
      <c r="F70" s="524"/>
      <c r="G70" s="524"/>
      <c r="H70" s="524"/>
      <c r="I70" s="524"/>
      <c r="J70" s="524"/>
      <c r="K70" s="511"/>
      <c r="L70" s="512"/>
    </row>
    <row r="71" customFormat="false" ht="18.75" hidden="false" customHeight="true" outlineLevel="0" collapsed="false">
      <c r="B71" s="521"/>
      <c r="D71" s="524"/>
      <c r="E71" s="524"/>
      <c r="F71" s="524"/>
      <c r="G71" s="524"/>
      <c r="H71" s="524"/>
      <c r="I71" s="524"/>
      <c r="J71" s="524"/>
      <c r="K71" s="511"/>
      <c r="L71" s="512"/>
    </row>
    <row r="72" customFormat="false" ht="18.75" hidden="false" customHeight="true" outlineLevel="0" collapsed="false">
      <c r="B72" s="521"/>
      <c r="D72" s="524"/>
      <c r="E72" s="524"/>
      <c r="F72" s="524"/>
      <c r="G72" s="524"/>
      <c r="H72" s="524"/>
      <c r="I72" s="524"/>
      <c r="J72" s="524"/>
      <c r="K72" s="511"/>
      <c r="L72" s="512"/>
    </row>
    <row r="73" customFormat="false" ht="18.75" hidden="false" customHeight="true" outlineLevel="0" collapsed="false">
      <c r="B73" s="521"/>
      <c r="D73" s="524"/>
      <c r="E73" s="524"/>
      <c r="F73" s="524"/>
      <c r="G73" s="524"/>
      <c r="H73" s="524"/>
      <c r="I73" s="524"/>
      <c r="J73" s="524"/>
      <c r="K73" s="511"/>
      <c r="L73" s="512"/>
    </row>
    <row r="74" customFormat="false" ht="18.75" hidden="false" customHeight="true" outlineLevel="0" collapsed="false">
      <c r="B74" s="521" t="s">
        <v>871</v>
      </c>
      <c r="D74" s="511"/>
      <c r="E74" s="511"/>
      <c r="F74" s="511"/>
      <c r="G74" s="511"/>
      <c r="H74" s="511"/>
      <c r="I74" s="511"/>
      <c r="J74" s="511"/>
      <c r="K74" s="511"/>
      <c r="L74" s="515"/>
    </row>
    <row r="75" customFormat="false" ht="18.75" hidden="false" customHeight="true" outlineLevel="0" collapsed="false">
      <c r="B75" s="521"/>
      <c r="D75" s="511"/>
      <c r="E75" s="511"/>
      <c r="F75" s="511"/>
      <c r="G75" s="511"/>
      <c r="H75" s="511"/>
      <c r="I75" s="511"/>
      <c r="J75" s="511"/>
      <c r="K75" s="511"/>
      <c r="L75" s="515"/>
    </row>
    <row r="76" customFormat="false" ht="18.75" hidden="false" customHeight="true" outlineLevel="0" collapsed="false">
      <c r="B76" s="521"/>
      <c r="D76" s="511"/>
      <c r="E76" s="511"/>
      <c r="F76" s="511"/>
      <c r="G76" s="511"/>
      <c r="H76" s="511"/>
      <c r="I76" s="511"/>
      <c r="J76" s="511"/>
      <c r="K76" s="511"/>
      <c r="L76" s="515"/>
    </row>
    <row r="77" customFormat="false" ht="18.75" hidden="false" customHeight="true" outlineLevel="0" collapsed="false">
      <c r="B77" s="521"/>
      <c r="D77" s="511"/>
      <c r="E77" s="511"/>
      <c r="F77" s="511"/>
      <c r="G77" s="511"/>
      <c r="H77" s="511"/>
      <c r="I77" s="511"/>
      <c r="J77" s="511"/>
      <c r="K77" s="511"/>
      <c r="L77" s="515"/>
    </row>
    <row r="78" customFormat="false" ht="18.75" hidden="false" customHeight="true" outlineLevel="0" collapsed="false">
      <c r="B78" s="521"/>
      <c r="D78" s="511"/>
      <c r="E78" s="511"/>
      <c r="F78" s="511"/>
      <c r="G78" s="511"/>
      <c r="H78" s="511"/>
      <c r="I78" s="511"/>
      <c r="J78" s="511"/>
      <c r="K78" s="511"/>
      <c r="L78" s="515"/>
    </row>
    <row r="79" customFormat="false" ht="18.75" hidden="false" customHeight="true" outlineLevel="0" collapsed="false">
      <c r="B79" s="521"/>
      <c r="D79" s="511"/>
      <c r="E79" s="511"/>
      <c r="F79" s="511"/>
      <c r="G79" s="511"/>
      <c r="H79" s="511"/>
      <c r="I79" s="511"/>
      <c r="J79" s="511"/>
      <c r="K79" s="511"/>
      <c r="L79" s="515"/>
    </row>
    <row r="80" customFormat="false" ht="18.75" hidden="false" customHeight="true" outlineLevel="0" collapsed="false">
      <c r="B80" s="521"/>
      <c r="D80" s="511"/>
      <c r="E80" s="511"/>
      <c r="F80" s="511"/>
      <c r="G80" s="511"/>
      <c r="H80" s="511"/>
      <c r="I80" s="511"/>
      <c r="J80" s="511"/>
      <c r="K80" s="511"/>
      <c r="L80" s="515"/>
    </row>
    <row r="81" customFormat="false" ht="18.75" hidden="false" customHeight="true" outlineLevel="0" collapsed="false">
      <c r="B81" s="521"/>
      <c r="D81" s="477"/>
      <c r="E81" s="477"/>
      <c r="F81" s="477"/>
      <c r="G81" s="477"/>
      <c r="H81" s="477"/>
      <c r="I81" s="477"/>
      <c r="J81" s="477"/>
      <c r="K81" s="477"/>
      <c r="L81" s="518"/>
    </row>
    <row r="82" customFormat="false" ht="18.75" hidden="false" customHeight="true" outlineLevel="0" collapsed="false">
      <c r="B82" s="521" t="s">
        <v>872</v>
      </c>
      <c r="D82" s="524"/>
      <c r="E82" s="524"/>
      <c r="F82" s="524"/>
      <c r="G82" s="524"/>
      <c r="H82" s="524"/>
      <c r="I82" s="524"/>
      <c r="J82" s="524"/>
      <c r="K82" s="511"/>
      <c r="L82" s="515"/>
    </row>
    <row r="83" customFormat="false" ht="18.75" hidden="false" customHeight="true" outlineLevel="0" collapsed="false">
      <c r="B83" s="521"/>
      <c r="D83" s="524"/>
      <c r="E83" s="524"/>
      <c r="F83" s="524"/>
      <c r="G83" s="524"/>
      <c r="H83" s="524"/>
      <c r="I83" s="524"/>
      <c r="J83" s="524"/>
      <c r="K83" s="511"/>
      <c r="L83" s="515"/>
    </row>
    <row r="84" customFormat="false" ht="18.75" hidden="false" customHeight="true" outlineLevel="0" collapsed="false">
      <c r="B84" s="521"/>
      <c r="D84" s="524"/>
      <c r="E84" s="524"/>
      <c r="F84" s="524"/>
      <c r="G84" s="524"/>
      <c r="H84" s="524"/>
      <c r="I84" s="524"/>
      <c r="J84" s="524"/>
      <c r="K84" s="511"/>
      <c r="L84" s="515"/>
    </row>
    <row r="85" customFormat="false" ht="18.75" hidden="false" customHeight="true" outlineLevel="0" collapsed="false">
      <c r="B85" s="521"/>
      <c r="D85" s="524"/>
      <c r="E85" s="524"/>
      <c r="F85" s="524"/>
      <c r="G85" s="524"/>
      <c r="H85" s="524"/>
      <c r="I85" s="524"/>
      <c r="J85" s="524"/>
      <c r="K85" s="511"/>
      <c r="L85" s="515"/>
    </row>
    <row r="86" customFormat="false" ht="18.75" hidden="false" customHeight="true" outlineLevel="0" collapsed="false">
      <c r="B86" s="521"/>
      <c r="D86" s="524"/>
      <c r="E86" s="524"/>
      <c r="F86" s="524"/>
      <c r="G86" s="524"/>
      <c r="H86" s="524"/>
      <c r="I86" s="524"/>
      <c r="J86" s="524"/>
      <c r="K86" s="511"/>
      <c r="L86" s="515"/>
    </row>
    <row r="87" customFormat="false" ht="18.75" hidden="false" customHeight="true" outlineLevel="0" collapsed="false">
      <c r="B87" s="521"/>
      <c r="D87" s="524"/>
      <c r="E87" s="524"/>
      <c r="F87" s="524"/>
      <c r="G87" s="524"/>
      <c r="H87" s="524"/>
      <c r="I87" s="524"/>
      <c r="J87" s="524"/>
      <c r="K87" s="511"/>
      <c r="L87" s="515"/>
    </row>
    <row r="88" customFormat="false" ht="18.75" hidden="false" customHeight="true" outlineLevel="0" collapsed="false">
      <c r="B88" s="521"/>
      <c r="D88" s="524"/>
      <c r="E88" s="524"/>
      <c r="F88" s="524"/>
      <c r="G88" s="524"/>
      <c r="H88" s="524"/>
      <c r="I88" s="524"/>
      <c r="J88" s="524"/>
      <c r="K88" s="511"/>
      <c r="L88" s="515"/>
    </row>
    <row r="89" customFormat="false" ht="18.75" hidden="false" customHeight="true" outlineLevel="0" collapsed="false">
      <c r="B89" s="521"/>
      <c r="D89" s="524"/>
      <c r="E89" s="524"/>
      <c r="F89" s="524"/>
      <c r="G89" s="524"/>
      <c r="H89" s="524"/>
      <c r="I89" s="524"/>
      <c r="J89" s="524"/>
      <c r="K89" s="511"/>
      <c r="L89" s="515"/>
    </row>
    <row r="90" customFormat="false" ht="18.75" hidden="false" customHeight="true" outlineLevel="0" collapsed="false">
      <c r="B90" s="521"/>
      <c r="D90" s="477"/>
      <c r="E90" s="477"/>
      <c r="F90" s="477"/>
      <c r="G90" s="477"/>
      <c r="H90" s="477"/>
      <c r="I90" s="477"/>
      <c r="J90" s="477"/>
      <c r="K90" s="479"/>
      <c r="L90" s="518"/>
    </row>
    <row r="91" customFormat="false" ht="18.75" hidden="false" customHeight="true" outlineLevel="0" collapsed="false">
      <c r="B91" s="521" t="s">
        <v>873</v>
      </c>
      <c r="D91" s="471" t="s">
        <v>874</v>
      </c>
      <c r="E91" s="471"/>
      <c r="F91" s="471"/>
      <c r="G91" s="471"/>
      <c r="H91" s="471"/>
      <c r="I91" s="471"/>
      <c r="J91" s="471"/>
      <c r="K91" s="471" t="s">
        <v>574</v>
      </c>
      <c r="L91" s="509" t="n">
        <f aca="true">IFERROR(-INDIRECT("ENT!D15"),0)</f>
        <v>-0</v>
      </c>
    </row>
    <row r="92" customFormat="false" ht="18.75" hidden="false" customHeight="true" outlineLevel="0" collapsed="false">
      <c r="B92" s="521"/>
      <c r="D92" s="471" t="s">
        <v>875</v>
      </c>
      <c r="E92" s="471"/>
      <c r="F92" s="471"/>
      <c r="G92" s="471"/>
      <c r="H92" s="471"/>
      <c r="I92" s="471"/>
      <c r="J92" s="471"/>
      <c r="K92" s="471" t="s">
        <v>566</v>
      </c>
      <c r="L92" s="525" t="n">
        <f aca="true">IFERROR(-INDIRECT("OIC!J18"),0)</f>
        <v>-0</v>
      </c>
    </row>
    <row r="93" customFormat="false" ht="18.75" hidden="false" customHeight="true" outlineLevel="0" collapsed="false">
      <c r="B93" s="521"/>
      <c r="D93" s="471" t="s">
        <v>876</v>
      </c>
      <c r="E93" s="471"/>
      <c r="F93" s="471"/>
      <c r="G93" s="471"/>
      <c r="H93" s="471"/>
      <c r="I93" s="471"/>
      <c r="J93" s="471"/>
      <c r="K93" s="471" t="s">
        <v>575</v>
      </c>
      <c r="L93" s="509" t="n">
        <f aca="true">IFERROR(MAX(INDIRECT("HOM!G37"), INDIRECT("HOM!H37")), 0)</f>
        <v>0</v>
      </c>
    </row>
    <row r="94" customFormat="false" ht="18.75" hidden="false" customHeight="true" outlineLevel="0" collapsed="false">
      <c r="B94" s="521"/>
      <c r="D94" s="471" t="s">
        <v>877</v>
      </c>
      <c r="E94" s="471"/>
      <c r="F94" s="471"/>
      <c r="G94" s="471"/>
      <c r="H94" s="471"/>
      <c r="I94" s="471"/>
      <c r="J94" s="471"/>
      <c r="K94" s="511"/>
      <c r="L94" s="512"/>
    </row>
    <row r="95" customFormat="false" ht="18.75" hidden="false" customHeight="true" outlineLevel="0" collapsed="false">
      <c r="B95" s="521"/>
      <c r="D95" s="471" t="s">
        <v>878</v>
      </c>
      <c r="E95" s="471"/>
      <c r="F95" s="471"/>
      <c r="G95" s="471"/>
      <c r="H95" s="471"/>
      <c r="I95" s="471"/>
      <c r="J95" s="471"/>
      <c r="K95" s="511"/>
      <c r="L95" s="512"/>
    </row>
    <row r="96" customFormat="false" ht="18.75" hidden="false" customHeight="true" outlineLevel="0" collapsed="false">
      <c r="B96" s="521"/>
      <c r="D96" s="524"/>
      <c r="E96" s="524"/>
      <c r="F96" s="524"/>
      <c r="G96" s="524"/>
      <c r="H96" s="524"/>
      <c r="I96" s="524"/>
      <c r="J96" s="524"/>
      <c r="K96" s="511"/>
      <c r="L96" s="512"/>
    </row>
    <row r="97" customFormat="false" ht="18.75" hidden="false" customHeight="true" outlineLevel="0" collapsed="false">
      <c r="B97" s="521"/>
      <c r="D97" s="524"/>
      <c r="E97" s="524"/>
      <c r="F97" s="524"/>
      <c r="G97" s="524"/>
      <c r="H97" s="524"/>
      <c r="I97" s="524"/>
      <c r="J97" s="524"/>
      <c r="K97" s="511"/>
      <c r="L97" s="512"/>
    </row>
    <row r="98" customFormat="false" ht="18.75" hidden="false" customHeight="true" outlineLevel="0" collapsed="false">
      <c r="B98" s="521"/>
      <c r="D98" s="524"/>
      <c r="E98" s="524"/>
      <c r="F98" s="524"/>
      <c r="G98" s="524"/>
      <c r="H98" s="524"/>
      <c r="I98" s="524"/>
      <c r="J98" s="524"/>
      <c r="K98" s="511"/>
      <c r="L98" s="512"/>
    </row>
    <row r="99" customFormat="false" ht="18.75" hidden="false" customHeight="true" outlineLevel="0" collapsed="false">
      <c r="B99" s="521"/>
      <c r="D99" s="524"/>
      <c r="E99" s="524"/>
      <c r="F99" s="524"/>
      <c r="G99" s="524"/>
      <c r="H99" s="524"/>
      <c r="I99" s="524"/>
      <c r="J99" s="524"/>
      <c r="K99" s="511"/>
      <c r="L99" s="512"/>
    </row>
    <row r="100" customFormat="false" ht="18.75" hidden="false" customHeight="true" outlineLevel="0" collapsed="false">
      <c r="B100" s="521"/>
      <c r="D100" s="477"/>
      <c r="E100" s="477"/>
      <c r="F100" s="477"/>
      <c r="G100" s="477"/>
      <c r="H100" s="477"/>
      <c r="I100" s="477"/>
      <c r="J100" s="477"/>
      <c r="K100" s="479"/>
      <c r="L100" s="518"/>
    </row>
    <row r="101" customFormat="false" ht="18.75" hidden="false" customHeight="true" outlineLevel="0" collapsed="false">
      <c r="B101" s="521" t="s">
        <v>879</v>
      </c>
      <c r="D101" s="524"/>
      <c r="E101" s="524"/>
      <c r="F101" s="524"/>
      <c r="G101" s="524"/>
      <c r="H101" s="524"/>
      <c r="I101" s="524"/>
      <c r="J101" s="524"/>
      <c r="K101" s="511"/>
      <c r="L101" s="509" t="n">
        <f aca="false">IF(L25="y",K27,0)</f>
        <v>0</v>
      </c>
    </row>
    <row r="102" customFormat="false" ht="11.25" hidden="false" customHeight="true" outlineLevel="0" collapsed="false">
      <c r="B102" s="494"/>
      <c r="D102" s="477"/>
      <c r="E102" s="477"/>
      <c r="F102" s="477"/>
      <c r="G102" s="477"/>
      <c r="H102" s="477"/>
      <c r="I102" s="477"/>
      <c r="J102" s="477"/>
      <c r="K102" s="479"/>
      <c r="L102" s="518"/>
    </row>
    <row r="103" customFormat="false" ht="18.75" hidden="false" customHeight="true" outlineLevel="0" collapsed="false">
      <c r="B103" s="494"/>
      <c r="G103" s="526" t="s">
        <v>880</v>
      </c>
      <c r="H103" s="526"/>
      <c r="I103" s="526"/>
      <c r="J103" s="526"/>
      <c r="K103" s="526"/>
      <c r="L103" s="527" t="n">
        <f aca="false">-SUM(L53:L59)+SUM(L60:L66)+SUM(L67:L73)-SUM(L74:L89)+SUM(L91:L101)</f>
        <v>0</v>
      </c>
    </row>
    <row r="104" s="469" customFormat="true" ht="11.25" hidden="false" customHeight="true" outlineLevel="0" collapsed="false">
      <c r="B104" s="494"/>
      <c r="K104" s="470"/>
      <c r="L104" s="498"/>
    </row>
    <row r="105" customFormat="false" ht="18.75" hidden="false" customHeight="true" outlineLevel="0" collapsed="false">
      <c r="B105" s="528"/>
      <c r="C105" s="498"/>
      <c r="H105" s="529" t="s">
        <v>496</v>
      </c>
      <c r="I105" s="529"/>
      <c r="J105" s="529"/>
      <c r="K105" s="529"/>
      <c r="L105" s="509" t="n">
        <f aca="false">SUM(L33:L41)-L43+L44-L46+L47+L103</f>
        <v>0</v>
      </c>
    </row>
    <row r="106" customFormat="false" ht="18.75" hidden="false" customHeight="true" outlineLevel="0" collapsed="false">
      <c r="H106" s="529" t="s">
        <v>881</v>
      </c>
      <c r="I106" s="529"/>
      <c r="J106" s="529"/>
      <c r="K106" s="529"/>
      <c r="L106" s="530" t="n">
        <f aca="false">DSH!E33</f>
        <v>0</v>
      </c>
    </row>
    <row r="107" s="469" customFormat="true" ht="11.25" hidden="false" customHeight="true" outlineLevel="0" collapsed="false">
      <c r="D107" s="528"/>
      <c r="E107" s="498"/>
      <c r="H107" s="531"/>
      <c r="K107" s="470"/>
      <c r="L107" s="498"/>
    </row>
    <row r="108" customFormat="false" ht="18.75" hidden="false" customHeight="true" outlineLevel="0" collapsed="false">
      <c r="D108" s="532" t="s">
        <v>882</v>
      </c>
      <c r="E108" s="532"/>
      <c r="H108" s="533" t="s">
        <v>591</v>
      </c>
      <c r="I108" s="533"/>
      <c r="J108" s="533"/>
      <c r="K108" s="534" t="str">
        <f aca="false">IF(L108&gt;0, "Debit GST", IF(L108&lt;0, "Credit GST", ""))</f>
        <v/>
      </c>
      <c r="L108" s="527" t="n">
        <f aca="false">IFERROR(VALUE(L105) - VALUE(L106), 0)</f>
        <v>0</v>
      </c>
    </row>
  </sheetData>
  <mergeCells count="74">
    <mergeCell ref="G3:L3"/>
    <mergeCell ref="B4:C4"/>
    <mergeCell ref="B6:L6"/>
    <mergeCell ref="B8:B9"/>
    <mergeCell ref="C8:C9"/>
    <mergeCell ref="D8:D9"/>
    <mergeCell ref="E8:E9"/>
    <mergeCell ref="F8:F9"/>
    <mergeCell ref="G8:G9"/>
    <mergeCell ref="H8:H9"/>
    <mergeCell ref="I8:I9"/>
    <mergeCell ref="J8:J9"/>
    <mergeCell ref="K8:K9"/>
    <mergeCell ref="L8:L9"/>
    <mergeCell ref="I25:K25"/>
    <mergeCell ref="B29:L29"/>
    <mergeCell ref="B30:L30"/>
    <mergeCell ref="B31:L31"/>
    <mergeCell ref="B50:L50"/>
    <mergeCell ref="D52:J52"/>
    <mergeCell ref="D53:J53"/>
    <mergeCell ref="D54:J54"/>
    <mergeCell ref="D55:J55"/>
    <mergeCell ref="D56:J56"/>
    <mergeCell ref="D57:J57"/>
    <mergeCell ref="D58:J58"/>
    <mergeCell ref="D59:J59"/>
    <mergeCell ref="D60:J60"/>
    <mergeCell ref="D61:J61"/>
    <mergeCell ref="D62:J62"/>
    <mergeCell ref="D63:J63"/>
    <mergeCell ref="D64:J64"/>
    <mergeCell ref="D65:J65"/>
    <mergeCell ref="D66:J66"/>
    <mergeCell ref="D67:J67"/>
    <mergeCell ref="D68:J68"/>
    <mergeCell ref="D69:J69"/>
    <mergeCell ref="D70:J70"/>
    <mergeCell ref="D71:J71"/>
    <mergeCell ref="D72:J72"/>
    <mergeCell ref="D73:J73"/>
    <mergeCell ref="D74:J74"/>
    <mergeCell ref="D75:J75"/>
    <mergeCell ref="D76:J76"/>
    <mergeCell ref="D77:J77"/>
    <mergeCell ref="D78:J78"/>
    <mergeCell ref="D79:J79"/>
    <mergeCell ref="D80:J80"/>
    <mergeCell ref="D81:H81"/>
    <mergeCell ref="D82:J82"/>
    <mergeCell ref="D83:J83"/>
    <mergeCell ref="D84:J84"/>
    <mergeCell ref="D85:J85"/>
    <mergeCell ref="D86:J86"/>
    <mergeCell ref="D87:J87"/>
    <mergeCell ref="D88:J88"/>
    <mergeCell ref="D89:J89"/>
    <mergeCell ref="D90:H90"/>
    <mergeCell ref="D91:J91"/>
    <mergeCell ref="D92:J92"/>
    <mergeCell ref="D93:J93"/>
    <mergeCell ref="D94:J94"/>
    <mergeCell ref="D95:J95"/>
    <mergeCell ref="D96:J96"/>
    <mergeCell ref="D97:J97"/>
    <mergeCell ref="D98:J98"/>
    <mergeCell ref="D99:J99"/>
    <mergeCell ref="D100:H100"/>
    <mergeCell ref="D101:J101"/>
    <mergeCell ref="G103:K103"/>
    <mergeCell ref="H105:K105"/>
    <mergeCell ref="H106:K106"/>
    <mergeCell ref="D108:E108"/>
    <mergeCell ref="H108:J108"/>
  </mergeCells>
  <conditionalFormatting sqref="L10:L21">
    <cfRule type="expression" priority="2" aboveAverage="0" equalAverage="0" bottom="0" percent="0" rank="0" text="" dxfId="33">
      <formula>$L10="Yes"</formula>
    </cfRule>
  </conditionalFormatting>
  <dataValidations count="3">
    <dataValidation allowBlank="false" errorStyle="stop" operator="between" showDropDown="false" showErrorMessage="true" showInputMessage="true" sqref="D4" type="list">
      <formula1>"Monthly,2 monthly,6 monthly"</formula1>
      <formula2>0</formula2>
    </dataValidation>
    <dataValidation allowBlank="false" errorStyle="stop" operator="between" showDropDown="false" showErrorMessage="true" showInputMessage="true" sqref="D3" type="list">
      <formula1>"Payments,Invoice,Hybrid"</formula1>
      <formula2>0</formula2>
    </dataValidation>
    <dataValidation allowBlank="false" errorStyle="stop" operator="between" showDropDown="false" showErrorMessage="true" showInputMessage="true" sqref="L10:L21" type="list">
      <formula1>"Yes,No"</formula1>
      <formula2>0</formula2>
    </dataValidation>
  </dataValidations>
  <hyperlinks>
    <hyperlink ref="D108" location="Hidden!A1" display="Create adjustment sheet"/>
  </hyperlinks>
  <printOptions headings="false" gridLines="false" gridLinesSet="true" horizontalCentered="false" verticalCentered="false"/>
  <pageMargins left="0.590277777777778" right="0.590277777777778" top="0.590277777777778" bottom="0.590277777777778" header="0.511811023622047" footer="0.511805555555556"/>
  <pageSetup paperSize="9" scale="100" fitToWidth="0" fitToHeight="2" pageOrder="downThenOver" orientation="landscape" blackAndWhite="false" draft="false" cellComments="none" horizontalDpi="300" verticalDpi="300" copies="1"/>
  <headerFooter differentFirst="false" differentOddEven="false">
    <oddHeader/>
    <oddFooter>&amp;L&amp;8 CCH Business Fitness NZ&amp;R&amp;8 &amp;P of &amp;N</oddFooter>
  </headerFooter>
  <rowBreaks count="1" manualBreakCount="1">
    <brk id="49" man="true" max="16383" min="0"/>
  </rowBreaks>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60"/>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G9" activeCellId="0" sqref="G9"/>
    </sheetView>
  </sheetViews>
  <sheetFormatPr defaultColWidth="9.14453125" defaultRowHeight="12.75" zeroHeight="false" outlineLevelRow="0" outlineLevelCol="0"/>
  <cols>
    <col collapsed="false" customWidth="true" hidden="false" outlineLevel="0" max="1" min="1" style="469" width="3.15"/>
    <col collapsed="false" customWidth="true" hidden="false" outlineLevel="0" max="2" min="2" style="469" width="13.14"/>
    <col collapsed="false" customWidth="true" hidden="false" outlineLevel="0" max="3" min="3" style="469" width="7"/>
    <col collapsed="false" customWidth="true" hidden="false" outlineLevel="0" max="4" min="4" style="469" width="17.43"/>
    <col collapsed="false" customWidth="true" hidden="false" outlineLevel="0" max="6" min="5" style="469" width="29.14"/>
    <col collapsed="false" customWidth="true" hidden="false" outlineLevel="0" max="7" min="7" style="469" width="37.43"/>
    <col collapsed="false" customWidth="true" hidden="false" outlineLevel="0" max="8" min="8" style="469" width="13.86"/>
    <col collapsed="false" customWidth="true" hidden="false" outlineLevel="0" max="9" min="9" style="469" width="11.43"/>
    <col collapsed="false" customWidth="false" hidden="false" outlineLevel="0" max="16384" min="10" style="469" width="9.14"/>
  </cols>
  <sheetData>
    <row r="1" s="23" customFormat="true" ht="20.25" hidden="false" customHeight="true" outlineLevel="0" collapsed="false">
      <c r="B1" s="54"/>
      <c r="H1" s="535"/>
    </row>
    <row r="2" s="23" customFormat="true" ht="20.25" hidden="false" customHeight="true" outlineLevel="0" collapsed="false">
      <c r="B2" s="218"/>
      <c r="C2" s="218"/>
      <c r="D2" s="218"/>
      <c r="E2" s="218"/>
      <c r="F2" s="218" t="s">
        <v>542</v>
      </c>
      <c r="G2" s="218"/>
      <c r="H2" s="535"/>
    </row>
    <row r="4" customFormat="false" ht="18" hidden="false" customHeight="true" outlineLevel="0" collapsed="false">
      <c r="B4" s="536" t="s">
        <v>883</v>
      </c>
    </row>
    <row r="5" customFormat="false" ht="15" hidden="false" customHeight="true" outlineLevel="0" collapsed="false">
      <c r="B5" s="537" t="s">
        <v>884</v>
      </c>
      <c r="C5" s="537"/>
      <c r="D5" s="537"/>
      <c r="E5" s="537"/>
      <c r="F5" s="537"/>
      <c r="G5" s="537"/>
      <c r="I5" s="161" t="s">
        <v>628</v>
      </c>
    </row>
    <row r="6" customFormat="false" ht="14.25" hidden="false" customHeight="true" outlineLevel="0" collapsed="false">
      <c r="B6" s="538"/>
      <c r="C6" s="477"/>
      <c r="D6" s="477"/>
      <c r="E6" s="477"/>
      <c r="F6" s="477"/>
      <c r="G6" s="477"/>
    </row>
    <row r="7" customFormat="false" ht="48" hidden="false" customHeight="true" outlineLevel="0" collapsed="false">
      <c r="B7" s="539" t="s">
        <v>835</v>
      </c>
      <c r="C7" s="539"/>
      <c r="D7" s="540" t="s">
        <v>885</v>
      </c>
      <c r="E7" s="540" t="s">
        <v>886</v>
      </c>
      <c r="F7" s="539" t="s">
        <v>591</v>
      </c>
      <c r="G7" s="541" t="s">
        <v>887</v>
      </c>
    </row>
    <row r="8" customFormat="false" ht="18.75" hidden="false" customHeight="true" outlineLevel="0" collapsed="false">
      <c r="A8" s="542"/>
      <c r="B8" s="543" t="n">
        <f aca="false">GRC!B10</f>
        <v>45046</v>
      </c>
      <c r="C8" s="543"/>
      <c r="D8" s="544" t="n">
        <f aca="false">GRC!C10</f>
        <v>0</v>
      </c>
      <c r="E8" s="545"/>
      <c r="F8" s="544" t="n">
        <f aca="false">D8-E8</f>
        <v>0</v>
      </c>
      <c r="G8" s="546"/>
    </row>
    <row r="9" customFormat="false" ht="18.75" hidden="false" customHeight="true" outlineLevel="0" collapsed="false">
      <c r="A9" s="542"/>
      <c r="B9" s="547" t="n">
        <f aca="false">GRC!B11</f>
        <v>45077</v>
      </c>
      <c r="C9" s="547"/>
      <c r="D9" s="548" t="n">
        <f aca="false">GRC!C11</f>
        <v>0</v>
      </c>
      <c r="E9" s="549"/>
      <c r="F9" s="548" t="n">
        <f aca="false">D9-E9</f>
        <v>0</v>
      </c>
      <c r="G9" s="550"/>
    </row>
    <row r="10" customFormat="false" ht="18.75" hidden="false" customHeight="true" outlineLevel="0" collapsed="false">
      <c r="A10" s="542"/>
      <c r="B10" s="547" t="n">
        <f aca="false">GRC!B12</f>
        <v>45107</v>
      </c>
      <c r="C10" s="547"/>
      <c r="D10" s="548" t="n">
        <f aca="false">GRC!C12</f>
        <v>0</v>
      </c>
      <c r="E10" s="549"/>
      <c r="F10" s="548" t="n">
        <f aca="false">D10-E10</f>
        <v>0</v>
      </c>
      <c r="G10" s="550"/>
    </row>
    <row r="11" customFormat="false" ht="18.75" hidden="false" customHeight="true" outlineLevel="0" collapsed="false">
      <c r="A11" s="542"/>
      <c r="B11" s="547" t="n">
        <f aca="false">GRC!B13</f>
        <v>45138</v>
      </c>
      <c r="C11" s="547"/>
      <c r="D11" s="548" t="n">
        <f aca="false">GRC!C13</f>
        <v>0</v>
      </c>
      <c r="E11" s="549"/>
      <c r="F11" s="548" t="n">
        <f aca="false">D11-E11</f>
        <v>0</v>
      </c>
      <c r="G11" s="550"/>
    </row>
    <row r="12" customFormat="false" ht="18.75" hidden="false" customHeight="true" outlineLevel="0" collapsed="false">
      <c r="A12" s="542"/>
      <c r="B12" s="547" t="n">
        <f aca="false">GRC!B14</f>
        <v>45169</v>
      </c>
      <c r="C12" s="547"/>
      <c r="D12" s="548" t="n">
        <f aca="false">GRC!C14</f>
        <v>0</v>
      </c>
      <c r="E12" s="549"/>
      <c r="F12" s="548" t="n">
        <f aca="false">D12-E12</f>
        <v>0</v>
      </c>
      <c r="G12" s="550"/>
    </row>
    <row r="13" customFormat="false" ht="18.75" hidden="false" customHeight="true" outlineLevel="0" collapsed="false">
      <c r="A13" s="542"/>
      <c r="B13" s="547" t="n">
        <f aca="false">GRC!B15</f>
        <v>45199</v>
      </c>
      <c r="C13" s="547"/>
      <c r="D13" s="548" t="n">
        <f aca="false">GRC!C15</f>
        <v>0</v>
      </c>
      <c r="E13" s="549"/>
      <c r="F13" s="548" t="n">
        <f aca="false">D13-E13</f>
        <v>0</v>
      </c>
      <c r="G13" s="550"/>
    </row>
    <row r="14" customFormat="false" ht="18.75" hidden="false" customHeight="true" outlineLevel="0" collapsed="false">
      <c r="A14" s="542"/>
      <c r="B14" s="547" t="n">
        <f aca="false">GRC!B16</f>
        <v>45230</v>
      </c>
      <c r="C14" s="547"/>
      <c r="D14" s="548" t="n">
        <f aca="false">GRC!C16</f>
        <v>0</v>
      </c>
      <c r="E14" s="549"/>
      <c r="F14" s="548" t="n">
        <f aca="false">D14-E14</f>
        <v>0</v>
      </c>
      <c r="G14" s="550"/>
    </row>
    <row r="15" customFormat="false" ht="18.75" hidden="false" customHeight="true" outlineLevel="0" collapsed="false">
      <c r="A15" s="542"/>
      <c r="B15" s="547" t="n">
        <f aca="false">GRC!B17</f>
        <v>45260</v>
      </c>
      <c r="C15" s="547"/>
      <c r="D15" s="548" t="n">
        <f aca="false">GRC!C17</f>
        <v>0</v>
      </c>
      <c r="E15" s="549"/>
      <c r="F15" s="548" t="n">
        <f aca="false">D15-E15</f>
        <v>0</v>
      </c>
      <c r="G15" s="550"/>
    </row>
    <row r="16" customFormat="false" ht="18.75" hidden="false" customHeight="true" outlineLevel="0" collapsed="false">
      <c r="A16" s="542"/>
      <c r="B16" s="547" t="n">
        <f aca="false">GRC!B18</f>
        <v>45291</v>
      </c>
      <c r="C16" s="547"/>
      <c r="D16" s="548" t="n">
        <f aca="false">GRC!C18</f>
        <v>0</v>
      </c>
      <c r="E16" s="549"/>
      <c r="F16" s="548" t="n">
        <f aca="false">D16-E16</f>
        <v>0</v>
      </c>
      <c r="G16" s="550"/>
    </row>
    <row r="17" customFormat="false" ht="18.75" hidden="false" customHeight="true" outlineLevel="0" collapsed="false">
      <c r="A17" s="542"/>
      <c r="B17" s="547" t="n">
        <f aca="false">GRC!B19</f>
        <v>45322</v>
      </c>
      <c r="C17" s="547"/>
      <c r="D17" s="548" t="n">
        <f aca="false">GRC!C19</f>
        <v>0</v>
      </c>
      <c r="E17" s="549"/>
      <c r="F17" s="548" t="n">
        <f aca="false">D17-E17</f>
        <v>0</v>
      </c>
      <c r="G17" s="550"/>
    </row>
    <row r="18" customFormat="false" ht="18.75" hidden="false" customHeight="true" outlineLevel="0" collapsed="false">
      <c r="A18" s="542"/>
      <c r="B18" s="547" t="n">
        <f aca="false">GRC!B20</f>
        <v>45351</v>
      </c>
      <c r="C18" s="547"/>
      <c r="D18" s="548" t="n">
        <f aca="false">GRC!C20</f>
        <v>0</v>
      </c>
      <c r="E18" s="549"/>
      <c r="F18" s="548" t="n">
        <f aca="false">D18-E18</f>
        <v>0</v>
      </c>
      <c r="G18" s="550"/>
    </row>
    <row r="19" customFormat="false" ht="18.75" hidden="false" customHeight="true" outlineLevel="0" collapsed="false">
      <c r="A19" s="542"/>
      <c r="B19" s="547" t="n">
        <f aca="false">GRC!B21</f>
        <v>45382</v>
      </c>
      <c r="C19" s="547"/>
      <c r="D19" s="548" t="n">
        <f aca="false">GRC!C21</f>
        <v>0</v>
      </c>
      <c r="E19" s="549"/>
      <c r="F19" s="548" t="n">
        <f aca="false">D19-E19</f>
        <v>0</v>
      </c>
      <c r="G19" s="550"/>
    </row>
    <row r="20" customFormat="false" ht="12.75" hidden="false" customHeight="false" outlineLevel="0" collapsed="false">
      <c r="B20" s="477"/>
      <c r="C20" s="477"/>
      <c r="D20" s="477"/>
      <c r="E20" s="477"/>
      <c r="F20" s="477"/>
      <c r="G20" s="477"/>
    </row>
    <row r="21" customFormat="false" ht="14.25" hidden="false" customHeight="true" outlineLevel="0" collapsed="false">
      <c r="B21" s="551" t="s">
        <v>888</v>
      </c>
      <c r="C21" s="551"/>
      <c r="D21" s="551"/>
      <c r="E21" s="551"/>
      <c r="F21" s="552" t="n">
        <f aca="false">SUM(F8:F19)</f>
        <v>0</v>
      </c>
    </row>
    <row r="22" customFormat="false" ht="12.75" hidden="false" customHeight="false" outlineLevel="0" collapsed="false">
      <c r="B22" s="553"/>
      <c r="C22" s="553"/>
      <c r="F22" s="492"/>
    </row>
    <row r="23" customFormat="false" ht="15" hidden="false" customHeight="true" outlineLevel="0" collapsed="false">
      <c r="B23" s="537" t="s">
        <v>889</v>
      </c>
      <c r="C23" s="537"/>
      <c r="D23" s="537"/>
      <c r="E23" s="537"/>
      <c r="F23" s="537"/>
      <c r="G23" s="537"/>
    </row>
    <row r="24" customFormat="false" ht="14.25" hidden="false" customHeight="true" outlineLevel="0" collapsed="false">
      <c r="B24" s="538"/>
      <c r="C24" s="477"/>
      <c r="D24" s="477"/>
      <c r="E24" s="477"/>
      <c r="F24" s="477"/>
      <c r="G24" s="477"/>
    </row>
    <row r="25" customFormat="false" ht="28.5" hidden="false" customHeight="true" outlineLevel="0" collapsed="false">
      <c r="B25" s="539" t="s">
        <v>835</v>
      </c>
      <c r="C25" s="539"/>
      <c r="D25" s="540" t="s">
        <v>890</v>
      </c>
      <c r="E25" s="540" t="s">
        <v>891</v>
      </c>
      <c r="F25" s="539" t="s">
        <v>591</v>
      </c>
      <c r="G25" s="541" t="s">
        <v>887</v>
      </c>
    </row>
    <row r="26" customFormat="false" ht="18.75" hidden="false" customHeight="true" outlineLevel="0" collapsed="false">
      <c r="A26" s="542"/>
      <c r="B26" s="543" t="n">
        <f aca="false">GRC!B10</f>
        <v>45046</v>
      </c>
      <c r="C26" s="543"/>
      <c r="D26" s="544" t="n">
        <f aca="false">GRC!G10</f>
        <v>0</v>
      </c>
      <c r="E26" s="545"/>
      <c r="F26" s="544" t="n">
        <f aca="false">D26-E26</f>
        <v>0</v>
      </c>
      <c r="G26" s="546"/>
    </row>
    <row r="27" customFormat="false" ht="18.75" hidden="false" customHeight="true" outlineLevel="0" collapsed="false">
      <c r="A27" s="542"/>
      <c r="B27" s="547" t="n">
        <f aca="false">GRC!B11</f>
        <v>45077</v>
      </c>
      <c r="C27" s="547"/>
      <c r="D27" s="548" t="n">
        <f aca="false">GRC!G11</f>
        <v>0</v>
      </c>
      <c r="E27" s="549"/>
      <c r="F27" s="548" t="n">
        <f aca="false">D27-E27</f>
        <v>0</v>
      </c>
      <c r="G27" s="550"/>
    </row>
    <row r="28" customFormat="false" ht="18.75" hidden="false" customHeight="true" outlineLevel="0" collapsed="false">
      <c r="A28" s="542"/>
      <c r="B28" s="547" t="n">
        <f aca="false">GRC!B12</f>
        <v>45107</v>
      </c>
      <c r="C28" s="547"/>
      <c r="D28" s="548" t="n">
        <f aca="false">GRC!G12</f>
        <v>0</v>
      </c>
      <c r="E28" s="549"/>
      <c r="F28" s="548" t="n">
        <f aca="false">D28-E28</f>
        <v>0</v>
      </c>
      <c r="G28" s="550"/>
    </row>
    <row r="29" customFormat="false" ht="18.75" hidden="false" customHeight="true" outlineLevel="0" collapsed="false">
      <c r="A29" s="542"/>
      <c r="B29" s="547" t="n">
        <f aca="false">GRC!B13</f>
        <v>45138</v>
      </c>
      <c r="C29" s="547"/>
      <c r="D29" s="548" t="n">
        <f aca="false">GRC!G13</f>
        <v>0</v>
      </c>
      <c r="E29" s="549"/>
      <c r="F29" s="548" t="n">
        <f aca="false">D29-E29</f>
        <v>0</v>
      </c>
      <c r="G29" s="550"/>
    </row>
    <row r="30" customFormat="false" ht="18.75" hidden="false" customHeight="true" outlineLevel="0" collapsed="false">
      <c r="A30" s="542"/>
      <c r="B30" s="547" t="n">
        <f aca="false">GRC!B14</f>
        <v>45169</v>
      </c>
      <c r="C30" s="547"/>
      <c r="D30" s="548" t="n">
        <f aca="false">GRC!G14</f>
        <v>0</v>
      </c>
      <c r="E30" s="549"/>
      <c r="F30" s="548" t="n">
        <f aca="false">D30-E30</f>
        <v>0</v>
      </c>
      <c r="G30" s="550"/>
    </row>
    <row r="31" customFormat="false" ht="18.75" hidden="false" customHeight="true" outlineLevel="0" collapsed="false">
      <c r="A31" s="542"/>
      <c r="B31" s="547" t="n">
        <f aca="false">GRC!B15</f>
        <v>45199</v>
      </c>
      <c r="C31" s="547"/>
      <c r="D31" s="548" t="n">
        <f aca="false">GRC!G15</f>
        <v>0</v>
      </c>
      <c r="E31" s="549"/>
      <c r="F31" s="548" t="n">
        <f aca="false">D31-E31</f>
        <v>0</v>
      </c>
      <c r="G31" s="550"/>
    </row>
    <row r="32" customFormat="false" ht="18.75" hidden="false" customHeight="true" outlineLevel="0" collapsed="false">
      <c r="A32" s="542"/>
      <c r="B32" s="547" t="n">
        <f aca="false">GRC!B16</f>
        <v>45230</v>
      </c>
      <c r="C32" s="547"/>
      <c r="D32" s="548" t="n">
        <f aca="false">GRC!G16</f>
        <v>0</v>
      </c>
      <c r="E32" s="549"/>
      <c r="F32" s="548" t="n">
        <f aca="false">D32-E32</f>
        <v>0</v>
      </c>
      <c r="G32" s="550"/>
    </row>
    <row r="33" customFormat="false" ht="18.75" hidden="false" customHeight="true" outlineLevel="0" collapsed="false">
      <c r="A33" s="542"/>
      <c r="B33" s="547" t="n">
        <f aca="false">GRC!B17</f>
        <v>45260</v>
      </c>
      <c r="C33" s="547"/>
      <c r="D33" s="548" t="n">
        <f aca="false">GRC!G17</f>
        <v>0</v>
      </c>
      <c r="E33" s="549"/>
      <c r="F33" s="548" t="n">
        <f aca="false">D33-E33</f>
        <v>0</v>
      </c>
      <c r="G33" s="550"/>
    </row>
    <row r="34" customFormat="false" ht="18.75" hidden="false" customHeight="true" outlineLevel="0" collapsed="false">
      <c r="A34" s="542"/>
      <c r="B34" s="547" t="n">
        <f aca="false">GRC!B18</f>
        <v>45291</v>
      </c>
      <c r="C34" s="547"/>
      <c r="D34" s="548" t="n">
        <f aca="false">GRC!G18</f>
        <v>0</v>
      </c>
      <c r="E34" s="549"/>
      <c r="F34" s="548" t="n">
        <f aca="false">D34-E34</f>
        <v>0</v>
      </c>
      <c r="G34" s="550"/>
    </row>
    <row r="35" customFormat="false" ht="18.75" hidden="false" customHeight="true" outlineLevel="0" collapsed="false">
      <c r="A35" s="542"/>
      <c r="B35" s="547" t="n">
        <f aca="false">GRC!B19</f>
        <v>45322</v>
      </c>
      <c r="C35" s="547"/>
      <c r="D35" s="548" t="n">
        <f aca="false">GRC!G19</f>
        <v>0</v>
      </c>
      <c r="E35" s="549"/>
      <c r="F35" s="548" t="n">
        <f aca="false">D35-E35</f>
        <v>0</v>
      </c>
      <c r="G35" s="550"/>
    </row>
    <row r="36" customFormat="false" ht="18.75" hidden="false" customHeight="true" outlineLevel="0" collapsed="false">
      <c r="A36" s="542"/>
      <c r="B36" s="547" t="n">
        <f aca="false">GRC!B20</f>
        <v>45351</v>
      </c>
      <c r="C36" s="547"/>
      <c r="D36" s="548" t="n">
        <f aca="false">GRC!G20</f>
        <v>0</v>
      </c>
      <c r="E36" s="549"/>
      <c r="F36" s="548" t="n">
        <f aca="false">D36-E36</f>
        <v>0</v>
      </c>
      <c r="G36" s="550"/>
    </row>
    <row r="37" customFormat="false" ht="18.75" hidden="false" customHeight="true" outlineLevel="0" collapsed="false">
      <c r="A37" s="542"/>
      <c r="B37" s="547" t="n">
        <f aca="false">GRC!B21</f>
        <v>45382</v>
      </c>
      <c r="C37" s="547"/>
      <c r="D37" s="548" t="n">
        <f aca="false">GRC!G21</f>
        <v>0</v>
      </c>
      <c r="E37" s="549"/>
      <c r="F37" s="548" t="n">
        <f aca="false">D37-E37</f>
        <v>0</v>
      </c>
      <c r="G37" s="550"/>
    </row>
    <row r="38" customFormat="false" ht="12.75" hidden="false" customHeight="false" outlineLevel="0" collapsed="false">
      <c r="B38" s="477"/>
      <c r="C38" s="477"/>
      <c r="D38" s="477"/>
      <c r="E38" s="477"/>
      <c r="F38" s="477"/>
      <c r="G38" s="477"/>
    </row>
    <row r="39" customFormat="false" ht="14.25" hidden="false" customHeight="true" outlineLevel="0" collapsed="false">
      <c r="B39" s="551" t="s">
        <v>892</v>
      </c>
      <c r="C39" s="551"/>
      <c r="D39" s="551"/>
      <c r="E39" s="551"/>
      <c r="F39" s="552" t="n">
        <f aca="false">SUM(F26:F37)</f>
        <v>0</v>
      </c>
    </row>
    <row r="40" customFormat="false" ht="12.75" hidden="false" customHeight="false" outlineLevel="0" collapsed="false">
      <c r="B40" s="553"/>
      <c r="C40" s="553"/>
      <c r="F40" s="492"/>
    </row>
    <row r="41" customFormat="false" ht="15" hidden="false" customHeight="true" outlineLevel="0" collapsed="false">
      <c r="B41" s="537" t="s">
        <v>893</v>
      </c>
      <c r="C41" s="537"/>
      <c r="D41" s="537"/>
      <c r="E41" s="537"/>
      <c r="F41" s="537"/>
      <c r="G41" s="537"/>
    </row>
    <row r="42" customFormat="false" ht="14.25" hidden="false" customHeight="true" outlineLevel="0" collapsed="false">
      <c r="B42" s="538"/>
      <c r="C42" s="538"/>
      <c r="D42" s="538"/>
      <c r="E42" s="477"/>
      <c r="F42" s="477"/>
      <c r="G42" s="477"/>
    </row>
    <row r="43" customFormat="false" ht="26.25" hidden="false" customHeight="true" outlineLevel="0" collapsed="false">
      <c r="B43" s="554" t="s">
        <v>835</v>
      </c>
      <c r="C43" s="554"/>
      <c r="D43" s="540" t="s">
        <v>894</v>
      </c>
      <c r="E43" s="540" t="s">
        <v>895</v>
      </c>
      <c r="F43" s="554" t="s">
        <v>591</v>
      </c>
      <c r="G43" s="555" t="s">
        <v>887</v>
      </c>
    </row>
    <row r="44" customFormat="false" ht="18.75" hidden="false" customHeight="true" outlineLevel="0" collapsed="false">
      <c r="A44" s="542"/>
      <c r="B44" s="543" t="n">
        <f aca="false">GRC!B10</f>
        <v>45046</v>
      </c>
      <c r="C44" s="543"/>
      <c r="D44" s="544" t="n">
        <f aca="false">GRC!K10</f>
        <v>0</v>
      </c>
      <c r="E44" s="545"/>
      <c r="F44" s="544" t="n">
        <f aca="false">D44-E44</f>
        <v>0</v>
      </c>
      <c r="G44" s="546"/>
    </row>
    <row r="45" customFormat="false" ht="18.75" hidden="false" customHeight="true" outlineLevel="0" collapsed="false">
      <c r="A45" s="542"/>
      <c r="B45" s="547" t="n">
        <f aca="false">GRC!B11</f>
        <v>45077</v>
      </c>
      <c r="C45" s="547"/>
      <c r="D45" s="548" t="n">
        <f aca="false">GRC!K11</f>
        <v>0</v>
      </c>
      <c r="E45" s="549"/>
      <c r="F45" s="548" t="n">
        <f aca="false">D45-E45</f>
        <v>0</v>
      </c>
      <c r="G45" s="550"/>
    </row>
    <row r="46" customFormat="false" ht="18.75" hidden="false" customHeight="true" outlineLevel="0" collapsed="false">
      <c r="A46" s="542"/>
      <c r="B46" s="547" t="n">
        <f aca="false">GRC!B12</f>
        <v>45107</v>
      </c>
      <c r="C46" s="547"/>
      <c r="D46" s="548" t="n">
        <f aca="false">GRC!K12</f>
        <v>0</v>
      </c>
      <c r="E46" s="549"/>
      <c r="F46" s="548" t="n">
        <f aca="false">D46-E46</f>
        <v>0</v>
      </c>
      <c r="G46" s="550"/>
    </row>
    <row r="47" customFormat="false" ht="18.75" hidden="false" customHeight="true" outlineLevel="0" collapsed="false">
      <c r="A47" s="542"/>
      <c r="B47" s="547" t="n">
        <f aca="false">GRC!B13</f>
        <v>45138</v>
      </c>
      <c r="C47" s="547"/>
      <c r="D47" s="548" t="n">
        <f aca="false">GRC!K13</f>
        <v>0</v>
      </c>
      <c r="E47" s="549"/>
      <c r="F47" s="548" t="n">
        <f aca="false">D47-E47</f>
        <v>0</v>
      </c>
      <c r="G47" s="550"/>
    </row>
    <row r="48" customFormat="false" ht="18.75" hidden="false" customHeight="true" outlineLevel="0" collapsed="false">
      <c r="A48" s="542"/>
      <c r="B48" s="547" t="n">
        <f aca="false">GRC!B14</f>
        <v>45169</v>
      </c>
      <c r="C48" s="547"/>
      <c r="D48" s="548" t="n">
        <f aca="false">GRC!K14</f>
        <v>0</v>
      </c>
      <c r="E48" s="549"/>
      <c r="F48" s="548" t="n">
        <f aca="false">D48-E48</f>
        <v>0</v>
      </c>
      <c r="G48" s="550"/>
    </row>
    <row r="49" customFormat="false" ht="18.75" hidden="false" customHeight="true" outlineLevel="0" collapsed="false">
      <c r="A49" s="542"/>
      <c r="B49" s="547" t="n">
        <f aca="false">GRC!B15</f>
        <v>45199</v>
      </c>
      <c r="C49" s="547"/>
      <c r="D49" s="548" t="n">
        <f aca="false">GRC!K15</f>
        <v>0</v>
      </c>
      <c r="E49" s="549"/>
      <c r="F49" s="548" t="n">
        <f aca="false">D49-E49</f>
        <v>0</v>
      </c>
      <c r="G49" s="550"/>
    </row>
    <row r="50" customFormat="false" ht="18.75" hidden="false" customHeight="true" outlineLevel="0" collapsed="false">
      <c r="A50" s="542"/>
      <c r="B50" s="547" t="n">
        <f aca="false">GRC!B16</f>
        <v>45230</v>
      </c>
      <c r="C50" s="547"/>
      <c r="D50" s="548" t="n">
        <f aca="false">GRC!K16</f>
        <v>0</v>
      </c>
      <c r="E50" s="549"/>
      <c r="F50" s="548" t="n">
        <f aca="false">D50-E50</f>
        <v>0</v>
      </c>
      <c r="G50" s="550"/>
    </row>
    <row r="51" customFormat="false" ht="18.75" hidden="false" customHeight="true" outlineLevel="0" collapsed="false">
      <c r="A51" s="542"/>
      <c r="B51" s="547" t="n">
        <f aca="false">GRC!B17</f>
        <v>45260</v>
      </c>
      <c r="C51" s="547"/>
      <c r="D51" s="548" t="n">
        <f aca="false">GRC!K17</f>
        <v>0</v>
      </c>
      <c r="E51" s="549"/>
      <c r="F51" s="548" t="n">
        <f aca="false">D51-E51</f>
        <v>0</v>
      </c>
      <c r="G51" s="550"/>
    </row>
    <row r="52" customFormat="false" ht="18.75" hidden="false" customHeight="true" outlineLevel="0" collapsed="false">
      <c r="A52" s="542"/>
      <c r="B52" s="547" t="n">
        <f aca="false">GRC!B18</f>
        <v>45291</v>
      </c>
      <c r="C52" s="547"/>
      <c r="D52" s="548" t="n">
        <f aca="false">GRC!K18</f>
        <v>0</v>
      </c>
      <c r="E52" s="549"/>
      <c r="F52" s="548" t="n">
        <f aca="false">D52-E52</f>
        <v>0</v>
      </c>
      <c r="G52" s="550"/>
    </row>
    <row r="53" customFormat="false" ht="18.75" hidden="false" customHeight="true" outlineLevel="0" collapsed="false">
      <c r="A53" s="542"/>
      <c r="B53" s="547" t="n">
        <f aca="false">GRC!B19</f>
        <v>45322</v>
      </c>
      <c r="C53" s="547"/>
      <c r="D53" s="548" t="n">
        <f aca="false">GRC!K19</f>
        <v>0</v>
      </c>
      <c r="E53" s="549"/>
      <c r="F53" s="548" t="n">
        <f aca="false">D53-E53</f>
        <v>0</v>
      </c>
      <c r="G53" s="550"/>
    </row>
    <row r="54" customFormat="false" ht="18.75" hidden="false" customHeight="true" outlineLevel="0" collapsed="false">
      <c r="A54" s="542"/>
      <c r="B54" s="547" t="n">
        <f aca="false">GRC!B20</f>
        <v>45351</v>
      </c>
      <c r="C54" s="547"/>
      <c r="D54" s="548" t="n">
        <f aca="false">GRC!K20</f>
        <v>0</v>
      </c>
      <c r="E54" s="549"/>
      <c r="F54" s="548" t="n">
        <f aca="false">D54-E54</f>
        <v>0</v>
      </c>
      <c r="G54" s="550"/>
    </row>
    <row r="55" customFormat="false" ht="18.75" hidden="false" customHeight="true" outlineLevel="0" collapsed="false">
      <c r="A55" s="542"/>
      <c r="B55" s="547" t="n">
        <f aca="false">GRC!B21</f>
        <v>45382</v>
      </c>
      <c r="C55" s="547"/>
      <c r="D55" s="548" t="n">
        <f aca="false">GRC!K21</f>
        <v>0</v>
      </c>
      <c r="E55" s="549"/>
      <c r="F55" s="548" t="n">
        <f aca="false">D55-E55</f>
        <v>0</v>
      </c>
      <c r="G55" s="550"/>
    </row>
    <row r="56" customFormat="false" ht="12.75" hidden="false" customHeight="false" outlineLevel="0" collapsed="false">
      <c r="B56" s="477"/>
      <c r="C56" s="477"/>
      <c r="D56" s="477"/>
      <c r="E56" s="477"/>
      <c r="F56" s="477"/>
      <c r="G56" s="477"/>
    </row>
    <row r="57" customFormat="false" ht="14.25" hidden="false" customHeight="true" outlineLevel="0" collapsed="false">
      <c r="B57" s="551" t="s">
        <v>896</v>
      </c>
      <c r="C57" s="551"/>
      <c r="D57" s="551"/>
      <c r="E57" s="551"/>
      <c r="F57" s="552" t="n">
        <f aca="false">SUM(F44:F55)</f>
        <v>0</v>
      </c>
    </row>
    <row r="58" customFormat="false" ht="12.75" hidden="false" customHeight="false" outlineLevel="0" collapsed="false">
      <c r="B58" s="553"/>
      <c r="C58" s="553"/>
      <c r="F58" s="492"/>
    </row>
    <row r="59" customFormat="false" ht="12.75" hidden="false" customHeight="false" outlineLevel="0" collapsed="false">
      <c r="B59" s="553"/>
      <c r="C59" s="553"/>
    </row>
    <row r="60" customFormat="false" ht="14.25" hidden="false" customHeight="true" outlineLevel="0" collapsed="false">
      <c r="B60" s="556"/>
      <c r="C60" s="556"/>
    </row>
  </sheetData>
  <mergeCells count="51">
    <mergeCell ref="B5:G5"/>
    <mergeCell ref="B7:C7"/>
    <mergeCell ref="B8:C8"/>
    <mergeCell ref="B9:C9"/>
    <mergeCell ref="B10:C10"/>
    <mergeCell ref="B11:C11"/>
    <mergeCell ref="B12:C12"/>
    <mergeCell ref="B13:C13"/>
    <mergeCell ref="B14:C14"/>
    <mergeCell ref="B15:C15"/>
    <mergeCell ref="B16:C16"/>
    <mergeCell ref="B17:C17"/>
    <mergeCell ref="B18:C18"/>
    <mergeCell ref="B19:C19"/>
    <mergeCell ref="B21:E21"/>
    <mergeCell ref="B22:C22"/>
    <mergeCell ref="B23:G23"/>
    <mergeCell ref="B25:C25"/>
    <mergeCell ref="B26:C26"/>
    <mergeCell ref="B27:C27"/>
    <mergeCell ref="B28:C28"/>
    <mergeCell ref="B29:C29"/>
    <mergeCell ref="B30:C30"/>
    <mergeCell ref="B31:C31"/>
    <mergeCell ref="B32:C32"/>
    <mergeCell ref="B33:C33"/>
    <mergeCell ref="B34:C34"/>
    <mergeCell ref="B35:C35"/>
    <mergeCell ref="B36:C36"/>
    <mergeCell ref="B37:C37"/>
    <mergeCell ref="B39:E39"/>
    <mergeCell ref="B40:C40"/>
    <mergeCell ref="B41:G41"/>
    <mergeCell ref="B42:D42"/>
    <mergeCell ref="B43:C43"/>
    <mergeCell ref="B44:C44"/>
    <mergeCell ref="B45:C45"/>
    <mergeCell ref="B46:C46"/>
    <mergeCell ref="B47:C47"/>
    <mergeCell ref="B48:C48"/>
    <mergeCell ref="B49:C49"/>
    <mergeCell ref="B50:C50"/>
    <mergeCell ref="B51:C51"/>
    <mergeCell ref="B52:C52"/>
    <mergeCell ref="B53:C53"/>
    <mergeCell ref="B54:C54"/>
    <mergeCell ref="B55:C55"/>
    <mergeCell ref="B57:E57"/>
    <mergeCell ref="B58:C58"/>
    <mergeCell ref="B59:C59"/>
    <mergeCell ref="B60:C60"/>
  </mergeCells>
  <printOptions headings="false" gridLines="false" gridLinesSet="true" horizontalCentered="false" verticalCentered="false"/>
  <pageMargins left="0.590277777777778" right="0.590277777777778" top="0.590277777777778" bottom="0.59027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&amp;L&amp;8 CCH Business Fitness NZ&amp;R&amp;8 &amp;P of &amp;N</oddFooter>
  </headerFooter>
  <rowBreaks count="1" manualBreakCount="1">
    <brk id="40" man="true" max="16383" min="0"/>
  </rowBreak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4.25" zeroHeight="false" outlineLevelRow="0" outlineLevelCol="0"/>
  <cols>
    <col collapsed="false" customWidth="true" hidden="false" outlineLevel="0" max="1" min="1" style="217" width="23.86"/>
    <col collapsed="false" customWidth="true" hidden="false" outlineLevel="0" max="2" min="2" style="217" width="10"/>
    <col collapsed="false" customWidth="true" hidden="false" outlineLevel="0" max="3" min="3" style="217" width="20.86"/>
    <col collapsed="false" customWidth="true" hidden="false" outlineLevel="0" max="4" min="4" style="217" width="11.86"/>
    <col collapsed="false" customWidth="true" hidden="false" outlineLevel="0" max="5" min="5" style="217" width="13.86"/>
    <col collapsed="false" customWidth="true" hidden="false" outlineLevel="0" max="6" min="6" style="217" width="14.86"/>
    <col collapsed="false" customWidth="true" hidden="false" outlineLevel="0" max="7" min="7" style="217" width="16.14"/>
    <col collapsed="false" customWidth="true" hidden="false" outlineLevel="0" max="8" min="8" style="217" width="14.86"/>
    <col collapsed="false" customWidth="true" hidden="false" outlineLevel="0" max="9" min="9" style="217" width="11.43"/>
    <col collapsed="false" customWidth="true" hidden="false" outlineLevel="0" max="10" min="10" style="217" width="11.57"/>
    <col collapsed="false" customWidth="false" hidden="false" outlineLevel="0" max="11" min="11" style="217" width="9.14"/>
    <col collapsed="false" customWidth="true" hidden="false" outlineLevel="0" max="12" min="12" style="217" width="21.43"/>
    <col collapsed="false" customWidth="false" hidden="false" outlineLevel="0" max="16384" min="13" style="217" width="9.14"/>
  </cols>
  <sheetData>
    <row r="1" s="6" customFormat="true" ht="20.25" hidden="false" customHeight="true" outlineLevel="0" collapsed="false">
      <c r="A1" s="120"/>
      <c r="L1" s="1"/>
      <c r="M1" s="1"/>
      <c r="N1" s="1"/>
    </row>
    <row r="2" s="6" customFormat="true" ht="20.25" hidden="false" customHeight="true" outlineLevel="0" collapsed="false">
      <c r="A2" s="218"/>
      <c r="B2" s="218"/>
      <c r="C2" s="218"/>
      <c r="D2" s="218" t="s">
        <v>395</v>
      </c>
      <c r="E2" s="218"/>
      <c r="F2" s="218"/>
      <c r="G2" s="218"/>
      <c r="H2" s="218"/>
      <c r="L2" s="1"/>
      <c r="M2" s="1"/>
      <c r="N2" s="1"/>
    </row>
    <row r="3" s="1" customFormat="true" ht="14.25" hidden="false" customHeight="false" outlineLevel="0" collapsed="false"/>
    <row r="4" customFormat="false" ht="49.5" hidden="false" customHeight="true" outlineLevel="0" collapsed="false">
      <c r="A4" s="219" t="s">
        <v>12</v>
      </c>
      <c r="B4" s="219"/>
      <c r="C4" s="219"/>
      <c r="D4" s="220" t="s">
        <v>489</v>
      </c>
      <c r="E4" s="220" t="s">
        <v>666</v>
      </c>
      <c r="F4" s="219" t="s">
        <v>667</v>
      </c>
      <c r="G4" s="221" t="s">
        <v>668</v>
      </c>
      <c r="H4" s="222" t="s">
        <v>2</v>
      </c>
      <c r="I4" s="223"/>
      <c r="J4" s="126" t="s">
        <v>628</v>
      </c>
      <c r="K4" s="223"/>
      <c r="L4" s="223"/>
      <c r="M4" s="223"/>
      <c r="N4" s="223"/>
      <c r="O4" s="223"/>
      <c r="P4" s="223"/>
      <c r="Q4" s="223"/>
      <c r="R4" s="223"/>
      <c r="S4" s="223"/>
      <c r="T4" s="223"/>
      <c r="U4" s="223"/>
      <c r="V4" s="223"/>
      <c r="W4" s="223"/>
      <c r="X4" s="223"/>
      <c r="Y4" s="223"/>
      <c r="Z4" s="223"/>
      <c r="AA4" s="223"/>
      <c r="AB4" s="223"/>
      <c r="AC4" s="223"/>
      <c r="AD4" s="223"/>
      <c r="AE4" s="223"/>
      <c r="AF4" s="223"/>
      <c r="AG4" s="223"/>
      <c r="AH4" s="223"/>
    </row>
    <row r="5" customFormat="false" ht="14.25" hidden="false" customHeight="false" outlineLevel="0" collapsed="false">
      <c r="A5" s="557"/>
      <c r="B5" s="179"/>
      <c r="C5" s="179"/>
      <c r="D5" s="225"/>
      <c r="E5" s="230"/>
      <c r="F5" s="558"/>
      <c r="G5" s="559" t="n">
        <f aca="false">IF(E5="N",F5,F5/1.15)</f>
        <v>0</v>
      </c>
      <c r="H5" s="560" t="n">
        <f aca="false">IF(F5=G5,0,G5*0.15)</f>
        <v>0</v>
      </c>
      <c r="I5" s="229"/>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row>
    <row r="6" customFormat="false" ht="15" hidden="false" customHeight="true" outlineLevel="0" collapsed="false">
      <c r="A6" s="191"/>
      <c r="B6" s="191"/>
      <c r="C6" s="191"/>
      <c r="D6" s="230"/>
      <c r="E6" s="230"/>
      <c r="F6" s="231"/>
      <c r="G6" s="559" t="n">
        <f aca="false">IF(E6="N",F6,F6/1.15)</f>
        <v>0</v>
      </c>
      <c r="H6" s="560" t="n">
        <f aca="false">IF(F6=G6,0,G6*0.15)</f>
        <v>0</v>
      </c>
      <c r="I6" s="223"/>
      <c r="J6" s="223"/>
      <c r="K6" s="223"/>
      <c r="L6" s="223"/>
      <c r="M6" s="223"/>
      <c r="N6" s="223"/>
      <c r="O6" s="223"/>
      <c r="P6" s="223"/>
      <c r="Q6" s="223"/>
      <c r="R6" s="223"/>
      <c r="S6" s="223"/>
      <c r="T6" s="223"/>
      <c r="U6" s="223"/>
      <c r="V6" s="223"/>
      <c r="W6" s="223"/>
      <c r="X6" s="223"/>
      <c r="Y6" s="223"/>
      <c r="Z6" s="223"/>
      <c r="AA6" s="223"/>
      <c r="AB6" s="223"/>
      <c r="AC6" s="223"/>
      <c r="AD6" s="223"/>
      <c r="AE6" s="223"/>
      <c r="AF6" s="223"/>
      <c r="AG6" s="223"/>
      <c r="AH6" s="223"/>
    </row>
    <row r="7" customFormat="false" ht="15" hidden="false" customHeight="true" outlineLevel="0" collapsed="false">
      <c r="A7" s="191"/>
      <c r="B7" s="191"/>
      <c r="C7" s="191"/>
      <c r="D7" s="230"/>
      <c r="E7" s="230"/>
      <c r="F7" s="231"/>
      <c r="G7" s="559" t="n">
        <f aca="false">IF(E7="N",F7,F7/1.15)</f>
        <v>0</v>
      </c>
      <c r="H7" s="560" t="n">
        <f aca="false">IF(F7=G7,0,G7*0.15)</f>
        <v>0</v>
      </c>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row>
    <row r="8" customFormat="false" ht="15" hidden="false" customHeight="true" outlineLevel="0" collapsed="false">
      <c r="A8" s="191"/>
      <c r="B8" s="191"/>
      <c r="C8" s="191"/>
      <c r="D8" s="230"/>
      <c r="E8" s="230"/>
      <c r="F8" s="231"/>
      <c r="G8" s="559" t="n">
        <f aca="false">IF(E8="N",F8,F8/1.15)</f>
        <v>0</v>
      </c>
      <c r="H8" s="560" t="n">
        <f aca="false">IF(F8=G8,0,G8*0.15)</f>
        <v>0</v>
      </c>
      <c r="I8" s="223"/>
      <c r="J8" s="223"/>
      <c r="K8" s="223"/>
      <c r="L8" s="223"/>
      <c r="M8" s="223"/>
      <c r="N8" s="223"/>
      <c r="O8" s="223"/>
      <c r="P8" s="223"/>
      <c r="Q8" s="223"/>
      <c r="R8" s="223"/>
      <c r="S8" s="223"/>
      <c r="T8" s="223"/>
      <c r="U8" s="223"/>
      <c r="V8" s="223"/>
      <c r="W8" s="223"/>
      <c r="X8" s="223"/>
      <c r="Y8" s="223"/>
      <c r="Z8" s="223"/>
      <c r="AA8" s="223"/>
      <c r="AB8" s="223"/>
      <c r="AC8" s="223"/>
      <c r="AD8" s="223"/>
      <c r="AE8" s="223"/>
      <c r="AF8" s="223"/>
      <c r="AG8" s="223"/>
      <c r="AH8" s="223"/>
    </row>
    <row r="9" customFormat="false" ht="15" hidden="false" customHeight="true" outlineLevel="0" collapsed="false">
      <c r="A9" s="191"/>
      <c r="B9" s="191"/>
      <c r="C9" s="191"/>
      <c r="D9" s="225"/>
      <c r="E9" s="230"/>
      <c r="F9" s="231"/>
      <c r="G9" s="559" t="n">
        <f aca="false">IF(E9="N",F9,F9/1.15)</f>
        <v>0</v>
      </c>
      <c r="H9" s="560" t="n">
        <f aca="false">IF(F9=G9,0,G9*0.15)</f>
        <v>0</v>
      </c>
      <c r="I9" s="223"/>
      <c r="J9" s="223"/>
      <c r="K9" s="223"/>
      <c r="L9" s="223"/>
      <c r="M9" s="223"/>
      <c r="N9" s="223"/>
      <c r="O9" s="223"/>
      <c r="P9" s="223"/>
      <c r="Q9" s="223"/>
      <c r="R9" s="223"/>
      <c r="S9" s="223"/>
      <c r="T9" s="223"/>
      <c r="U9" s="223"/>
      <c r="V9" s="223"/>
      <c r="W9" s="223"/>
      <c r="X9" s="223"/>
      <c r="Y9" s="223"/>
      <c r="Z9" s="223"/>
      <c r="AA9" s="223"/>
      <c r="AB9" s="223"/>
      <c r="AC9" s="223"/>
      <c r="AD9" s="223"/>
      <c r="AE9" s="223"/>
      <c r="AF9" s="223"/>
      <c r="AG9" s="223"/>
      <c r="AH9" s="223"/>
    </row>
    <row r="10" customFormat="false" ht="15" hidden="false" customHeight="true" outlineLevel="0" collapsed="false">
      <c r="A10" s="191"/>
      <c r="B10" s="191"/>
      <c r="C10" s="191"/>
      <c r="D10" s="225"/>
      <c r="E10" s="230" t="str">
        <f aca="false">+IF(Index!$C$5="yes","",(IF($F10="","","N")))</f>
        <v/>
      </c>
      <c r="F10" s="231"/>
      <c r="G10" s="559" t="n">
        <f aca="false">IF(E10="N",F10,F10/1.15)</f>
        <v>0</v>
      </c>
      <c r="H10" s="560" t="n">
        <f aca="false">IF(F10=G10,0,G10*0.15)</f>
        <v>0</v>
      </c>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row>
    <row r="11" customFormat="false" ht="15" hidden="false" customHeight="true" outlineLevel="0" collapsed="false">
      <c r="A11" s="194"/>
      <c r="B11" s="194"/>
      <c r="C11" s="194"/>
      <c r="D11" s="232"/>
      <c r="E11" s="386" t="str">
        <f aca="false">+IF(Index!$C$5="yes","",(IF($F11="","","N")))</f>
        <v/>
      </c>
      <c r="F11" s="233"/>
      <c r="G11" s="561" t="n">
        <f aca="false">IF(E11="N",F11,F11/1.15)</f>
        <v>0</v>
      </c>
      <c r="H11" s="562" t="n">
        <f aca="false">IF(F11=G11,0,G11*0.15)</f>
        <v>0</v>
      </c>
      <c r="I11" s="223"/>
      <c r="J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row>
    <row r="12" customFormat="false" ht="14.25" hidden="false" customHeight="false" outlineLevel="0" collapsed="false">
      <c r="A12" s="234"/>
      <c r="B12" s="234"/>
      <c r="C12" s="234"/>
      <c r="D12" s="235"/>
      <c r="E12" s="235"/>
      <c r="F12" s="236"/>
      <c r="G12" s="237"/>
      <c r="H12" s="238"/>
      <c r="I12" s="238"/>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row>
    <row r="13" customFormat="false" ht="14.25" hidden="false" customHeight="false" outlineLevel="0" collapsed="false">
      <c r="A13" s="217" t="s">
        <v>669</v>
      </c>
      <c r="F13" s="563" t="n">
        <f aca="false">SUM(F5:F11)</f>
        <v>0</v>
      </c>
      <c r="G13" s="563" t="n">
        <f aca="false">SUM(G5:G11)</f>
        <v>0</v>
      </c>
      <c r="H13" s="563" t="n">
        <f aca="false">SUM(H5:H11)</f>
        <v>0</v>
      </c>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row>
    <row r="14" customFormat="false" ht="14.25" hidden="false" customHeight="false" outlineLevel="0" collapsed="false">
      <c r="G14" s="223"/>
      <c r="H14" s="223"/>
      <c r="I14" s="223"/>
      <c r="J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row>
    <row r="15" customFormat="false" ht="14.25" hidden="false" customHeight="false" outlineLevel="0" collapsed="false">
      <c r="F15" s="207" t="s">
        <v>659</v>
      </c>
      <c r="G15" s="208"/>
      <c r="H15" s="209" t="n">
        <f aca="false">+F13</f>
        <v>0</v>
      </c>
      <c r="J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row>
    <row r="16" customFormat="false" ht="14.25" hidden="false" customHeight="false" outlineLevel="0" collapsed="false">
      <c r="F16" s="210" t="s">
        <v>660</v>
      </c>
      <c r="G16" s="211"/>
      <c r="H16" s="564" t="n">
        <f aca="false">DSH!E34</f>
        <v>0</v>
      </c>
      <c r="I16" s="229"/>
      <c r="K16" s="223"/>
      <c r="L16" s="239"/>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row>
    <row r="17" customFormat="false" ht="14.25" hidden="false" customHeight="false" outlineLevel="0" collapsed="false">
      <c r="F17" s="213" t="s">
        <v>591</v>
      </c>
      <c r="G17" s="214"/>
      <c r="H17" s="215" t="n">
        <f aca="false">IFERROR(VALUE(H15) - VALUE(H16), 0)</f>
        <v>0</v>
      </c>
      <c r="J17" s="223"/>
      <c r="K17" s="223"/>
      <c r="L17" s="223"/>
      <c r="M17" s="223"/>
      <c r="N17" s="223"/>
      <c r="O17" s="223"/>
      <c r="P17" s="223"/>
      <c r="Q17" s="223"/>
      <c r="R17" s="223"/>
      <c r="S17" s="223"/>
      <c r="T17" s="223"/>
      <c r="U17" s="223"/>
      <c r="V17" s="223"/>
      <c r="W17" s="223"/>
      <c r="X17" s="223"/>
      <c r="Y17" s="223"/>
      <c r="Z17" s="223"/>
      <c r="AA17" s="223"/>
      <c r="AB17" s="223"/>
      <c r="AC17" s="223"/>
      <c r="AD17" s="223"/>
      <c r="AE17" s="223"/>
      <c r="AF17" s="223"/>
      <c r="AG17" s="223"/>
      <c r="AH17" s="223"/>
      <c r="AI17" s="223"/>
    </row>
    <row r="18" customFormat="false" ht="14.25" hidden="false" customHeight="false" outlineLevel="0" collapsed="false">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c r="AH18" s="223"/>
      <c r="AI18" s="223"/>
    </row>
    <row r="19" customFormat="false" ht="14.25" hidden="false" customHeight="false" outlineLevel="0" collapsed="false">
      <c r="J19" s="223"/>
      <c r="K19" s="223"/>
      <c r="L19" s="223"/>
      <c r="M19" s="223"/>
      <c r="N19" s="223"/>
      <c r="O19" s="223"/>
      <c r="P19" s="223"/>
      <c r="Q19" s="223"/>
      <c r="R19" s="223"/>
      <c r="S19" s="223"/>
      <c r="T19" s="223"/>
      <c r="U19" s="223"/>
      <c r="V19" s="223"/>
      <c r="W19" s="223"/>
      <c r="X19" s="223"/>
      <c r="Y19" s="223"/>
      <c r="Z19" s="223"/>
      <c r="AA19" s="223"/>
      <c r="AB19" s="223"/>
      <c r="AC19" s="223"/>
      <c r="AD19" s="223"/>
      <c r="AE19" s="223"/>
      <c r="AF19" s="223"/>
      <c r="AG19" s="223"/>
      <c r="AH19" s="223"/>
      <c r="AI19" s="223"/>
    </row>
    <row r="20" customFormat="false" ht="14.25" hidden="false" customHeight="false" outlineLevel="0" collapsed="false">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row>
    <row r="21" customFormat="false" ht="14.25" hidden="false" customHeight="false" outlineLevel="0" collapsed="false">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row>
    <row r="22" customFormat="false" ht="14.25" hidden="false" customHeight="false" outlineLevel="0" collapsed="false">
      <c r="J22" s="223"/>
      <c r="K22" s="223"/>
      <c r="L22" s="223"/>
      <c r="M22" s="223"/>
      <c r="N22" s="223"/>
      <c r="O22" s="223"/>
      <c r="P22" s="223"/>
      <c r="Q22" s="223"/>
      <c r="R22" s="223"/>
      <c r="S22" s="223"/>
      <c r="T22" s="223"/>
      <c r="U22" s="223"/>
      <c r="V22" s="223"/>
      <c r="W22" s="223"/>
      <c r="X22" s="223"/>
      <c r="Y22" s="223"/>
      <c r="Z22" s="223"/>
      <c r="AA22" s="223"/>
      <c r="AB22" s="223"/>
      <c r="AC22" s="223"/>
      <c r="AD22" s="223"/>
      <c r="AE22" s="223"/>
      <c r="AF22" s="223"/>
      <c r="AG22" s="223"/>
      <c r="AH22" s="223"/>
      <c r="AI22" s="223"/>
    </row>
    <row r="23" customFormat="false" ht="14.25" hidden="false" customHeight="false" outlineLevel="0" collapsed="false">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row>
    <row r="24" customFormat="false" ht="14.25" hidden="false" customHeight="false" outlineLevel="0" collapsed="false">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row>
    <row r="25" customFormat="false" ht="14.25" hidden="false" customHeight="false" outlineLevel="0" collapsed="false">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row>
    <row r="26" customFormat="false" ht="14.25" hidden="false" customHeight="false" outlineLevel="0" collapsed="false">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row>
    <row r="27" customFormat="false" ht="14.25" hidden="false" customHeight="false" outlineLevel="0" collapsed="false">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row>
    <row r="28" customFormat="false" ht="14.25" hidden="false" customHeight="false" outlineLevel="0" collapsed="false">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row>
    <row r="29" customFormat="false" ht="14.25" hidden="false" customHeight="false" outlineLevel="0" collapsed="false">
      <c r="J29" s="223"/>
      <c r="K29" s="223"/>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row>
    <row r="30" customFormat="false" ht="14.25" hidden="false" customHeight="false" outlineLevel="0" collapsed="false">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row>
    <row r="31" customFormat="false" ht="14.25" hidden="false" customHeight="false" outlineLevel="0" collapsed="false">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row>
    <row r="32" customFormat="false" ht="14.25" hidden="false" customHeight="false" outlineLevel="0" collapsed="false">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row>
    <row r="33" customFormat="false" ht="14.25" hidden="false" customHeight="false" outlineLevel="0" collapsed="false">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row>
    <row r="34" customFormat="false" ht="14.25" hidden="false" customHeight="false" outlineLevel="0" collapsed="false">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row>
    <row r="35" customFormat="false" ht="14.25" hidden="false" customHeight="false" outlineLevel="0" collapsed="false">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row>
    <row r="36" customFormat="false" ht="14.25" hidden="false" customHeight="false" outlineLevel="0" collapsed="false">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row>
    <row r="37" customFormat="false" ht="14.25" hidden="false" customHeight="false" outlineLevel="0" collapsed="false">
      <c r="J37" s="223"/>
      <c r="K37" s="223"/>
      <c r="L37" s="223"/>
      <c r="M37" s="223"/>
      <c r="N37" s="223"/>
      <c r="O37" s="223"/>
      <c r="P37" s="223"/>
      <c r="Q37" s="223"/>
      <c r="R37" s="223"/>
      <c r="S37" s="223"/>
      <c r="T37" s="223"/>
      <c r="U37" s="223"/>
      <c r="V37" s="223"/>
      <c r="W37" s="223"/>
      <c r="X37" s="223"/>
      <c r="Y37" s="223"/>
      <c r="Z37" s="223"/>
      <c r="AA37" s="223"/>
      <c r="AB37" s="223"/>
      <c r="AC37" s="223"/>
      <c r="AD37" s="223"/>
      <c r="AE37" s="223"/>
      <c r="AF37" s="223"/>
      <c r="AG37" s="223"/>
      <c r="AH37" s="223"/>
      <c r="AI37" s="223"/>
    </row>
    <row r="38" customFormat="false" ht="14.25" hidden="false" customHeight="false" outlineLevel="0" collapsed="false">
      <c r="J38" s="223"/>
      <c r="K38" s="223"/>
      <c r="L38" s="223"/>
      <c r="M38" s="223"/>
      <c r="N38" s="223"/>
      <c r="O38" s="223"/>
      <c r="P38" s="223"/>
      <c r="Q38" s="223"/>
      <c r="R38" s="223"/>
      <c r="S38" s="223"/>
      <c r="T38" s="223"/>
      <c r="U38" s="223"/>
      <c r="V38" s="223"/>
      <c r="W38" s="223"/>
      <c r="X38" s="223"/>
      <c r="Y38" s="223"/>
      <c r="Z38" s="223"/>
      <c r="AA38" s="223"/>
      <c r="AB38" s="223"/>
      <c r="AC38" s="223"/>
      <c r="AD38" s="223"/>
      <c r="AE38" s="223"/>
      <c r="AF38" s="223"/>
      <c r="AG38" s="223"/>
      <c r="AH38" s="223"/>
      <c r="AI38" s="223"/>
    </row>
    <row r="39" customFormat="false" ht="14.25" hidden="false" customHeight="false" outlineLevel="0" collapsed="false">
      <c r="J39" s="223"/>
      <c r="K39" s="223"/>
      <c r="L39" s="223"/>
      <c r="M39" s="223"/>
      <c r="N39" s="223"/>
      <c r="O39" s="223"/>
      <c r="P39" s="223"/>
      <c r="Q39" s="223"/>
      <c r="R39" s="223"/>
      <c r="S39" s="223"/>
      <c r="T39" s="223"/>
      <c r="U39" s="223"/>
      <c r="V39" s="223"/>
      <c r="W39" s="223"/>
      <c r="X39" s="223"/>
      <c r="Y39" s="223"/>
      <c r="Z39" s="223"/>
      <c r="AA39" s="223"/>
      <c r="AB39" s="223"/>
      <c r="AC39" s="223"/>
      <c r="AD39" s="223"/>
      <c r="AE39" s="223"/>
      <c r="AF39" s="223"/>
      <c r="AG39" s="223"/>
      <c r="AH39" s="223"/>
      <c r="AI39" s="223"/>
    </row>
    <row r="40" customFormat="false" ht="14.25" hidden="false" customHeight="false" outlineLevel="0" collapsed="false">
      <c r="J40" s="223"/>
      <c r="K40" s="223"/>
      <c r="L40" s="223"/>
      <c r="M40" s="223"/>
      <c r="N40" s="223"/>
      <c r="O40" s="223"/>
      <c r="P40" s="223"/>
      <c r="Q40" s="223"/>
      <c r="R40" s="223"/>
      <c r="S40" s="223"/>
      <c r="T40" s="223"/>
      <c r="U40" s="223"/>
      <c r="V40" s="223"/>
      <c r="W40" s="223"/>
      <c r="X40" s="223"/>
      <c r="Y40" s="223"/>
      <c r="Z40" s="223"/>
      <c r="AA40" s="223"/>
      <c r="AB40" s="223"/>
      <c r="AC40" s="223"/>
      <c r="AD40" s="223"/>
      <c r="AE40" s="223"/>
      <c r="AF40" s="223"/>
      <c r="AG40" s="223"/>
      <c r="AH40" s="223"/>
      <c r="AI40" s="223"/>
    </row>
    <row r="41" customFormat="false" ht="14.25" hidden="false" customHeight="false" outlineLevel="0" collapsed="false">
      <c r="J41" s="223"/>
      <c r="K41" s="223"/>
      <c r="L41" s="223"/>
      <c r="M41" s="223"/>
      <c r="N41" s="223"/>
      <c r="O41" s="223"/>
      <c r="P41" s="223"/>
      <c r="Q41" s="223"/>
      <c r="R41" s="223"/>
      <c r="S41" s="223"/>
      <c r="T41" s="223"/>
      <c r="U41" s="223"/>
      <c r="V41" s="223"/>
      <c r="W41" s="223"/>
      <c r="X41" s="223"/>
      <c r="Y41" s="223"/>
      <c r="Z41" s="223"/>
      <c r="AA41" s="223"/>
      <c r="AB41" s="223"/>
      <c r="AC41" s="223"/>
      <c r="AD41" s="223"/>
      <c r="AE41" s="223"/>
      <c r="AF41" s="223"/>
      <c r="AG41" s="223"/>
      <c r="AH41" s="223"/>
      <c r="AI41" s="223"/>
    </row>
    <row r="42" customFormat="false" ht="14.25" hidden="false" customHeight="false" outlineLevel="0" collapsed="false">
      <c r="J42" s="223"/>
      <c r="K42" s="223"/>
      <c r="L42" s="223"/>
      <c r="M42" s="223"/>
      <c r="N42" s="223"/>
      <c r="O42" s="223"/>
      <c r="P42" s="223"/>
      <c r="Q42" s="223"/>
      <c r="R42" s="223"/>
      <c r="S42" s="223"/>
      <c r="T42" s="223"/>
      <c r="U42" s="223"/>
      <c r="V42" s="223"/>
      <c r="W42" s="223"/>
      <c r="X42" s="223"/>
      <c r="Y42" s="223"/>
      <c r="Z42" s="223"/>
      <c r="AA42" s="223"/>
      <c r="AB42" s="223"/>
      <c r="AC42" s="223"/>
      <c r="AD42" s="223"/>
      <c r="AE42" s="223"/>
      <c r="AF42" s="223"/>
      <c r="AG42" s="223"/>
      <c r="AH42" s="223"/>
      <c r="AI42" s="223"/>
    </row>
    <row r="43" customFormat="false" ht="14.25" hidden="false" customHeight="false" outlineLevel="0" collapsed="false">
      <c r="J43" s="223"/>
      <c r="K43" s="223"/>
      <c r="L43" s="223"/>
      <c r="M43" s="223"/>
      <c r="N43" s="223"/>
      <c r="O43" s="223"/>
      <c r="P43" s="223"/>
      <c r="Q43" s="223"/>
      <c r="R43" s="223"/>
      <c r="S43" s="223"/>
      <c r="T43" s="223"/>
      <c r="U43" s="223"/>
      <c r="V43" s="223"/>
      <c r="W43" s="223"/>
      <c r="X43" s="223"/>
      <c r="Y43" s="223"/>
      <c r="Z43" s="223"/>
      <c r="AA43" s="223"/>
      <c r="AB43" s="223"/>
      <c r="AC43" s="223"/>
      <c r="AD43" s="223"/>
      <c r="AE43" s="223"/>
      <c r="AF43" s="223"/>
      <c r="AG43" s="223"/>
      <c r="AH43" s="223"/>
      <c r="AI43" s="223"/>
    </row>
    <row r="44" customFormat="false" ht="14.25" hidden="false" customHeight="false" outlineLevel="0" collapsed="false">
      <c r="J44" s="223"/>
      <c r="K44" s="223"/>
      <c r="L44" s="223"/>
      <c r="M44" s="223"/>
      <c r="N44" s="223"/>
      <c r="O44" s="223"/>
      <c r="P44" s="223"/>
      <c r="Q44" s="223"/>
      <c r="R44" s="223"/>
      <c r="S44" s="223"/>
      <c r="T44" s="223"/>
      <c r="U44" s="223"/>
      <c r="V44" s="223"/>
      <c r="W44" s="223"/>
      <c r="X44" s="223"/>
      <c r="Y44" s="223"/>
      <c r="Z44" s="223"/>
      <c r="AA44" s="223"/>
      <c r="AB44" s="223"/>
      <c r="AC44" s="223"/>
      <c r="AD44" s="223"/>
      <c r="AE44" s="223"/>
      <c r="AF44" s="223"/>
      <c r="AG44" s="223"/>
      <c r="AH44" s="223"/>
      <c r="AI44" s="223"/>
    </row>
    <row r="45" customFormat="false" ht="14.25" hidden="false" customHeight="false" outlineLevel="0" collapsed="false">
      <c r="J45" s="223"/>
      <c r="K45" s="223"/>
      <c r="L45" s="223"/>
      <c r="M45" s="223"/>
      <c r="N45" s="223"/>
      <c r="O45" s="223"/>
      <c r="P45" s="223"/>
      <c r="Q45" s="223"/>
      <c r="R45" s="223"/>
      <c r="S45" s="223"/>
      <c r="T45" s="223"/>
      <c r="U45" s="223"/>
      <c r="V45" s="223"/>
      <c r="W45" s="223"/>
      <c r="X45" s="223"/>
      <c r="Y45" s="223"/>
      <c r="Z45" s="223"/>
      <c r="AA45" s="223"/>
      <c r="AB45" s="223"/>
      <c r="AC45" s="223"/>
      <c r="AD45" s="223"/>
      <c r="AE45" s="223"/>
      <c r="AF45" s="223"/>
      <c r="AG45" s="223"/>
      <c r="AH45" s="223"/>
      <c r="AI45" s="223"/>
    </row>
    <row r="46" customFormat="false" ht="14.25" hidden="false" customHeight="false" outlineLevel="0" collapsed="false">
      <c r="J46" s="223"/>
      <c r="K46" s="223"/>
      <c r="L46" s="223"/>
      <c r="M46" s="223"/>
      <c r="N46" s="223"/>
      <c r="O46" s="223"/>
      <c r="P46" s="223"/>
      <c r="Q46" s="223"/>
      <c r="R46" s="223"/>
      <c r="S46" s="223"/>
      <c r="T46" s="223"/>
      <c r="U46" s="223"/>
      <c r="V46" s="223"/>
      <c r="W46" s="223"/>
      <c r="X46" s="223"/>
      <c r="Y46" s="223"/>
      <c r="Z46" s="223"/>
      <c r="AA46" s="223"/>
      <c r="AB46" s="223"/>
      <c r="AC46" s="223"/>
      <c r="AD46" s="223"/>
      <c r="AE46" s="223"/>
      <c r="AF46" s="223"/>
      <c r="AG46" s="223"/>
      <c r="AH46" s="223"/>
      <c r="AI46" s="223"/>
    </row>
    <row r="47" customFormat="false" ht="14.25" hidden="false" customHeight="false" outlineLevel="0" collapsed="false">
      <c r="J47" s="223"/>
      <c r="K47" s="223"/>
      <c r="L47" s="223"/>
      <c r="M47" s="223"/>
      <c r="N47" s="223"/>
      <c r="O47" s="223"/>
      <c r="P47" s="223"/>
      <c r="Q47" s="223"/>
      <c r="R47" s="223"/>
      <c r="S47" s="223"/>
      <c r="T47" s="223"/>
      <c r="U47" s="223"/>
      <c r="V47" s="223"/>
      <c r="W47" s="223"/>
      <c r="X47" s="223"/>
      <c r="Y47" s="223"/>
      <c r="Z47" s="223"/>
      <c r="AA47" s="223"/>
      <c r="AB47" s="223"/>
      <c r="AC47" s="223"/>
      <c r="AD47" s="223"/>
      <c r="AE47" s="223"/>
      <c r="AF47" s="223"/>
      <c r="AG47" s="223"/>
      <c r="AH47" s="223"/>
      <c r="AI47" s="223"/>
    </row>
    <row r="48" customFormat="false" ht="14.25" hidden="false" customHeight="false" outlineLevel="0" collapsed="false">
      <c r="J48" s="223"/>
      <c r="K48" s="223"/>
      <c r="L48" s="223"/>
      <c r="M48" s="223"/>
      <c r="N48" s="223"/>
      <c r="O48" s="223"/>
      <c r="P48" s="223"/>
      <c r="Q48" s="223"/>
      <c r="R48" s="223"/>
      <c r="S48" s="223"/>
      <c r="T48" s="223"/>
      <c r="U48" s="223"/>
      <c r="V48" s="223"/>
      <c r="W48" s="223"/>
      <c r="X48" s="223"/>
      <c r="Y48" s="223"/>
      <c r="Z48" s="223"/>
      <c r="AA48" s="223"/>
      <c r="AB48" s="223"/>
      <c r="AC48" s="223"/>
      <c r="AD48" s="223"/>
      <c r="AE48" s="223"/>
      <c r="AF48" s="223"/>
      <c r="AG48" s="223"/>
      <c r="AH48" s="223"/>
      <c r="AI48" s="223"/>
    </row>
    <row r="49" customFormat="false" ht="14.25" hidden="false" customHeight="false" outlineLevel="0" collapsed="false">
      <c r="J49" s="223"/>
      <c r="K49" s="223"/>
      <c r="L49" s="223"/>
      <c r="M49" s="223"/>
      <c r="N49" s="223"/>
      <c r="O49" s="223"/>
      <c r="P49" s="223"/>
      <c r="Q49" s="223"/>
      <c r="R49" s="223"/>
      <c r="S49" s="223"/>
      <c r="T49" s="223"/>
      <c r="U49" s="223"/>
      <c r="V49" s="223"/>
      <c r="W49" s="223"/>
      <c r="X49" s="223"/>
      <c r="Y49" s="223"/>
      <c r="Z49" s="223"/>
      <c r="AA49" s="223"/>
      <c r="AB49" s="223"/>
      <c r="AC49" s="223"/>
      <c r="AD49" s="223"/>
      <c r="AE49" s="223"/>
      <c r="AF49" s="223"/>
      <c r="AG49" s="223"/>
      <c r="AH49" s="223"/>
      <c r="AI49" s="223"/>
    </row>
    <row r="50" customFormat="false" ht="14.25" hidden="false" customHeight="false" outlineLevel="0" collapsed="false">
      <c r="J50" s="223"/>
      <c r="K50" s="223"/>
      <c r="L50" s="223"/>
      <c r="M50" s="223"/>
      <c r="N50" s="223"/>
      <c r="O50" s="223"/>
      <c r="P50" s="223"/>
      <c r="Q50" s="223"/>
      <c r="R50" s="223"/>
      <c r="S50" s="223"/>
      <c r="T50" s="223"/>
      <c r="U50" s="223"/>
      <c r="V50" s="223"/>
      <c r="W50" s="223"/>
      <c r="X50" s="223"/>
      <c r="Y50" s="223"/>
      <c r="Z50" s="223"/>
      <c r="AA50" s="223"/>
      <c r="AB50" s="223"/>
      <c r="AC50" s="223"/>
      <c r="AD50" s="223"/>
      <c r="AE50" s="223"/>
      <c r="AF50" s="223"/>
      <c r="AG50" s="223"/>
      <c r="AH50" s="223"/>
      <c r="AI50" s="223"/>
    </row>
    <row r="51" customFormat="false" ht="14.25" hidden="false" customHeight="false" outlineLevel="0" collapsed="false">
      <c r="J51" s="223"/>
      <c r="K51" s="223"/>
      <c r="L51" s="223"/>
      <c r="M51" s="223"/>
      <c r="N51" s="223"/>
      <c r="O51" s="223"/>
      <c r="P51" s="223"/>
      <c r="Q51" s="223"/>
      <c r="R51" s="223"/>
      <c r="S51" s="223"/>
      <c r="T51" s="223"/>
      <c r="U51" s="223"/>
      <c r="V51" s="223"/>
      <c r="W51" s="223"/>
      <c r="X51" s="223"/>
      <c r="Y51" s="223"/>
      <c r="Z51" s="223"/>
      <c r="AA51" s="223"/>
      <c r="AB51" s="223"/>
      <c r="AC51" s="223"/>
      <c r="AD51" s="223"/>
      <c r="AE51" s="223"/>
      <c r="AF51" s="223"/>
      <c r="AG51" s="223"/>
      <c r="AH51" s="223"/>
      <c r="AI51" s="223"/>
    </row>
    <row r="52" customFormat="false" ht="14.25" hidden="false" customHeight="false" outlineLevel="0" collapsed="false">
      <c r="J52" s="223"/>
      <c r="K52" s="223"/>
      <c r="L52" s="223"/>
      <c r="M52" s="223"/>
      <c r="N52" s="223"/>
      <c r="O52" s="223"/>
      <c r="P52" s="223"/>
      <c r="Q52" s="223"/>
      <c r="R52" s="223"/>
      <c r="S52" s="223"/>
      <c r="T52" s="223"/>
      <c r="U52" s="223"/>
      <c r="V52" s="223"/>
      <c r="W52" s="223"/>
      <c r="X52" s="223"/>
      <c r="Y52" s="223"/>
      <c r="Z52" s="223"/>
      <c r="AA52" s="223"/>
      <c r="AB52" s="223"/>
      <c r="AC52" s="223"/>
      <c r="AD52" s="223"/>
      <c r="AE52" s="223"/>
      <c r="AF52" s="223"/>
      <c r="AG52" s="223"/>
      <c r="AH52" s="223"/>
      <c r="AI52" s="223"/>
    </row>
    <row r="53" customFormat="false" ht="14.25" hidden="false" customHeight="false" outlineLevel="0" collapsed="false">
      <c r="J53" s="223"/>
      <c r="K53" s="223"/>
      <c r="L53" s="223"/>
      <c r="M53" s="223"/>
      <c r="N53" s="223"/>
      <c r="O53" s="223"/>
      <c r="P53" s="223"/>
      <c r="Q53" s="223"/>
      <c r="R53" s="223"/>
      <c r="S53" s="223"/>
      <c r="T53" s="223"/>
      <c r="U53" s="223"/>
      <c r="V53" s="223"/>
      <c r="W53" s="223"/>
      <c r="X53" s="223"/>
      <c r="Y53" s="223"/>
      <c r="Z53" s="223"/>
      <c r="AA53" s="223"/>
      <c r="AB53" s="223"/>
      <c r="AC53" s="223"/>
      <c r="AD53" s="223"/>
      <c r="AE53" s="223"/>
      <c r="AF53" s="223"/>
      <c r="AG53" s="223"/>
      <c r="AH53" s="223"/>
      <c r="AI53" s="223"/>
    </row>
    <row r="54" customFormat="false" ht="14.25" hidden="false" customHeight="false" outlineLevel="0" collapsed="false">
      <c r="J54" s="223"/>
      <c r="K54" s="223"/>
      <c r="L54" s="223"/>
      <c r="M54" s="223"/>
      <c r="N54" s="223"/>
      <c r="O54" s="223"/>
      <c r="P54" s="223"/>
      <c r="Q54" s="223"/>
      <c r="R54" s="223"/>
      <c r="S54" s="223"/>
      <c r="T54" s="223"/>
      <c r="U54" s="223"/>
      <c r="V54" s="223"/>
      <c r="W54" s="223"/>
      <c r="X54" s="223"/>
      <c r="Y54" s="223"/>
      <c r="Z54" s="223"/>
      <c r="AA54" s="223"/>
      <c r="AB54" s="223"/>
      <c r="AC54" s="223"/>
      <c r="AD54" s="223"/>
      <c r="AE54" s="223"/>
      <c r="AF54" s="223"/>
      <c r="AG54" s="223"/>
      <c r="AH54" s="223"/>
      <c r="AI54" s="223"/>
    </row>
    <row r="55" customFormat="false" ht="14.25" hidden="false" customHeight="false" outlineLevel="0" collapsed="false">
      <c r="J55" s="223"/>
      <c r="K55" s="223"/>
      <c r="L55" s="223"/>
      <c r="M55" s="223"/>
      <c r="N55" s="223"/>
      <c r="O55" s="223"/>
      <c r="P55" s="223"/>
      <c r="Q55" s="223"/>
      <c r="R55" s="223"/>
      <c r="S55" s="223"/>
      <c r="T55" s="223"/>
      <c r="U55" s="223"/>
      <c r="V55" s="223"/>
      <c r="W55" s="223"/>
      <c r="X55" s="223"/>
      <c r="Y55" s="223"/>
      <c r="Z55" s="223"/>
      <c r="AA55" s="223"/>
      <c r="AB55" s="223"/>
      <c r="AC55" s="223"/>
      <c r="AD55" s="223"/>
      <c r="AE55" s="223"/>
      <c r="AF55" s="223"/>
      <c r="AG55" s="223"/>
      <c r="AH55" s="223"/>
      <c r="AI55" s="223"/>
    </row>
    <row r="56" customFormat="false" ht="14.25" hidden="false" customHeight="false" outlineLevel="0" collapsed="false">
      <c r="J56" s="223"/>
      <c r="K56" s="223"/>
      <c r="L56" s="223"/>
      <c r="M56" s="223"/>
      <c r="N56" s="223"/>
      <c r="O56" s="223"/>
      <c r="P56" s="223"/>
      <c r="Q56" s="223"/>
      <c r="R56" s="223"/>
      <c r="S56" s="223"/>
      <c r="T56" s="223"/>
      <c r="U56" s="223"/>
      <c r="V56" s="223"/>
      <c r="W56" s="223"/>
      <c r="X56" s="223"/>
      <c r="Y56" s="223"/>
      <c r="Z56" s="223"/>
      <c r="AA56" s="223"/>
      <c r="AB56" s="223"/>
      <c r="AC56" s="223"/>
      <c r="AD56" s="223"/>
      <c r="AE56" s="223"/>
      <c r="AF56" s="223"/>
      <c r="AG56" s="223"/>
      <c r="AH56" s="223"/>
      <c r="AI56" s="223"/>
    </row>
    <row r="57" customFormat="false" ht="14.25" hidden="false" customHeight="false" outlineLevel="0" collapsed="false">
      <c r="J57" s="223"/>
      <c r="K57" s="223"/>
      <c r="L57" s="223"/>
      <c r="M57" s="223"/>
      <c r="N57" s="223"/>
      <c r="O57" s="223"/>
      <c r="P57" s="223"/>
      <c r="Q57" s="223"/>
      <c r="R57" s="223"/>
      <c r="S57" s="223"/>
      <c r="T57" s="223"/>
      <c r="U57" s="223"/>
      <c r="V57" s="223"/>
      <c r="W57" s="223"/>
      <c r="X57" s="223"/>
      <c r="Y57" s="223"/>
      <c r="Z57" s="223"/>
      <c r="AA57" s="223"/>
      <c r="AB57" s="223"/>
      <c r="AC57" s="223"/>
      <c r="AD57" s="223"/>
      <c r="AE57" s="223"/>
      <c r="AF57" s="223"/>
      <c r="AG57" s="223"/>
      <c r="AH57" s="223"/>
      <c r="AI57" s="223"/>
    </row>
    <row r="58" customFormat="false" ht="14.25" hidden="false" customHeight="false" outlineLevel="0" collapsed="false">
      <c r="J58" s="223"/>
      <c r="K58" s="223"/>
      <c r="L58" s="223"/>
      <c r="M58" s="223"/>
      <c r="N58" s="223"/>
      <c r="O58" s="223"/>
      <c r="P58" s="223"/>
      <c r="Q58" s="223"/>
      <c r="R58" s="223"/>
      <c r="S58" s="223"/>
      <c r="T58" s="223"/>
      <c r="U58" s="223"/>
      <c r="V58" s="223"/>
      <c r="W58" s="223"/>
      <c r="X58" s="223"/>
      <c r="Y58" s="223"/>
      <c r="Z58" s="223"/>
      <c r="AA58" s="223"/>
      <c r="AB58" s="223"/>
      <c r="AC58" s="223"/>
      <c r="AD58" s="223"/>
      <c r="AE58" s="223"/>
      <c r="AF58" s="223"/>
      <c r="AG58" s="223"/>
      <c r="AH58" s="223"/>
      <c r="AI58" s="223"/>
    </row>
    <row r="59" customFormat="false" ht="14.25" hidden="false" customHeight="false" outlineLevel="0" collapsed="false">
      <c r="J59" s="223"/>
      <c r="K59" s="223"/>
      <c r="L59" s="223"/>
      <c r="M59" s="223"/>
      <c r="N59" s="223"/>
      <c r="O59" s="223"/>
      <c r="P59" s="223"/>
      <c r="Q59" s="223"/>
      <c r="R59" s="223"/>
      <c r="S59" s="223"/>
      <c r="T59" s="223"/>
      <c r="U59" s="223"/>
      <c r="V59" s="223"/>
      <c r="W59" s="223"/>
      <c r="X59" s="223"/>
      <c r="Y59" s="223"/>
      <c r="Z59" s="223"/>
      <c r="AA59" s="223"/>
      <c r="AB59" s="223"/>
      <c r="AC59" s="223"/>
      <c r="AD59" s="223"/>
      <c r="AE59" s="223"/>
      <c r="AF59" s="223"/>
      <c r="AG59" s="223"/>
      <c r="AH59" s="223"/>
      <c r="AI59" s="223"/>
    </row>
    <row r="60" customFormat="false" ht="14.25" hidden="false" customHeight="false" outlineLevel="0" collapsed="false">
      <c r="J60" s="223"/>
      <c r="K60" s="223"/>
      <c r="L60" s="223"/>
      <c r="M60" s="223"/>
      <c r="N60" s="223"/>
      <c r="O60" s="223"/>
      <c r="P60" s="223"/>
      <c r="Q60" s="223"/>
      <c r="R60" s="223"/>
      <c r="S60" s="223"/>
      <c r="T60" s="223"/>
      <c r="U60" s="223"/>
      <c r="V60" s="223"/>
      <c r="W60" s="223"/>
      <c r="X60" s="223"/>
      <c r="Y60" s="223"/>
      <c r="Z60" s="223"/>
      <c r="AA60" s="223"/>
      <c r="AB60" s="223"/>
      <c r="AC60" s="223"/>
      <c r="AD60" s="223"/>
      <c r="AE60" s="223"/>
      <c r="AF60" s="223"/>
      <c r="AG60" s="223"/>
      <c r="AH60" s="223"/>
      <c r="AI60" s="223"/>
    </row>
    <row r="61" customFormat="false" ht="14.25" hidden="false" customHeight="false" outlineLevel="0" collapsed="false">
      <c r="J61" s="223"/>
      <c r="K61" s="223"/>
      <c r="L61" s="223"/>
      <c r="M61" s="223"/>
      <c r="N61" s="223"/>
      <c r="O61" s="223"/>
      <c r="P61" s="223"/>
      <c r="Q61" s="223"/>
      <c r="R61" s="223"/>
      <c r="S61" s="223"/>
      <c r="T61" s="223"/>
      <c r="U61" s="223"/>
      <c r="V61" s="223"/>
      <c r="W61" s="223"/>
      <c r="X61" s="223"/>
      <c r="Y61" s="223"/>
      <c r="Z61" s="223"/>
      <c r="AA61" s="223"/>
      <c r="AB61" s="223"/>
      <c r="AC61" s="223"/>
      <c r="AD61" s="223"/>
      <c r="AE61" s="223"/>
      <c r="AF61" s="223"/>
      <c r="AG61" s="223"/>
      <c r="AH61" s="223"/>
      <c r="AI61" s="223"/>
    </row>
    <row r="62" customFormat="false" ht="14.25" hidden="false" customHeight="false" outlineLevel="0" collapsed="false">
      <c r="J62" s="223"/>
      <c r="K62" s="223"/>
      <c r="L62" s="223"/>
      <c r="M62" s="223"/>
      <c r="N62" s="223"/>
      <c r="O62" s="223"/>
      <c r="P62" s="223"/>
      <c r="Q62" s="223"/>
      <c r="R62" s="223"/>
      <c r="S62" s="223"/>
      <c r="T62" s="223"/>
      <c r="U62" s="223"/>
      <c r="V62" s="223"/>
      <c r="W62" s="223"/>
      <c r="X62" s="223"/>
      <c r="Y62" s="223"/>
      <c r="Z62" s="223"/>
      <c r="AA62" s="223"/>
      <c r="AB62" s="223"/>
      <c r="AC62" s="223"/>
      <c r="AD62" s="223"/>
      <c r="AE62" s="223"/>
      <c r="AF62" s="223"/>
      <c r="AG62" s="223"/>
      <c r="AH62" s="223"/>
      <c r="AI62" s="223"/>
    </row>
    <row r="63" customFormat="false" ht="14.25" hidden="false" customHeight="false" outlineLevel="0" collapsed="false">
      <c r="J63" s="223"/>
      <c r="K63" s="223"/>
      <c r="L63" s="223"/>
      <c r="M63" s="223"/>
      <c r="N63" s="223"/>
      <c r="O63" s="223"/>
      <c r="P63" s="223"/>
      <c r="Q63" s="223"/>
      <c r="R63" s="223"/>
      <c r="S63" s="223"/>
      <c r="T63" s="223"/>
      <c r="U63" s="223"/>
      <c r="V63" s="223"/>
      <c r="W63" s="223"/>
      <c r="X63" s="223"/>
      <c r="Y63" s="223"/>
      <c r="Z63" s="223"/>
      <c r="AA63" s="223"/>
      <c r="AB63" s="223"/>
      <c r="AC63" s="223"/>
      <c r="AD63" s="223"/>
      <c r="AE63" s="223"/>
      <c r="AF63" s="223"/>
      <c r="AG63" s="223"/>
      <c r="AH63" s="223"/>
      <c r="AI63" s="223"/>
    </row>
    <row r="64" customFormat="false" ht="14.25" hidden="false" customHeight="false" outlineLevel="0" collapsed="false">
      <c r="J64" s="223"/>
      <c r="K64" s="223"/>
      <c r="L64" s="223"/>
      <c r="M64" s="223"/>
      <c r="N64" s="223"/>
      <c r="O64" s="223"/>
      <c r="P64" s="223"/>
      <c r="Q64" s="223"/>
      <c r="R64" s="223"/>
      <c r="S64" s="223"/>
      <c r="T64" s="223"/>
      <c r="U64" s="223"/>
      <c r="V64" s="223"/>
      <c r="W64" s="223"/>
      <c r="X64" s="223"/>
      <c r="Y64" s="223"/>
      <c r="Z64" s="223"/>
      <c r="AA64" s="223"/>
      <c r="AB64" s="223"/>
      <c r="AC64" s="223"/>
      <c r="AD64" s="223"/>
      <c r="AE64" s="223"/>
      <c r="AF64" s="223"/>
      <c r="AG64" s="223"/>
      <c r="AH64" s="223"/>
      <c r="AI64" s="223"/>
    </row>
    <row r="65" customFormat="false" ht="14.25" hidden="false" customHeight="false" outlineLevel="0" collapsed="false">
      <c r="J65" s="223"/>
      <c r="K65" s="223"/>
      <c r="L65" s="223"/>
      <c r="M65" s="223"/>
      <c r="N65" s="223"/>
      <c r="O65" s="223"/>
      <c r="P65" s="223"/>
      <c r="Q65" s="223"/>
      <c r="R65" s="223"/>
      <c r="S65" s="223"/>
      <c r="T65" s="223"/>
      <c r="U65" s="223"/>
      <c r="V65" s="223"/>
      <c r="W65" s="223"/>
      <c r="X65" s="223"/>
      <c r="Y65" s="223"/>
      <c r="Z65" s="223"/>
      <c r="AA65" s="223"/>
      <c r="AB65" s="223"/>
      <c r="AC65" s="223"/>
      <c r="AD65" s="223"/>
      <c r="AE65" s="223"/>
      <c r="AF65" s="223"/>
      <c r="AG65" s="223"/>
      <c r="AH65" s="223"/>
      <c r="AI65" s="223"/>
    </row>
    <row r="66" customFormat="false" ht="14.25" hidden="false" customHeight="false" outlineLevel="0" collapsed="false">
      <c r="J66" s="223"/>
      <c r="K66" s="223"/>
      <c r="L66" s="223"/>
      <c r="M66" s="223"/>
      <c r="N66" s="223"/>
      <c r="O66" s="223"/>
      <c r="P66" s="223"/>
      <c r="Q66" s="223"/>
      <c r="R66" s="223"/>
      <c r="S66" s="223"/>
      <c r="T66" s="223"/>
      <c r="U66" s="223"/>
      <c r="V66" s="223"/>
      <c r="W66" s="223"/>
      <c r="X66" s="223"/>
      <c r="Y66" s="223"/>
      <c r="Z66" s="223"/>
      <c r="AA66" s="223"/>
      <c r="AB66" s="223"/>
      <c r="AC66" s="223"/>
      <c r="AD66" s="223"/>
      <c r="AE66" s="223"/>
      <c r="AF66" s="223"/>
      <c r="AG66" s="223"/>
      <c r="AH66" s="223"/>
      <c r="AI66" s="223"/>
    </row>
    <row r="67" customFormat="false" ht="14.25" hidden="false" customHeight="false" outlineLevel="0" collapsed="false">
      <c r="J67" s="223"/>
      <c r="K67" s="223"/>
      <c r="L67" s="223"/>
      <c r="M67" s="223"/>
      <c r="N67" s="223"/>
      <c r="O67" s="223"/>
      <c r="P67" s="223"/>
      <c r="Q67" s="223"/>
      <c r="R67" s="223"/>
      <c r="S67" s="223"/>
      <c r="T67" s="223"/>
      <c r="U67" s="223"/>
      <c r="V67" s="223"/>
      <c r="W67" s="223"/>
      <c r="X67" s="223"/>
      <c r="Y67" s="223"/>
      <c r="Z67" s="223"/>
      <c r="AA67" s="223"/>
      <c r="AB67" s="223"/>
      <c r="AC67" s="223"/>
      <c r="AD67" s="223"/>
      <c r="AE67" s="223"/>
      <c r="AF67" s="223"/>
      <c r="AG67" s="223"/>
      <c r="AH67" s="223"/>
      <c r="AI67" s="223"/>
    </row>
    <row r="68" customFormat="false" ht="14.25" hidden="false" customHeight="false" outlineLevel="0" collapsed="false">
      <c r="J68" s="223"/>
      <c r="K68" s="223"/>
      <c r="L68" s="223"/>
      <c r="M68" s="223"/>
      <c r="N68" s="223"/>
      <c r="O68" s="223"/>
      <c r="P68" s="223"/>
      <c r="Q68" s="223"/>
      <c r="R68" s="223"/>
      <c r="S68" s="223"/>
      <c r="T68" s="223"/>
      <c r="U68" s="223"/>
      <c r="V68" s="223"/>
      <c r="W68" s="223"/>
      <c r="X68" s="223"/>
      <c r="Y68" s="223"/>
      <c r="Z68" s="223"/>
      <c r="AA68" s="223"/>
      <c r="AB68" s="223"/>
      <c r="AC68" s="223"/>
      <c r="AD68" s="223"/>
      <c r="AE68" s="223"/>
      <c r="AF68" s="223"/>
      <c r="AG68" s="223"/>
      <c r="AH68" s="223"/>
      <c r="AI68" s="223"/>
    </row>
    <row r="69" customFormat="false" ht="14.25" hidden="false" customHeight="false" outlineLevel="0" collapsed="false">
      <c r="J69" s="223"/>
      <c r="K69" s="223"/>
      <c r="L69" s="223"/>
      <c r="M69" s="223"/>
      <c r="N69" s="223"/>
      <c r="O69" s="223"/>
      <c r="P69" s="223"/>
      <c r="Q69" s="223"/>
      <c r="R69" s="223"/>
      <c r="S69" s="223"/>
      <c r="T69" s="223"/>
      <c r="U69" s="223"/>
      <c r="V69" s="223"/>
      <c r="W69" s="223"/>
      <c r="X69" s="223"/>
      <c r="Y69" s="223"/>
      <c r="Z69" s="223"/>
      <c r="AA69" s="223"/>
      <c r="AB69" s="223"/>
      <c r="AC69" s="223"/>
      <c r="AD69" s="223"/>
      <c r="AE69" s="223"/>
      <c r="AF69" s="223"/>
      <c r="AG69" s="223"/>
      <c r="AH69" s="223"/>
      <c r="AI69" s="223"/>
    </row>
    <row r="70" customFormat="false" ht="14.25" hidden="false" customHeight="false" outlineLevel="0" collapsed="false">
      <c r="J70" s="223"/>
      <c r="K70" s="223"/>
      <c r="L70" s="223"/>
      <c r="M70" s="223"/>
      <c r="N70" s="223"/>
      <c r="O70" s="223"/>
      <c r="P70" s="223"/>
      <c r="Q70" s="223"/>
      <c r="R70" s="223"/>
      <c r="S70" s="223"/>
      <c r="T70" s="223"/>
      <c r="U70" s="223"/>
      <c r="V70" s="223"/>
      <c r="W70" s="223"/>
      <c r="X70" s="223"/>
      <c r="Y70" s="223"/>
      <c r="Z70" s="223"/>
      <c r="AA70" s="223"/>
      <c r="AB70" s="223"/>
      <c r="AC70" s="223"/>
      <c r="AD70" s="223"/>
      <c r="AE70" s="223"/>
      <c r="AF70" s="223"/>
      <c r="AG70" s="223"/>
      <c r="AH70" s="223"/>
      <c r="AI70" s="223"/>
    </row>
    <row r="71" customFormat="false" ht="14.25" hidden="false" customHeight="false" outlineLevel="0" collapsed="false">
      <c r="J71" s="223"/>
      <c r="K71" s="223"/>
      <c r="L71" s="223"/>
      <c r="M71" s="223"/>
      <c r="N71" s="223"/>
      <c r="O71" s="223"/>
      <c r="P71" s="223"/>
      <c r="Q71" s="223"/>
      <c r="R71" s="223"/>
      <c r="S71" s="223"/>
      <c r="T71" s="223"/>
      <c r="U71" s="223"/>
      <c r="V71" s="223"/>
      <c r="W71" s="223"/>
      <c r="X71" s="223"/>
      <c r="Y71" s="223"/>
      <c r="Z71" s="223"/>
      <c r="AA71" s="223"/>
      <c r="AB71" s="223"/>
      <c r="AC71" s="223"/>
      <c r="AD71" s="223"/>
      <c r="AE71" s="223"/>
      <c r="AF71" s="223"/>
      <c r="AG71" s="223"/>
      <c r="AH71" s="223"/>
      <c r="AI71" s="223"/>
    </row>
    <row r="72" customFormat="false" ht="14.25" hidden="false" customHeight="false" outlineLevel="0" collapsed="false">
      <c r="J72" s="223"/>
      <c r="K72" s="223"/>
      <c r="L72" s="223"/>
      <c r="M72" s="223"/>
      <c r="N72" s="223"/>
      <c r="O72" s="223"/>
      <c r="P72" s="223"/>
      <c r="Q72" s="223"/>
      <c r="R72" s="223"/>
      <c r="S72" s="223"/>
      <c r="T72" s="223"/>
      <c r="U72" s="223"/>
      <c r="V72" s="223"/>
      <c r="W72" s="223"/>
      <c r="X72" s="223"/>
      <c r="Y72" s="223"/>
      <c r="Z72" s="223"/>
      <c r="AA72" s="223"/>
      <c r="AB72" s="223"/>
      <c r="AC72" s="223"/>
      <c r="AD72" s="223"/>
      <c r="AE72" s="223"/>
      <c r="AF72" s="223"/>
      <c r="AG72" s="223"/>
      <c r="AH72" s="223"/>
      <c r="AI72" s="223"/>
    </row>
    <row r="73" customFormat="false" ht="14.25" hidden="false" customHeight="false" outlineLevel="0" collapsed="false">
      <c r="J73" s="223"/>
      <c r="K73" s="223"/>
      <c r="L73" s="223"/>
      <c r="M73" s="223"/>
      <c r="N73" s="223"/>
      <c r="O73" s="223"/>
      <c r="P73" s="223"/>
      <c r="Q73" s="223"/>
      <c r="R73" s="223"/>
      <c r="S73" s="223"/>
      <c r="T73" s="223"/>
      <c r="U73" s="223"/>
      <c r="V73" s="223"/>
      <c r="W73" s="223"/>
      <c r="X73" s="223"/>
      <c r="Y73" s="223"/>
      <c r="Z73" s="223"/>
      <c r="AA73" s="223"/>
      <c r="AB73" s="223"/>
      <c r="AC73" s="223"/>
      <c r="AD73" s="223"/>
      <c r="AE73" s="223"/>
      <c r="AF73" s="223"/>
      <c r="AG73" s="223"/>
      <c r="AH73" s="223"/>
      <c r="AI73" s="223"/>
    </row>
    <row r="74" customFormat="false" ht="14.25" hidden="false" customHeight="false" outlineLevel="0" collapsed="false">
      <c r="J74" s="223"/>
      <c r="K74" s="223"/>
      <c r="L74" s="223"/>
      <c r="M74" s="223"/>
      <c r="N74" s="223"/>
      <c r="O74" s="223"/>
      <c r="P74" s="223"/>
      <c r="Q74" s="223"/>
      <c r="R74" s="223"/>
      <c r="S74" s="223"/>
      <c r="T74" s="223"/>
      <c r="U74" s="223"/>
      <c r="V74" s="223"/>
      <c r="W74" s="223"/>
      <c r="X74" s="223"/>
      <c r="Y74" s="223"/>
      <c r="Z74" s="223"/>
      <c r="AA74" s="223"/>
      <c r="AB74" s="223"/>
      <c r="AC74" s="223"/>
      <c r="AD74" s="223"/>
      <c r="AE74" s="223"/>
      <c r="AF74" s="223"/>
      <c r="AG74" s="223"/>
      <c r="AH74" s="223"/>
      <c r="AI74" s="223"/>
    </row>
    <row r="75" customFormat="false" ht="14.25" hidden="false" customHeight="false" outlineLevel="0" collapsed="false">
      <c r="J75" s="223"/>
      <c r="K75" s="223"/>
      <c r="L75" s="223"/>
      <c r="M75" s="223"/>
      <c r="N75" s="223"/>
      <c r="O75" s="223"/>
      <c r="P75" s="223"/>
      <c r="Q75" s="223"/>
      <c r="R75" s="223"/>
      <c r="S75" s="223"/>
      <c r="T75" s="223"/>
      <c r="U75" s="223"/>
      <c r="V75" s="223"/>
      <c r="W75" s="223"/>
      <c r="X75" s="223"/>
      <c r="Y75" s="223"/>
      <c r="Z75" s="223"/>
      <c r="AA75" s="223"/>
      <c r="AB75" s="223"/>
      <c r="AC75" s="223"/>
      <c r="AD75" s="223"/>
      <c r="AE75" s="223"/>
      <c r="AF75" s="223"/>
      <c r="AG75" s="223"/>
      <c r="AH75" s="223"/>
      <c r="AI75" s="223"/>
    </row>
    <row r="76" customFormat="false" ht="14.25" hidden="false" customHeight="false" outlineLevel="0" collapsed="false">
      <c r="J76" s="223"/>
      <c r="K76" s="223"/>
      <c r="L76" s="223"/>
      <c r="M76" s="223"/>
      <c r="N76" s="223"/>
      <c r="O76" s="223"/>
      <c r="P76" s="223"/>
      <c r="Q76" s="223"/>
      <c r="R76" s="223"/>
      <c r="S76" s="223"/>
      <c r="T76" s="223"/>
      <c r="U76" s="223"/>
      <c r="V76" s="223"/>
      <c r="W76" s="223"/>
      <c r="X76" s="223"/>
      <c r="Y76" s="223"/>
      <c r="Z76" s="223"/>
      <c r="AA76" s="223"/>
      <c r="AB76" s="223"/>
      <c r="AC76" s="223"/>
      <c r="AD76" s="223"/>
      <c r="AE76" s="223"/>
      <c r="AF76" s="223"/>
      <c r="AG76" s="223"/>
      <c r="AH76" s="223"/>
      <c r="AI76" s="223"/>
    </row>
    <row r="77" customFormat="false" ht="14.25" hidden="false" customHeight="false" outlineLevel="0" collapsed="false">
      <c r="J77" s="223"/>
      <c r="K77" s="223"/>
      <c r="L77" s="223"/>
      <c r="M77" s="223"/>
      <c r="N77" s="223"/>
      <c r="O77" s="223"/>
      <c r="P77" s="223"/>
      <c r="Q77" s="223"/>
      <c r="R77" s="223"/>
      <c r="S77" s="223"/>
      <c r="T77" s="223"/>
      <c r="U77" s="223"/>
      <c r="V77" s="223"/>
      <c r="W77" s="223"/>
      <c r="X77" s="223"/>
      <c r="Y77" s="223"/>
      <c r="Z77" s="223"/>
      <c r="AA77" s="223"/>
      <c r="AB77" s="223"/>
      <c r="AC77" s="223"/>
      <c r="AD77" s="223"/>
      <c r="AE77" s="223"/>
      <c r="AF77" s="223"/>
      <c r="AG77" s="223"/>
      <c r="AH77" s="223"/>
      <c r="AI77" s="223"/>
    </row>
    <row r="78" customFormat="false" ht="14.25" hidden="false" customHeight="false" outlineLevel="0" collapsed="false">
      <c r="J78" s="223"/>
      <c r="K78" s="223"/>
      <c r="L78" s="223"/>
      <c r="M78" s="223"/>
      <c r="N78" s="223"/>
      <c r="O78" s="223"/>
      <c r="P78" s="223"/>
      <c r="Q78" s="223"/>
      <c r="R78" s="223"/>
      <c r="S78" s="223"/>
      <c r="T78" s="223"/>
      <c r="U78" s="223"/>
      <c r="V78" s="223"/>
      <c r="W78" s="223"/>
      <c r="X78" s="223"/>
      <c r="Y78" s="223"/>
      <c r="Z78" s="223"/>
      <c r="AA78" s="223"/>
      <c r="AB78" s="223"/>
      <c r="AC78" s="223"/>
      <c r="AD78" s="223"/>
      <c r="AE78" s="223"/>
      <c r="AF78" s="223"/>
      <c r="AG78" s="223"/>
      <c r="AH78" s="223"/>
      <c r="AI78" s="223"/>
    </row>
    <row r="79" customFormat="false" ht="14.25" hidden="false" customHeight="false" outlineLevel="0" collapsed="false">
      <c r="J79" s="223"/>
      <c r="K79" s="223"/>
      <c r="L79" s="223"/>
      <c r="M79" s="223"/>
      <c r="N79" s="223"/>
      <c r="O79" s="223"/>
      <c r="P79" s="223"/>
      <c r="Q79" s="223"/>
      <c r="R79" s="223"/>
      <c r="S79" s="223"/>
      <c r="T79" s="223"/>
      <c r="U79" s="223"/>
      <c r="V79" s="223"/>
      <c r="W79" s="223"/>
      <c r="X79" s="223"/>
      <c r="Y79" s="223"/>
      <c r="Z79" s="223"/>
      <c r="AA79" s="223"/>
      <c r="AB79" s="223"/>
      <c r="AC79" s="223"/>
      <c r="AD79" s="223"/>
      <c r="AE79" s="223"/>
      <c r="AF79" s="223"/>
      <c r="AG79" s="223"/>
      <c r="AH79" s="223"/>
      <c r="AI79" s="223"/>
    </row>
    <row r="80" customFormat="false" ht="14.25" hidden="false" customHeight="false" outlineLevel="0" collapsed="false">
      <c r="J80" s="223"/>
      <c r="K80" s="223"/>
      <c r="L80" s="223"/>
      <c r="M80" s="223"/>
      <c r="N80" s="223"/>
      <c r="O80" s="223"/>
      <c r="P80" s="223"/>
      <c r="Q80" s="223"/>
      <c r="R80" s="223"/>
      <c r="S80" s="223"/>
      <c r="T80" s="223"/>
      <c r="U80" s="223"/>
      <c r="V80" s="223"/>
      <c r="W80" s="223"/>
      <c r="X80" s="223"/>
      <c r="Y80" s="223"/>
      <c r="Z80" s="223"/>
      <c r="AA80" s="223"/>
      <c r="AB80" s="223"/>
      <c r="AC80" s="223"/>
      <c r="AD80" s="223"/>
      <c r="AE80" s="223"/>
      <c r="AF80" s="223"/>
      <c r="AG80" s="223"/>
      <c r="AH80" s="223"/>
      <c r="AI80" s="223"/>
    </row>
    <row r="81" customFormat="false" ht="14.25" hidden="false" customHeight="false" outlineLevel="0" collapsed="false">
      <c r="J81" s="223"/>
      <c r="K81" s="223"/>
      <c r="L81" s="223"/>
      <c r="M81" s="223"/>
      <c r="N81" s="223"/>
      <c r="O81" s="223"/>
      <c r="P81" s="223"/>
      <c r="Q81" s="223"/>
      <c r="R81" s="223"/>
      <c r="S81" s="223"/>
      <c r="T81" s="223"/>
      <c r="U81" s="223"/>
      <c r="V81" s="223"/>
      <c r="W81" s="223"/>
      <c r="X81" s="223"/>
      <c r="Y81" s="223"/>
      <c r="Z81" s="223"/>
      <c r="AA81" s="223"/>
      <c r="AB81" s="223"/>
      <c r="AC81" s="223"/>
      <c r="AD81" s="223"/>
      <c r="AE81" s="223"/>
      <c r="AF81" s="223"/>
      <c r="AG81" s="223"/>
      <c r="AH81" s="223"/>
      <c r="AI81" s="223"/>
    </row>
    <row r="82" customFormat="false" ht="14.25" hidden="false" customHeight="false" outlineLevel="0" collapsed="false">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row>
    <row r="83" customFormat="false" ht="14.25" hidden="false" customHeight="false" outlineLevel="0" collapsed="false">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row>
    <row r="84" customFormat="false" ht="14.25" hidden="false" customHeight="false" outlineLevel="0" collapsed="false">
      <c r="J84" s="223"/>
      <c r="K84" s="223"/>
      <c r="L84" s="223"/>
      <c r="M84" s="223"/>
      <c r="N84" s="223"/>
      <c r="O84" s="223"/>
      <c r="P84" s="223"/>
      <c r="Q84" s="223"/>
      <c r="R84" s="223"/>
      <c r="S84" s="223"/>
      <c r="T84" s="223"/>
      <c r="U84" s="223"/>
      <c r="V84" s="223"/>
      <c r="W84" s="223"/>
      <c r="X84" s="223"/>
      <c r="Y84" s="223"/>
      <c r="Z84" s="223"/>
      <c r="AA84" s="223"/>
      <c r="AB84" s="223"/>
      <c r="AC84" s="223"/>
      <c r="AD84" s="223"/>
      <c r="AE84" s="223"/>
      <c r="AF84" s="223"/>
      <c r="AG84" s="223"/>
      <c r="AH84" s="223"/>
      <c r="AI84" s="223"/>
    </row>
    <row r="85" customFormat="false" ht="14.25" hidden="false" customHeight="false" outlineLevel="0" collapsed="false">
      <c r="J85" s="223"/>
      <c r="K85" s="223"/>
      <c r="L85" s="223"/>
      <c r="M85" s="223"/>
      <c r="N85" s="223"/>
      <c r="O85" s="223"/>
      <c r="P85" s="223"/>
      <c r="Q85" s="223"/>
      <c r="R85" s="223"/>
      <c r="S85" s="223"/>
      <c r="T85" s="223"/>
      <c r="U85" s="223"/>
      <c r="V85" s="223"/>
      <c r="W85" s="223"/>
      <c r="X85" s="223"/>
      <c r="Y85" s="223"/>
      <c r="Z85" s="223"/>
      <c r="AA85" s="223"/>
      <c r="AB85" s="223"/>
      <c r="AC85" s="223"/>
      <c r="AD85" s="223"/>
      <c r="AE85" s="223"/>
      <c r="AF85" s="223"/>
      <c r="AG85" s="223"/>
      <c r="AH85" s="223"/>
      <c r="AI85" s="223"/>
    </row>
    <row r="86" customFormat="false" ht="14.25" hidden="false" customHeight="false" outlineLevel="0" collapsed="false">
      <c r="J86" s="223"/>
      <c r="K86" s="223"/>
      <c r="L86" s="223"/>
      <c r="M86" s="223"/>
      <c r="N86" s="223"/>
      <c r="O86" s="223"/>
      <c r="P86" s="223"/>
      <c r="Q86" s="223"/>
      <c r="R86" s="223"/>
      <c r="S86" s="223"/>
      <c r="T86" s="223"/>
      <c r="U86" s="223"/>
      <c r="V86" s="223"/>
      <c r="W86" s="223"/>
      <c r="X86" s="223"/>
      <c r="Y86" s="223"/>
      <c r="Z86" s="223"/>
      <c r="AA86" s="223"/>
      <c r="AB86" s="223"/>
      <c r="AC86" s="223"/>
      <c r="AD86" s="223"/>
      <c r="AE86" s="223"/>
      <c r="AF86" s="223"/>
      <c r="AG86" s="223"/>
      <c r="AH86" s="223"/>
      <c r="AI86" s="223"/>
    </row>
    <row r="87" customFormat="false" ht="14.25" hidden="false" customHeight="false" outlineLevel="0" collapsed="false">
      <c r="J87" s="223"/>
      <c r="K87" s="223"/>
      <c r="L87" s="223"/>
      <c r="M87" s="223"/>
      <c r="N87" s="223"/>
      <c r="O87" s="223"/>
      <c r="P87" s="223"/>
      <c r="Q87" s="223"/>
      <c r="R87" s="223"/>
      <c r="S87" s="223"/>
      <c r="T87" s="223"/>
      <c r="U87" s="223"/>
      <c r="V87" s="223"/>
      <c r="W87" s="223"/>
      <c r="X87" s="223"/>
      <c r="Y87" s="223"/>
      <c r="Z87" s="223"/>
      <c r="AA87" s="223"/>
      <c r="AB87" s="223"/>
      <c r="AC87" s="223"/>
      <c r="AD87" s="223"/>
      <c r="AE87" s="223"/>
      <c r="AF87" s="223"/>
      <c r="AG87" s="223"/>
      <c r="AH87" s="223"/>
      <c r="AI87" s="223"/>
    </row>
    <row r="88" customFormat="false" ht="14.25" hidden="false" customHeight="false" outlineLevel="0" collapsed="false">
      <c r="J88" s="223"/>
      <c r="K88" s="223"/>
      <c r="L88" s="223"/>
      <c r="M88" s="223"/>
      <c r="N88" s="223"/>
      <c r="O88" s="223"/>
      <c r="P88" s="223"/>
      <c r="Q88" s="223"/>
      <c r="R88" s="223"/>
      <c r="S88" s="223"/>
      <c r="T88" s="223"/>
      <c r="U88" s="223"/>
      <c r="V88" s="223"/>
      <c r="W88" s="223"/>
      <c r="X88" s="223"/>
      <c r="Y88" s="223"/>
      <c r="Z88" s="223"/>
      <c r="AA88" s="223"/>
      <c r="AB88" s="223"/>
      <c r="AC88" s="223"/>
      <c r="AD88" s="223"/>
      <c r="AE88" s="223"/>
      <c r="AF88" s="223"/>
      <c r="AG88" s="223"/>
      <c r="AH88" s="223"/>
      <c r="AI88" s="223"/>
    </row>
    <row r="89" customFormat="false" ht="14.25" hidden="false" customHeight="false" outlineLevel="0" collapsed="false">
      <c r="J89" s="223"/>
      <c r="K89" s="223"/>
      <c r="L89" s="223"/>
      <c r="M89" s="223"/>
      <c r="N89" s="223"/>
      <c r="O89" s="223"/>
      <c r="P89" s="223"/>
      <c r="Q89" s="223"/>
      <c r="R89" s="223"/>
      <c r="S89" s="223"/>
      <c r="T89" s="223"/>
      <c r="U89" s="223"/>
      <c r="V89" s="223"/>
      <c r="W89" s="223"/>
      <c r="X89" s="223"/>
      <c r="Y89" s="223"/>
      <c r="Z89" s="223"/>
      <c r="AA89" s="223"/>
      <c r="AB89" s="223"/>
      <c r="AC89" s="223"/>
      <c r="AD89" s="223"/>
      <c r="AE89" s="223"/>
      <c r="AF89" s="223"/>
      <c r="AG89" s="223"/>
      <c r="AH89" s="223"/>
      <c r="AI89" s="223"/>
    </row>
    <row r="90" customFormat="false" ht="14.25" hidden="false" customHeight="false" outlineLevel="0" collapsed="false">
      <c r="J90" s="223"/>
      <c r="K90" s="223"/>
      <c r="L90" s="223"/>
      <c r="M90" s="223"/>
      <c r="N90" s="223"/>
      <c r="O90" s="223"/>
      <c r="P90" s="223"/>
      <c r="Q90" s="223"/>
      <c r="R90" s="223"/>
      <c r="S90" s="223"/>
      <c r="T90" s="223"/>
      <c r="U90" s="223"/>
      <c r="V90" s="223"/>
      <c r="W90" s="223"/>
      <c r="X90" s="223"/>
      <c r="Y90" s="223"/>
      <c r="Z90" s="223"/>
      <c r="AA90" s="223"/>
      <c r="AB90" s="223"/>
      <c r="AC90" s="223"/>
      <c r="AD90" s="223"/>
      <c r="AE90" s="223"/>
      <c r="AF90" s="223"/>
      <c r="AG90" s="223"/>
      <c r="AH90" s="223"/>
      <c r="AI90" s="223"/>
    </row>
    <row r="91" customFormat="false" ht="14.25" hidden="false" customHeight="false" outlineLevel="0" collapsed="false">
      <c r="J91" s="223"/>
      <c r="K91" s="223"/>
      <c r="L91" s="223"/>
      <c r="M91" s="223"/>
      <c r="N91" s="223"/>
      <c r="O91" s="223"/>
      <c r="P91" s="223"/>
      <c r="Q91" s="223"/>
      <c r="R91" s="223"/>
      <c r="S91" s="223"/>
      <c r="T91" s="223"/>
      <c r="U91" s="223"/>
      <c r="V91" s="223"/>
      <c r="W91" s="223"/>
      <c r="X91" s="223"/>
      <c r="Y91" s="223"/>
      <c r="Z91" s="223"/>
      <c r="AA91" s="223"/>
      <c r="AB91" s="223"/>
      <c r="AC91" s="223"/>
      <c r="AD91" s="223"/>
      <c r="AE91" s="223"/>
      <c r="AF91" s="223"/>
      <c r="AG91" s="223"/>
      <c r="AH91" s="223"/>
      <c r="AI91" s="223"/>
    </row>
    <row r="92" customFormat="false" ht="14.25" hidden="false" customHeight="false" outlineLevel="0" collapsed="false">
      <c r="J92" s="223"/>
      <c r="K92" s="223"/>
      <c r="L92" s="223"/>
      <c r="M92" s="223"/>
      <c r="N92" s="223"/>
      <c r="O92" s="223"/>
      <c r="P92" s="223"/>
      <c r="Q92" s="223"/>
      <c r="R92" s="223"/>
      <c r="S92" s="223"/>
      <c r="T92" s="223"/>
      <c r="U92" s="223"/>
      <c r="V92" s="223"/>
      <c r="W92" s="223"/>
      <c r="X92" s="223"/>
      <c r="Y92" s="223"/>
      <c r="Z92" s="223"/>
      <c r="AA92" s="223"/>
      <c r="AB92" s="223"/>
      <c r="AC92" s="223"/>
      <c r="AD92" s="223"/>
      <c r="AE92" s="223"/>
      <c r="AF92" s="223"/>
      <c r="AG92" s="223"/>
      <c r="AH92" s="223"/>
      <c r="AI92" s="223"/>
    </row>
    <row r="93" customFormat="false" ht="14.25" hidden="false" customHeight="false" outlineLevel="0" collapsed="false">
      <c r="J93" s="223"/>
      <c r="K93" s="223"/>
      <c r="L93" s="223"/>
      <c r="M93" s="223"/>
      <c r="N93" s="223"/>
      <c r="O93" s="223"/>
      <c r="P93" s="223"/>
      <c r="Q93" s="223"/>
      <c r="R93" s="223"/>
      <c r="S93" s="223"/>
      <c r="T93" s="223"/>
      <c r="U93" s="223"/>
      <c r="V93" s="223"/>
      <c r="W93" s="223"/>
      <c r="X93" s="223"/>
      <c r="Y93" s="223"/>
      <c r="Z93" s="223"/>
      <c r="AA93" s="223"/>
      <c r="AB93" s="223"/>
      <c r="AC93" s="223"/>
      <c r="AD93" s="223"/>
      <c r="AE93" s="223"/>
      <c r="AF93" s="223"/>
      <c r="AG93" s="223"/>
      <c r="AH93" s="223"/>
      <c r="AI93" s="223"/>
    </row>
    <row r="94" customFormat="false" ht="14.25" hidden="false" customHeight="false" outlineLevel="0" collapsed="false">
      <c r="J94" s="223"/>
      <c r="K94" s="223"/>
      <c r="L94" s="223"/>
      <c r="M94" s="223"/>
      <c r="N94" s="223"/>
      <c r="O94" s="223"/>
      <c r="P94" s="223"/>
      <c r="Q94" s="223"/>
      <c r="R94" s="223"/>
      <c r="S94" s="223"/>
      <c r="T94" s="223"/>
      <c r="U94" s="223"/>
      <c r="V94" s="223"/>
      <c r="W94" s="223"/>
      <c r="X94" s="223"/>
      <c r="Y94" s="223"/>
      <c r="Z94" s="223"/>
      <c r="AA94" s="223"/>
      <c r="AB94" s="223"/>
      <c r="AC94" s="223"/>
      <c r="AD94" s="223"/>
      <c r="AE94" s="223"/>
      <c r="AF94" s="223"/>
      <c r="AG94" s="223"/>
      <c r="AH94" s="223"/>
      <c r="AI94" s="223"/>
    </row>
    <row r="95" customFormat="false" ht="14.25" hidden="false" customHeight="false" outlineLevel="0" collapsed="false">
      <c r="J95" s="223"/>
      <c r="K95" s="223"/>
      <c r="L95" s="223"/>
      <c r="M95" s="223"/>
      <c r="N95" s="223"/>
      <c r="O95" s="223"/>
      <c r="P95" s="223"/>
      <c r="Q95" s="223"/>
      <c r="R95" s="223"/>
      <c r="S95" s="223"/>
      <c r="T95" s="223"/>
      <c r="U95" s="223"/>
      <c r="V95" s="223"/>
      <c r="W95" s="223"/>
      <c r="X95" s="223"/>
      <c r="Y95" s="223"/>
      <c r="Z95" s="223"/>
      <c r="AA95" s="223"/>
      <c r="AB95" s="223"/>
      <c r="AC95" s="223"/>
      <c r="AD95" s="223"/>
      <c r="AE95" s="223"/>
      <c r="AF95" s="223"/>
      <c r="AG95" s="223"/>
      <c r="AH95" s="223"/>
      <c r="AI95" s="223"/>
    </row>
    <row r="96" customFormat="false" ht="14.25" hidden="false" customHeight="false" outlineLevel="0" collapsed="false">
      <c r="J96" s="223"/>
      <c r="K96" s="223"/>
      <c r="L96" s="223"/>
      <c r="M96" s="223"/>
      <c r="N96" s="223"/>
      <c r="O96" s="223"/>
      <c r="P96" s="223"/>
      <c r="Q96" s="223"/>
      <c r="R96" s="223"/>
      <c r="S96" s="223"/>
      <c r="T96" s="223"/>
      <c r="U96" s="223"/>
      <c r="V96" s="223"/>
      <c r="W96" s="223"/>
      <c r="X96" s="223"/>
      <c r="Y96" s="223"/>
      <c r="Z96" s="223"/>
      <c r="AA96" s="223"/>
      <c r="AB96" s="223"/>
      <c r="AC96" s="223"/>
      <c r="AD96" s="223"/>
      <c r="AE96" s="223"/>
      <c r="AF96" s="223"/>
      <c r="AG96" s="223"/>
      <c r="AH96" s="223"/>
      <c r="AI96" s="223"/>
    </row>
    <row r="97" customFormat="false" ht="14.25" hidden="false" customHeight="false" outlineLevel="0" collapsed="false">
      <c r="J97" s="223"/>
      <c r="K97" s="223"/>
      <c r="L97" s="223"/>
      <c r="M97" s="223"/>
      <c r="N97" s="223"/>
      <c r="O97" s="223"/>
      <c r="P97" s="223"/>
      <c r="Q97" s="223"/>
      <c r="R97" s="223"/>
      <c r="S97" s="223"/>
      <c r="T97" s="223"/>
      <c r="U97" s="223"/>
      <c r="V97" s="223"/>
      <c r="W97" s="223"/>
      <c r="X97" s="223"/>
      <c r="Y97" s="223"/>
      <c r="Z97" s="223"/>
      <c r="AA97" s="223"/>
      <c r="AB97" s="223"/>
      <c r="AC97" s="223"/>
      <c r="AD97" s="223"/>
      <c r="AE97" s="223"/>
      <c r="AF97" s="223"/>
      <c r="AG97" s="223"/>
      <c r="AH97" s="223"/>
      <c r="AI97" s="223"/>
    </row>
    <row r="98" customFormat="false" ht="14.25" hidden="false" customHeight="false" outlineLevel="0" collapsed="false">
      <c r="J98" s="223"/>
      <c r="K98" s="223"/>
      <c r="L98" s="223"/>
      <c r="M98" s="223"/>
      <c r="N98" s="223"/>
      <c r="O98" s="223"/>
      <c r="P98" s="223"/>
      <c r="Q98" s="223"/>
      <c r="R98" s="223"/>
      <c r="S98" s="223"/>
      <c r="T98" s="223"/>
      <c r="U98" s="223"/>
      <c r="V98" s="223"/>
      <c r="W98" s="223"/>
      <c r="X98" s="223"/>
      <c r="Y98" s="223"/>
      <c r="Z98" s="223"/>
      <c r="AA98" s="223"/>
      <c r="AB98" s="223"/>
      <c r="AC98" s="223"/>
      <c r="AD98" s="223"/>
      <c r="AE98" s="223"/>
      <c r="AF98" s="223"/>
      <c r="AG98" s="223"/>
      <c r="AH98" s="223"/>
      <c r="AI98" s="223"/>
    </row>
    <row r="99" customFormat="false" ht="14.25" hidden="false" customHeight="false" outlineLevel="0" collapsed="false">
      <c r="J99" s="223"/>
      <c r="K99" s="223"/>
      <c r="L99" s="223"/>
      <c r="M99" s="223"/>
      <c r="N99" s="223"/>
      <c r="O99" s="223"/>
      <c r="P99" s="223"/>
      <c r="Q99" s="223"/>
      <c r="R99" s="223"/>
      <c r="S99" s="223"/>
      <c r="T99" s="223"/>
      <c r="U99" s="223"/>
      <c r="V99" s="223"/>
      <c r="W99" s="223"/>
      <c r="X99" s="223"/>
      <c r="Y99" s="223"/>
      <c r="Z99" s="223"/>
      <c r="AA99" s="223"/>
      <c r="AB99" s="223"/>
      <c r="AC99" s="223"/>
      <c r="AD99" s="223"/>
      <c r="AE99" s="223"/>
      <c r="AF99" s="223"/>
      <c r="AG99" s="223"/>
      <c r="AH99" s="223"/>
      <c r="AI99" s="223"/>
    </row>
    <row r="100" customFormat="false" ht="14.25" hidden="false" customHeight="false" outlineLevel="0" collapsed="false">
      <c r="J100" s="223"/>
      <c r="K100" s="223"/>
      <c r="L100" s="223"/>
      <c r="M100" s="223"/>
      <c r="N100" s="223"/>
      <c r="O100" s="223"/>
      <c r="P100" s="223"/>
      <c r="Q100" s="223"/>
      <c r="R100" s="223"/>
      <c r="S100" s="223"/>
      <c r="T100" s="223"/>
      <c r="U100" s="223"/>
      <c r="V100" s="223"/>
      <c r="W100" s="223"/>
      <c r="X100" s="223"/>
      <c r="Y100" s="223"/>
      <c r="Z100" s="223"/>
      <c r="AA100" s="223"/>
      <c r="AB100" s="223"/>
      <c r="AC100" s="223"/>
      <c r="AD100" s="223"/>
      <c r="AE100" s="223"/>
      <c r="AF100" s="223"/>
      <c r="AG100" s="223"/>
      <c r="AH100" s="223"/>
      <c r="AI100" s="223"/>
    </row>
    <row r="101" customFormat="false" ht="14.25" hidden="false" customHeight="false" outlineLevel="0" collapsed="false">
      <c r="J101" s="223"/>
      <c r="K101" s="223"/>
      <c r="L101" s="223"/>
      <c r="M101" s="223"/>
      <c r="N101" s="223"/>
      <c r="O101" s="223"/>
      <c r="P101" s="223"/>
      <c r="Q101" s="223"/>
      <c r="R101" s="223"/>
      <c r="S101" s="223"/>
      <c r="T101" s="223"/>
      <c r="U101" s="223"/>
      <c r="V101" s="223"/>
      <c r="W101" s="223"/>
      <c r="X101" s="223"/>
      <c r="Y101" s="223"/>
      <c r="Z101" s="223"/>
      <c r="AA101" s="223"/>
      <c r="AB101" s="223"/>
      <c r="AC101" s="223"/>
      <c r="AD101" s="223"/>
      <c r="AE101" s="223"/>
      <c r="AF101" s="223"/>
      <c r="AG101" s="223"/>
      <c r="AH101" s="223"/>
      <c r="AI101" s="223"/>
    </row>
    <row r="102" customFormat="false" ht="14.25" hidden="false" customHeight="false" outlineLevel="0" collapsed="false">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row>
    <row r="103" customFormat="false" ht="14.25" hidden="false" customHeight="false" outlineLevel="0" collapsed="false">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row>
    <row r="104" customFormat="false" ht="14.25" hidden="false" customHeight="false" outlineLevel="0" collapsed="false">
      <c r="J104" s="223"/>
      <c r="K104" s="223"/>
      <c r="L104" s="223"/>
      <c r="M104" s="223"/>
      <c r="N104" s="223"/>
      <c r="O104" s="223"/>
      <c r="P104" s="223"/>
      <c r="Q104" s="223"/>
      <c r="R104" s="223"/>
      <c r="S104" s="223"/>
      <c r="T104" s="223"/>
      <c r="U104" s="223"/>
      <c r="V104" s="223"/>
      <c r="W104" s="223"/>
      <c r="X104" s="223"/>
      <c r="Y104" s="223"/>
      <c r="Z104" s="223"/>
      <c r="AA104" s="223"/>
      <c r="AB104" s="223"/>
      <c r="AC104" s="223"/>
      <c r="AD104" s="223"/>
      <c r="AE104" s="223"/>
      <c r="AF104" s="223"/>
      <c r="AG104" s="223"/>
      <c r="AH104" s="223"/>
      <c r="AI104" s="223"/>
    </row>
    <row r="105" customFormat="false" ht="14.25" hidden="false" customHeight="false" outlineLevel="0" collapsed="false">
      <c r="J105" s="223"/>
      <c r="K105" s="223"/>
      <c r="L105" s="223"/>
      <c r="M105" s="223"/>
      <c r="N105" s="223"/>
      <c r="O105" s="223"/>
      <c r="P105" s="223"/>
      <c r="Q105" s="223"/>
      <c r="R105" s="223"/>
      <c r="S105" s="223"/>
      <c r="T105" s="223"/>
      <c r="U105" s="223"/>
      <c r="V105" s="223"/>
      <c r="W105" s="223"/>
      <c r="X105" s="223"/>
      <c r="Y105" s="223"/>
      <c r="Z105" s="223"/>
      <c r="AA105" s="223"/>
      <c r="AB105" s="223"/>
      <c r="AC105" s="223"/>
      <c r="AD105" s="223"/>
      <c r="AE105" s="223"/>
      <c r="AF105" s="223"/>
      <c r="AG105" s="223"/>
      <c r="AH105" s="223"/>
      <c r="AI105" s="223"/>
    </row>
    <row r="106" customFormat="false" ht="14.25" hidden="false" customHeight="false" outlineLevel="0" collapsed="false">
      <c r="I106" s="240"/>
      <c r="J106" s="241"/>
      <c r="K106" s="223"/>
      <c r="L106" s="223"/>
      <c r="M106" s="223"/>
      <c r="N106" s="223"/>
      <c r="O106" s="223"/>
      <c r="P106" s="223"/>
      <c r="Q106" s="223"/>
      <c r="R106" s="223"/>
      <c r="S106" s="223"/>
      <c r="T106" s="223"/>
      <c r="U106" s="223"/>
      <c r="V106" s="223"/>
      <c r="W106" s="223"/>
      <c r="X106" s="223"/>
      <c r="Y106" s="223"/>
      <c r="Z106" s="223"/>
      <c r="AA106" s="223"/>
      <c r="AB106" s="223"/>
      <c r="AC106" s="223"/>
      <c r="AD106" s="223"/>
      <c r="AE106" s="223"/>
      <c r="AF106" s="223"/>
      <c r="AG106" s="223"/>
      <c r="AH106" s="223"/>
      <c r="AI106" s="223"/>
    </row>
    <row r="107" customFormat="false" ht="14.25" hidden="false" customHeight="false" outlineLevel="0" collapsed="false">
      <c r="J107" s="223"/>
      <c r="K107" s="223"/>
      <c r="L107" s="223"/>
      <c r="M107" s="223"/>
      <c r="N107" s="223"/>
      <c r="O107" s="223"/>
      <c r="P107" s="223"/>
      <c r="Q107" s="223"/>
      <c r="R107" s="223"/>
      <c r="S107" s="223"/>
      <c r="T107" s="223"/>
      <c r="U107" s="223"/>
      <c r="V107" s="223"/>
      <c r="W107" s="223"/>
      <c r="X107" s="223"/>
      <c r="Y107" s="223"/>
      <c r="Z107" s="223"/>
      <c r="AA107" s="223"/>
      <c r="AB107" s="223"/>
      <c r="AC107" s="223"/>
      <c r="AD107" s="223"/>
      <c r="AE107" s="223"/>
      <c r="AF107" s="223"/>
      <c r="AG107" s="223"/>
      <c r="AH107" s="223"/>
      <c r="AI107" s="223"/>
    </row>
    <row r="108" customFormat="false" ht="14.25" hidden="false" customHeight="false" outlineLevel="0" collapsed="false">
      <c r="J108" s="223"/>
      <c r="K108" s="223"/>
      <c r="L108" s="223"/>
      <c r="M108" s="223"/>
      <c r="N108" s="223"/>
      <c r="O108" s="223"/>
      <c r="P108" s="223"/>
      <c r="Q108" s="223"/>
      <c r="R108" s="223"/>
      <c r="S108" s="223"/>
      <c r="T108" s="223"/>
      <c r="U108" s="223"/>
      <c r="V108" s="223"/>
      <c r="W108" s="223"/>
      <c r="X108" s="223"/>
      <c r="Y108" s="223"/>
      <c r="Z108" s="223"/>
      <c r="AA108" s="223"/>
      <c r="AB108" s="223"/>
      <c r="AC108" s="223"/>
      <c r="AD108" s="223"/>
      <c r="AE108" s="223"/>
      <c r="AF108" s="223"/>
      <c r="AG108" s="223"/>
      <c r="AH108" s="223"/>
      <c r="AI108" s="223"/>
    </row>
    <row r="109" customFormat="false" ht="14.25" hidden="false" customHeight="false" outlineLevel="0" collapsed="false">
      <c r="J109" s="223"/>
      <c r="K109" s="223"/>
      <c r="L109" s="223"/>
      <c r="M109" s="223"/>
      <c r="N109" s="223"/>
      <c r="O109" s="223"/>
      <c r="P109" s="223"/>
      <c r="Q109" s="223"/>
      <c r="R109" s="223"/>
      <c r="S109" s="223"/>
      <c r="T109" s="223"/>
      <c r="U109" s="223"/>
      <c r="V109" s="223"/>
      <c r="W109" s="223"/>
      <c r="X109" s="223"/>
      <c r="Y109" s="223"/>
      <c r="Z109" s="223"/>
      <c r="AA109" s="223"/>
      <c r="AB109" s="223"/>
      <c r="AC109" s="223"/>
      <c r="AD109" s="223"/>
      <c r="AE109" s="223"/>
      <c r="AF109" s="223"/>
      <c r="AG109" s="223"/>
      <c r="AH109" s="223"/>
      <c r="AI109" s="223"/>
    </row>
    <row r="110" customFormat="false" ht="14.25" hidden="false" customHeight="false" outlineLevel="0" collapsed="false">
      <c r="I110" s="240"/>
      <c r="J110" s="241"/>
      <c r="K110" s="223"/>
      <c r="L110" s="223"/>
      <c r="M110" s="223"/>
      <c r="N110" s="223"/>
      <c r="O110" s="223"/>
      <c r="P110" s="223"/>
      <c r="Q110" s="223"/>
      <c r="R110" s="223"/>
      <c r="S110" s="223"/>
      <c r="T110" s="223"/>
      <c r="U110" s="223"/>
      <c r="V110" s="223"/>
      <c r="W110" s="223"/>
      <c r="X110" s="223"/>
      <c r="Y110" s="223"/>
      <c r="Z110" s="223"/>
      <c r="AA110" s="223"/>
      <c r="AB110" s="223"/>
      <c r="AC110" s="223"/>
      <c r="AD110" s="223"/>
      <c r="AE110" s="223"/>
      <c r="AF110" s="223"/>
      <c r="AG110" s="223"/>
      <c r="AH110" s="223"/>
      <c r="AI110" s="223"/>
    </row>
    <row r="111" customFormat="false" ht="14.25" hidden="false" customHeight="false" outlineLevel="0" collapsed="false">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23"/>
      <c r="AF111" s="223"/>
      <c r="AG111" s="223"/>
      <c r="AH111" s="223"/>
      <c r="AI111" s="223"/>
    </row>
    <row r="112" customFormat="false" ht="14.25" hidden="false" customHeight="false" outlineLevel="0" collapsed="false">
      <c r="J112" s="223"/>
      <c r="K112" s="223"/>
      <c r="L112" s="223"/>
      <c r="M112" s="223"/>
      <c r="N112" s="223"/>
      <c r="O112" s="223"/>
      <c r="P112" s="223"/>
      <c r="Q112" s="223"/>
      <c r="R112" s="223"/>
      <c r="S112" s="223"/>
      <c r="T112" s="223"/>
      <c r="U112" s="223"/>
      <c r="V112" s="223"/>
      <c r="W112" s="223"/>
      <c r="X112" s="223"/>
      <c r="Y112" s="223"/>
      <c r="Z112" s="223"/>
      <c r="AA112" s="223"/>
      <c r="AB112" s="223"/>
      <c r="AC112" s="223"/>
      <c r="AD112" s="223"/>
      <c r="AE112" s="223"/>
      <c r="AF112" s="223"/>
      <c r="AG112" s="223"/>
      <c r="AH112" s="223"/>
      <c r="AI112" s="223"/>
    </row>
    <row r="113" customFormat="false" ht="14.25" hidden="false" customHeight="false" outlineLevel="0" collapsed="false">
      <c r="J113" s="223"/>
      <c r="K113" s="223"/>
      <c r="L113" s="223"/>
      <c r="M113" s="223"/>
      <c r="N113" s="223"/>
      <c r="O113" s="223"/>
      <c r="P113" s="223"/>
      <c r="Q113" s="223"/>
      <c r="R113" s="223"/>
      <c r="S113" s="223"/>
      <c r="T113" s="223"/>
      <c r="U113" s="223"/>
      <c r="V113" s="223"/>
      <c r="W113" s="223"/>
      <c r="X113" s="223"/>
      <c r="Y113" s="223"/>
      <c r="Z113" s="223"/>
      <c r="AA113" s="223"/>
      <c r="AB113" s="223"/>
      <c r="AC113" s="223"/>
      <c r="AD113" s="223"/>
      <c r="AE113" s="223"/>
      <c r="AF113" s="223"/>
      <c r="AG113" s="223"/>
      <c r="AH113" s="223"/>
      <c r="AI113" s="223"/>
    </row>
    <row r="114" customFormat="false" ht="14.25" hidden="false" customHeight="false" outlineLevel="0" collapsed="false">
      <c r="J114" s="223"/>
      <c r="K114" s="223"/>
      <c r="L114" s="223"/>
      <c r="M114" s="223"/>
      <c r="N114" s="223"/>
      <c r="O114" s="223"/>
      <c r="P114" s="223"/>
      <c r="Q114" s="223"/>
      <c r="R114" s="223"/>
      <c r="S114" s="223"/>
      <c r="T114" s="223"/>
      <c r="U114" s="223"/>
      <c r="V114" s="223"/>
      <c r="W114" s="223"/>
      <c r="X114" s="223"/>
      <c r="Y114" s="223"/>
      <c r="Z114" s="223"/>
      <c r="AA114" s="223"/>
      <c r="AB114" s="223"/>
      <c r="AC114" s="223"/>
      <c r="AD114" s="223"/>
      <c r="AE114" s="223"/>
      <c r="AF114" s="223"/>
      <c r="AG114" s="223"/>
      <c r="AH114" s="223"/>
      <c r="AI114" s="223"/>
    </row>
    <row r="115" customFormat="false" ht="14.25" hidden="false" customHeight="false" outlineLevel="0" collapsed="false">
      <c r="J115" s="223"/>
      <c r="K115" s="223"/>
      <c r="L115" s="223"/>
      <c r="M115" s="223"/>
      <c r="N115" s="223"/>
      <c r="O115" s="223"/>
      <c r="P115" s="223"/>
      <c r="Q115" s="223"/>
      <c r="R115" s="223"/>
      <c r="S115" s="223"/>
      <c r="T115" s="223"/>
      <c r="U115" s="223"/>
      <c r="V115" s="223"/>
      <c r="W115" s="223"/>
      <c r="X115" s="223"/>
      <c r="Y115" s="223"/>
      <c r="Z115" s="223"/>
      <c r="AA115" s="223"/>
      <c r="AB115" s="223"/>
      <c r="AC115" s="223"/>
      <c r="AD115" s="223"/>
      <c r="AE115" s="223"/>
      <c r="AF115" s="223"/>
      <c r="AG115" s="223"/>
      <c r="AH115" s="223"/>
      <c r="AI115" s="223"/>
    </row>
    <row r="116" customFormat="false" ht="14.25" hidden="false" customHeight="false" outlineLevel="0" collapsed="false">
      <c r="J116" s="223"/>
      <c r="K116" s="223"/>
      <c r="L116" s="223"/>
      <c r="M116" s="223"/>
      <c r="N116" s="223"/>
      <c r="O116" s="223"/>
      <c r="P116" s="223"/>
      <c r="Q116" s="223"/>
      <c r="R116" s="223"/>
      <c r="S116" s="223"/>
      <c r="T116" s="223"/>
      <c r="U116" s="223"/>
      <c r="V116" s="223"/>
      <c r="W116" s="223"/>
      <c r="X116" s="223"/>
      <c r="Y116" s="223"/>
      <c r="Z116" s="223"/>
      <c r="AA116" s="223"/>
      <c r="AB116" s="223"/>
      <c r="AC116" s="223"/>
      <c r="AD116" s="223"/>
      <c r="AE116" s="223"/>
      <c r="AF116" s="223"/>
      <c r="AG116" s="223"/>
      <c r="AH116" s="223"/>
      <c r="AI116" s="223"/>
    </row>
    <row r="117" customFormat="false" ht="14.25" hidden="false" customHeight="false" outlineLevel="0" collapsed="false">
      <c r="J117" s="223"/>
      <c r="K117" s="223"/>
      <c r="L117" s="223"/>
      <c r="M117" s="223"/>
      <c r="N117" s="223"/>
      <c r="O117" s="223"/>
      <c r="P117" s="223"/>
      <c r="Q117" s="223"/>
      <c r="R117" s="223"/>
      <c r="S117" s="223"/>
      <c r="T117" s="223"/>
      <c r="U117" s="223"/>
      <c r="V117" s="223"/>
      <c r="W117" s="223"/>
      <c r="X117" s="223"/>
      <c r="Y117" s="223"/>
      <c r="Z117" s="223"/>
      <c r="AA117" s="223"/>
      <c r="AB117" s="223"/>
      <c r="AC117" s="223"/>
      <c r="AD117" s="223"/>
      <c r="AE117" s="223"/>
      <c r="AF117" s="223"/>
      <c r="AG117" s="223"/>
      <c r="AH117" s="223"/>
      <c r="AI117" s="223"/>
    </row>
    <row r="118" customFormat="false" ht="14.25" hidden="false" customHeight="false" outlineLevel="0" collapsed="false">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23"/>
      <c r="AF118" s="223"/>
      <c r="AG118" s="223"/>
      <c r="AH118" s="223"/>
      <c r="AI118" s="223"/>
    </row>
    <row r="119" customFormat="false" ht="14.25" hidden="false" customHeight="false" outlineLevel="0" collapsed="false">
      <c r="J119" s="223"/>
      <c r="K119" s="223"/>
      <c r="L119" s="223"/>
      <c r="M119" s="223"/>
      <c r="N119" s="223"/>
      <c r="O119" s="223"/>
      <c r="P119" s="223"/>
      <c r="Q119" s="223"/>
      <c r="R119" s="223"/>
      <c r="S119" s="223"/>
      <c r="T119" s="223"/>
      <c r="U119" s="223"/>
      <c r="V119" s="223"/>
      <c r="W119" s="223"/>
      <c r="X119" s="223"/>
      <c r="Y119" s="223"/>
      <c r="Z119" s="223"/>
      <c r="AA119" s="223"/>
      <c r="AB119" s="223"/>
      <c r="AC119" s="223"/>
      <c r="AD119" s="223"/>
      <c r="AE119" s="223"/>
      <c r="AF119" s="223"/>
      <c r="AG119" s="223"/>
      <c r="AH119" s="223"/>
      <c r="AI119" s="223"/>
    </row>
    <row r="120" customFormat="false" ht="14.25" hidden="false" customHeight="false" outlineLevel="0" collapsed="false">
      <c r="J120" s="223"/>
      <c r="K120" s="223"/>
      <c r="L120" s="223"/>
      <c r="M120" s="223"/>
      <c r="N120" s="223"/>
      <c r="O120" s="223"/>
      <c r="P120" s="223"/>
      <c r="Q120" s="223"/>
      <c r="R120" s="223"/>
      <c r="S120" s="223"/>
      <c r="T120" s="223"/>
      <c r="U120" s="223"/>
      <c r="V120" s="223"/>
      <c r="W120" s="223"/>
      <c r="X120" s="223"/>
      <c r="Y120" s="223"/>
      <c r="Z120" s="223"/>
      <c r="AA120" s="223"/>
      <c r="AB120" s="223"/>
      <c r="AC120" s="223"/>
      <c r="AD120" s="223"/>
      <c r="AE120" s="223"/>
      <c r="AF120" s="223"/>
      <c r="AG120" s="223"/>
      <c r="AH120" s="223"/>
      <c r="AI120" s="223"/>
    </row>
    <row r="121" customFormat="false" ht="14.25" hidden="false" customHeight="false" outlineLevel="0" collapsed="false">
      <c r="J121" s="223"/>
      <c r="K121" s="223"/>
      <c r="L121" s="223"/>
      <c r="M121" s="223"/>
      <c r="N121" s="223"/>
      <c r="O121" s="223"/>
      <c r="P121" s="223"/>
      <c r="Q121" s="223"/>
      <c r="R121" s="223"/>
      <c r="S121" s="223"/>
      <c r="T121" s="223"/>
      <c r="U121" s="223"/>
      <c r="V121" s="223"/>
      <c r="W121" s="223"/>
      <c r="X121" s="223"/>
      <c r="Y121" s="223"/>
      <c r="Z121" s="223"/>
      <c r="AA121" s="223"/>
      <c r="AB121" s="223"/>
      <c r="AC121" s="223"/>
      <c r="AD121" s="223"/>
      <c r="AE121" s="223"/>
      <c r="AF121" s="223"/>
      <c r="AG121" s="223"/>
      <c r="AH121" s="223"/>
      <c r="AI121" s="223"/>
    </row>
    <row r="122" customFormat="false" ht="14.25" hidden="false" customHeight="false" outlineLevel="0" collapsed="false">
      <c r="J122" s="223"/>
      <c r="K122" s="223"/>
      <c r="L122" s="223"/>
      <c r="M122" s="223"/>
      <c r="N122" s="223"/>
      <c r="O122" s="223"/>
      <c r="P122" s="223"/>
      <c r="Q122" s="223"/>
      <c r="R122" s="223"/>
      <c r="S122" s="223"/>
      <c r="T122" s="223"/>
      <c r="U122" s="223"/>
      <c r="V122" s="223"/>
      <c r="W122" s="223"/>
      <c r="X122" s="223"/>
      <c r="Y122" s="223"/>
      <c r="Z122" s="223"/>
      <c r="AA122" s="223"/>
      <c r="AB122" s="223"/>
      <c r="AC122" s="223"/>
      <c r="AD122" s="223"/>
      <c r="AE122" s="223"/>
      <c r="AF122" s="223"/>
      <c r="AG122" s="223"/>
      <c r="AH122" s="223"/>
      <c r="AI122" s="223"/>
    </row>
    <row r="123" customFormat="false" ht="14.25" hidden="false" customHeight="false" outlineLevel="0" collapsed="false">
      <c r="J123" s="223"/>
      <c r="K123" s="223"/>
      <c r="L123" s="223"/>
      <c r="M123" s="223"/>
      <c r="N123" s="223"/>
      <c r="O123" s="223"/>
      <c r="P123" s="223"/>
      <c r="Q123" s="223"/>
      <c r="R123" s="223"/>
      <c r="S123" s="223"/>
      <c r="T123" s="223"/>
      <c r="U123" s="223"/>
      <c r="V123" s="223"/>
      <c r="W123" s="223"/>
      <c r="X123" s="223"/>
      <c r="Y123" s="223"/>
      <c r="Z123" s="223"/>
      <c r="AA123" s="223"/>
      <c r="AB123" s="223"/>
      <c r="AC123" s="223"/>
      <c r="AD123" s="223"/>
      <c r="AE123" s="223"/>
      <c r="AF123" s="223"/>
      <c r="AG123" s="223"/>
      <c r="AH123" s="223"/>
      <c r="AI123" s="223"/>
    </row>
    <row r="124" customFormat="false" ht="14.25" hidden="false" customHeight="false" outlineLevel="0" collapsed="false">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23"/>
      <c r="AF124" s="223"/>
      <c r="AG124" s="223"/>
      <c r="AH124" s="223"/>
      <c r="AI124" s="223"/>
    </row>
    <row r="125" customFormat="false" ht="14.25" hidden="false" customHeight="false" outlineLevel="0" collapsed="false">
      <c r="J125" s="223"/>
      <c r="K125" s="223"/>
      <c r="L125" s="223"/>
      <c r="M125" s="223"/>
      <c r="N125" s="223"/>
      <c r="O125" s="223"/>
      <c r="P125" s="223"/>
      <c r="Q125" s="223"/>
      <c r="R125" s="223"/>
      <c r="S125" s="223"/>
      <c r="T125" s="223"/>
      <c r="U125" s="223"/>
      <c r="V125" s="223"/>
      <c r="W125" s="223"/>
      <c r="X125" s="223"/>
      <c r="Y125" s="223"/>
      <c r="Z125" s="223"/>
      <c r="AA125" s="223"/>
      <c r="AB125" s="223"/>
      <c r="AC125" s="223"/>
      <c r="AD125" s="223"/>
      <c r="AE125" s="223"/>
      <c r="AF125" s="223"/>
      <c r="AG125" s="223"/>
      <c r="AH125" s="223"/>
      <c r="AI125" s="223"/>
    </row>
    <row r="126" customFormat="false" ht="14.25" hidden="false" customHeight="false" outlineLevel="0" collapsed="false">
      <c r="J126" s="223"/>
      <c r="K126" s="223"/>
      <c r="L126" s="223"/>
      <c r="M126" s="223"/>
      <c r="N126" s="223"/>
      <c r="O126" s="223"/>
      <c r="P126" s="223"/>
      <c r="Q126" s="223"/>
      <c r="R126" s="223"/>
      <c r="S126" s="223"/>
      <c r="T126" s="223"/>
      <c r="U126" s="223"/>
      <c r="V126" s="223"/>
      <c r="W126" s="223"/>
      <c r="X126" s="223"/>
      <c r="Y126" s="223"/>
      <c r="Z126" s="223"/>
      <c r="AA126" s="223"/>
      <c r="AB126" s="223"/>
      <c r="AC126" s="223"/>
      <c r="AD126" s="223"/>
      <c r="AE126" s="223"/>
      <c r="AF126" s="223"/>
      <c r="AG126" s="223"/>
      <c r="AH126" s="223"/>
      <c r="AI126" s="223"/>
    </row>
    <row r="127" customFormat="false" ht="14.25" hidden="false" customHeight="false" outlineLevel="0" collapsed="false">
      <c r="J127" s="223"/>
      <c r="K127" s="223"/>
      <c r="L127" s="223"/>
      <c r="M127" s="223"/>
      <c r="N127" s="223"/>
      <c r="O127" s="223"/>
      <c r="P127" s="223"/>
      <c r="Q127" s="223"/>
      <c r="R127" s="223"/>
      <c r="S127" s="223"/>
      <c r="T127" s="223"/>
      <c r="U127" s="223"/>
      <c r="V127" s="223"/>
      <c r="W127" s="223"/>
      <c r="X127" s="223"/>
      <c r="Y127" s="223"/>
      <c r="Z127" s="223"/>
      <c r="AA127" s="223"/>
      <c r="AB127" s="223"/>
      <c r="AC127" s="223"/>
      <c r="AD127" s="223"/>
      <c r="AE127" s="223"/>
      <c r="AF127" s="223"/>
      <c r="AG127" s="223"/>
      <c r="AH127" s="223"/>
      <c r="AI127" s="223"/>
    </row>
    <row r="128" customFormat="false" ht="14.25" hidden="false" customHeight="false" outlineLevel="0" collapsed="false">
      <c r="J128" s="223"/>
      <c r="K128" s="223"/>
      <c r="L128" s="223"/>
      <c r="M128" s="223"/>
      <c r="N128" s="223"/>
      <c r="O128" s="223"/>
      <c r="P128" s="223"/>
      <c r="Q128" s="223"/>
      <c r="R128" s="223"/>
      <c r="S128" s="223"/>
      <c r="T128" s="223"/>
      <c r="U128" s="223"/>
      <c r="V128" s="223"/>
      <c r="W128" s="223"/>
      <c r="X128" s="223"/>
      <c r="Y128" s="223"/>
      <c r="Z128" s="223"/>
      <c r="AA128" s="223"/>
      <c r="AB128" s="223"/>
      <c r="AC128" s="223"/>
      <c r="AD128" s="223"/>
      <c r="AE128" s="223"/>
      <c r="AF128" s="223"/>
      <c r="AG128" s="223"/>
      <c r="AH128" s="223"/>
      <c r="AI128" s="223"/>
    </row>
  </sheetData>
  <mergeCells count="7">
    <mergeCell ref="A4:C4"/>
    <mergeCell ref="A6:C6"/>
    <mergeCell ref="A7:C7"/>
    <mergeCell ref="A8:C8"/>
    <mergeCell ref="A9:C9"/>
    <mergeCell ref="A10:C10"/>
    <mergeCell ref="A11:C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ColWidth="9.14453125" defaultRowHeight="14.25" zeroHeight="false" outlineLevelRow="0" outlineLevelCol="0"/>
  <cols>
    <col collapsed="false" customWidth="true" hidden="false" outlineLevel="0" max="1" min="1" style="1" width="17.43"/>
    <col collapsed="false" customWidth="true" hidden="false" outlineLevel="0" max="2" min="2" style="1" width="11.15"/>
    <col collapsed="false" customWidth="true" hidden="false" outlineLevel="0" max="3" min="3" style="1" width="33"/>
    <col collapsed="false" customWidth="true" hidden="false" outlineLevel="0" max="4" min="4" style="1" width="17.14"/>
    <col collapsed="false" customWidth="true" hidden="false" outlineLevel="0" max="5" min="5" style="1" width="14.14"/>
    <col collapsed="false" customWidth="false" hidden="false" outlineLevel="0" max="6" min="6" style="1" width="9.14"/>
    <col collapsed="false" customWidth="true" hidden="false" outlineLevel="0" max="7" min="7" style="1" width="11.43"/>
    <col collapsed="false" customWidth="false" hidden="false" outlineLevel="0" max="16384" min="8" style="1" width="9.14"/>
  </cols>
  <sheetData>
    <row r="1" s="6" customFormat="true" ht="20.25" hidden="false" customHeight="true" outlineLevel="0" collapsed="false">
      <c r="A1" s="120"/>
      <c r="B1" s="120"/>
    </row>
    <row r="2" s="6" customFormat="true" ht="20.25" hidden="false" customHeight="true" outlineLevel="0" collapsed="false">
      <c r="A2" s="24" t="s">
        <v>545</v>
      </c>
      <c r="B2" s="24"/>
      <c r="C2" s="24"/>
      <c r="D2" s="24"/>
      <c r="E2" s="24"/>
    </row>
    <row r="4" customFormat="false" ht="15" hidden="false" customHeight="true" outlineLevel="0" collapsed="false">
      <c r="A4" s="460" t="s">
        <v>586</v>
      </c>
      <c r="B4" s="461" t="s">
        <v>897</v>
      </c>
      <c r="C4" s="461"/>
      <c r="D4" s="461"/>
      <c r="E4" s="460" t="s">
        <v>655</v>
      </c>
      <c r="G4" s="126" t="s">
        <v>628</v>
      </c>
    </row>
    <row r="5" customFormat="false" ht="15" hidden="false" customHeight="true" outlineLevel="0" collapsed="false">
      <c r="A5" s="462"/>
      <c r="B5" s="251"/>
      <c r="C5" s="251"/>
      <c r="D5" s="251"/>
      <c r="E5" s="464"/>
    </row>
    <row r="6" customFormat="false" ht="15" hidden="false" customHeight="true" outlineLevel="0" collapsed="false">
      <c r="A6" s="465"/>
      <c r="B6" s="251"/>
      <c r="C6" s="251"/>
      <c r="D6" s="251"/>
      <c r="E6" s="252"/>
    </row>
    <row r="7" customFormat="false" ht="15" hidden="false" customHeight="true" outlineLevel="0" collapsed="false">
      <c r="A7" s="465"/>
      <c r="B7" s="251"/>
      <c r="C7" s="251"/>
      <c r="D7" s="251"/>
      <c r="E7" s="252"/>
    </row>
    <row r="8" customFormat="false" ht="15" hidden="false" customHeight="true" outlineLevel="0" collapsed="false">
      <c r="A8" s="465"/>
      <c r="B8" s="251"/>
      <c r="C8" s="251"/>
      <c r="D8" s="251"/>
      <c r="E8" s="252"/>
    </row>
    <row r="9" customFormat="false" ht="15" hidden="false" customHeight="true" outlineLevel="0" collapsed="false">
      <c r="A9" s="465"/>
      <c r="B9" s="251"/>
      <c r="C9" s="251"/>
      <c r="D9" s="251"/>
      <c r="E9" s="252"/>
    </row>
    <row r="10" customFormat="false" ht="15" hidden="false" customHeight="true" outlineLevel="0" collapsed="false">
      <c r="A10" s="465"/>
      <c r="B10" s="251"/>
      <c r="C10" s="251"/>
      <c r="D10" s="251"/>
      <c r="E10" s="252"/>
    </row>
    <row r="11" customFormat="false" ht="15" hidden="false" customHeight="true" outlineLevel="0" collapsed="false">
      <c r="A11" s="465"/>
      <c r="B11" s="251"/>
      <c r="C11" s="251"/>
      <c r="D11" s="251"/>
      <c r="E11" s="466"/>
    </row>
    <row r="12" customFormat="false" ht="15" hidden="false" customHeight="true" outlineLevel="0" collapsed="false">
      <c r="A12" s="465"/>
      <c r="B12" s="251"/>
      <c r="C12" s="251"/>
      <c r="D12" s="251"/>
      <c r="E12" s="252"/>
    </row>
    <row r="13" customFormat="false" ht="15" hidden="false" customHeight="true" outlineLevel="0" collapsed="false">
      <c r="A13" s="465"/>
      <c r="B13" s="251"/>
      <c r="C13" s="251"/>
      <c r="D13" s="251"/>
      <c r="E13" s="252"/>
    </row>
    <row r="14" customFormat="false" ht="15" hidden="false" customHeight="true" outlineLevel="0" collapsed="false">
      <c r="A14" s="465"/>
      <c r="B14" s="251"/>
      <c r="C14" s="251"/>
      <c r="D14" s="251"/>
      <c r="E14" s="252"/>
    </row>
    <row r="15" customFormat="false" ht="15" hidden="false" customHeight="true" outlineLevel="0" collapsed="false">
      <c r="A15" s="465"/>
      <c r="B15" s="251"/>
      <c r="C15" s="251"/>
      <c r="D15" s="251"/>
      <c r="E15" s="252"/>
    </row>
    <row r="16" customFormat="false" ht="15" hidden="false" customHeight="true" outlineLevel="0" collapsed="false">
      <c r="A16" s="467"/>
      <c r="B16" s="254"/>
      <c r="C16" s="254"/>
      <c r="D16" s="254"/>
      <c r="E16" s="255"/>
    </row>
    <row r="17" customFormat="false" ht="15" hidden="false" customHeight="true" outlineLevel="0" collapsed="false">
      <c r="A17" s="460"/>
      <c r="B17" s="461" t="s">
        <v>496</v>
      </c>
      <c r="C17" s="461"/>
      <c r="D17" s="461"/>
      <c r="E17" s="565" t="n">
        <f aca="false">SUM(E5:E16)</f>
        <v>0</v>
      </c>
    </row>
    <row r="19" customFormat="false" ht="14.25" hidden="false" customHeight="false" outlineLevel="0" collapsed="false">
      <c r="C19" s="207" t="s">
        <v>659</v>
      </c>
      <c r="D19" s="208"/>
      <c r="E19" s="209" t="n">
        <f aca="false">E17</f>
        <v>0</v>
      </c>
      <c r="F19" s="217"/>
      <c r="G19" s="223"/>
      <c r="H19" s="223"/>
    </row>
    <row r="20" customFormat="false" ht="14.25" hidden="false" customHeight="false" outlineLevel="0" collapsed="false">
      <c r="C20" s="210" t="s">
        <v>660</v>
      </c>
      <c r="D20" s="211"/>
      <c r="E20" s="566" t="n">
        <f aca="false">DSH!E35</f>
        <v>0</v>
      </c>
      <c r="F20" s="567"/>
      <c r="G20" s="223"/>
      <c r="H20" s="223"/>
    </row>
    <row r="21" customFormat="false" ht="14.25" hidden="false" customHeight="false" outlineLevel="0" collapsed="false">
      <c r="C21" s="213" t="s">
        <v>591</v>
      </c>
      <c r="D21" s="214"/>
      <c r="E21" s="215" t="n">
        <f aca="false">IFERROR(VALUE(E19) - VALUE(E20), 0)</f>
        <v>0</v>
      </c>
      <c r="F21" s="217"/>
      <c r="G21" s="223"/>
      <c r="H21" s="223"/>
    </row>
    <row r="106" customFormat="false" ht="14.25" hidden="false" customHeight="false" outlineLevel="0" collapsed="false">
      <c r="I106" s="336"/>
      <c r="J106" s="336"/>
    </row>
    <row r="110" customFormat="false" ht="14.25" hidden="false" customHeight="false" outlineLevel="0" collapsed="false">
      <c r="I110" s="336"/>
      <c r="J110" s="336"/>
    </row>
  </sheetData>
  <mergeCells count="15">
    <mergeCell ref="A2:E2"/>
    <mergeCell ref="B4:D4"/>
    <mergeCell ref="B5:D5"/>
    <mergeCell ref="B6:D6"/>
    <mergeCell ref="B7:D7"/>
    <mergeCell ref="B8:D8"/>
    <mergeCell ref="B9:D9"/>
    <mergeCell ref="B10:D10"/>
    <mergeCell ref="B11:D11"/>
    <mergeCell ref="B12:D12"/>
    <mergeCell ref="B13:D13"/>
    <mergeCell ref="B14:D14"/>
    <mergeCell ref="B15:D15"/>
    <mergeCell ref="B16:D16"/>
    <mergeCell ref="B17:D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J6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9" activeCellId="0" sqref="J19"/>
    </sheetView>
  </sheetViews>
  <sheetFormatPr defaultColWidth="9.14453125" defaultRowHeight="14.25" zeroHeight="false" outlineLevelRow="0" outlineLevelCol="0"/>
  <cols>
    <col collapsed="false" customWidth="true" hidden="false" outlineLevel="0" max="2" min="1" style="1" width="21.86"/>
    <col collapsed="false" customWidth="false" hidden="false" outlineLevel="0" max="4" min="3" style="1" width="9.14"/>
    <col collapsed="false" customWidth="true" hidden="false" outlineLevel="0" max="5" min="5" style="1" width="4.57"/>
    <col collapsed="false" customWidth="true" hidden="false" outlineLevel="0" max="6" min="6" style="1" width="14.14"/>
    <col collapsed="false" customWidth="true" hidden="false" outlineLevel="0" max="7" min="7" style="1" width="14.43"/>
    <col collapsed="false" customWidth="true" hidden="false" outlineLevel="0" max="8" min="8" style="1" width="14.57"/>
    <col collapsed="false" customWidth="false" hidden="false" outlineLevel="0" max="9" min="9" style="8" width="9.14"/>
    <col collapsed="false" customWidth="true" hidden="false" outlineLevel="0" max="10" min="10" style="1" width="10.57"/>
    <col collapsed="false" customWidth="false" hidden="false" outlineLevel="0" max="16384" min="11" style="1" width="9.14"/>
  </cols>
  <sheetData>
    <row r="1" s="6" customFormat="true" ht="20.25" hidden="false" customHeight="true" outlineLevel="0" collapsed="false">
      <c r="A1" s="120"/>
      <c r="B1" s="120"/>
      <c r="I1" s="26"/>
    </row>
    <row r="2" s="6" customFormat="true" ht="20.25" hidden="false" customHeight="true" outlineLevel="0" collapsed="false">
      <c r="A2" s="24" t="s">
        <v>547</v>
      </c>
      <c r="B2" s="24"/>
      <c r="C2" s="24"/>
      <c r="D2" s="24"/>
      <c r="E2" s="24"/>
      <c r="F2" s="24"/>
      <c r="G2" s="24"/>
      <c r="H2" s="24"/>
      <c r="I2" s="26"/>
    </row>
    <row r="3" customFormat="false" ht="15" hidden="false" customHeight="true" outlineLevel="0" collapsed="false">
      <c r="A3" s="28"/>
      <c r="B3" s="28"/>
    </row>
    <row r="4" customFormat="false" ht="15" hidden="false" customHeight="true" outlineLevel="0" collapsed="false">
      <c r="A4" s="1" t="s">
        <v>898</v>
      </c>
      <c r="B4" s="242"/>
      <c r="C4" s="568" t="s">
        <v>899</v>
      </c>
      <c r="D4" s="568"/>
      <c r="E4" s="568"/>
      <c r="F4" s="568"/>
      <c r="G4" s="568"/>
    </row>
    <row r="5" customFormat="false" ht="15" hidden="false" customHeight="true" outlineLevel="0" collapsed="false">
      <c r="A5" s="569" t="s">
        <v>900</v>
      </c>
      <c r="B5" s="569"/>
      <c r="C5" s="569"/>
      <c r="D5" s="569"/>
      <c r="E5" s="570" t="s">
        <v>654</v>
      </c>
      <c r="F5" s="571" t="s">
        <v>706</v>
      </c>
      <c r="G5" s="572" t="s">
        <v>707</v>
      </c>
      <c r="H5" s="572" t="s">
        <v>16</v>
      </c>
      <c r="J5" s="126" t="s">
        <v>628</v>
      </c>
    </row>
    <row r="6" customFormat="false" ht="15" hidden="false" customHeight="true" outlineLevel="0" collapsed="false">
      <c r="A6" s="573"/>
      <c r="B6" s="574"/>
      <c r="C6" s="575"/>
      <c r="D6" s="575"/>
      <c r="E6" s="576"/>
      <c r="F6" s="577" t="s">
        <v>901</v>
      </c>
      <c r="G6" s="577"/>
      <c r="H6" s="577"/>
    </row>
    <row r="7" customFormat="false" ht="15" hidden="false" customHeight="true" outlineLevel="0" collapsed="false">
      <c r="A7" s="578" t="s">
        <v>902</v>
      </c>
      <c r="B7" s="578"/>
      <c r="C7" s="578"/>
      <c r="D7" s="578"/>
      <c r="E7" s="579"/>
      <c r="F7" s="580"/>
      <c r="G7" s="580" t="n">
        <f aca="false">-DSH!I116</f>
        <v>510985.97</v>
      </c>
      <c r="H7" s="581" t="n">
        <f aca="false">F7-G7</f>
        <v>-510985.97</v>
      </c>
    </row>
    <row r="8" customFormat="false" ht="14.25" hidden="false" customHeight="false" outlineLevel="0" collapsed="false">
      <c r="A8" s="578"/>
      <c r="B8" s="579"/>
      <c r="C8" s="579"/>
      <c r="D8" s="579"/>
      <c r="E8" s="579"/>
      <c r="F8" s="192"/>
      <c r="G8" s="192"/>
      <c r="H8" s="582"/>
    </row>
    <row r="9" customFormat="false" ht="14.25" hidden="false" customHeight="false" outlineLevel="0" collapsed="false">
      <c r="A9" s="578" t="s">
        <v>903</v>
      </c>
      <c r="B9" s="579"/>
      <c r="C9" s="579"/>
      <c r="D9" s="579"/>
      <c r="E9" s="579"/>
      <c r="F9" s="579"/>
      <c r="G9" s="579"/>
      <c r="H9" s="583"/>
    </row>
    <row r="10" customFormat="false" ht="15" hidden="false" customHeight="true" outlineLevel="0" collapsed="false">
      <c r="A10" s="578"/>
      <c r="B10" s="578"/>
      <c r="C10" s="578"/>
      <c r="D10" s="578"/>
      <c r="E10" s="579"/>
      <c r="F10" s="579"/>
      <c r="G10" s="579"/>
      <c r="H10" s="582"/>
    </row>
    <row r="11" customFormat="false" ht="15" hidden="false" customHeight="true" outlineLevel="0" collapsed="false">
      <c r="A11" s="578" t="s">
        <v>904</v>
      </c>
      <c r="B11" s="578"/>
      <c r="C11" s="578"/>
      <c r="D11" s="578"/>
      <c r="E11" s="584"/>
      <c r="F11" s="579"/>
      <c r="G11" s="580"/>
      <c r="H11" s="582"/>
    </row>
    <row r="12" customFormat="false" ht="15" hidden="false" customHeight="true" outlineLevel="0" collapsed="false">
      <c r="A12" s="578" t="s">
        <v>905</v>
      </c>
      <c r="B12" s="585"/>
      <c r="C12" s="585"/>
      <c r="D12" s="586"/>
      <c r="E12" s="579"/>
      <c r="F12" s="579"/>
      <c r="G12" s="580" t="n">
        <v>100317.77</v>
      </c>
      <c r="H12" s="582"/>
    </row>
    <row r="13" customFormat="false" ht="15" hidden="false" customHeight="true" outlineLevel="0" collapsed="false">
      <c r="A13" s="578" t="s">
        <v>906</v>
      </c>
      <c r="B13" s="578"/>
      <c r="C13" s="578"/>
      <c r="D13" s="578"/>
      <c r="E13" s="579"/>
      <c r="F13" s="579"/>
      <c r="G13" s="580" t="n">
        <v>0</v>
      </c>
      <c r="H13" s="582"/>
    </row>
    <row r="14" customFormat="false" ht="15" hidden="false" customHeight="true" outlineLevel="0" collapsed="false">
      <c r="A14" s="578"/>
      <c r="B14" s="578"/>
      <c r="C14" s="578"/>
      <c r="D14" s="578"/>
      <c r="E14" s="579"/>
      <c r="F14" s="579"/>
      <c r="G14" s="580"/>
      <c r="H14" s="582"/>
    </row>
    <row r="15" customFormat="false" ht="15" hidden="false" customHeight="true" outlineLevel="0" collapsed="false">
      <c r="A15" s="578"/>
      <c r="B15" s="578"/>
      <c r="C15" s="578"/>
      <c r="D15" s="578"/>
      <c r="E15" s="579"/>
      <c r="F15" s="579"/>
      <c r="G15" s="580"/>
      <c r="H15" s="582"/>
    </row>
    <row r="16" customFormat="false" ht="15" hidden="false" customHeight="true" outlineLevel="0" collapsed="false">
      <c r="A16" s="578"/>
      <c r="B16" s="578"/>
      <c r="C16" s="578"/>
      <c r="D16" s="578"/>
      <c r="E16" s="579"/>
      <c r="F16" s="579"/>
      <c r="G16" s="580"/>
      <c r="H16" s="582"/>
    </row>
    <row r="17" customFormat="false" ht="15" hidden="false" customHeight="true" outlineLevel="0" collapsed="false">
      <c r="A17" s="578"/>
      <c r="B17" s="578"/>
      <c r="C17" s="578"/>
      <c r="D17" s="578"/>
      <c r="E17" s="579"/>
      <c r="F17" s="579"/>
      <c r="G17" s="580"/>
      <c r="H17" s="582"/>
    </row>
    <row r="18" customFormat="false" ht="15" hidden="false" customHeight="true" outlineLevel="0" collapsed="false">
      <c r="A18" s="578"/>
      <c r="B18" s="578"/>
      <c r="C18" s="578"/>
      <c r="D18" s="578"/>
      <c r="E18" s="579"/>
      <c r="F18" s="579"/>
      <c r="G18" s="580"/>
      <c r="H18" s="582"/>
    </row>
    <row r="19" customFormat="false" ht="15" hidden="false" customHeight="true" outlineLevel="0" collapsed="false">
      <c r="A19" s="578"/>
      <c r="B19" s="578"/>
      <c r="C19" s="578"/>
      <c r="D19" s="578"/>
      <c r="E19" s="579"/>
      <c r="F19" s="579"/>
      <c r="G19" s="580"/>
      <c r="H19" s="582"/>
    </row>
    <row r="20" customFormat="false" ht="15" hidden="false" customHeight="true" outlineLevel="0" collapsed="false">
      <c r="A20" s="578"/>
      <c r="B20" s="578"/>
      <c r="C20" s="578"/>
      <c r="D20" s="578"/>
      <c r="E20" s="579"/>
      <c r="F20" s="579"/>
      <c r="G20" s="580"/>
      <c r="H20" s="582"/>
    </row>
    <row r="21" customFormat="false" ht="15" hidden="false" customHeight="true" outlineLevel="0" collapsed="false">
      <c r="A21" s="578" t="s">
        <v>907</v>
      </c>
      <c r="B21" s="578"/>
      <c r="C21" s="578"/>
      <c r="D21" s="578"/>
      <c r="E21" s="579"/>
      <c r="F21" s="587"/>
      <c r="G21" s="588" t="n">
        <f aca="false">SUM(G11:G20)</f>
        <v>100317.77</v>
      </c>
      <c r="H21" s="581" t="n">
        <f aca="false">H7-G21</f>
        <v>-611303.74</v>
      </c>
    </row>
    <row r="22" customFormat="false" ht="15" hidden="false" customHeight="true" outlineLevel="0" collapsed="false">
      <c r="A22" s="578" t="s">
        <v>908</v>
      </c>
      <c r="B22" s="578"/>
      <c r="C22" s="578"/>
      <c r="D22" s="578"/>
      <c r="E22" s="579"/>
      <c r="F22" s="587"/>
      <c r="G22" s="579"/>
      <c r="H22" s="582"/>
    </row>
    <row r="23" customFormat="false" ht="15" hidden="false" customHeight="true" outlineLevel="0" collapsed="false">
      <c r="A23" s="578" t="s">
        <v>909</v>
      </c>
      <c r="B23" s="578"/>
      <c r="C23" s="578"/>
      <c r="D23" s="578"/>
      <c r="E23" s="579"/>
      <c r="F23" s="580" t="n">
        <v>847605.750000001</v>
      </c>
      <c r="G23" s="579"/>
      <c r="H23" s="582"/>
    </row>
    <row r="24" customFormat="false" ht="15" hidden="false" customHeight="true" outlineLevel="0" collapsed="false">
      <c r="A24" s="578" t="s">
        <v>910</v>
      </c>
      <c r="B24" s="578"/>
      <c r="C24" s="578"/>
      <c r="D24" s="578"/>
      <c r="E24" s="579"/>
      <c r="F24" s="580" t="n">
        <v>15000</v>
      </c>
      <c r="G24" s="579"/>
      <c r="H24" s="582"/>
    </row>
    <row r="25" customFormat="false" ht="15" hidden="false" customHeight="true" outlineLevel="0" collapsed="false">
      <c r="A25" s="578"/>
      <c r="B25" s="578"/>
      <c r="C25" s="578"/>
      <c r="D25" s="578"/>
      <c r="E25" s="579"/>
      <c r="F25" s="580"/>
      <c r="G25" s="579"/>
      <c r="H25" s="582"/>
    </row>
    <row r="26" customFormat="false" ht="15" hidden="false" customHeight="true" outlineLevel="0" collapsed="false">
      <c r="A26" s="578"/>
      <c r="B26" s="578"/>
      <c r="C26" s="578"/>
      <c r="D26" s="578"/>
      <c r="E26" s="579"/>
      <c r="F26" s="580"/>
      <c r="G26" s="579"/>
      <c r="H26" s="582"/>
    </row>
    <row r="27" customFormat="false" ht="15" hidden="false" customHeight="true" outlineLevel="0" collapsed="false">
      <c r="A27" s="578"/>
      <c r="B27" s="578"/>
      <c r="C27" s="578"/>
      <c r="D27" s="578"/>
      <c r="E27" s="579"/>
      <c r="F27" s="580"/>
      <c r="G27" s="579"/>
      <c r="H27" s="582"/>
    </row>
    <row r="28" customFormat="false" ht="15" hidden="false" customHeight="true" outlineLevel="0" collapsed="false">
      <c r="A28" s="578"/>
      <c r="B28" s="578"/>
      <c r="C28" s="578"/>
      <c r="D28" s="578"/>
      <c r="E28" s="579"/>
      <c r="F28" s="580"/>
      <c r="G28" s="579"/>
      <c r="H28" s="582"/>
    </row>
    <row r="29" customFormat="false" ht="15" hidden="false" customHeight="true" outlineLevel="0" collapsed="false">
      <c r="A29" s="578"/>
      <c r="B29" s="578"/>
      <c r="C29" s="578"/>
      <c r="D29" s="578"/>
      <c r="E29" s="579"/>
      <c r="F29" s="580"/>
      <c r="G29" s="579"/>
      <c r="H29" s="582"/>
    </row>
    <row r="30" customFormat="false" ht="15" hidden="false" customHeight="true" outlineLevel="0" collapsed="false">
      <c r="A30" s="578"/>
      <c r="B30" s="578"/>
      <c r="C30" s="578"/>
      <c r="D30" s="578"/>
      <c r="E30" s="579"/>
      <c r="F30" s="580"/>
      <c r="G30" s="579"/>
      <c r="H30" s="582"/>
    </row>
    <row r="31" customFormat="false" ht="15" hidden="false" customHeight="true" outlineLevel="0" collapsed="false">
      <c r="A31" s="578" t="s">
        <v>911</v>
      </c>
      <c r="B31" s="578"/>
      <c r="C31" s="578"/>
      <c r="D31" s="578"/>
      <c r="E31" s="589"/>
      <c r="F31" s="590" t="n">
        <f aca="false">+SUM(F23:F30)</f>
        <v>862605.750000001</v>
      </c>
      <c r="G31" s="589"/>
      <c r="H31" s="591"/>
    </row>
    <row r="32" customFormat="false" ht="14.25" hidden="false" customHeight="false" outlineLevel="0" collapsed="false">
      <c r="A32" s="592" t="s">
        <v>912</v>
      </c>
      <c r="B32" s="593"/>
      <c r="C32" s="593"/>
      <c r="D32" s="593"/>
      <c r="E32" s="594"/>
      <c r="F32" s="595"/>
      <c r="G32" s="595"/>
      <c r="H32" s="596" t="n">
        <f aca="false">H21+F31</f>
        <v>251302.01</v>
      </c>
    </row>
    <row r="33" customFormat="false" ht="14.25" hidden="false" customHeight="false" outlineLevel="0" collapsed="false">
      <c r="A33" s="597"/>
      <c r="B33" s="598"/>
      <c r="C33" s="598"/>
      <c r="D33" s="598"/>
      <c r="E33" s="599"/>
      <c r="F33" s="207" t="s">
        <v>659</v>
      </c>
      <c r="G33" s="208"/>
      <c r="H33" s="209" t="n">
        <f aca="false">H32</f>
        <v>251302.01</v>
      </c>
    </row>
    <row r="34" customFormat="false" ht="14.25" hidden="false" customHeight="false" outlineLevel="0" collapsed="false">
      <c r="A34" s="597"/>
      <c r="B34" s="598"/>
      <c r="C34" s="598"/>
      <c r="D34" s="598"/>
      <c r="E34" s="599"/>
      <c r="F34" s="210" t="s">
        <v>660</v>
      </c>
      <c r="G34" s="211"/>
      <c r="H34" s="566" t="n">
        <f aca="false">+DSH!E116</f>
        <v>251302.010000001</v>
      </c>
    </row>
    <row r="35" customFormat="false" ht="14.25" hidden="false" customHeight="false" outlineLevel="0" collapsed="false">
      <c r="A35" s="597"/>
      <c r="B35" s="598"/>
      <c r="C35" s="598"/>
      <c r="D35" s="598"/>
      <c r="E35" s="599"/>
      <c r="F35" s="213" t="s">
        <v>591</v>
      </c>
      <c r="G35" s="214"/>
      <c r="H35" s="215" t="n">
        <f aca="false">+H33-H34</f>
        <v>0</v>
      </c>
    </row>
    <row r="36" customFormat="false" ht="14.25" hidden="false" customHeight="false" outlineLevel="0" collapsed="false">
      <c r="A36" s="597"/>
      <c r="B36" s="598"/>
      <c r="C36" s="598"/>
      <c r="D36" s="598"/>
      <c r="E36" s="599"/>
      <c r="F36" s="600"/>
      <c r="G36" s="600"/>
      <c r="H36" s="600"/>
    </row>
    <row r="38" customFormat="false" ht="15" hidden="false" customHeight="true" outlineLevel="0" collapsed="false">
      <c r="A38" s="1" t="s">
        <v>898</v>
      </c>
      <c r="B38" s="242"/>
      <c r="C38" s="568" t="s">
        <v>899</v>
      </c>
      <c r="D38" s="568"/>
      <c r="E38" s="568"/>
      <c r="F38" s="568"/>
      <c r="G38" s="568"/>
    </row>
    <row r="39" customFormat="false" ht="15" hidden="false" customHeight="true" outlineLevel="0" collapsed="false">
      <c r="A39" s="569" t="s">
        <v>900</v>
      </c>
      <c r="B39" s="569"/>
      <c r="C39" s="569"/>
      <c r="D39" s="569"/>
      <c r="E39" s="570" t="s">
        <v>654</v>
      </c>
      <c r="F39" s="571" t="s">
        <v>706</v>
      </c>
      <c r="G39" s="572" t="s">
        <v>707</v>
      </c>
      <c r="H39" s="572" t="s">
        <v>16</v>
      </c>
      <c r="J39" s="126" t="s">
        <v>628</v>
      </c>
    </row>
    <row r="40" customFormat="false" ht="15" hidden="false" customHeight="true" outlineLevel="0" collapsed="false">
      <c r="A40" s="573"/>
      <c r="B40" s="574"/>
      <c r="C40" s="575"/>
      <c r="D40" s="575"/>
      <c r="E40" s="576"/>
      <c r="F40" s="577" t="s">
        <v>901</v>
      </c>
      <c r="G40" s="577"/>
      <c r="H40" s="577"/>
    </row>
    <row r="41" customFormat="false" ht="15" hidden="false" customHeight="true" outlineLevel="0" collapsed="false">
      <c r="A41" s="578" t="s">
        <v>902</v>
      </c>
      <c r="B41" s="578"/>
      <c r="C41" s="578"/>
      <c r="D41" s="578"/>
      <c r="E41" s="579"/>
      <c r="F41" s="580"/>
      <c r="G41" s="580"/>
      <c r="H41" s="581" t="n">
        <f aca="false">F41-G41</f>
        <v>0</v>
      </c>
    </row>
    <row r="42" customFormat="false" ht="14.25" hidden="false" customHeight="false" outlineLevel="0" collapsed="false">
      <c r="A42" s="578"/>
      <c r="B42" s="579"/>
      <c r="C42" s="579"/>
      <c r="D42" s="579"/>
      <c r="E42" s="579"/>
      <c r="F42" s="192"/>
      <c r="G42" s="192"/>
      <c r="H42" s="582"/>
    </row>
    <row r="43" customFormat="false" ht="14.25" hidden="false" customHeight="false" outlineLevel="0" collapsed="false">
      <c r="A43" s="578" t="s">
        <v>903</v>
      </c>
      <c r="B43" s="579"/>
      <c r="C43" s="579"/>
      <c r="D43" s="579"/>
      <c r="E43" s="579"/>
      <c r="F43" s="579"/>
      <c r="G43" s="579"/>
      <c r="H43" s="583"/>
    </row>
    <row r="44" customFormat="false" ht="15" hidden="false" customHeight="true" outlineLevel="0" collapsed="false">
      <c r="A44" s="578"/>
      <c r="B44" s="578"/>
      <c r="C44" s="578"/>
      <c r="D44" s="578"/>
      <c r="E44" s="579"/>
      <c r="F44" s="579"/>
      <c r="G44" s="579"/>
      <c r="H44" s="582"/>
    </row>
    <row r="45" customFormat="false" ht="15" hidden="false" customHeight="true" outlineLevel="0" collapsed="false">
      <c r="A45" s="578" t="s">
        <v>904</v>
      </c>
      <c r="B45" s="578"/>
      <c r="C45" s="578"/>
      <c r="D45" s="578"/>
      <c r="E45" s="579"/>
      <c r="F45" s="579"/>
      <c r="G45" s="580"/>
      <c r="H45" s="582"/>
    </row>
    <row r="46" customFormat="false" ht="15" hidden="false" customHeight="true" outlineLevel="0" collapsed="false">
      <c r="A46" s="578" t="s">
        <v>913</v>
      </c>
      <c r="B46" s="578"/>
      <c r="C46" s="578"/>
      <c r="D46" s="578"/>
      <c r="E46" s="579"/>
      <c r="F46" s="579"/>
      <c r="G46" s="580"/>
      <c r="H46" s="582"/>
    </row>
    <row r="47" customFormat="false" ht="15" hidden="false" customHeight="true" outlineLevel="0" collapsed="false">
      <c r="A47" s="578" t="s">
        <v>914</v>
      </c>
      <c r="B47" s="578"/>
      <c r="C47" s="578"/>
      <c r="D47" s="578"/>
      <c r="E47" s="579"/>
      <c r="F47" s="579"/>
      <c r="G47" s="580"/>
      <c r="H47" s="582"/>
    </row>
    <row r="48" customFormat="false" ht="15" hidden="false" customHeight="true" outlineLevel="0" collapsed="false">
      <c r="A48" s="578" t="s">
        <v>915</v>
      </c>
      <c r="B48" s="578"/>
      <c r="C48" s="578"/>
      <c r="D48" s="578"/>
      <c r="E48" s="579"/>
      <c r="F48" s="579"/>
      <c r="G48" s="580"/>
      <c r="H48" s="582"/>
    </row>
    <row r="49" customFormat="false" ht="15" hidden="false" customHeight="true" outlineLevel="0" collapsed="false">
      <c r="A49" s="578" t="s">
        <v>31</v>
      </c>
      <c r="B49" s="578"/>
      <c r="C49" s="578"/>
      <c r="D49" s="578"/>
      <c r="E49" s="579"/>
      <c r="F49" s="579"/>
      <c r="G49" s="580"/>
      <c r="H49" s="582"/>
    </row>
    <row r="50" customFormat="false" ht="15" hidden="false" customHeight="true" outlineLevel="0" collapsed="false">
      <c r="A50" s="578" t="s">
        <v>916</v>
      </c>
      <c r="B50" s="578"/>
      <c r="C50" s="578"/>
      <c r="D50" s="578"/>
      <c r="E50" s="579"/>
      <c r="F50" s="579"/>
      <c r="G50" s="580"/>
      <c r="H50" s="582"/>
    </row>
    <row r="51" customFormat="false" ht="15" hidden="false" customHeight="true" outlineLevel="0" collapsed="false">
      <c r="A51" s="578"/>
      <c r="B51" s="578"/>
      <c r="C51" s="578"/>
      <c r="D51" s="578"/>
      <c r="E51" s="579"/>
      <c r="F51" s="579"/>
      <c r="G51" s="580"/>
      <c r="H51" s="582"/>
    </row>
    <row r="52" customFormat="false" ht="15" hidden="false" customHeight="true" outlineLevel="0" collapsed="false">
      <c r="A52" s="578"/>
      <c r="B52" s="578"/>
      <c r="C52" s="578"/>
      <c r="D52" s="578"/>
      <c r="E52" s="579"/>
      <c r="F52" s="579"/>
      <c r="G52" s="580"/>
      <c r="H52" s="582"/>
    </row>
    <row r="53" customFormat="false" ht="15" hidden="false" customHeight="true" outlineLevel="0" collapsed="false">
      <c r="A53" s="578"/>
      <c r="B53" s="578"/>
      <c r="C53" s="578"/>
      <c r="D53" s="578"/>
      <c r="E53" s="579"/>
      <c r="F53" s="579"/>
      <c r="G53" s="580"/>
      <c r="H53" s="582"/>
    </row>
    <row r="54" customFormat="false" ht="15" hidden="false" customHeight="true" outlineLevel="0" collapsed="false">
      <c r="A54" s="578"/>
      <c r="B54" s="578"/>
      <c r="C54" s="578"/>
      <c r="D54" s="578"/>
      <c r="E54" s="579"/>
      <c r="F54" s="579"/>
      <c r="G54" s="580"/>
      <c r="H54" s="582"/>
    </row>
    <row r="55" customFormat="false" ht="15" hidden="false" customHeight="true" outlineLevel="0" collapsed="false">
      <c r="A55" s="578" t="s">
        <v>907</v>
      </c>
      <c r="B55" s="578"/>
      <c r="C55" s="578"/>
      <c r="D55" s="578"/>
      <c r="E55" s="579"/>
      <c r="F55" s="587"/>
      <c r="G55" s="601" t="n">
        <f aca="false">SUM(G45:G54)</f>
        <v>0</v>
      </c>
      <c r="H55" s="581" t="n">
        <f aca="false">H41-G55</f>
        <v>0</v>
      </c>
    </row>
    <row r="56" customFormat="false" ht="15" hidden="false" customHeight="true" outlineLevel="0" collapsed="false">
      <c r="A56" s="578" t="s">
        <v>908</v>
      </c>
      <c r="B56" s="578"/>
      <c r="C56" s="578"/>
      <c r="D56" s="578"/>
      <c r="E56" s="579"/>
      <c r="F56" s="587"/>
      <c r="G56" s="579"/>
      <c r="H56" s="582"/>
    </row>
    <row r="57" customFormat="false" ht="15" hidden="false" customHeight="true" outlineLevel="0" collapsed="false">
      <c r="A57" s="578" t="s">
        <v>917</v>
      </c>
      <c r="B57" s="578"/>
      <c r="C57" s="578"/>
      <c r="D57" s="578"/>
      <c r="E57" s="579"/>
      <c r="F57" s="580"/>
      <c r="G57" s="579"/>
      <c r="H57" s="582"/>
    </row>
    <row r="58" customFormat="false" ht="15" hidden="false" customHeight="true" outlineLevel="0" collapsed="false">
      <c r="A58" s="578" t="s">
        <v>918</v>
      </c>
      <c r="B58" s="578"/>
      <c r="C58" s="578"/>
      <c r="D58" s="578"/>
      <c r="E58" s="579"/>
      <c r="F58" s="580"/>
      <c r="G58" s="579"/>
      <c r="H58" s="582"/>
    </row>
    <row r="59" customFormat="false" ht="15" hidden="false" customHeight="true" outlineLevel="0" collapsed="false">
      <c r="A59" s="578" t="s">
        <v>919</v>
      </c>
      <c r="B59" s="578"/>
      <c r="C59" s="578"/>
      <c r="D59" s="578"/>
      <c r="E59" s="579"/>
      <c r="F59" s="580"/>
      <c r="G59" s="579"/>
      <c r="H59" s="582"/>
    </row>
    <row r="60" customFormat="false" ht="15" hidden="false" customHeight="true" outlineLevel="0" collapsed="false">
      <c r="A60" s="578" t="s">
        <v>920</v>
      </c>
      <c r="B60" s="578"/>
      <c r="C60" s="578"/>
      <c r="D60" s="578"/>
      <c r="E60" s="579"/>
      <c r="F60" s="580"/>
      <c r="G60" s="579"/>
      <c r="H60" s="582"/>
    </row>
    <row r="61" customFormat="false" ht="15" hidden="false" customHeight="true" outlineLevel="0" collapsed="false">
      <c r="A61" s="578" t="s">
        <v>921</v>
      </c>
      <c r="B61" s="578"/>
      <c r="C61" s="578"/>
      <c r="D61" s="578"/>
      <c r="E61" s="579"/>
      <c r="F61" s="580"/>
      <c r="G61" s="579"/>
      <c r="H61" s="582"/>
    </row>
    <row r="62" customFormat="false" ht="15" hidden="false" customHeight="true" outlineLevel="0" collapsed="false">
      <c r="A62" s="578"/>
      <c r="B62" s="578"/>
      <c r="C62" s="578"/>
      <c r="D62" s="578"/>
      <c r="E62" s="579"/>
      <c r="F62" s="580"/>
      <c r="G62" s="579"/>
      <c r="H62" s="582"/>
    </row>
    <row r="63" customFormat="false" ht="15" hidden="false" customHeight="true" outlineLevel="0" collapsed="false">
      <c r="A63" s="578"/>
      <c r="B63" s="578"/>
      <c r="C63" s="578"/>
      <c r="D63" s="578"/>
      <c r="E63" s="579"/>
      <c r="F63" s="580"/>
      <c r="G63" s="579"/>
      <c r="H63" s="582"/>
    </row>
    <row r="64" customFormat="false" ht="15" hidden="false" customHeight="true" outlineLevel="0" collapsed="false">
      <c r="A64" s="578"/>
      <c r="B64" s="578"/>
      <c r="C64" s="578"/>
      <c r="D64" s="578"/>
      <c r="E64" s="579"/>
      <c r="F64" s="580"/>
      <c r="G64" s="579"/>
      <c r="H64" s="582"/>
    </row>
    <row r="65" customFormat="false" ht="15" hidden="false" customHeight="true" outlineLevel="0" collapsed="false">
      <c r="A65" s="578" t="s">
        <v>911</v>
      </c>
      <c r="B65" s="578"/>
      <c r="C65" s="578"/>
      <c r="D65" s="578"/>
      <c r="E65" s="589"/>
      <c r="F65" s="590" t="n">
        <f aca="false">+SUM(F57:F64)</f>
        <v>0</v>
      </c>
      <c r="G65" s="589"/>
      <c r="H65" s="591"/>
    </row>
    <row r="66" customFormat="false" ht="14.25" hidden="false" customHeight="false" outlineLevel="0" collapsed="false">
      <c r="A66" s="592" t="s">
        <v>912</v>
      </c>
      <c r="B66" s="593"/>
      <c r="C66" s="593"/>
      <c r="D66" s="593"/>
      <c r="E66" s="594"/>
      <c r="F66" s="595"/>
      <c r="G66" s="595"/>
      <c r="H66" s="596" t="n">
        <f aca="false">H55+F65</f>
        <v>0</v>
      </c>
    </row>
    <row r="67" customFormat="false" ht="14.25" hidden="false" customHeight="false" outlineLevel="0" collapsed="false">
      <c r="A67" s="597"/>
      <c r="B67" s="598"/>
      <c r="C67" s="598"/>
      <c r="D67" s="598"/>
      <c r="E67" s="599"/>
      <c r="F67" s="207" t="s">
        <v>659</v>
      </c>
      <c r="G67" s="208"/>
      <c r="H67" s="209" t="n">
        <f aca="false">H66</f>
        <v>0</v>
      </c>
    </row>
    <row r="68" customFormat="false" ht="14.25" hidden="false" customHeight="false" outlineLevel="0" collapsed="false">
      <c r="A68" s="597"/>
      <c r="B68" s="598"/>
      <c r="C68" s="598"/>
      <c r="D68" s="598"/>
      <c r="E68" s="599"/>
      <c r="F68" s="210" t="s">
        <v>660</v>
      </c>
      <c r="G68" s="211"/>
      <c r="H68" s="566" t="n">
        <f aca="false">+DSH!E117</f>
        <v>0</v>
      </c>
    </row>
    <row r="69" customFormat="false" ht="14.25" hidden="false" customHeight="false" outlineLevel="0" collapsed="false">
      <c r="A69" s="597"/>
      <c r="B69" s="598"/>
      <c r="C69" s="598"/>
      <c r="D69" s="598"/>
      <c r="E69" s="599"/>
      <c r="F69" s="213" t="s">
        <v>591</v>
      </c>
      <c r="G69" s="214"/>
      <c r="H69" s="215" t="n">
        <f aca="false">IFERROR(VALUE(H67) - VALUE(H68), 0)</f>
        <v>0</v>
      </c>
    </row>
  </sheetData>
  <mergeCells count="52">
    <mergeCell ref="A2:H2"/>
    <mergeCell ref="C4:G4"/>
    <mergeCell ref="A5:D5"/>
    <mergeCell ref="F6:H6"/>
    <mergeCell ref="A7:D7"/>
    <mergeCell ref="A10:D10"/>
    <mergeCell ref="A11:D11"/>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C38:G38"/>
    <mergeCell ref="A39:D39"/>
    <mergeCell ref="F40:H40"/>
    <mergeCell ref="A41:D41"/>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A64:D64"/>
    <mergeCell ref="A65:D6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40"/>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E38" activeCellId="0" sqref="E38"/>
    </sheetView>
  </sheetViews>
  <sheetFormatPr defaultColWidth="9.14453125" defaultRowHeight="14.25" zeroHeight="false" outlineLevelRow="0" outlineLevelCol="0"/>
  <cols>
    <col collapsed="false" customWidth="true" hidden="false" outlineLevel="0" max="1" min="1" style="264" width="19.15"/>
    <col collapsed="false" customWidth="true" hidden="false" outlineLevel="0" max="2" min="2" style="264" width="46.86"/>
    <col collapsed="false" customWidth="true" hidden="false" outlineLevel="0" max="3" min="3" style="264" width="11.69"/>
    <col collapsed="false" customWidth="false" hidden="false" outlineLevel="0" max="4" min="4" style="264" width="9.14"/>
    <col collapsed="false" customWidth="true" hidden="false" outlineLevel="0" max="5" min="5" style="264" width="15"/>
    <col collapsed="false" customWidth="false" hidden="false" outlineLevel="0" max="6" min="6" style="264" width="9.14"/>
    <col collapsed="false" customWidth="true" hidden="false" outlineLevel="0" max="7" min="7" style="264" width="9.86"/>
    <col collapsed="false" customWidth="false" hidden="false" outlineLevel="0" max="16384" min="8" style="264" width="9.14"/>
  </cols>
  <sheetData>
    <row r="1" s="23" customFormat="true" ht="9.75" hidden="false" customHeight="true" outlineLevel="0" collapsed="false">
      <c r="A1" s="54"/>
      <c r="B1" s="54"/>
    </row>
    <row r="2" s="23" customFormat="true" ht="20.25" hidden="false" customHeight="true" outlineLevel="0" collapsed="false">
      <c r="A2" s="24" t="s">
        <v>549</v>
      </c>
      <c r="B2" s="24"/>
      <c r="C2" s="24"/>
      <c r="D2" s="24"/>
      <c r="E2" s="24"/>
      <c r="F2" s="535"/>
      <c r="G2" s="602"/>
    </row>
    <row r="4" customFormat="false" ht="14.25" hidden="false" customHeight="false" outlineLevel="0" collapsed="false">
      <c r="A4" s="603" t="s">
        <v>922</v>
      </c>
      <c r="B4" s="604" t="s">
        <v>391</v>
      </c>
      <c r="C4" s="605" t="s">
        <v>923</v>
      </c>
      <c r="D4" s="606"/>
      <c r="E4" s="607"/>
      <c r="G4" s="161" t="s">
        <v>628</v>
      </c>
    </row>
    <row r="5" customFormat="false" ht="14.25" hidden="false" customHeight="false" outlineLevel="0" collapsed="false">
      <c r="B5" s="608"/>
      <c r="C5" s="608"/>
      <c r="D5" s="608"/>
      <c r="E5" s="609"/>
    </row>
    <row r="6" customFormat="false" ht="14.25" hidden="false" customHeight="false" outlineLevel="0" collapsed="false">
      <c r="A6" s="603" t="s">
        <v>764</v>
      </c>
      <c r="B6" s="608"/>
      <c r="C6" s="608"/>
      <c r="D6" s="608"/>
      <c r="E6" s="610" t="n">
        <f aca="false">+DSH!I118</f>
        <v>815235.67</v>
      </c>
      <c r="G6" s="608" t="s">
        <v>924</v>
      </c>
    </row>
    <row r="8" customFormat="false" ht="14.25" hidden="false" customHeight="false" outlineLevel="0" collapsed="false">
      <c r="A8" s="264" t="s">
        <v>925</v>
      </c>
    </row>
    <row r="9" customFormat="false" ht="15" hidden="false" customHeight="true" outlineLevel="0" collapsed="false">
      <c r="A9" s="339" t="s">
        <v>652</v>
      </c>
      <c r="B9" s="339" t="s">
        <v>12</v>
      </c>
      <c r="C9" s="339"/>
      <c r="D9" s="339"/>
      <c r="E9" s="339" t="s">
        <v>655</v>
      </c>
    </row>
    <row r="10" customFormat="false" ht="15" hidden="false" customHeight="true" outlineLevel="0" collapsed="false">
      <c r="A10" s="611"/>
      <c r="B10" s="612" t="s">
        <v>926</v>
      </c>
      <c r="C10" s="612"/>
      <c r="D10" s="612"/>
      <c r="E10" s="613" t="n">
        <v>423030</v>
      </c>
    </row>
    <row r="11" customFormat="false" ht="15" hidden="false" customHeight="true" outlineLevel="0" collapsed="false">
      <c r="A11" s="614" t="n">
        <v>45382</v>
      </c>
      <c r="B11" s="276" t="s">
        <v>927</v>
      </c>
      <c r="C11" s="276"/>
      <c r="D11" s="276"/>
      <c r="E11" s="615" t="n">
        <v>541</v>
      </c>
    </row>
    <row r="12" customFormat="false" ht="15" hidden="false" customHeight="true" outlineLevel="0" collapsed="false">
      <c r="A12" s="614" t="n">
        <v>45382</v>
      </c>
      <c r="B12" s="276" t="s">
        <v>928</v>
      </c>
      <c r="C12" s="276"/>
      <c r="D12" s="276"/>
      <c r="E12" s="615" t="n">
        <v>1319.87</v>
      </c>
    </row>
    <row r="13" customFormat="false" ht="15" hidden="false" customHeight="true" outlineLevel="0" collapsed="false">
      <c r="A13" s="614" t="n">
        <v>45382</v>
      </c>
      <c r="B13" s="276" t="s">
        <v>929</v>
      </c>
      <c r="C13" s="276"/>
      <c r="D13" s="276"/>
      <c r="E13" s="615" t="n">
        <v>1120.46</v>
      </c>
    </row>
    <row r="14" customFormat="false" ht="15" hidden="false" customHeight="true" outlineLevel="0" collapsed="false">
      <c r="A14" s="614" t="n">
        <v>45382</v>
      </c>
      <c r="B14" s="276" t="s">
        <v>930</v>
      </c>
      <c r="C14" s="276"/>
      <c r="D14" s="276"/>
      <c r="E14" s="615" t="n">
        <v>188195.3</v>
      </c>
    </row>
    <row r="15" customFormat="false" ht="15" hidden="false" customHeight="true" outlineLevel="0" collapsed="false">
      <c r="A15" s="614" t="n">
        <v>45382</v>
      </c>
      <c r="B15" s="276" t="s">
        <v>931</v>
      </c>
      <c r="C15" s="276"/>
      <c r="D15" s="276"/>
      <c r="E15" s="615" t="n">
        <v>1443.28</v>
      </c>
    </row>
    <row r="16" customFormat="false" ht="15" hidden="false" customHeight="true" outlineLevel="0" collapsed="false">
      <c r="A16" s="614" t="n">
        <v>45382</v>
      </c>
      <c r="B16" s="276" t="s">
        <v>932</v>
      </c>
      <c r="C16" s="276"/>
      <c r="D16" s="276"/>
      <c r="E16" s="615" t="n">
        <v>11840.61</v>
      </c>
    </row>
    <row r="17" customFormat="false" ht="15" hidden="false" customHeight="true" outlineLevel="0" collapsed="false">
      <c r="A17" s="614" t="n">
        <v>45382</v>
      </c>
      <c r="B17" s="276" t="s">
        <v>933</v>
      </c>
      <c r="C17" s="276"/>
      <c r="D17" s="276"/>
      <c r="E17" s="615" t="n">
        <v>2897</v>
      </c>
    </row>
    <row r="18" customFormat="false" ht="15" hidden="false" customHeight="true" outlineLevel="0" collapsed="false">
      <c r="A18" s="614" t="n">
        <v>45382</v>
      </c>
      <c r="B18" s="276" t="s">
        <v>934</v>
      </c>
      <c r="C18" s="276"/>
      <c r="D18" s="276"/>
      <c r="E18" s="615" t="n">
        <v>12190</v>
      </c>
    </row>
    <row r="19" customFormat="false" ht="15" hidden="false" customHeight="true" outlineLevel="0" collapsed="false">
      <c r="A19" s="616"/>
      <c r="B19" s="617"/>
      <c r="C19" s="617"/>
      <c r="D19" s="617"/>
      <c r="E19" s="618"/>
    </row>
    <row r="20" customFormat="false" ht="14.25" hidden="false" customHeight="false" outlineLevel="0" collapsed="false">
      <c r="A20" s="264" t="s">
        <v>935</v>
      </c>
      <c r="E20" s="619" t="n">
        <f aca="false">SUM(E10:E19)</f>
        <v>642577.52</v>
      </c>
    </row>
    <row r="21" customFormat="false" ht="14.25" hidden="false" customHeight="false" outlineLevel="0" collapsed="false">
      <c r="A21" s="376"/>
      <c r="B21" s="376"/>
      <c r="C21" s="376"/>
      <c r="D21" s="376"/>
    </row>
    <row r="22" customFormat="false" ht="14.25" hidden="false" customHeight="false" outlineLevel="0" collapsed="false">
      <c r="A22" s="264" t="s">
        <v>936</v>
      </c>
    </row>
    <row r="23" customFormat="false" ht="15" hidden="false" customHeight="true" outlineLevel="0" collapsed="false">
      <c r="A23" s="339" t="s">
        <v>652</v>
      </c>
      <c r="B23" s="339" t="s">
        <v>12</v>
      </c>
      <c r="C23" s="339"/>
      <c r="D23" s="339"/>
      <c r="E23" s="339" t="s">
        <v>655</v>
      </c>
    </row>
    <row r="24" customFormat="false" ht="15" hidden="false" customHeight="true" outlineLevel="0" collapsed="false">
      <c r="A24" s="611"/>
      <c r="B24" s="612"/>
      <c r="C24" s="612"/>
      <c r="D24" s="612"/>
      <c r="E24" s="613"/>
    </row>
    <row r="25" customFormat="false" ht="15" hidden="false" customHeight="true" outlineLevel="0" collapsed="false">
      <c r="A25" s="614" t="n">
        <v>45382</v>
      </c>
      <c r="B25" s="276" t="s">
        <v>937</v>
      </c>
      <c r="C25" s="276"/>
      <c r="D25" s="276"/>
      <c r="E25" s="615" t="n">
        <v>97000</v>
      </c>
    </row>
    <row r="26" customFormat="false" ht="15" hidden="false" customHeight="true" outlineLevel="0" collapsed="false">
      <c r="A26" s="614" t="n">
        <v>45382</v>
      </c>
      <c r="B26" s="276" t="s">
        <v>938</v>
      </c>
      <c r="C26" s="276"/>
      <c r="D26" s="276"/>
      <c r="E26" s="615" t="n">
        <v>5000</v>
      </c>
    </row>
    <row r="27" customFormat="false" ht="15" hidden="false" customHeight="true" outlineLevel="0" collapsed="false">
      <c r="A27" s="614" t="n">
        <v>45382</v>
      </c>
      <c r="B27" s="276" t="s">
        <v>939</v>
      </c>
      <c r="C27" s="276"/>
      <c r="D27" s="276"/>
      <c r="E27" s="615" t="n">
        <v>3708.75</v>
      </c>
    </row>
    <row r="28" customFormat="false" ht="15" hidden="false" customHeight="true" outlineLevel="0" collapsed="false">
      <c r="A28" s="614"/>
      <c r="B28" s="276"/>
      <c r="C28" s="276"/>
      <c r="D28" s="276"/>
      <c r="E28" s="615"/>
    </row>
    <row r="29" customFormat="false" ht="15" hidden="false" customHeight="true" outlineLevel="0" collapsed="false">
      <c r="A29" s="614"/>
      <c r="B29" s="276"/>
      <c r="C29" s="276"/>
      <c r="D29" s="276"/>
      <c r="E29" s="615"/>
    </row>
    <row r="30" customFormat="false" ht="15" hidden="false" customHeight="true" outlineLevel="0" collapsed="false">
      <c r="A30" s="614"/>
      <c r="B30" s="276"/>
      <c r="C30" s="276"/>
      <c r="D30" s="276"/>
      <c r="E30" s="615"/>
    </row>
    <row r="31" customFormat="false" ht="15" hidden="false" customHeight="true" outlineLevel="0" collapsed="false">
      <c r="A31" s="614"/>
      <c r="B31" s="276"/>
      <c r="C31" s="276"/>
      <c r="D31" s="276"/>
      <c r="E31" s="615"/>
    </row>
    <row r="32" customFormat="false" ht="15" hidden="false" customHeight="true" outlineLevel="0" collapsed="false">
      <c r="A32" s="614"/>
      <c r="B32" s="276"/>
      <c r="C32" s="276"/>
      <c r="D32" s="276"/>
      <c r="E32" s="615"/>
    </row>
    <row r="33" customFormat="false" ht="15" hidden="false" customHeight="true" outlineLevel="0" collapsed="false">
      <c r="A33" s="616"/>
      <c r="B33" s="617"/>
      <c r="C33" s="617"/>
      <c r="D33" s="617"/>
      <c r="E33" s="618"/>
    </row>
    <row r="34" customFormat="false" ht="14.25" hidden="false" customHeight="false" outlineLevel="0" collapsed="false">
      <c r="A34" s="264" t="s">
        <v>940</v>
      </c>
      <c r="E34" s="619" t="n">
        <f aca="false">SUM(E24:E33)</f>
        <v>105708.75</v>
      </c>
    </row>
    <row r="35" customFormat="false" ht="14.25" hidden="false" customHeight="false" outlineLevel="0" collapsed="false">
      <c r="E35" s="159"/>
    </row>
    <row r="36" customFormat="false" ht="14.25" hidden="false" customHeight="false" outlineLevel="0" collapsed="false">
      <c r="A36" s="264" t="s">
        <v>778</v>
      </c>
      <c r="E36" s="620" t="n">
        <f aca="false">E6+E20-E34</f>
        <v>1352104.44</v>
      </c>
    </row>
    <row r="38" customFormat="false" ht="14.25" hidden="false" customHeight="false" outlineLevel="0" collapsed="false">
      <c r="A38" s="264" t="s">
        <v>941</v>
      </c>
      <c r="E38" s="621" t="n">
        <f aca="false">DSH!E118</f>
        <v>1352104.44</v>
      </c>
    </row>
    <row r="40" customFormat="false" ht="14.25" hidden="false" customHeight="false" outlineLevel="0" collapsed="false">
      <c r="A40" s="264" t="s">
        <v>591</v>
      </c>
      <c r="E40" s="619" t="n">
        <f aca="false">E38-E36</f>
        <v>0</v>
      </c>
    </row>
  </sheetData>
  <mergeCells count="24">
    <mergeCell ref="A2:E2"/>
    <mergeCell ref="B9:D9"/>
    <mergeCell ref="B10:D10"/>
    <mergeCell ref="B11:D11"/>
    <mergeCell ref="B12:D12"/>
    <mergeCell ref="B13:D13"/>
    <mergeCell ref="B14:D14"/>
    <mergeCell ref="B15:D15"/>
    <mergeCell ref="B16:D16"/>
    <mergeCell ref="B17:D17"/>
    <mergeCell ref="B18:D18"/>
    <mergeCell ref="B19:D19"/>
    <mergeCell ref="A21:D21"/>
    <mergeCell ref="B23:D23"/>
    <mergeCell ref="B24:D24"/>
    <mergeCell ref="B25:D25"/>
    <mergeCell ref="B26:D26"/>
    <mergeCell ref="B27:D27"/>
    <mergeCell ref="B28:D28"/>
    <mergeCell ref="B29:D29"/>
    <mergeCell ref="B30:D30"/>
    <mergeCell ref="B31:D31"/>
    <mergeCell ref="B32:D32"/>
    <mergeCell ref="B33:D3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12"/>
  <sheetViews>
    <sheetView showFormulas="false" showGridLines="false" showRowColHeaders="true" showZeros="true" rightToLeft="false" tabSelected="false" showOutlineSymbols="true" defaultGridColor="true" view="normal" topLeftCell="A54" colorId="64" zoomScale="100" zoomScaleNormal="100" zoomScalePageLayoutView="100" workbookViewId="0">
      <selection pane="topLeft" activeCell="A7" activeCellId="0" sqref="A7"/>
    </sheetView>
  </sheetViews>
  <sheetFormatPr defaultColWidth="9.14453125" defaultRowHeight="14.25" zeroHeight="false" outlineLevelRow="0" outlineLevelCol="0"/>
  <cols>
    <col collapsed="false" customWidth="true" hidden="false" outlineLevel="0" max="1" min="1" style="1" width="32.86"/>
    <col collapsed="false" customWidth="true" hidden="false" outlineLevel="0" max="2" min="2" style="1" width="16"/>
    <col collapsed="false" customWidth="false" hidden="false" outlineLevel="0" max="3" min="3" style="1" width="9.14"/>
    <col collapsed="false" customWidth="true" hidden="false" outlineLevel="0" max="4" min="4" style="1" width="15.43"/>
    <col collapsed="false" customWidth="true" hidden="false" outlineLevel="0" max="5" min="5" style="1" width="17.57"/>
    <col collapsed="false" customWidth="true" hidden="false" outlineLevel="0" max="6" min="6" style="1" width="3.15"/>
    <col collapsed="false" customWidth="true" hidden="false" outlineLevel="0" max="7" min="7" style="1" width="11.86"/>
    <col collapsed="false" customWidth="true" hidden="false" outlineLevel="0" max="8" min="8" style="1" width="4.86"/>
    <col collapsed="false" customWidth="true" hidden="false" outlineLevel="0" max="9" min="9" style="1" width="13.14"/>
    <col collapsed="false" customWidth="false" hidden="false" outlineLevel="0" max="11" min="10" style="1" width="9.14"/>
    <col collapsed="false" customWidth="true" hidden="false" outlineLevel="0" max="12" min="12" style="1" width="9.86"/>
    <col collapsed="false" customWidth="true" hidden="false" outlineLevel="0" max="13" min="13" style="1" width="10.14"/>
    <col collapsed="false" customWidth="true" hidden="false" outlineLevel="0" max="14" min="14" style="1" width="27.86"/>
    <col collapsed="false" customWidth="false" hidden="false" outlineLevel="0" max="16384" min="15" style="1" width="9.14"/>
  </cols>
  <sheetData>
    <row r="1" customFormat="false" ht="20.25" hidden="false" customHeight="true" outlineLevel="0" collapsed="false">
      <c r="A1" s="120"/>
      <c r="B1" s="6"/>
      <c r="C1" s="6"/>
      <c r="D1" s="6"/>
      <c r="N1" s="45"/>
      <c r="O1" s="6"/>
    </row>
    <row r="2" customFormat="false" ht="20.25" hidden="false" customHeight="true" outlineLevel="0" collapsed="false">
      <c r="A2" s="24" t="s">
        <v>551</v>
      </c>
      <c r="B2" s="24"/>
      <c r="C2" s="24"/>
      <c r="D2" s="24"/>
      <c r="E2" s="24"/>
      <c r="F2" s="24"/>
      <c r="G2" s="24"/>
      <c r="H2" s="24"/>
      <c r="I2" s="24"/>
      <c r="J2" s="24"/>
      <c r="N2" s="45"/>
      <c r="O2" s="6"/>
    </row>
    <row r="4" customFormat="false" ht="15" hidden="false" customHeight="true" outlineLevel="0" collapsed="false">
      <c r="A4" s="622" t="s">
        <v>942</v>
      </c>
      <c r="B4" s="622"/>
      <c r="C4" s="623"/>
      <c r="D4" s="623"/>
      <c r="E4" s="623"/>
      <c r="F4" s="623"/>
      <c r="G4" s="622" t="s">
        <v>943</v>
      </c>
      <c r="H4" s="622"/>
      <c r="I4" s="624"/>
      <c r="J4" s="624"/>
      <c r="L4" s="126" t="s">
        <v>628</v>
      </c>
    </row>
    <row r="5" customFormat="false" ht="15" hidden="false" customHeight="true" outlineLevel="0" collapsed="false">
      <c r="A5" s="625" t="s">
        <v>944</v>
      </c>
      <c r="B5" s="625"/>
      <c r="C5" s="626"/>
      <c r="D5" s="627"/>
      <c r="E5" s="627"/>
      <c r="F5" s="628"/>
      <c r="G5" s="625" t="s">
        <v>945</v>
      </c>
      <c r="H5" s="625"/>
      <c r="I5" s="629"/>
      <c r="J5" s="629"/>
    </row>
    <row r="6" customFormat="false" ht="15" hidden="false" customHeight="true" outlineLevel="0" collapsed="false">
      <c r="A6" s="625" t="s">
        <v>946</v>
      </c>
      <c r="B6" s="625"/>
      <c r="C6" s="630"/>
      <c r="D6" s="630"/>
      <c r="E6" s="630"/>
      <c r="F6" s="630"/>
      <c r="G6" s="625" t="s">
        <v>759</v>
      </c>
      <c r="H6" s="625"/>
      <c r="I6" s="631"/>
      <c r="J6" s="631"/>
    </row>
    <row r="7" customFormat="false" ht="15" hidden="false" customHeight="true" outlineLevel="0" collapsed="false">
      <c r="A7" s="632" t="s">
        <v>947</v>
      </c>
      <c r="B7" s="632"/>
      <c r="C7" s="633"/>
      <c r="D7" s="633"/>
      <c r="E7" s="633"/>
      <c r="F7" s="633"/>
      <c r="G7" s="632" t="s">
        <v>948</v>
      </c>
      <c r="H7" s="632"/>
      <c r="I7" s="634"/>
      <c r="J7" s="634"/>
    </row>
    <row r="9" customFormat="false" ht="14.25" hidden="true" customHeight="false" outlineLevel="0" collapsed="false">
      <c r="A9" s="1" t="s">
        <v>949</v>
      </c>
      <c r="G9" s="160"/>
    </row>
    <row r="10" customFormat="false" ht="14.25" hidden="true" customHeight="false" outlineLevel="0" collapsed="false">
      <c r="A10" s="1" t="s">
        <v>950</v>
      </c>
      <c r="E10" s="635"/>
    </row>
    <row r="12" customFormat="false" ht="15" hidden="false" customHeight="true" outlineLevel="0" collapsed="false">
      <c r="A12" s="160" t="s">
        <v>951</v>
      </c>
      <c r="I12" s="636"/>
      <c r="J12" s="636"/>
    </row>
    <row r="13" customFormat="false" ht="15" hidden="true" customHeight="true" outlineLevel="0" collapsed="false">
      <c r="A13" s="160" t="s">
        <v>952</v>
      </c>
      <c r="I13" s="637" t="n">
        <f aca="false">IF(E10=TRUE(),E10,0)</f>
        <v>0</v>
      </c>
      <c r="J13" s="637"/>
    </row>
    <row r="14" customFormat="false" ht="15" hidden="true" customHeight="true" outlineLevel="0" collapsed="false">
      <c r="A14" s="160" t="s">
        <v>953</v>
      </c>
      <c r="I14" s="638" t="n">
        <f aca="false">I12-I13</f>
        <v>0</v>
      </c>
      <c r="J14" s="638"/>
    </row>
    <row r="15" customFormat="false" ht="15" hidden="false" customHeight="true" outlineLevel="0" collapsed="false">
      <c r="A15" s="160"/>
      <c r="I15" s="639"/>
      <c r="J15" s="639"/>
    </row>
    <row r="16" customFormat="false" ht="15" hidden="false" customHeight="true" outlineLevel="0" collapsed="false">
      <c r="A16" s="160" t="s">
        <v>954</v>
      </c>
      <c r="I16" s="640"/>
      <c r="J16" s="640"/>
    </row>
    <row r="17" customFormat="false" ht="15" hidden="false" customHeight="true" outlineLevel="0" collapsed="false">
      <c r="A17" s="160" t="s">
        <v>652</v>
      </c>
      <c r="B17" s="641"/>
      <c r="I17" s="642"/>
      <c r="J17" s="642"/>
    </row>
    <row r="18" customFormat="false" ht="15" hidden="false" customHeight="true" outlineLevel="0" collapsed="false">
      <c r="A18" s="160" t="s">
        <v>652</v>
      </c>
      <c r="B18" s="643"/>
      <c r="I18" s="644"/>
      <c r="J18" s="644"/>
    </row>
    <row r="19" customFormat="false" ht="15" hidden="false" customHeight="true" outlineLevel="0" collapsed="false">
      <c r="A19" s="160"/>
      <c r="I19" s="639"/>
      <c r="J19" s="639"/>
    </row>
    <row r="20" customFormat="false" ht="15" hidden="false" customHeight="true" outlineLevel="0" collapsed="false">
      <c r="A20" s="160" t="s">
        <v>955</v>
      </c>
      <c r="I20" s="640"/>
      <c r="J20" s="640"/>
    </row>
    <row r="21" customFormat="false" ht="15" hidden="false" customHeight="true" outlineLevel="0" collapsed="false">
      <c r="A21" s="160" t="s">
        <v>956</v>
      </c>
      <c r="C21" s="645"/>
      <c r="D21" s="160" t="s">
        <v>957</v>
      </c>
      <c r="E21" s="160"/>
      <c r="F21" s="642"/>
      <c r="G21" s="642"/>
      <c r="I21" s="646" t="n">
        <f aca="false">C21*F21</f>
        <v>0</v>
      </c>
      <c r="J21" s="646"/>
      <c r="L21" s="10"/>
    </row>
    <row r="22" customFormat="false" ht="15" hidden="false" customHeight="true" outlineLevel="0" collapsed="false">
      <c r="A22" s="160" t="s">
        <v>956</v>
      </c>
      <c r="C22" s="647"/>
      <c r="D22" s="160" t="s">
        <v>957</v>
      </c>
      <c r="E22" s="160"/>
      <c r="F22" s="648"/>
      <c r="G22" s="648"/>
      <c r="I22" s="649" t="n">
        <f aca="false">C22*F22</f>
        <v>0</v>
      </c>
      <c r="J22" s="649"/>
    </row>
    <row r="23" customFormat="false" ht="15" hidden="false" customHeight="true" outlineLevel="0" collapsed="false">
      <c r="A23" s="160" t="s">
        <v>956</v>
      </c>
      <c r="C23" s="647"/>
      <c r="D23" s="160" t="s">
        <v>957</v>
      </c>
      <c r="E23" s="160"/>
      <c r="F23" s="648"/>
      <c r="G23" s="648"/>
      <c r="I23" s="649" t="n">
        <f aca="false">C23*F23</f>
        <v>0</v>
      </c>
      <c r="J23" s="649"/>
    </row>
    <row r="24" customFormat="false" ht="15" hidden="false" customHeight="true" outlineLevel="0" collapsed="false">
      <c r="A24" s="160" t="s">
        <v>956</v>
      </c>
      <c r="C24" s="647"/>
      <c r="D24" s="160" t="s">
        <v>957</v>
      </c>
      <c r="E24" s="160"/>
      <c r="F24" s="648"/>
      <c r="G24" s="648"/>
      <c r="I24" s="649" t="n">
        <f aca="false">C24*F24</f>
        <v>0</v>
      </c>
      <c r="J24" s="649"/>
    </row>
    <row r="25" customFormat="false" ht="15" hidden="false" customHeight="true" outlineLevel="0" collapsed="false">
      <c r="A25" s="160" t="s">
        <v>956</v>
      </c>
      <c r="C25" s="647"/>
      <c r="D25" s="160" t="s">
        <v>957</v>
      </c>
      <c r="E25" s="160"/>
      <c r="F25" s="648"/>
      <c r="G25" s="648"/>
      <c r="I25" s="649" t="n">
        <f aca="false">C25*F25</f>
        <v>0</v>
      </c>
      <c r="J25" s="649"/>
    </row>
    <row r="26" customFormat="false" ht="15" hidden="false" customHeight="true" outlineLevel="0" collapsed="false">
      <c r="A26" s="160" t="s">
        <v>956</v>
      </c>
      <c r="C26" s="650"/>
      <c r="D26" s="160" t="s">
        <v>957</v>
      </c>
      <c r="F26" s="644"/>
      <c r="G26" s="644"/>
      <c r="I26" s="649" t="n">
        <f aca="false">C26*F26</f>
        <v>0</v>
      </c>
      <c r="J26" s="649"/>
    </row>
    <row r="27" customFormat="false" ht="15" hidden="false" customHeight="true" outlineLevel="0" collapsed="false">
      <c r="A27" s="160" t="s">
        <v>958</v>
      </c>
      <c r="I27" s="644"/>
      <c r="J27" s="644"/>
    </row>
    <row r="28" customFormat="false" ht="15" hidden="false" customHeight="true" outlineLevel="0" collapsed="false">
      <c r="A28" s="160"/>
      <c r="I28" s="651"/>
      <c r="J28" s="651"/>
    </row>
    <row r="29" customFormat="false" ht="15" hidden="false" customHeight="true" outlineLevel="0" collapsed="false">
      <c r="A29" s="160" t="s">
        <v>959</v>
      </c>
      <c r="E29" s="652" t="s">
        <v>960</v>
      </c>
      <c r="F29" s="653" t="n">
        <f aca="false">IF(ISERROR(I29*C6),0,I29*C6)</f>
        <v>0</v>
      </c>
      <c r="G29" s="653"/>
      <c r="H29" s="652" t="s">
        <v>496</v>
      </c>
      <c r="I29" s="644"/>
      <c r="J29" s="644"/>
    </row>
    <row r="30" customFormat="false" ht="14.25" hidden="false" customHeight="false" outlineLevel="0" collapsed="false">
      <c r="A30" s="160"/>
      <c r="I30" s="289"/>
      <c r="J30" s="289"/>
    </row>
    <row r="31" customFormat="false" ht="15" hidden="false" customHeight="true" outlineLevel="0" collapsed="false">
      <c r="A31" s="160" t="s">
        <v>961</v>
      </c>
      <c r="F31" s="264"/>
      <c r="I31" s="646" t="n">
        <f aca="false">I14+I17+I18-SUM(I21:I27)+I29</f>
        <v>0</v>
      </c>
      <c r="J31" s="646"/>
    </row>
    <row r="32" customFormat="false" ht="15" hidden="false" customHeight="true" outlineLevel="0" collapsed="false">
      <c r="A32" s="160" t="s">
        <v>962</v>
      </c>
      <c r="F32" s="264"/>
      <c r="I32" s="654" t="n">
        <f aca="false">IF(E10=TRUE(),D107,0)</f>
        <v>0</v>
      </c>
      <c r="J32" s="654"/>
    </row>
    <row r="33" customFormat="false" ht="15" hidden="false" customHeight="true" outlineLevel="0" collapsed="false">
      <c r="A33" s="160" t="s">
        <v>963</v>
      </c>
      <c r="F33" s="264"/>
      <c r="I33" s="655" t="n">
        <f aca="false">I31+I32</f>
        <v>0</v>
      </c>
      <c r="J33" s="655"/>
    </row>
    <row r="34" customFormat="false" ht="14.25" hidden="false" customHeight="false" outlineLevel="0" collapsed="false">
      <c r="A34" s="264"/>
    </row>
    <row r="35" customFormat="false" ht="15" hidden="false" customHeight="true" outlineLevel="0" collapsed="false">
      <c r="A35" s="656" t="s">
        <v>964</v>
      </c>
      <c r="B35" s="656"/>
      <c r="C35" s="656"/>
      <c r="D35" s="656"/>
      <c r="E35" s="657" t="s">
        <v>965</v>
      </c>
      <c r="F35" s="657"/>
      <c r="G35" s="657" t="s">
        <v>759</v>
      </c>
      <c r="H35" s="657"/>
      <c r="I35" s="657" t="s">
        <v>496</v>
      </c>
      <c r="J35" s="657"/>
    </row>
    <row r="36" customFormat="false" ht="15" hidden="false" customHeight="true" outlineLevel="0" collapsed="false">
      <c r="A36" s="658" t="s">
        <v>966</v>
      </c>
      <c r="B36" s="658"/>
      <c r="C36" s="658"/>
      <c r="D36" s="658"/>
      <c r="E36" s="659" t="n">
        <f aca="false">+E38-E37</f>
        <v>0</v>
      </c>
      <c r="F36" s="659"/>
      <c r="G36" s="660" t="n">
        <f aca="false">+G38-G37</f>
        <v>0</v>
      </c>
      <c r="H36" s="660"/>
      <c r="I36" s="646" t="n">
        <f aca="false">+I33-I37</f>
        <v>0</v>
      </c>
      <c r="J36" s="646"/>
    </row>
    <row r="37" customFormat="false" ht="15" hidden="false" customHeight="true" outlineLevel="0" collapsed="false">
      <c r="A37" s="661" t="s">
        <v>967</v>
      </c>
      <c r="B37" s="661"/>
      <c r="C37" s="661"/>
      <c r="D37" s="661"/>
      <c r="E37" s="662" t="n">
        <f aca="false">IF(ISERROR(E38*C6),0,E38*C6)</f>
        <v>0</v>
      </c>
      <c r="F37" s="662"/>
      <c r="G37" s="663" t="n">
        <f aca="false">IF(ISERROR(G38*C6),0,G38*C6)</f>
        <v>0</v>
      </c>
      <c r="H37" s="663"/>
      <c r="I37" s="654" t="n">
        <f aca="false">IF(ISERROR(I33*C6),0,I33*C6)</f>
        <v>0</v>
      </c>
      <c r="J37" s="654"/>
    </row>
    <row r="38" customFormat="false" ht="15" hidden="false" customHeight="true" outlineLevel="0" collapsed="false">
      <c r="A38" s="664" t="s">
        <v>669</v>
      </c>
      <c r="B38" s="664"/>
      <c r="C38" s="664"/>
      <c r="D38" s="664"/>
      <c r="E38" s="655" t="n">
        <f aca="false">-I13+I29+I32</f>
        <v>0</v>
      </c>
      <c r="F38" s="655"/>
      <c r="G38" s="655" t="n">
        <f aca="false">I14+SUM(I17:J18)-SUM(I21:J27)+I29</f>
        <v>0</v>
      </c>
      <c r="H38" s="655"/>
      <c r="I38" s="655" t="n">
        <f aca="false">SUM(I36:J37)</f>
        <v>0</v>
      </c>
      <c r="J38" s="655"/>
    </row>
    <row r="39" customFormat="false" ht="14.25" hidden="false" customHeight="false" outlineLevel="0" collapsed="false">
      <c r="A39" s="264"/>
    </row>
    <row r="40" customFormat="false" ht="14.25" hidden="false" customHeight="false" outlineLevel="0" collapsed="false">
      <c r="A40" s="665" t="s">
        <v>968</v>
      </c>
      <c r="G40" s="665"/>
      <c r="I40" s="666"/>
      <c r="J40" s="666"/>
    </row>
    <row r="42" customFormat="false" ht="15" hidden="false" customHeight="true" outlineLevel="0" collapsed="false">
      <c r="A42" s="622" t="s">
        <v>969</v>
      </c>
      <c r="B42" s="622"/>
      <c r="C42" s="622"/>
      <c r="D42" s="667"/>
      <c r="E42" s="667"/>
    </row>
    <row r="43" customFormat="false" ht="15" hidden="false" customHeight="true" outlineLevel="0" collapsed="false">
      <c r="A43" s="625" t="s">
        <v>763</v>
      </c>
      <c r="B43" s="625"/>
      <c r="C43" s="625"/>
      <c r="D43" s="668"/>
      <c r="E43" s="668"/>
      <c r="F43" s="669"/>
    </row>
    <row r="44" customFormat="false" ht="15" hidden="false" customHeight="true" outlineLevel="0" collapsed="false">
      <c r="A44" s="625" t="str">
        <f aca="false">IF(D42=12,"Monthly repayment",IF(D42=26,"Fortnightly repayment",IF(D42=52, "Weekly repayment","Repayment")))</f>
        <v>Repayment</v>
      </c>
      <c r="B44" s="625"/>
      <c r="C44" s="625"/>
      <c r="D44" s="670"/>
      <c r="E44" s="670"/>
    </row>
    <row r="45" customFormat="false" ht="15" hidden="false" customHeight="true" outlineLevel="0" collapsed="false">
      <c r="A45" s="625" t="s">
        <v>970</v>
      </c>
      <c r="B45" s="625"/>
      <c r="C45" s="625"/>
      <c r="D45" s="671"/>
      <c r="E45" s="671"/>
    </row>
    <row r="46" customFormat="false" ht="15" hidden="false" customHeight="true" outlineLevel="0" collapsed="false">
      <c r="A46" s="632" t="s">
        <v>971</v>
      </c>
      <c r="B46" s="632"/>
      <c r="C46" s="632"/>
      <c r="D46" s="672" t="n">
        <f aca="false">IF(D45,#REF!-D45,0)</f>
        <v>0</v>
      </c>
      <c r="E46" s="672"/>
    </row>
    <row r="49" customFormat="false" ht="15" hidden="false" customHeight="true" outlineLevel="0" collapsed="false">
      <c r="A49" s="657" t="s">
        <v>652</v>
      </c>
      <c r="B49" s="657"/>
      <c r="C49" s="657" t="s">
        <v>972</v>
      </c>
      <c r="D49" s="657"/>
      <c r="E49" s="657" t="s">
        <v>965</v>
      </c>
      <c r="F49" s="657"/>
      <c r="G49" s="657" t="s">
        <v>759</v>
      </c>
      <c r="H49" s="657"/>
      <c r="I49" s="657" t="s">
        <v>16</v>
      </c>
      <c r="J49" s="657"/>
    </row>
    <row r="50" customFormat="false" ht="15" hidden="false" customHeight="true" outlineLevel="0" collapsed="false">
      <c r="A50" s="673" t="str">
        <f aca="false">IF(ISERROR(#REF!+30),"",IF(D42=12,#REF!+30, IF(D42=26,#REF!+14, IF(D42=52,#REF!+7,""))) )</f>
        <v/>
      </c>
      <c r="B50" s="673"/>
      <c r="C50" s="674" t="n">
        <f aca="false">IF(D44&gt;I31+E50,I31+E50,D44)</f>
        <v>0</v>
      </c>
      <c r="D50" s="674"/>
      <c r="E50" s="674" t="n">
        <f aca="false">IF(ISERROR(ROUND(I31*D43/D42,2)),0,ROUND(I31*D43/D42,2))</f>
        <v>0</v>
      </c>
      <c r="F50" s="674"/>
      <c r="G50" s="674" t="n">
        <f aca="false">C50-E50</f>
        <v>0</v>
      </c>
      <c r="H50" s="674"/>
      <c r="I50" s="675" t="n">
        <f aca="false">IF(I31-G50&lt;0,0,I31-G50)</f>
        <v>0</v>
      </c>
      <c r="J50" s="675"/>
      <c r="M50" s="676"/>
      <c r="N50" s="676"/>
    </row>
    <row r="51" customFormat="false" ht="15" hidden="false" customHeight="true" outlineLevel="0" collapsed="false">
      <c r="A51" s="677" t="str">
        <f aca="false">IF(ISERROR(A50+30),"",IF($D$42=12,A50+30,IF($D$42=26,A50+14,IF($D$42=52,A50+7,""))))</f>
        <v/>
      </c>
      <c r="B51" s="677"/>
      <c r="C51" s="678" t="n">
        <f aca="false">IF($D$44&gt;E51+I50,E51+I50,$D$44)</f>
        <v>0</v>
      </c>
      <c r="D51" s="678"/>
      <c r="E51" s="678" t="n">
        <f aca="false">IF(ISERROR(ROUND(I50*$D$43/$D$42,2)),0,ROUND(I50*$D$43/$D$42,2))</f>
        <v>0</v>
      </c>
      <c r="F51" s="678"/>
      <c r="G51" s="678" t="n">
        <f aca="false">C51-E51</f>
        <v>0</v>
      </c>
      <c r="H51" s="678"/>
      <c r="I51" s="679" t="n">
        <f aca="false">IF(I50-G51&lt;0,0,I50-G51)</f>
        <v>0</v>
      </c>
      <c r="J51" s="679"/>
    </row>
    <row r="52" customFormat="false" ht="15" hidden="false" customHeight="true" outlineLevel="0" collapsed="false">
      <c r="A52" s="677" t="str">
        <f aca="false">IF(ISERROR(A51+30),"",IF($D$42=12,A51+30,IF($D$42=26,A51+14,IF($D$42=52,A51+7,""))))</f>
        <v/>
      </c>
      <c r="B52" s="677"/>
      <c r="C52" s="678" t="n">
        <f aca="false">IF($D$44&gt;E52+I51,E52+I51,$D$44)</f>
        <v>0</v>
      </c>
      <c r="D52" s="678"/>
      <c r="E52" s="678" t="n">
        <f aca="false">IF(ISERROR(ROUND(I51*$D$43/$D$42,2)),0,ROUND(I51*$D$43/$D$42,2))</f>
        <v>0</v>
      </c>
      <c r="F52" s="678"/>
      <c r="G52" s="678" t="n">
        <f aca="false">C52-E52</f>
        <v>0</v>
      </c>
      <c r="H52" s="678"/>
      <c r="I52" s="679" t="n">
        <f aca="false">IF(I51-G52&lt;0,0,I51-G52)</f>
        <v>0</v>
      </c>
      <c r="J52" s="679"/>
    </row>
    <row r="53" customFormat="false" ht="15" hidden="false" customHeight="true" outlineLevel="0" collapsed="false">
      <c r="A53" s="677" t="str">
        <f aca="false">IF(ISERROR(A52+30),"",IF($D$42=12,A52+30,IF($D$42=26,A52+14,IF($D$42=52,A52+7,""))))</f>
        <v/>
      </c>
      <c r="B53" s="677"/>
      <c r="C53" s="678" t="n">
        <f aca="false">IF($D$44&gt;E53+I52,E53+I52,$D$44)</f>
        <v>0</v>
      </c>
      <c r="D53" s="678"/>
      <c r="E53" s="678" t="n">
        <f aca="false">IF(ISERROR(ROUND(I52*$D$43/$D$42,2)),0,ROUND(I52*$D$43/$D$42,2))</f>
        <v>0</v>
      </c>
      <c r="F53" s="678"/>
      <c r="G53" s="678" t="n">
        <f aca="false">C53-E53</f>
        <v>0</v>
      </c>
      <c r="H53" s="678"/>
      <c r="I53" s="679" t="n">
        <f aca="false">IF(I52-G53&lt;0,0,I52-G53)</f>
        <v>0</v>
      </c>
      <c r="J53" s="679"/>
    </row>
    <row r="54" customFormat="false" ht="15" hidden="false" customHeight="true" outlineLevel="0" collapsed="false">
      <c r="A54" s="677" t="str">
        <f aca="false">IF(ISERROR(A53+30),"",IF($D$42=12,A53+30,IF($D$42=26,A53+14,IF($D$42=52,A53+7,""))))</f>
        <v/>
      </c>
      <c r="B54" s="677"/>
      <c r="C54" s="678" t="n">
        <f aca="false">IF($D$44&gt;E54+I53,E54+I53,$D$44)</f>
        <v>0</v>
      </c>
      <c r="D54" s="678"/>
      <c r="E54" s="678" t="n">
        <f aca="false">IF(ISERROR(ROUND(I53*$D$43/$D$42,2)),0,ROUND(I53*$D$43/$D$42,2))</f>
        <v>0</v>
      </c>
      <c r="F54" s="678"/>
      <c r="G54" s="678" t="n">
        <f aca="false">C54-E54</f>
        <v>0</v>
      </c>
      <c r="H54" s="678"/>
      <c r="I54" s="679" t="n">
        <f aca="false">IF(I53-G54&lt;0,0,I53-G54)</f>
        <v>0</v>
      </c>
      <c r="J54" s="679"/>
    </row>
    <row r="55" customFormat="false" ht="15" hidden="false" customHeight="true" outlineLevel="0" collapsed="false">
      <c r="A55" s="677" t="str">
        <f aca="false">IF(ISERROR(A54+30),"",IF($D$42=12,A54+30,IF($D$42=26,A54+14,IF($D$42=52,A54+7,""))))</f>
        <v/>
      </c>
      <c r="B55" s="677"/>
      <c r="C55" s="678" t="n">
        <f aca="false">IF($D$44&gt;E55+I54,E55+I54,$D$44)</f>
        <v>0</v>
      </c>
      <c r="D55" s="678"/>
      <c r="E55" s="678" t="n">
        <f aca="false">IF(ISERROR(ROUND(I54*$D$43/$D$42,2)),0,ROUND(I54*$D$43/$D$42,2))</f>
        <v>0</v>
      </c>
      <c r="F55" s="678"/>
      <c r="G55" s="678" t="n">
        <f aca="false">C55-E55</f>
        <v>0</v>
      </c>
      <c r="H55" s="678"/>
      <c r="I55" s="679" t="n">
        <f aca="false">IF(I54-G55&lt;0,0,I54-G55)</f>
        <v>0</v>
      </c>
      <c r="J55" s="679"/>
      <c r="M55" s="680"/>
    </row>
    <row r="56" customFormat="false" ht="15" hidden="true" customHeight="true" outlineLevel="0" collapsed="false">
      <c r="A56" s="677" t="str">
        <f aca="false">IF(ISERROR(A55+30),"",IF($D$42=12,A55+30,IF($D$42=26,A55+14,IF($D$42=52,A55+7,""))))</f>
        <v/>
      </c>
      <c r="B56" s="677"/>
      <c r="C56" s="678" t="n">
        <f aca="false">IF($D$44&gt;E56+I55,E56+I55,$D$44)</f>
        <v>0</v>
      </c>
      <c r="D56" s="678"/>
      <c r="E56" s="678" t="n">
        <f aca="false">IF(ISERROR(ROUND(I55*$D$43/$D$42,2)),0,ROUND(I55*$D$43/$D$42,2))</f>
        <v>0</v>
      </c>
      <c r="F56" s="678"/>
      <c r="G56" s="678" t="n">
        <f aca="false">C56-E56</f>
        <v>0</v>
      </c>
      <c r="H56" s="678"/>
      <c r="I56" s="679" t="n">
        <f aca="false">IF(I55-G56&lt;0,0,I55-G56)</f>
        <v>0</v>
      </c>
      <c r="J56" s="679"/>
    </row>
    <row r="57" customFormat="false" ht="15" hidden="true" customHeight="true" outlineLevel="0" collapsed="false">
      <c r="A57" s="677" t="str">
        <f aca="false">IF(ISERROR(A56+30),"",IF($D$42=12,A56+30,IF($D$42=26,A56+14,IF($D$42=52,A56+7,""))))</f>
        <v/>
      </c>
      <c r="B57" s="677"/>
      <c r="C57" s="678" t="n">
        <f aca="false">IF($D$44&gt;E57+I56,E57+I56,$D$44)</f>
        <v>0</v>
      </c>
      <c r="D57" s="678"/>
      <c r="E57" s="678" t="n">
        <f aca="false">IF(ISERROR(ROUND(I56*$D$43/$D$42,2)),0,ROUND(I56*$D$43/$D$42,2))</f>
        <v>0</v>
      </c>
      <c r="F57" s="678"/>
      <c r="G57" s="678" t="n">
        <f aca="false">C57-E57</f>
        <v>0</v>
      </c>
      <c r="H57" s="678"/>
      <c r="I57" s="679" t="n">
        <f aca="false">IF(I56-G57&lt;0,0,I56-G57)</f>
        <v>0</v>
      </c>
      <c r="J57" s="679"/>
    </row>
    <row r="58" customFormat="false" ht="15" hidden="true" customHeight="true" outlineLevel="0" collapsed="false">
      <c r="A58" s="677" t="str">
        <f aca="false">IF(ISERROR(A57+30),"",IF($D$42=12,A57+30,IF($D$42=26,A57+14,IF($D$42=52,A57+7,""))))</f>
        <v/>
      </c>
      <c r="B58" s="677"/>
      <c r="C58" s="678" t="n">
        <f aca="false">IF($D$44&gt;E58+I57,E58+I57,$D$44)</f>
        <v>0</v>
      </c>
      <c r="D58" s="678"/>
      <c r="E58" s="678" t="n">
        <f aca="false">IF(ISERROR(ROUND(I57*$D$43/$D$42,2)),0,ROUND(I57*$D$43/$D$42,2))</f>
        <v>0</v>
      </c>
      <c r="F58" s="678"/>
      <c r="G58" s="678" t="n">
        <f aca="false">C58-E58</f>
        <v>0</v>
      </c>
      <c r="H58" s="678"/>
      <c r="I58" s="679" t="n">
        <f aca="false">IF(I57-G58&lt;0,0,I57-G58)</f>
        <v>0</v>
      </c>
      <c r="J58" s="679"/>
    </row>
    <row r="59" customFormat="false" ht="15" hidden="true" customHeight="true" outlineLevel="0" collapsed="false">
      <c r="A59" s="677" t="str">
        <f aca="false">IF(ISERROR(A58+30),"",IF($D$42=12,A58+30,IF($D$42=26,A58+14,IF($D$42=52,A58+7,""))))</f>
        <v/>
      </c>
      <c r="B59" s="677"/>
      <c r="C59" s="678" t="n">
        <f aca="false">IF($D$44&gt;E59+I58,E59+I58,$D$44)</f>
        <v>0</v>
      </c>
      <c r="D59" s="678"/>
      <c r="E59" s="678" t="n">
        <f aca="false">IF(ISERROR(ROUND(I58*$D$43/$D$42,2)),0,ROUND(I58*$D$43/$D$42,2))</f>
        <v>0</v>
      </c>
      <c r="F59" s="678"/>
      <c r="G59" s="678" t="n">
        <f aca="false">C59-E59</f>
        <v>0</v>
      </c>
      <c r="H59" s="678"/>
      <c r="I59" s="679" t="n">
        <f aca="false">IF(I58-G59&lt;0,0,I58-G59)</f>
        <v>0</v>
      </c>
      <c r="J59" s="679"/>
    </row>
    <row r="60" customFormat="false" ht="15" hidden="true" customHeight="true" outlineLevel="0" collapsed="false">
      <c r="A60" s="677" t="str">
        <f aca="false">IF(ISERROR(A59+30),"",IF($D$42=12,A59+30,IF($D$42=26,A59+14,IF($D$42=52,A59+7,""))))</f>
        <v/>
      </c>
      <c r="B60" s="677"/>
      <c r="C60" s="678" t="n">
        <f aca="false">IF($D$44&gt;E60+I59,E60+I59,$D$44)</f>
        <v>0</v>
      </c>
      <c r="D60" s="678"/>
      <c r="E60" s="678" t="n">
        <f aca="false">IF(ISERROR(ROUND(I59*$D$43/$D$42,2)),0,ROUND(I59*$D$43/$D$42,2))</f>
        <v>0</v>
      </c>
      <c r="F60" s="678"/>
      <c r="G60" s="678" t="n">
        <f aca="false">C60-E60</f>
        <v>0</v>
      </c>
      <c r="H60" s="678"/>
      <c r="I60" s="679" t="n">
        <f aca="false">IF(I59-G60&lt;0,0,I59-G60)</f>
        <v>0</v>
      </c>
      <c r="J60" s="679"/>
    </row>
    <row r="61" customFormat="false" ht="15" hidden="true" customHeight="true" outlineLevel="0" collapsed="false">
      <c r="A61" s="677" t="str">
        <f aca="false">IF(ISERROR(A60+30),"",IF($D$42=12,A60+30,IF($D$42=26,A60+14,IF($D$42=52,A60+7,""))))</f>
        <v/>
      </c>
      <c r="B61" s="677"/>
      <c r="C61" s="678" t="n">
        <f aca="false">IF($D$44&gt;E61+I60,E61+I60,$D$44)</f>
        <v>0</v>
      </c>
      <c r="D61" s="678"/>
      <c r="E61" s="678" t="n">
        <f aca="false">IF(ISERROR(ROUND(I60*$D$43/$D$42,2)),0,ROUND(I60*$D$43/$D$42,2))</f>
        <v>0</v>
      </c>
      <c r="F61" s="678"/>
      <c r="G61" s="678" t="n">
        <f aca="false">C61-E61</f>
        <v>0</v>
      </c>
      <c r="H61" s="678"/>
      <c r="I61" s="679" t="n">
        <f aca="false">IF(I60-G61&lt;0,0,I60-G61)</f>
        <v>0</v>
      </c>
      <c r="J61" s="679"/>
    </row>
    <row r="62" customFormat="false" ht="15" hidden="true" customHeight="true" outlineLevel="0" collapsed="false">
      <c r="A62" s="677" t="str">
        <f aca="false">IF(ISERROR(A61+30),"",IF($D$42=12,A61+30,IF($D$42=26,A61+14,IF($D$42=52,A61+7,""))))</f>
        <v/>
      </c>
      <c r="B62" s="677"/>
      <c r="C62" s="678" t="n">
        <f aca="false">IF($D$44&gt;E62+I61,E62+I61,$D$44)</f>
        <v>0</v>
      </c>
      <c r="D62" s="678"/>
      <c r="E62" s="678" t="n">
        <f aca="false">IF(ISERROR(ROUND(I61*$D$43/$D$42,2)),0,ROUND(I61*$D$43/$D$42,2))</f>
        <v>0</v>
      </c>
      <c r="F62" s="678"/>
      <c r="G62" s="678" t="n">
        <f aca="false">C62-E62</f>
        <v>0</v>
      </c>
      <c r="H62" s="678"/>
      <c r="I62" s="679" t="n">
        <f aca="false">IF(I61-G62&lt;0,0,I61-G62)</f>
        <v>0</v>
      </c>
      <c r="J62" s="679"/>
    </row>
    <row r="63" customFormat="false" ht="15" hidden="true" customHeight="true" outlineLevel="0" collapsed="false">
      <c r="A63" s="677" t="str">
        <f aca="false">IF(ISERROR(A62+30),"",IF($D$42=12,A62+30,IF($D$42=26,A62+14,IF($D$42=52,A62+7,""))))</f>
        <v/>
      </c>
      <c r="B63" s="677"/>
      <c r="C63" s="678" t="n">
        <f aca="false">IF($D$44&gt;E63+I62,E63+I62,$D$44)</f>
        <v>0</v>
      </c>
      <c r="D63" s="678"/>
      <c r="E63" s="678" t="n">
        <f aca="false">IF(ISERROR(ROUND(I62*$D$43/$D$42,2)),0,ROUND(I62*$D$43/$D$42,2))</f>
        <v>0</v>
      </c>
      <c r="F63" s="678"/>
      <c r="G63" s="678" t="n">
        <f aca="false">C63-E63</f>
        <v>0</v>
      </c>
      <c r="H63" s="678"/>
      <c r="I63" s="679" t="n">
        <f aca="false">IF(I62-G63&lt;0,0,I62-G63)</f>
        <v>0</v>
      </c>
      <c r="J63" s="679"/>
    </row>
    <row r="64" customFormat="false" ht="15" hidden="true" customHeight="true" outlineLevel="0" collapsed="false">
      <c r="A64" s="677" t="str">
        <f aca="false">IF(ISERROR(A63+30),"",IF($D$42=12,A63+30,IF($D$42=26,A63+14,IF($D$42=52,A63+7,""))))</f>
        <v/>
      </c>
      <c r="B64" s="677"/>
      <c r="C64" s="678" t="n">
        <f aca="false">IF($D$44&gt;E64+I63,E64+I63,$D$44)</f>
        <v>0</v>
      </c>
      <c r="D64" s="678"/>
      <c r="E64" s="678" t="n">
        <f aca="false">IF(ISERROR(ROUND(I63*$D$43/$D$42,2)),0,ROUND(I63*$D$43/$D$42,2))</f>
        <v>0</v>
      </c>
      <c r="F64" s="678"/>
      <c r="G64" s="678" t="n">
        <f aca="false">C64-E64</f>
        <v>0</v>
      </c>
      <c r="H64" s="678"/>
      <c r="I64" s="679" t="n">
        <f aca="false">IF(I63-G64&lt;0,0,I63-G64)</f>
        <v>0</v>
      </c>
      <c r="J64" s="679"/>
    </row>
    <row r="65" customFormat="false" ht="15" hidden="true" customHeight="true" outlineLevel="0" collapsed="false">
      <c r="A65" s="677" t="str">
        <f aca="false">IF(ISERROR(A64+30),"",IF($D$42=12,A64+30,IF($D$42=26,A64+14,IF($D$42=52,A64+7,""))))</f>
        <v/>
      </c>
      <c r="B65" s="677"/>
      <c r="C65" s="678" t="n">
        <f aca="false">IF($D$44&gt;E65+I64,E65+I64,$D$44)</f>
        <v>0</v>
      </c>
      <c r="D65" s="678"/>
      <c r="E65" s="678" t="n">
        <f aca="false">IF(ISERROR(ROUND(I64*$D$43/$D$42,2)),0,ROUND(I64*$D$43/$D$42,2))</f>
        <v>0</v>
      </c>
      <c r="F65" s="678"/>
      <c r="G65" s="678" t="n">
        <f aca="false">C65-E65</f>
        <v>0</v>
      </c>
      <c r="H65" s="678"/>
      <c r="I65" s="679" t="n">
        <f aca="false">IF(I64-G65&lt;0,0,I64-G65)</f>
        <v>0</v>
      </c>
      <c r="J65" s="679"/>
    </row>
    <row r="66" customFormat="false" ht="15" hidden="true" customHeight="true" outlineLevel="0" collapsed="false">
      <c r="A66" s="677" t="str">
        <f aca="false">IF(ISERROR(A65+30),"",IF($D$42=12,A65+30,IF($D$42=26,A65+14,IF($D$42=52,A65+7,""))))</f>
        <v/>
      </c>
      <c r="B66" s="677"/>
      <c r="C66" s="678" t="n">
        <f aca="false">IF($D$44&gt;E66+I65,E66+I65,$D$44)</f>
        <v>0</v>
      </c>
      <c r="D66" s="678"/>
      <c r="E66" s="678" t="n">
        <f aca="false">IF(ISERROR(ROUND(I65*$D$43/$D$42,2)),0,ROUND(I65*$D$43/$D$42,2))</f>
        <v>0</v>
      </c>
      <c r="F66" s="678"/>
      <c r="G66" s="678" t="n">
        <f aca="false">C66-E66</f>
        <v>0</v>
      </c>
      <c r="H66" s="678"/>
      <c r="I66" s="679" t="n">
        <f aca="false">IF(I65-G66&lt;0,0,I65-G66)</f>
        <v>0</v>
      </c>
      <c r="J66" s="679"/>
    </row>
    <row r="67" customFormat="false" ht="15" hidden="true" customHeight="true" outlineLevel="0" collapsed="false">
      <c r="A67" s="677" t="str">
        <f aca="false">IF(ISERROR(A66+30),"",IF($D$42=12,A66+30,IF($D$42=26,A66+14,IF($D$42=52,A66+7,""))))</f>
        <v/>
      </c>
      <c r="B67" s="677"/>
      <c r="C67" s="678" t="n">
        <f aca="false">IF($D$44&gt;E67+I66,E67+I66,$D$44)</f>
        <v>0</v>
      </c>
      <c r="D67" s="678"/>
      <c r="E67" s="678" t="n">
        <f aca="false">IF(ISERROR(ROUND(I66*$D$43/$D$42,2)),0,ROUND(I66*$D$43/$D$42,2))</f>
        <v>0</v>
      </c>
      <c r="F67" s="678"/>
      <c r="G67" s="678" t="n">
        <f aca="false">C67-E67</f>
        <v>0</v>
      </c>
      <c r="H67" s="678"/>
      <c r="I67" s="679" t="n">
        <f aca="false">IF(I66-G67&lt;0,0,I66-G67)</f>
        <v>0</v>
      </c>
      <c r="J67" s="679"/>
    </row>
    <row r="68" customFormat="false" ht="15" hidden="true" customHeight="true" outlineLevel="0" collapsed="false">
      <c r="A68" s="677" t="str">
        <f aca="false">IF(ISERROR(A67+30),"",IF($D$42=12,A67+30,IF($D$42=26,A67+14,IF($D$42=52,A67+7,""))))</f>
        <v/>
      </c>
      <c r="B68" s="677"/>
      <c r="C68" s="678" t="n">
        <f aca="false">IF($D$44&gt;E68+I67,E68+I67,$D$44)</f>
        <v>0</v>
      </c>
      <c r="D68" s="678"/>
      <c r="E68" s="678" t="n">
        <f aca="false">IF(ISERROR(ROUND(I67*$D$43/$D$42,2)),0,ROUND(I67*$D$43/$D$42,2))</f>
        <v>0</v>
      </c>
      <c r="F68" s="678"/>
      <c r="G68" s="678" t="n">
        <f aca="false">C68-E68</f>
        <v>0</v>
      </c>
      <c r="H68" s="678"/>
      <c r="I68" s="679" t="n">
        <f aca="false">IF(I67-G68&lt;0,0,I67-G68)</f>
        <v>0</v>
      </c>
      <c r="J68" s="679"/>
    </row>
    <row r="69" customFormat="false" ht="15" hidden="true" customHeight="true" outlineLevel="0" collapsed="false">
      <c r="A69" s="677" t="str">
        <f aca="false">IF(ISERROR(A68+30),"",IF($D$42=12,A68+30,IF($D$42=26,A68+14,IF($D$42=52,A68+7,""))))</f>
        <v/>
      </c>
      <c r="B69" s="677"/>
      <c r="C69" s="678" t="n">
        <f aca="false">IF($D$44&gt;E69+I68,E69+I68,$D$44)</f>
        <v>0</v>
      </c>
      <c r="D69" s="678"/>
      <c r="E69" s="678" t="n">
        <f aca="false">IF(ISERROR(ROUND(I68*$D$43/$D$42,2)),0,ROUND(I68*$D$43/$D$42,2))</f>
        <v>0</v>
      </c>
      <c r="F69" s="678"/>
      <c r="G69" s="678" t="n">
        <f aca="false">C69-E69</f>
        <v>0</v>
      </c>
      <c r="H69" s="678"/>
      <c r="I69" s="679" t="n">
        <f aca="false">IF(I68-G69&lt;0,0,I68-G69)</f>
        <v>0</v>
      </c>
      <c r="J69" s="679"/>
    </row>
    <row r="70" customFormat="false" ht="15" hidden="true" customHeight="true" outlineLevel="0" collapsed="false">
      <c r="A70" s="677" t="str">
        <f aca="false">IF(ISERROR(A69+30),"",IF($D$42=12,A69+30,IF($D$42=26,A69+14,IF($D$42=52,A69+7,""))))</f>
        <v/>
      </c>
      <c r="B70" s="677"/>
      <c r="C70" s="678" t="n">
        <f aca="false">IF($D$44&gt;E70+I69,E70+I69,$D$44)</f>
        <v>0</v>
      </c>
      <c r="D70" s="678"/>
      <c r="E70" s="678" t="n">
        <f aca="false">IF(ISERROR(ROUND(I69*$D$43/$D$42,2)),0,ROUND(I69*$D$43/$D$42,2))</f>
        <v>0</v>
      </c>
      <c r="F70" s="678"/>
      <c r="G70" s="678" t="n">
        <f aca="false">C70-E70</f>
        <v>0</v>
      </c>
      <c r="H70" s="678"/>
      <c r="I70" s="679" t="n">
        <f aca="false">IF(I69-G70&lt;0,0,I69-G70)</f>
        <v>0</v>
      </c>
      <c r="J70" s="679"/>
    </row>
    <row r="71" customFormat="false" ht="15" hidden="true" customHeight="true" outlineLevel="0" collapsed="false">
      <c r="A71" s="677" t="str">
        <f aca="false">IF(ISERROR(A70+30),"",IF($D$42=12,A70+30,IF($D$42=26,A70+14,IF($D$42=52,A70+7,""))))</f>
        <v/>
      </c>
      <c r="B71" s="677"/>
      <c r="C71" s="678" t="n">
        <f aca="false">IF($D$44&gt;E71+I70,E71+I70,$D$44)</f>
        <v>0</v>
      </c>
      <c r="D71" s="678"/>
      <c r="E71" s="678" t="n">
        <f aca="false">IF(ISERROR(ROUND(I70*$D$43/$D$42,2)),0,ROUND(I70*$D$43/$D$42,2))</f>
        <v>0</v>
      </c>
      <c r="F71" s="678"/>
      <c r="G71" s="678" t="n">
        <f aca="false">C71-E71</f>
        <v>0</v>
      </c>
      <c r="H71" s="678"/>
      <c r="I71" s="679" t="n">
        <f aca="false">IF(I70-G71&lt;0,0,I70-G71)</f>
        <v>0</v>
      </c>
      <c r="J71" s="679"/>
    </row>
    <row r="72" customFormat="false" ht="15" hidden="true" customHeight="true" outlineLevel="0" collapsed="false">
      <c r="A72" s="677" t="str">
        <f aca="false">IF(ISERROR(A71+30),"",IF($D$42=12,A71+30,IF($D$42=26,A71+14,IF($D$42=52,A71+7,""))))</f>
        <v/>
      </c>
      <c r="B72" s="677"/>
      <c r="C72" s="678" t="n">
        <f aca="false">IF($D$44&gt;E72+I71,E72+I71,$D$44)</f>
        <v>0</v>
      </c>
      <c r="D72" s="678"/>
      <c r="E72" s="678" t="n">
        <f aca="false">IF(ISERROR(ROUND(I71*$D$43/$D$42,2)),0,ROUND(I71*$D$43/$D$42,2))</f>
        <v>0</v>
      </c>
      <c r="F72" s="678"/>
      <c r="G72" s="678" t="n">
        <f aca="false">C72-E72</f>
        <v>0</v>
      </c>
      <c r="H72" s="678"/>
      <c r="I72" s="679" t="n">
        <f aca="false">IF(I71-G72&lt;0,0,I71-G72)</f>
        <v>0</v>
      </c>
      <c r="J72" s="679"/>
    </row>
    <row r="73" customFormat="false" ht="15" hidden="true" customHeight="true" outlineLevel="0" collapsed="false">
      <c r="A73" s="677" t="str">
        <f aca="false">IF(ISERROR(A72+30),"",IF($D$42=12,A72+30,IF($D$42=26,A72+14,IF($D$42=52,A72+7,""))))</f>
        <v/>
      </c>
      <c r="B73" s="677"/>
      <c r="C73" s="678" t="n">
        <f aca="false">IF($D$44&gt;E73+I72,E73+I72,$D$44)</f>
        <v>0</v>
      </c>
      <c r="D73" s="678"/>
      <c r="E73" s="678" t="n">
        <f aca="false">IF(ISERROR(ROUND(I72*$D$43/$D$42,2)),0,ROUND(I72*$D$43/$D$42,2))</f>
        <v>0</v>
      </c>
      <c r="F73" s="678"/>
      <c r="G73" s="678" t="n">
        <f aca="false">C73-E73</f>
        <v>0</v>
      </c>
      <c r="H73" s="678"/>
      <c r="I73" s="679" t="n">
        <f aca="false">IF(I72-G73&lt;0,0,I72-G73)</f>
        <v>0</v>
      </c>
      <c r="J73" s="679"/>
    </row>
    <row r="74" customFormat="false" ht="15" hidden="true" customHeight="true" outlineLevel="0" collapsed="false">
      <c r="A74" s="677" t="str">
        <f aca="false">IF(ISERROR(A73+30),"",IF($D$42=12,A73+30,IF($D$42=26,A73+14,IF($D$42=52,A73+7,""))))</f>
        <v/>
      </c>
      <c r="B74" s="677"/>
      <c r="C74" s="678" t="n">
        <f aca="false">IF($D$44&gt;E74+I73,E74+I73,$D$44)</f>
        <v>0</v>
      </c>
      <c r="D74" s="678"/>
      <c r="E74" s="678" t="n">
        <f aca="false">IF(ISERROR(ROUND(I73*$D$43/$D$42,2)),0,ROUND(I73*$D$43/$D$42,2))</f>
        <v>0</v>
      </c>
      <c r="F74" s="678"/>
      <c r="G74" s="678" t="n">
        <f aca="false">C74-E74</f>
        <v>0</v>
      </c>
      <c r="H74" s="678"/>
      <c r="I74" s="679" t="n">
        <f aca="false">IF(I73-G74&lt;0,0,I73-G74)</f>
        <v>0</v>
      </c>
      <c r="J74" s="679"/>
    </row>
    <row r="75" customFormat="false" ht="15" hidden="true" customHeight="true" outlineLevel="0" collapsed="false">
      <c r="A75" s="677" t="str">
        <f aca="false">IF(ISERROR(A74+30),"",IF($D$42=12,A74+30,IF($D$42=26,A74+14,IF($D$42=52,A74+7,""))))</f>
        <v/>
      </c>
      <c r="B75" s="677"/>
      <c r="C75" s="678" t="n">
        <f aca="false">IF($D$44&gt;E75+I74,E75+I74,$D$44)</f>
        <v>0</v>
      </c>
      <c r="D75" s="678"/>
      <c r="E75" s="678" t="n">
        <f aca="false">IF(ISERROR(ROUND(I74*$D$43/$D$42,2)),0,ROUND(I74*$D$43/$D$42,2))</f>
        <v>0</v>
      </c>
      <c r="F75" s="678"/>
      <c r="G75" s="678" t="n">
        <f aca="false">C75-E75</f>
        <v>0</v>
      </c>
      <c r="H75" s="678"/>
      <c r="I75" s="679" t="n">
        <f aca="false">IF(I74-G75&lt;0,0,I74-G75)</f>
        <v>0</v>
      </c>
      <c r="J75" s="679"/>
    </row>
    <row r="76" customFormat="false" ht="15" hidden="true" customHeight="true" outlineLevel="0" collapsed="false">
      <c r="A76" s="677" t="str">
        <f aca="false">IF(ISERROR(A75+30),"",IF($D$42=12,A75+30,IF($D$42=26,A75+14,IF($D$42=52,A75+7,""))))</f>
        <v/>
      </c>
      <c r="B76" s="677"/>
      <c r="C76" s="678" t="n">
        <f aca="false">IF($D$44&gt;E76+I75,E76+I75,$D$44)</f>
        <v>0</v>
      </c>
      <c r="D76" s="678"/>
      <c r="E76" s="678" t="n">
        <f aca="false">IF(ISERROR(ROUND(I75*$D$43/$D$42,2)),0,ROUND(I75*$D$43/$D$42,2))</f>
        <v>0</v>
      </c>
      <c r="F76" s="678"/>
      <c r="G76" s="678" t="n">
        <f aca="false">C76-E76</f>
        <v>0</v>
      </c>
      <c r="H76" s="678"/>
      <c r="I76" s="679" t="n">
        <f aca="false">IF(I75-G76&lt;0,0,I75-G76)</f>
        <v>0</v>
      </c>
      <c r="J76" s="679"/>
    </row>
    <row r="77" customFormat="false" ht="15" hidden="true" customHeight="true" outlineLevel="0" collapsed="false">
      <c r="A77" s="677" t="str">
        <f aca="false">IF(ISERROR(A76+30),"",IF($D$42=12,A76+30,IF($D$42=26,A76+14,IF($D$42=52,A76+7,""))))</f>
        <v/>
      </c>
      <c r="B77" s="677"/>
      <c r="C77" s="678" t="n">
        <f aca="false">IF($D$44&gt;E77+I76,E77+I76,$D$44)</f>
        <v>0</v>
      </c>
      <c r="D77" s="678"/>
      <c r="E77" s="678" t="n">
        <f aca="false">IF(ISERROR(ROUND(I76*$D$43/$D$42,2)),0,ROUND(I76*$D$43/$D$42,2))</f>
        <v>0</v>
      </c>
      <c r="F77" s="678"/>
      <c r="G77" s="678" t="n">
        <f aca="false">C77-E77</f>
        <v>0</v>
      </c>
      <c r="H77" s="678"/>
      <c r="I77" s="679" t="n">
        <f aca="false">IF(I76-G77&lt;0,0,I76-G77)</f>
        <v>0</v>
      </c>
      <c r="J77" s="679"/>
    </row>
    <row r="78" customFormat="false" ht="15" hidden="true" customHeight="true" outlineLevel="0" collapsed="false">
      <c r="A78" s="677" t="str">
        <f aca="false">IF(ISERROR(A77+30),"",IF($D$42=12,A77+30,IF($D$42=26,A77+14,IF($D$42=52,A77+7,""))))</f>
        <v/>
      </c>
      <c r="B78" s="677"/>
      <c r="C78" s="678" t="n">
        <f aca="false">IF($D$44&gt;E78+I77,E78+I77,$D$44)</f>
        <v>0</v>
      </c>
      <c r="D78" s="678"/>
      <c r="E78" s="678" t="n">
        <f aca="false">IF(ISERROR(ROUND(I77*$D$43/$D$42,2)),0,ROUND(I77*$D$43/$D$42,2))</f>
        <v>0</v>
      </c>
      <c r="F78" s="678"/>
      <c r="G78" s="678" t="n">
        <f aca="false">C78-E78</f>
        <v>0</v>
      </c>
      <c r="H78" s="678"/>
      <c r="I78" s="679" t="n">
        <f aca="false">IF(I77-G78&lt;0,0,I77-G78)</f>
        <v>0</v>
      </c>
      <c r="J78" s="679"/>
    </row>
    <row r="79" customFormat="false" ht="15" hidden="true" customHeight="true" outlineLevel="0" collapsed="false">
      <c r="A79" s="677" t="str">
        <f aca="false">IF(ISERROR(A78+30),"",IF($D$42=12,A78+30,IF($D$42=26,A78+14,IF($D$42=52,A78+7,""))))</f>
        <v/>
      </c>
      <c r="B79" s="677"/>
      <c r="C79" s="678" t="n">
        <f aca="false">IF($D$44&gt;E79+I78,E79+I78,$D$44)</f>
        <v>0</v>
      </c>
      <c r="D79" s="678"/>
      <c r="E79" s="678" t="n">
        <f aca="false">IF(ISERROR(ROUND(I78*$D$43/$D$42,2)),0,ROUND(I78*$D$43/$D$42,2))</f>
        <v>0</v>
      </c>
      <c r="F79" s="678"/>
      <c r="G79" s="678" t="n">
        <f aca="false">C79-E79</f>
        <v>0</v>
      </c>
      <c r="H79" s="678"/>
      <c r="I79" s="679" t="n">
        <f aca="false">IF(I78-G79&lt;0,0,I78-G79)</f>
        <v>0</v>
      </c>
      <c r="J79" s="679"/>
    </row>
    <row r="80" customFormat="false" ht="15" hidden="true" customHeight="true" outlineLevel="0" collapsed="false">
      <c r="A80" s="677" t="str">
        <f aca="false">IF(ISERROR(A79+30),"",IF($D$42=12,A79+30,IF($D$42=26,A79+14,IF($D$42=52,A79+7,""))))</f>
        <v/>
      </c>
      <c r="B80" s="677"/>
      <c r="C80" s="678" t="n">
        <f aca="false">IF($D$44&gt;E80+I79,E80+I79,$D$44)</f>
        <v>0</v>
      </c>
      <c r="D80" s="678"/>
      <c r="E80" s="678" t="n">
        <f aca="false">IF(ISERROR(ROUND(I79*$D$43/$D$42,2)),0,ROUND(I79*$D$43/$D$42,2))</f>
        <v>0</v>
      </c>
      <c r="F80" s="678"/>
      <c r="G80" s="678" t="n">
        <f aca="false">C80-E80</f>
        <v>0</v>
      </c>
      <c r="H80" s="678"/>
      <c r="I80" s="679" t="n">
        <f aca="false">IF(I79-G80&lt;0,0,I79-G80)</f>
        <v>0</v>
      </c>
      <c r="J80" s="679"/>
    </row>
    <row r="81" customFormat="false" ht="15" hidden="true" customHeight="true" outlineLevel="0" collapsed="false">
      <c r="A81" s="677" t="str">
        <f aca="false">IF(ISERROR(A80+30),"",IF($D$42=12,A80+30,IF($D$42=26,A80+14,IF($D$42=52,A80+7,""))))</f>
        <v/>
      </c>
      <c r="B81" s="677"/>
      <c r="C81" s="678" t="n">
        <f aca="false">IF($D$44&gt;E81+I80,E81+I80,$D$44)</f>
        <v>0</v>
      </c>
      <c r="D81" s="678"/>
      <c r="E81" s="678" t="n">
        <f aca="false">IF(ISERROR(ROUND(I80*$D$43/$D$42,2)),0,ROUND(I80*$D$43/$D$42,2))</f>
        <v>0</v>
      </c>
      <c r="F81" s="678"/>
      <c r="G81" s="678" t="n">
        <f aca="false">C81-E81</f>
        <v>0</v>
      </c>
      <c r="H81" s="678"/>
      <c r="I81" s="679" t="n">
        <f aca="false">IF(I80-G81&lt;0,0,I80-G81)</f>
        <v>0</v>
      </c>
      <c r="J81" s="679"/>
    </row>
    <row r="82" customFormat="false" ht="15" hidden="true" customHeight="true" outlineLevel="0" collapsed="false">
      <c r="A82" s="677" t="str">
        <f aca="false">IF(ISERROR(A81+30),"",IF($D$42=12,A81+30,IF($D$42=26,A81+14,IF($D$42=52,A81+7,""))))</f>
        <v/>
      </c>
      <c r="B82" s="677"/>
      <c r="C82" s="678" t="n">
        <f aca="false">IF($D$44&gt;E82+I81,E82+I81,$D$44)</f>
        <v>0</v>
      </c>
      <c r="D82" s="678"/>
      <c r="E82" s="678" t="n">
        <f aca="false">IF(ISERROR(ROUND(I81*$D$43/$D$42,2)),0,ROUND(I81*$D$43/$D$42,2))</f>
        <v>0</v>
      </c>
      <c r="F82" s="678"/>
      <c r="G82" s="678" t="n">
        <f aca="false">C82-E82</f>
        <v>0</v>
      </c>
      <c r="H82" s="678"/>
      <c r="I82" s="679" t="n">
        <f aca="false">IF(I81-G82&lt;0,0,I81-G82)</f>
        <v>0</v>
      </c>
      <c r="J82" s="679"/>
    </row>
    <row r="83" customFormat="false" ht="15" hidden="true" customHeight="true" outlineLevel="0" collapsed="false">
      <c r="A83" s="677" t="str">
        <f aca="false">IF(ISERROR(A82+30),"",IF($D$42=12,A82+30,IF($D$42=26,A82+14,IF($D$42=52,A82+7,""))))</f>
        <v/>
      </c>
      <c r="B83" s="677"/>
      <c r="C83" s="678" t="n">
        <f aca="false">IF($D$44&gt;E83+I82,E83+I82,$D$44)</f>
        <v>0</v>
      </c>
      <c r="D83" s="678"/>
      <c r="E83" s="678" t="n">
        <f aca="false">IF(ISERROR(ROUND(I82*$D$43/$D$42,2)),0,ROUND(I82*$D$43/$D$42,2))</f>
        <v>0</v>
      </c>
      <c r="F83" s="678"/>
      <c r="G83" s="678" t="n">
        <f aca="false">C83-E83</f>
        <v>0</v>
      </c>
      <c r="H83" s="678"/>
      <c r="I83" s="679" t="n">
        <f aca="false">IF(I82-G83&lt;0,0,I82-G83)</f>
        <v>0</v>
      </c>
      <c r="J83" s="679"/>
    </row>
    <row r="84" customFormat="false" ht="15" hidden="true" customHeight="true" outlineLevel="0" collapsed="false">
      <c r="A84" s="677" t="str">
        <f aca="false">IF(ISERROR(A83+30),"",IF($D$42=12,A83+30,IF($D$42=26,A83+14,IF($D$42=52,A83+7,""))))</f>
        <v/>
      </c>
      <c r="B84" s="677"/>
      <c r="C84" s="678" t="n">
        <f aca="false">IF($D$44&gt;E84+I83,E84+I83,$D$44)</f>
        <v>0</v>
      </c>
      <c r="D84" s="678"/>
      <c r="E84" s="678" t="n">
        <f aca="false">IF(ISERROR(ROUND(I83*$D$43/$D$42,2)),0,ROUND(I83*$D$43/$D$42,2))</f>
        <v>0</v>
      </c>
      <c r="F84" s="678"/>
      <c r="G84" s="678" t="n">
        <f aca="false">C84-E84</f>
        <v>0</v>
      </c>
      <c r="H84" s="678"/>
      <c r="I84" s="679" t="n">
        <f aca="false">IF(I83-G84&lt;0,0,I83-G84)</f>
        <v>0</v>
      </c>
      <c r="J84" s="679"/>
    </row>
    <row r="85" customFormat="false" ht="15" hidden="true" customHeight="true" outlineLevel="0" collapsed="false">
      <c r="A85" s="677" t="str">
        <f aca="false">IF(ISERROR(A84+30),"",IF($D$42=12,A84+30,IF($D$42=26,A84+14,IF($D$42=52,A84+7,""))))</f>
        <v/>
      </c>
      <c r="B85" s="677"/>
      <c r="C85" s="678" t="n">
        <f aca="false">IF($D$44&gt;E85+I84,E85+I84,$D$44)</f>
        <v>0</v>
      </c>
      <c r="D85" s="678"/>
      <c r="E85" s="678" t="n">
        <f aca="false">IF(ISERROR(ROUND(I84*$D$43/$D$42,2)),0,ROUND(I84*$D$43/$D$42,2))</f>
        <v>0</v>
      </c>
      <c r="F85" s="678"/>
      <c r="G85" s="678" t="n">
        <f aca="false">C85-E85</f>
        <v>0</v>
      </c>
      <c r="H85" s="678"/>
      <c r="I85" s="679" t="n">
        <f aca="false">IF(I84-G85&lt;0,0,I84-G85)</f>
        <v>0</v>
      </c>
      <c r="J85" s="679"/>
    </row>
    <row r="86" customFormat="false" ht="15" hidden="true" customHeight="true" outlineLevel="0" collapsed="false">
      <c r="A86" s="677" t="str">
        <f aca="false">IF(ISERROR(A85+30),"",IF($D$42=12,A85+30,IF($D$42=26,A85+14,IF($D$42=52,A85+7,""))))</f>
        <v/>
      </c>
      <c r="B86" s="677"/>
      <c r="C86" s="678" t="n">
        <f aca="false">IF($D$44&gt;E86+I85,E86+I85,$D$44)</f>
        <v>0</v>
      </c>
      <c r="D86" s="678"/>
      <c r="E86" s="678" t="n">
        <f aca="false">IF(ISERROR(ROUND(I85*$D$43/$D$42,2)),0,ROUND(I85*$D$43/$D$42,2))</f>
        <v>0</v>
      </c>
      <c r="F86" s="678"/>
      <c r="G86" s="678" t="n">
        <f aca="false">C86-E86</f>
        <v>0</v>
      </c>
      <c r="H86" s="678"/>
      <c r="I86" s="679" t="n">
        <f aca="false">IF(I85-G86&lt;0,0,I85-G86)</f>
        <v>0</v>
      </c>
      <c r="J86" s="679"/>
    </row>
    <row r="87" customFormat="false" ht="15" hidden="true" customHeight="true" outlineLevel="0" collapsed="false">
      <c r="A87" s="677" t="str">
        <f aca="false">IF(ISERROR(A86+30),"",IF($D$42=12,A86+30,IF($D$42=26,A86+14,IF($D$42=52,A86+7,""))))</f>
        <v/>
      </c>
      <c r="B87" s="677"/>
      <c r="C87" s="678" t="n">
        <f aca="false">IF($D$44&gt;E87+I86,E87+I86,$D$44)</f>
        <v>0</v>
      </c>
      <c r="D87" s="678"/>
      <c r="E87" s="678" t="n">
        <f aca="false">IF(ISERROR(ROUND(I86*$D$43/$D$42,2)),0,ROUND(I86*$D$43/$D$42,2))</f>
        <v>0</v>
      </c>
      <c r="F87" s="678"/>
      <c r="G87" s="678" t="n">
        <f aca="false">C87-E87</f>
        <v>0</v>
      </c>
      <c r="H87" s="678"/>
      <c r="I87" s="679" t="n">
        <f aca="false">IF(I86-G87&lt;0,0,I86-G87)</f>
        <v>0</v>
      </c>
      <c r="J87" s="679"/>
    </row>
    <row r="88" customFormat="false" ht="15" hidden="true" customHeight="true" outlineLevel="0" collapsed="false">
      <c r="A88" s="677" t="str">
        <f aca="false">IF(ISERROR(A87+30),"",IF($D$42=12,A87+30,IF($D$42=26,A87+14,IF($D$42=52,A87+7,""))))</f>
        <v/>
      </c>
      <c r="B88" s="677"/>
      <c r="C88" s="678" t="n">
        <f aca="false">IF($D$44&gt;E88+I87,E88+I87,$D$44)</f>
        <v>0</v>
      </c>
      <c r="D88" s="678"/>
      <c r="E88" s="678" t="n">
        <f aca="false">IF(ISERROR(ROUND(I87*$D$43/$D$42,2)),0,ROUND(I87*$D$43/$D$42,2))</f>
        <v>0</v>
      </c>
      <c r="F88" s="678"/>
      <c r="G88" s="678" t="n">
        <f aca="false">C88-E88</f>
        <v>0</v>
      </c>
      <c r="H88" s="678"/>
      <c r="I88" s="679" t="n">
        <f aca="false">IF(I87-G88&lt;0,0,I87-G88)</f>
        <v>0</v>
      </c>
      <c r="J88" s="679"/>
    </row>
    <row r="89" customFormat="false" ht="15" hidden="true" customHeight="true" outlineLevel="0" collapsed="false">
      <c r="A89" s="677" t="str">
        <f aca="false">IF(ISERROR(A88+30),"",IF($D$42=12,A88+30,IF($D$42=26,A88+14,IF($D$42=52,A88+7,""))))</f>
        <v/>
      </c>
      <c r="B89" s="677"/>
      <c r="C89" s="678" t="n">
        <f aca="false">IF($D$44&gt;E89+I88,E89+I88,$D$44)</f>
        <v>0</v>
      </c>
      <c r="D89" s="678"/>
      <c r="E89" s="678" t="n">
        <f aca="false">IF(ISERROR(ROUND(I88*$D$43/$D$42,2)),0,ROUND(I88*$D$43/$D$42,2))</f>
        <v>0</v>
      </c>
      <c r="F89" s="678"/>
      <c r="G89" s="678" t="n">
        <f aca="false">C89-E89</f>
        <v>0</v>
      </c>
      <c r="H89" s="678"/>
      <c r="I89" s="679" t="n">
        <f aca="false">IF(I88-G89&lt;0,0,I88-G89)</f>
        <v>0</v>
      </c>
      <c r="J89" s="679"/>
    </row>
    <row r="90" customFormat="false" ht="15" hidden="true" customHeight="true" outlineLevel="0" collapsed="false">
      <c r="A90" s="677" t="str">
        <f aca="false">IF(ISERROR(A89+30),"",IF($D$42=12,A89+30,IF($D$42=26,A89+14,IF($D$42=52,A89+7,""))))</f>
        <v/>
      </c>
      <c r="B90" s="677"/>
      <c r="C90" s="678" t="n">
        <f aca="false">IF($D$44&gt;E90+I89,E90+I89,$D$44)</f>
        <v>0</v>
      </c>
      <c r="D90" s="678"/>
      <c r="E90" s="678" t="n">
        <f aca="false">IF(ISERROR(ROUND(I89*$D$43/$D$42,2)),0,ROUND(I89*$D$43/$D$42,2))</f>
        <v>0</v>
      </c>
      <c r="F90" s="678"/>
      <c r="G90" s="678" t="n">
        <f aca="false">C90-E90</f>
        <v>0</v>
      </c>
      <c r="H90" s="678"/>
      <c r="I90" s="679" t="n">
        <f aca="false">IF(I89-G90&lt;0,0,I89-G90)</f>
        <v>0</v>
      </c>
      <c r="J90" s="679"/>
    </row>
    <row r="91" customFormat="false" ht="15" hidden="true" customHeight="true" outlineLevel="0" collapsed="false">
      <c r="A91" s="677" t="str">
        <f aca="false">IF(ISERROR(A90+30),"",IF($D$42=12,A90+30,IF($D$42=26,A90+14,IF($D$42=52,A90+7,""))))</f>
        <v/>
      </c>
      <c r="B91" s="677"/>
      <c r="C91" s="678" t="n">
        <f aca="false">IF($D$44&gt;E91+I90,E91+I90,$D$44)</f>
        <v>0</v>
      </c>
      <c r="D91" s="678"/>
      <c r="E91" s="678" t="n">
        <f aca="false">IF(ISERROR(ROUND(I90*$D$43/$D$42,2)),0,ROUND(I90*$D$43/$D$42,2))</f>
        <v>0</v>
      </c>
      <c r="F91" s="678"/>
      <c r="G91" s="678" t="n">
        <f aca="false">C91-E91</f>
        <v>0</v>
      </c>
      <c r="H91" s="678"/>
      <c r="I91" s="679" t="n">
        <f aca="false">IF(I90-G91&lt;0,0,I90-G91)</f>
        <v>0</v>
      </c>
      <c r="J91" s="679"/>
    </row>
    <row r="92" customFormat="false" ht="15" hidden="true" customHeight="true" outlineLevel="0" collapsed="false">
      <c r="A92" s="677" t="str">
        <f aca="false">IF(ISERROR(A91+30),"",IF($D$42=12,A91+30,IF($D$42=26,A91+14,IF($D$42=52,A91+7,""))))</f>
        <v/>
      </c>
      <c r="B92" s="677"/>
      <c r="C92" s="678" t="n">
        <f aca="false">IF($D$44&gt;E92+I91,E92+I91,$D$44)</f>
        <v>0</v>
      </c>
      <c r="D92" s="678"/>
      <c r="E92" s="678" t="n">
        <f aca="false">IF(ISERROR(ROUND(I91*$D$43/$D$42,2)),0,ROUND(I91*$D$43/$D$42,2))</f>
        <v>0</v>
      </c>
      <c r="F92" s="678"/>
      <c r="G92" s="678" t="n">
        <f aca="false">C92-E92</f>
        <v>0</v>
      </c>
      <c r="H92" s="678"/>
      <c r="I92" s="679" t="n">
        <f aca="false">IF(I91-G92&lt;0,0,I91-G92)</f>
        <v>0</v>
      </c>
      <c r="J92" s="679"/>
    </row>
    <row r="93" customFormat="false" ht="15" hidden="true" customHeight="true" outlineLevel="0" collapsed="false">
      <c r="A93" s="677" t="str">
        <f aca="false">IF(ISERROR(A92+30),"",IF($D$42=12,A92+30,IF($D$42=26,A92+14,IF($D$42=52,A92+7,""))))</f>
        <v/>
      </c>
      <c r="B93" s="677"/>
      <c r="C93" s="678" t="n">
        <f aca="false">IF($D$44&gt;E93+I92,E93+I92,$D$44)</f>
        <v>0</v>
      </c>
      <c r="D93" s="678"/>
      <c r="E93" s="678" t="n">
        <f aca="false">IF(ISERROR(ROUND(I92*$D$43/$D$42,2)),0,ROUND(I92*$D$43/$D$42,2))</f>
        <v>0</v>
      </c>
      <c r="F93" s="678"/>
      <c r="G93" s="678" t="n">
        <f aca="false">C93-E93</f>
        <v>0</v>
      </c>
      <c r="H93" s="678"/>
      <c r="I93" s="679" t="n">
        <f aca="false">IF(I92-G93&lt;0,0,I92-G93)</f>
        <v>0</v>
      </c>
      <c r="J93" s="679"/>
    </row>
    <row r="94" customFormat="false" ht="15" hidden="true" customHeight="true" outlineLevel="0" collapsed="false">
      <c r="A94" s="677" t="str">
        <f aca="false">IF(ISERROR(A93+30),"",IF($D$42=12,A93+30,IF($D$42=26,A93+14,IF($D$42=52,A93+7,""))))</f>
        <v/>
      </c>
      <c r="B94" s="677"/>
      <c r="C94" s="678" t="n">
        <f aca="false">IF($D$44&gt;E94+I93,E94+I93,$D$44)</f>
        <v>0</v>
      </c>
      <c r="D94" s="678"/>
      <c r="E94" s="678" t="n">
        <f aca="false">IF(ISERROR(ROUND(I93*$D$43/$D$42,2)),0,ROUND(I93*$D$43/$D$42,2))</f>
        <v>0</v>
      </c>
      <c r="F94" s="678"/>
      <c r="G94" s="678" t="n">
        <f aca="false">C94-E94</f>
        <v>0</v>
      </c>
      <c r="H94" s="678"/>
      <c r="I94" s="679" t="n">
        <f aca="false">IF(I93-G94&lt;0,0,I93-G94)</f>
        <v>0</v>
      </c>
      <c r="J94" s="679"/>
    </row>
    <row r="95" customFormat="false" ht="15" hidden="true" customHeight="true" outlineLevel="0" collapsed="false">
      <c r="A95" s="677" t="str">
        <f aca="false">IF(ISERROR(A94+30),"",IF($D$42=12,A94+30,IF($D$42=26,A94+14,IF($D$42=52,A94+7,""))))</f>
        <v/>
      </c>
      <c r="B95" s="677"/>
      <c r="C95" s="678" t="n">
        <f aca="false">IF($D$44&gt;E95+I94,E95+I94,$D$44)</f>
        <v>0</v>
      </c>
      <c r="D95" s="678"/>
      <c r="E95" s="678" t="n">
        <f aca="false">IF(ISERROR(ROUND(I94*$D$43/$D$42,2)),0,ROUND(I94*$D$43/$D$42,2))</f>
        <v>0</v>
      </c>
      <c r="F95" s="678"/>
      <c r="G95" s="678" t="n">
        <f aca="false">C95-E95</f>
        <v>0</v>
      </c>
      <c r="H95" s="678"/>
      <c r="I95" s="679" t="n">
        <f aca="false">IF(I94-G95&lt;0,0,I94-G95)</f>
        <v>0</v>
      </c>
      <c r="J95" s="679"/>
    </row>
    <row r="96" customFormat="false" ht="15" hidden="true" customHeight="true" outlineLevel="0" collapsed="false">
      <c r="A96" s="677" t="str">
        <f aca="false">IF(ISERROR(A95+30),"",IF($D$42=12,A95+30,IF($D$42=26,A95+14,IF($D$42=52,A95+7,""))))</f>
        <v/>
      </c>
      <c r="B96" s="677"/>
      <c r="C96" s="678" t="n">
        <f aca="false">IF($D$44&gt;E96+I95,E96+I95,$D$44)</f>
        <v>0</v>
      </c>
      <c r="D96" s="678"/>
      <c r="E96" s="678" t="n">
        <f aca="false">IF(ISERROR(ROUND(I95*$D$43/$D$42,2)),0,ROUND(I95*$D$43/$D$42,2))</f>
        <v>0</v>
      </c>
      <c r="F96" s="678"/>
      <c r="G96" s="678" t="n">
        <f aca="false">C96-E96</f>
        <v>0</v>
      </c>
      <c r="H96" s="678"/>
      <c r="I96" s="679" t="n">
        <f aca="false">IF(I95-G96&lt;0,0,I95-G96)</f>
        <v>0</v>
      </c>
      <c r="J96" s="679"/>
    </row>
    <row r="97" customFormat="false" ht="15" hidden="true" customHeight="true" outlineLevel="0" collapsed="false">
      <c r="A97" s="677" t="str">
        <f aca="false">IF(ISERROR(A96+30),"",IF($D$42=12,A96+30,IF($D$42=26,A96+14,IF($D$42=52,A96+7,""))))</f>
        <v/>
      </c>
      <c r="B97" s="677"/>
      <c r="C97" s="678" t="n">
        <f aca="false">IF($D$44&gt;E97+I96,E97+I96,$D$44)</f>
        <v>0</v>
      </c>
      <c r="D97" s="678"/>
      <c r="E97" s="678" t="n">
        <f aca="false">IF(ISERROR(ROUND(I96*$D$43/$D$42,2)),0,ROUND(I96*$D$43/$D$42,2))</f>
        <v>0</v>
      </c>
      <c r="F97" s="678"/>
      <c r="G97" s="678" t="n">
        <f aca="false">C97-E97</f>
        <v>0</v>
      </c>
      <c r="H97" s="678"/>
      <c r="I97" s="679" t="n">
        <f aca="false">IF(I96-G97&lt;0,0,I96-G97)</f>
        <v>0</v>
      </c>
      <c r="J97" s="679"/>
    </row>
    <row r="98" customFormat="false" ht="15" hidden="true" customHeight="true" outlineLevel="0" collapsed="false">
      <c r="A98" s="677" t="str">
        <f aca="false">IF(ISERROR(A97+30),"",IF($D$42=12,A97+30,IF($D$42=26,A97+14,IF($D$42=52,A97+7,""))))</f>
        <v/>
      </c>
      <c r="B98" s="677"/>
      <c r="C98" s="678" t="n">
        <f aca="false">IF($D$44&gt;E98+I97,E98+I97,$D$44)</f>
        <v>0</v>
      </c>
      <c r="D98" s="678"/>
      <c r="E98" s="678" t="n">
        <f aca="false">IF(ISERROR(ROUND(I97*$D$43/$D$42,2)),0,ROUND(I97*$D$43/$D$42,2))</f>
        <v>0</v>
      </c>
      <c r="F98" s="678"/>
      <c r="G98" s="678" t="n">
        <f aca="false">C98-E98</f>
        <v>0</v>
      </c>
      <c r="H98" s="678"/>
      <c r="I98" s="679" t="n">
        <f aca="false">IF(I97-G98&lt;0,0,I97-G98)</f>
        <v>0</v>
      </c>
      <c r="J98" s="679"/>
    </row>
    <row r="99" customFormat="false" ht="15" hidden="true" customHeight="true" outlineLevel="0" collapsed="false">
      <c r="A99" s="677" t="str">
        <f aca="false">IF(ISERROR(A98+30),"",IF($D$42=12,A98+30,IF($D$42=26,A98+14,IF($D$42=52,A98+7,""))))</f>
        <v/>
      </c>
      <c r="B99" s="677"/>
      <c r="C99" s="678" t="n">
        <f aca="false">IF($D$44&gt;E99+I98,E99+I98,$D$44)</f>
        <v>0</v>
      </c>
      <c r="D99" s="678"/>
      <c r="E99" s="678" t="n">
        <f aca="false">IF(ISERROR(ROUND(I98*$D$43/$D$42,2)),0,ROUND(I98*$D$43/$D$42,2))</f>
        <v>0</v>
      </c>
      <c r="F99" s="678"/>
      <c r="G99" s="678" t="n">
        <f aca="false">C99-E99</f>
        <v>0</v>
      </c>
      <c r="H99" s="678"/>
      <c r="I99" s="679" t="n">
        <f aca="false">IF(I98-G99&lt;0,0,I98-G99)</f>
        <v>0</v>
      </c>
      <c r="J99" s="679"/>
    </row>
    <row r="100" customFormat="false" ht="15" hidden="true" customHeight="true" outlineLevel="0" collapsed="false">
      <c r="A100" s="677" t="str">
        <f aca="false">IF(ISERROR(A99+30),"",IF($D$42=12,A99+30,IF($D$42=26,A99+14,IF($D$42=52,A99+7,""))))</f>
        <v/>
      </c>
      <c r="B100" s="677"/>
      <c r="C100" s="678" t="n">
        <f aca="false">IF($D$44&gt;E100+I99,E100+I99,$D$44)</f>
        <v>0</v>
      </c>
      <c r="D100" s="678"/>
      <c r="E100" s="678" t="n">
        <f aca="false">IF(ISERROR(ROUND(I99*$D$43/$D$42,2)),0,ROUND(I99*$D$43/$D$42,2))</f>
        <v>0</v>
      </c>
      <c r="F100" s="678"/>
      <c r="G100" s="678" t="n">
        <f aca="false">C100-E100</f>
        <v>0</v>
      </c>
      <c r="H100" s="678"/>
      <c r="I100" s="679" t="n">
        <f aca="false">IF(I99-G100&lt;0,0,I99-G100)</f>
        <v>0</v>
      </c>
      <c r="J100" s="679"/>
    </row>
    <row r="101" customFormat="false" ht="15" hidden="false" customHeight="true" outlineLevel="0" collapsed="false">
      <c r="A101" s="681" t="str">
        <f aca="false">IF(ISERROR(A100+30),"",IF($D$42=12,A100+30,IF($D$42=26,A100+14,IF($D$42=52,A100+7,""))))</f>
        <v/>
      </c>
      <c r="B101" s="681"/>
      <c r="C101" s="682" t="n">
        <f aca="false">IF($D$44&gt;E101+I100,E101+I100,$D$44)</f>
        <v>0</v>
      </c>
      <c r="D101" s="682"/>
      <c r="E101" s="682" t="n">
        <f aca="false">IF(ISERROR(ROUND(I100*$D$43/$D$42,2)),0,ROUND(I100*$D$43/$D$42,2))</f>
        <v>0</v>
      </c>
      <c r="F101" s="682"/>
      <c r="G101" s="682" t="n">
        <f aca="false">C101-E101</f>
        <v>0</v>
      </c>
      <c r="H101" s="682"/>
      <c r="I101" s="683" t="n">
        <f aca="false">IF(I100-G101&lt;0,0,I100-G101)</f>
        <v>0</v>
      </c>
      <c r="J101" s="683"/>
    </row>
    <row r="102" customFormat="false" ht="15" hidden="false" customHeight="true" outlineLevel="0" collapsed="false">
      <c r="A102" s="684" t="s">
        <v>669</v>
      </c>
      <c r="B102" s="684"/>
      <c r="C102" s="685" t="n">
        <f aca="false">IF(D42=12,SUM(C50:D61),IF(D42=26,SUM(C50:C75),IF(D42=52,SUM(C50:C101),0)))</f>
        <v>0</v>
      </c>
      <c r="D102" s="685"/>
      <c r="E102" s="685" t="n">
        <f aca="false">IF(D42=12,SUM(E50:F61),IF(D42=26,SUM(E50:F75),IF(D42=52,SUM(E50:F101),0)))</f>
        <v>0</v>
      </c>
      <c r="F102" s="685"/>
      <c r="G102" s="686" t="n">
        <f aca="false">IF(D42=12,SUM(G50:H61),IF(D42=26,SUM(G50:H75),IF(D42=52,SUM(G50:H101),0)))</f>
        <v>0</v>
      </c>
      <c r="H102" s="686"/>
      <c r="I102" s="687"/>
      <c r="J102" s="687"/>
    </row>
    <row r="103" customFormat="false" ht="14.25" hidden="false" customHeight="false" outlineLevel="0" collapsed="false">
      <c r="A103" s="688"/>
      <c r="B103" s="688"/>
      <c r="C103" s="689"/>
      <c r="D103" s="689"/>
      <c r="E103" s="689"/>
      <c r="F103" s="689"/>
      <c r="G103" s="689"/>
      <c r="H103" s="689"/>
      <c r="I103" s="689"/>
      <c r="J103" s="689"/>
    </row>
    <row r="104" customFormat="false" ht="14.25" hidden="false" customHeight="false" outlineLevel="0" collapsed="false">
      <c r="A104" s="665" t="s">
        <v>973</v>
      </c>
      <c r="G104" s="665" t="s">
        <v>974</v>
      </c>
    </row>
    <row r="105" customFormat="false" ht="15" hidden="false" customHeight="true" outlineLevel="0" collapsed="false">
      <c r="A105" s="347"/>
      <c r="B105" s="690" t="s">
        <v>975</v>
      </c>
      <c r="D105" s="691" t="n">
        <f aca="false">D107-D106</f>
        <v>0</v>
      </c>
      <c r="E105" s="691"/>
      <c r="G105" s="692" t="s">
        <v>976</v>
      </c>
      <c r="H105" s="693"/>
      <c r="I105" s="694" t="n">
        <f aca="false">-D110</f>
        <v>0</v>
      </c>
      <c r="J105" s="694"/>
    </row>
    <row r="106" customFormat="false" ht="15" hidden="false" customHeight="true" outlineLevel="0" collapsed="false">
      <c r="A106" s="347"/>
      <c r="B106" s="690" t="s">
        <v>977</v>
      </c>
      <c r="D106" s="695" t="n">
        <f aca="false">I33*C6</f>
        <v>0</v>
      </c>
      <c r="E106" s="695"/>
      <c r="G106" s="696" t="s">
        <v>978</v>
      </c>
      <c r="H106" s="697"/>
      <c r="I106" s="698" t="n">
        <f aca="false">DSH!E37</f>
        <v>0</v>
      </c>
      <c r="J106" s="698"/>
    </row>
    <row r="107" customFormat="false" ht="15" hidden="false" customHeight="true" outlineLevel="0" collapsed="false">
      <c r="A107" s="347"/>
      <c r="B107" s="264" t="s">
        <v>979</v>
      </c>
      <c r="D107" s="699" t="n">
        <f aca="false">ROUND(I31*D43/365*D46,2)</f>
        <v>0</v>
      </c>
      <c r="E107" s="699"/>
      <c r="G107" s="700" t="s">
        <v>591</v>
      </c>
      <c r="H107" s="701"/>
      <c r="I107" s="702" t="n">
        <f aca="false">IFERROR(VALUE(I5) - VALUE(I6), 0)</f>
        <v>0</v>
      </c>
      <c r="J107" s="702"/>
    </row>
    <row r="108" customFormat="false" ht="14.25" hidden="false" customHeight="false" outlineLevel="0" collapsed="false">
      <c r="E108" s="264"/>
    </row>
    <row r="109" customFormat="false" ht="15" hidden="false" customHeight="true" outlineLevel="0" collapsed="false">
      <c r="A109" s="665" t="s">
        <v>980</v>
      </c>
      <c r="G109" s="692" t="s">
        <v>981</v>
      </c>
      <c r="H109" s="693"/>
      <c r="I109" s="694" t="n">
        <f aca="false">-D111</f>
        <v>0</v>
      </c>
      <c r="J109" s="694"/>
    </row>
    <row r="110" customFormat="false" ht="15" hidden="false" customHeight="true" outlineLevel="0" collapsed="false">
      <c r="A110" s="347"/>
      <c r="B110" s="264" t="s">
        <v>982</v>
      </c>
      <c r="D110" s="691" t="n">
        <f aca="false">G102+I32</f>
        <v>0</v>
      </c>
      <c r="E110" s="691"/>
      <c r="G110" s="696" t="s">
        <v>983</v>
      </c>
      <c r="H110" s="697"/>
      <c r="I110" s="698" t="n">
        <f aca="false">DSH!E69</f>
        <v>0</v>
      </c>
      <c r="J110" s="698"/>
    </row>
    <row r="111" customFormat="false" ht="15" hidden="false" customHeight="true" outlineLevel="0" collapsed="false">
      <c r="A111" s="347"/>
      <c r="B111" s="264" t="s">
        <v>984</v>
      </c>
      <c r="D111" s="695" t="n">
        <f aca="false">IF(D42="",I33,(IF(D42=12,I61,IF(D42=26,I75,IF(D42=52,I101,0)))))</f>
        <v>0</v>
      </c>
      <c r="E111" s="695"/>
      <c r="G111" s="700" t="s">
        <v>591</v>
      </c>
      <c r="H111" s="701"/>
      <c r="I111" s="703" t="n">
        <f aca="false">IFERROR(VALUE(I109) - VALUE(I10), 0)</f>
        <v>0</v>
      </c>
      <c r="J111" s="703"/>
    </row>
    <row r="112" customFormat="false" ht="15" hidden="false" customHeight="true" outlineLevel="0" collapsed="false">
      <c r="B112" s="264" t="s">
        <v>985</v>
      </c>
      <c r="D112" s="699" t="n">
        <f aca="false">SUM(D110:D111)</f>
        <v>0</v>
      </c>
      <c r="E112" s="699"/>
    </row>
  </sheetData>
  <mergeCells count="354">
    <mergeCell ref="A2:J2"/>
    <mergeCell ref="A4:B4"/>
    <mergeCell ref="C4:F4"/>
    <mergeCell ref="G4:H4"/>
    <mergeCell ref="I4:J4"/>
    <mergeCell ref="A5:B5"/>
    <mergeCell ref="G5:H5"/>
    <mergeCell ref="I5:J5"/>
    <mergeCell ref="A6:B6"/>
    <mergeCell ref="C6:F6"/>
    <mergeCell ref="G6:H6"/>
    <mergeCell ref="I6:J6"/>
    <mergeCell ref="A7:B7"/>
    <mergeCell ref="C7:F7"/>
    <mergeCell ref="G7:H7"/>
    <mergeCell ref="I7:J7"/>
    <mergeCell ref="I12:J12"/>
    <mergeCell ref="I13:J13"/>
    <mergeCell ref="I14:J14"/>
    <mergeCell ref="I15:J15"/>
    <mergeCell ref="I16:J16"/>
    <mergeCell ref="I17:J17"/>
    <mergeCell ref="I18:J18"/>
    <mergeCell ref="I19:J19"/>
    <mergeCell ref="I20:J20"/>
    <mergeCell ref="F21:G21"/>
    <mergeCell ref="I21:J21"/>
    <mergeCell ref="F22:G22"/>
    <mergeCell ref="I22:J22"/>
    <mergeCell ref="F23:G23"/>
    <mergeCell ref="I23:J23"/>
    <mergeCell ref="F24:G24"/>
    <mergeCell ref="I24:J24"/>
    <mergeCell ref="F25:G25"/>
    <mergeCell ref="I25:J25"/>
    <mergeCell ref="F26:G26"/>
    <mergeCell ref="I26:J26"/>
    <mergeCell ref="I27:J27"/>
    <mergeCell ref="I28:J28"/>
    <mergeCell ref="F29:G29"/>
    <mergeCell ref="I29:J29"/>
    <mergeCell ref="I31:J31"/>
    <mergeCell ref="I32:J32"/>
    <mergeCell ref="I33:J33"/>
    <mergeCell ref="A35:D35"/>
    <mergeCell ref="E35:F35"/>
    <mergeCell ref="G35:H35"/>
    <mergeCell ref="I35:J35"/>
    <mergeCell ref="A36:D36"/>
    <mergeCell ref="E36:F36"/>
    <mergeCell ref="G36:H36"/>
    <mergeCell ref="I36:J36"/>
    <mergeCell ref="A37:D37"/>
    <mergeCell ref="E37:F37"/>
    <mergeCell ref="G37:H37"/>
    <mergeCell ref="I37:J37"/>
    <mergeCell ref="A38:D38"/>
    <mergeCell ref="E38:F38"/>
    <mergeCell ref="G38:H38"/>
    <mergeCell ref="I38:J38"/>
    <mergeCell ref="I40:J40"/>
    <mergeCell ref="A42:C42"/>
    <mergeCell ref="D42:E42"/>
    <mergeCell ref="A43:C43"/>
    <mergeCell ref="D43:E43"/>
    <mergeCell ref="A44:C44"/>
    <mergeCell ref="D44:E44"/>
    <mergeCell ref="A45:C45"/>
    <mergeCell ref="D45:E45"/>
    <mergeCell ref="A46:C46"/>
    <mergeCell ref="D46:E46"/>
    <mergeCell ref="A49:B49"/>
    <mergeCell ref="C49:D49"/>
    <mergeCell ref="E49:F49"/>
    <mergeCell ref="G49:H49"/>
    <mergeCell ref="I49:J49"/>
    <mergeCell ref="A50:B50"/>
    <mergeCell ref="C50:D50"/>
    <mergeCell ref="E50:F50"/>
    <mergeCell ref="G50:H50"/>
    <mergeCell ref="I50:J50"/>
    <mergeCell ref="M50:N50"/>
    <mergeCell ref="A51:B51"/>
    <mergeCell ref="C51:D51"/>
    <mergeCell ref="E51:F51"/>
    <mergeCell ref="G51:H51"/>
    <mergeCell ref="I51:J51"/>
    <mergeCell ref="A52:B52"/>
    <mergeCell ref="C52:D52"/>
    <mergeCell ref="E52:F52"/>
    <mergeCell ref="G52:H52"/>
    <mergeCell ref="I52:J52"/>
    <mergeCell ref="A53:B53"/>
    <mergeCell ref="C53:D53"/>
    <mergeCell ref="E53:F53"/>
    <mergeCell ref="G53:H53"/>
    <mergeCell ref="I53:J53"/>
    <mergeCell ref="A54:B54"/>
    <mergeCell ref="C54:D54"/>
    <mergeCell ref="E54:F54"/>
    <mergeCell ref="G54:H54"/>
    <mergeCell ref="I54:J54"/>
    <mergeCell ref="A55:B55"/>
    <mergeCell ref="C55:D55"/>
    <mergeCell ref="E55:F55"/>
    <mergeCell ref="G55:H55"/>
    <mergeCell ref="I55:J55"/>
    <mergeCell ref="A56:B56"/>
    <mergeCell ref="C56:D56"/>
    <mergeCell ref="E56:F56"/>
    <mergeCell ref="G56:H56"/>
    <mergeCell ref="I56:J56"/>
    <mergeCell ref="A57:B57"/>
    <mergeCell ref="C57:D57"/>
    <mergeCell ref="E57:F57"/>
    <mergeCell ref="G57:H57"/>
    <mergeCell ref="I57:J57"/>
    <mergeCell ref="A58:B58"/>
    <mergeCell ref="C58:D58"/>
    <mergeCell ref="E58:F58"/>
    <mergeCell ref="G58:H58"/>
    <mergeCell ref="I58:J58"/>
    <mergeCell ref="A59:B59"/>
    <mergeCell ref="C59:D59"/>
    <mergeCell ref="E59:F59"/>
    <mergeCell ref="G59:H59"/>
    <mergeCell ref="I59:J59"/>
    <mergeCell ref="A60:B60"/>
    <mergeCell ref="C60:D60"/>
    <mergeCell ref="E60:F60"/>
    <mergeCell ref="G60:H60"/>
    <mergeCell ref="I60:J60"/>
    <mergeCell ref="A61:B61"/>
    <mergeCell ref="C61:D61"/>
    <mergeCell ref="E61:F61"/>
    <mergeCell ref="G61:H61"/>
    <mergeCell ref="I61:J61"/>
    <mergeCell ref="A62:B62"/>
    <mergeCell ref="C62:D62"/>
    <mergeCell ref="E62:F62"/>
    <mergeCell ref="G62:H62"/>
    <mergeCell ref="I62:J62"/>
    <mergeCell ref="A63:B63"/>
    <mergeCell ref="C63:D63"/>
    <mergeCell ref="E63:F63"/>
    <mergeCell ref="G63:H63"/>
    <mergeCell ref="I63:J63"/>
    <mergeCell ref="A64:B64"/>
    <mergeCell ref="C64:D64"/>
    <mergeCell ref="E64:F64"/>
    <mergeCell ref="G64:H64"/>
    <mergeCell ref="I64:J64"/>
    <mergeCell ref="A65:B65"/>
    <mergeCell ref="C65:D65"/>
    <mergeCell ref="E65:F65"/>
    <mergeCell ref="G65:H65"/>
    <mergeCell ref="I65:J65"/>
    <mergeCell ref="A66:B66"/>
    <mergeCell ref="C66:D66"/>
    <mergeCell ref="E66:F66"/>
    <mergeCell ref="G66:H66"/>
    <mergeCell ref="I66:J66"/>
    <mergeCell ref="A67:B67"/>
    <mergeCell ref="C67:D67"/>
    <mergeCell ref="E67:F67"/>
    <mergeCell ref="G67:H67"/>
    <mergeCell ref="I67:J67"/>
    <mergeCell ref="A68:B68"/>
    <mergeCell ref="C68:D68"/>
    <mergeCell ref="E68:F68"/>
    <mergeCell ref="G68:H68"/>
    <mergeCell ref="I68:J68"/>
    <mergeCell ref="A69:B69"/>
    <mergeCell ref="C69:D69"/>
    <mergeCell ref="E69:F69"/>
    <mergeCell ref="G69:H69"/>
    <mergeCell ref="I69:J69"/>
    <mergeCell ref="A70:B70"/>
    <mergeCell ref="C70:D70"/>
    <mergeCell ref="E70:F70"/>
    <mergeCell ref="G70:H70"/>
    <mergeCell ref="I70:J70"/>
    <mergeCell ref="A71:B71"/>
    <mergeCell ref="C71:D71"/>
    <mergeCell ref="E71:F71"/>
    <mergeCell ref="G71:H71"/>
    <mergeCell ref="I71:J71"/>
    <mergeCell ref="A72:B72"/>
    <mergeCell ref="C72:D72"/>
    <mergeCell ref="E72:F72"/>
    <mergeCell ref="G72:H72"/>
    <mergeCell ref="I72:J72"/>
    <mergeCell ref="A73:B73"/>
    <mergeCell ref="C73:D73"/>
    <mergeCell ref="E73:F73"/>
    <mergeCell ref="G73:H73"/>
    <mergeCell ref="I73:J73"/>
    <mergeCell ref="A74:B74"/>
    <mergeCell ref="C74:D74"/>
    <mergeCell ref="E74:F74"/>
    <mergeCell ref="G74:H74"/>
    <mergeCell ref="I74:J74"/>
    <mergeCell ref="A75:B75"/>
    <mergeCell ref="C75:D75"/>
    <mergeCell ref="E75:F75"/>
    <mergeCell ref="G75:H75"/>
    <mergeCell ref="I75:J75"/>
    <mergeCell ref="A76:B76"/>
    <mergeCell ref="C76:D76"/>
    <mergeCell ref="E76:F76"/>
    <mergeCell ref="G76:H76"/>
    <mergeCell ref="I76:J76"/>
    <mergeCell ref="A77:B77"/>
    <mergeCell ref="C77:D77"/>
    <mergeCell ref="E77:F77"/>
    <mergeCell ref="G77:H77"/>
    <mergeCell ref="I77:J77"/>
    <mergeCell ref="A78:B78"/>
    <mergeCell ref="C78:D78"/>
    <mergeCell ref="E78:F78"/>
    <mergeCell ref="G78:H78"/>
    <mergeCell ref="I78:J78"/>
    <mergeCell ref="A79:B79"/>
    <mergeCell ref="C79:D79"/>
    <mergeCell ref="E79:F79"/>
    <mergeCell ref="G79:H79"/>
    <mergeCell ref="I79:J79"/>
    <mergeCell ref="A80:B80"/>
    <mergeCell ref="C80:D80"/>
    <mergeCell ref="E80:F80"/>
    <mergeCell ref="G80:H80"/>
    <mergeCell ref="I80:J80"/>
    <mergeCell ref="A81:B81"/>
    <mergeCell ref="C81:D81"/>
    <mergeCell ref="E81:F81"/>
    <mergeCell ref="G81:H81"/>
    <mergeCell ref="I81:J81"/>
    <mergeCell ref="A82:B82"/>
    <mergeCell ref="C82:D82"/>
    <mergeCell ref="E82:F82"/>
    <mergeCell ref="G82:H82"/>
    <mergeCell ref="I82:J82"/>
    <mergeCell ref="A83:B83"/>
    <mergeCell ref="C83:D83"/>
    <mergeCell ref="E83:F83"/>
    <mergeCell ref="G83:H83"/>
    <mergeCell ref="I83:J83"/>
    <mergeCell ref="A84:B84"/>
    <mergeCell ref="C84:D84"/>
    <mergeCell ref="E84:F84"/>
    <mergeCell ref="G84:H84"/>
    <mergeCell ref="I84:J84"/>
    <mergeCell ref="A85:B85"/>
    <mergeCell ref="C85:D85"/>
    <mergeCell ref="E85:F85"/>
    <mergeCell ref="G85:H85"/>
    <mergeCell ref="I85:J85"/>
    <mergeCell ref="A86:B86"/>
    <mergeCell ref="C86:D86"/>
    <mergeCell ref="E86:F86"/>
    <mergeCell ref="G86:H86"/>
    <mergeCell ref="I86:J86"/>
    <mergeCell ref="A87:B87"/>
    <mergeCell ref="C87:D87"/>
    <mergeCell ref="E87:F87"/>
    <mergeCell ref="G87:H87"/>
    <mergeCell ref="I87:J87"/>
    <mergeCell ref="A88:B88"/>
    <mergeCell ref="C88:D88"/>
    <mergeCell ref="E88:F88"/>
    <mergeCell ref="G88:H88"/>
    <mergeCell ref="I88:J88"/>
    <mergeCell ref="A89:B89"/>
    <mergeCell ref="C89:D89"/>
    <mergeCell ref="E89:F89"/>
    <mergeCell ref="G89:H89"/>
    <mergeCell ref="I89:J89"/>
    <mergeCell ref="A90:B90"/>
    <mergeCell ref="C90:D90"/>
    <mergeCell ref="E90:F90"/>
    <mergeCell ref="G90:H90"/>
    <mergeCell ref="I90:J90"/>
    <mergeCell ref="A91:B91"/>
    <mergeCell ref="C91:D91"/>
    <mergeCell ref="E91:F91"/>
    <mergeCell ref="G91:H91"/>
    <mergeCell ref="I91:J91"/>
    <mergeCell ref="A92:B92"/>
    <mergeCell ref="C92:D92"/>
    <mergeCell ref="E92:F92"/>
    <mergeCell ref="G92:H92"/>
    <mergeCell ref="I92:J92"/>
    <mergeCell ref="A93:B93"/>
    <mergeCell ref="C93:D93"/>
    <mergeCell ref="E93:F93"/>
    <mergeCell ref="G93:H93"/>
    <mergeCell ref="I93:J93"/>
    <mergeCell ref="A94:B94"/>
    <mergeCell ref="C94:D94"/>
    <mergeCell ref="E94:F94"/>
    <mergeCell ref="G94:H94"/>
    <mergeCell ref="I94:J94"/>
    <mergeCell ref="A95:B95"/>
    <mergeCell ref="C95:D95"/>
    <mergeCell ref="E95:F95"/>
    <mergeCell ref="G95:H95"/>
    <mergeCell ref="I95:J95"/>
    <mergeCell ref="A96:B96"/>
    <mergeCell ref="C96:D96"/>
    <mergeCell ref="E96:F96"/>
    <mergeCell ref="G96:H96"/>
    <mergeCell ref="I96:J96"/>
    <mergeCell ref="A97:B97"/>
    <mergeCell ref="C97:D97"/>
    <mergeCell ref="E97:F97"/>
    <mergeCell ref="G97:H97"/>
    <mergeCell ref="I97:J97"/>
    <mergeCell ref="A98:B98"/>
    <mergeCell ref="C98:D98"/>
    <mergeCell ref="E98:F98"/>
    <mergeCell ref="G98:H98"/>
    <mergeCell ref="I98:J98"/>
    <mergeCell ref="A99:B99"/>
    <mergeCell ref="C99:D99"/>
    <mergeCell ref="E99:F99"/>
    <mergeCell ref="G99:H99"/>
    <mergeCell ref="I99:J99"/>
    <mergeCell ref="A100:B100"/>
    <mergeCell ref="C100:D100"/>
    <mergeCell ref="E100:F100"/>
    <mergeCell ref="G100:H100"/>
    <mergeCell ref="I100:J100"/>
    <mergeCell ref="A101:B101"/>
    <mergeCell ref="C101:D101"/>
    <mergeCell ref="E101:F101"/>
    <mergeCell ref="G101:H101"/>
    <mergeCell ref="I101:J101"/>
    <mergeCell ref="A102:B102"/>
    <mergeCell ref="C102:D102"/>
    <mergeCell ref="E102:F102"/>
    <mergeCell ref="G102:H102"/>
    <mergeCell ref="I102:J102"/>
    <mergeCell ref="D105:E105"/>
    <mergeCell ref="I105:J105"/>
    <mergeCell ref="D106:E106"/>
    <mergeCell ref="I106:J106"/>
    <mergeCell ref="D107:E107"/>
    <mergeCell ref="I107:J107"/>
    <mergeCell ref="I109:J109"/>
    <mergeCell ref="D110:E110"/>
    <mergeCell ref="I110:J110"/>
    <mergeCell ref="D111:E111"/>
    <mergeCell ref="I111:J111"/>
    <mergeCell ref="D112:E1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R62"/>
  <sheetViews>
    <sheetView showFormulas="false" showGridLines="false" showRowColHeaders="true" showZeros="true" rightToLeft="false" tabSelected="false" showOutlineSymbols="true" defaultGridColor="true" view="normal" topLeftCell="A46" colorId="64" zoomScale="100" zoomScaleNormal="100" zoomScalePageLayoutView="100" workbookViewId="0">
      <selection pane="topLeft" activeCell="A7" activeCellId="0" sqref="A7"/>
    </sheetView>
  </sheetViews>
  <sheetFormatPr defaultColWidth="9.14453125" defaultRowHeight="16.5" zeroHeight="false" outlineLevelRow="0" outlineLevelCol="0"/>
  <cols>
    <col collapsed="false" customWidth="true" hidden="false" outlineLevel="0" max="1" min="1" style="704" width="3.15"/>
    <col collapsed="false" customWidth="true" hidden="false" outlineLevel="0" max="2" min="2" style="705" width="7.57"/>
    <col collapsed="false" customWidth="true" hidden="false" outlineLevel="0" max="3" min="3" style="704" width="22.14"/>
    <col collapsed="false" customWidth="true" hidden="false" outlineLevel="0" max="4" min="4" style="706" width="15.43"/>
    <col collapsed="false" customWidth="true" hidden="false" outlineLevel="0" max="5" min="5" style="706" width="8.14"/>
    <col collapsed="false" customWidth="true" hidden="false" outlineLevel="0" max="7" min="6" style="704" width="12.86"/>
    <col collapsed="false" customWidth="true" hidden="false" outlineLevel="0" max="8" min="8" style="704" width="4.14"/>
    <col collapsed="false" customWidth="true" hidden="false" outlineLevel="0" max="9" min="9" style="704" width="10.14"/>
    <col collapsed="false" customWidth="true" hidden="false" outlineLevel="0" max="10" min="10" style="704" width="10.86"/>
    <col collapsed="false" customWidth="true" hidden="false" outlineLevel="0" max="11" min="11" style="704" width="18.14"/>
    <col collapsed="false" customWidth="true" hidden="false" outlineLevel="0" max="12" min="12" style="704" width="11.15"/>
    <col collapsed="false" customWidth="true" hidden="true" outlineLevel="0" max="16" min="13" style="704" width="10.14"/>
    <col collapsed="false" customWidth="false" hidden="true" outlineLevel="0" max="17" min="17" style="704" width="9.14"/>
    <col collapsed="false" customWidth="true" hidden="false" outlineLevel="0" max="18" min="18" style="704" width="9.86"/>
    <col collapsed="false" customWidth="false" hidden="false" outlineLevel="0" max="16384" min="19" style="704" width="9.14"/>
  </cols>
  <sheetData>
    <row r="1" customFormat="false" ht="29.25" hidden="false" customHeight="true" outlineLevel="0" collapsed="false">
      <c r="B1" s="120"/>
      <c r="C1" s="6"/>
      <c r="D1" s="6"/>
      <c r="E1" s="6"/>
      <c r="F1" s="1"/>
      <c r="G1" s="1"/>
      <c r="H1" s="1"/>
      <c r="K1" s="707"/>
      <c r="L1" s="707"/>
    </row>
    <row r="2" customFormat="false" ht="21" hidden="false" customHeight="true" outlineLevel="0" collapsed="false">
      <c r="B2" s="24" t="s">
        <v>553</v>
      </c>
      <c r="C2" s="24"/>
      <c r="D2" s="24"/>
      <c r="E2" s="24"/>
      <c r="F2" s="24"/>
      <c r="G2" s="24"/>
      <c r="H2" s="24"/>
      <c r="I2" s="24"/>
      <c r="J2" s="24"/>
      <c r="K2" s="24"/>
      <c r="L2" s="707"/>
    </row>
    <row r="3" customFormat="false" ht="16.5" hidden="false" customHeight="false" outlineLevel="0" collapsed="false">
      <c r="B3" s="708"/>
      <c r="C3" s="708"/>
      <c r="D3" s="708"/>
      <c r="E3" s="708"/>
      <c r="F3" s="708"/>
      <c r="G3" s="708"/>
      <c r="H3" s="708"/>
      <c r="I3" s="708"/>
      <c r="N3" s="704" t="s">
        <v>833</v>
      </c>
      <c r="O3" s="704" t="n">
        <v>12</v>
      </c>
    </row>
    <row r="4" s="1" customFormat="true" ht="15" hidden="false" customHeight="true" outlineLevel="0" collapsed="false">
      <c r="B4" s="665" t="s">
        <v>986</v>
      </c>
      <c r="C4" s="264"/>
      <c r="D4" s="709" t="s">
        <v>987</v>
      </c>
      <c r="E4" s="709"/>
      <c r="F4" s="709"/>
      <c r="G4" s="709"/>
      <c r="H4" s="709"/>
      <c r="I4" s="376"/>
      <c r="J4" s="376"/>
      <c r="K4" s="264"/>
      <c r="L4" s="264"/>
      <c r="M4" s="160" t="s">
        <v>988</v>
      </c>
      <c r="Q4" s="710"/>
    </row>
    <row r="5" s="1" customFormat="true" ht="15" hidden="false" customHeight="true" outlineLevel="0" collapsed="false">
      <c r="B5" s="622" t="s">
        <v>12</v>
      </c>
      <c r="C5" s="622"/>
      <c r="D5" s="711"/>
      <c r="E5" s="711"/>
      <c r="F5" s="711"/>
      <c r="G5" s="711"/>
      <c r="H5" s="711"/>
      <c r="I5" s="622" t="s">
        <v>989</v>
      </c>
      <c r="J5" s="622"/>
      <c r="K5" s="636"/>
      <c r="L5" s="712"/>
      <c r="M5" s="160" t="s">
        <v>990</v>
      </c>
      <c r="Q5" s="710"/>
      <c r="R5" s="126" t="s">
        <v>628</v>
      </c>
    </row>
    <row r="6" s="1" customFormat="true" ht="15" hidden="false" customHeight="true" outlineLevel="0" collapsed="false">
      <c r="B6" s="625" t="s">
        <v>991</v>
      </c>
      <c r="C6" s="625"/>
      <c r="D6" s="713"/>
      <c r="E6" s="713"/>
      <c r="F6" s="713"/>
      <c r="G6" s="713"/>
      <c r="H6" s="713"/>
      <c r="I6" s="625" t="s">
        <v>992</v>
      </c>
      <c r="J6" s="625"/>
      <c r="K6" s="714"/>
      <c r="L6" s="712"/>
      <c r="M6" s="160" t="s">
        <v>993</v>
      </c>
    </row>
    <row r="7" s="1" customFormat="true" ht="15" hidden="false" customHeight="true" outlineLevel="0" collapsed="false">
      <c r="B7" s="625" t="s">
        <v>994</v>
      </c>
      <c r="C7" s="625"/>
      <c r="D7" s="715"/>
      <c r="E7" s="715"/>
      <c r="F7" s="715"/>
      <c r="G7" s="715"/>
      <c r="H7" s="715"/>
      <c r="I7" s="625" t="s">
        <v>995</v>
      </c>
      <c r="J7" s="625"/>
      <c r="K7" s="714"/>
      <c r="L7" s="712"/>
      <c r="M7" s="160" t="s">
        <v>996</v>
      </c>
      <c r="Q7" s="710"/>
    </row>
    <row r="8" s="1" customFormat="true" ht="15" hidden="false" customHeight="true" outlineLevel="0" collapsed="false">
      <c r="B8" s="625" t="s">
        <v>997</v>
      </c>
      <c r="C8" s="625"/>
      <c r="D8" s="716"/>
      <c r="E8" s="716"/>
      <c r="F8" s="716"/>
      <c r="G8" s="716"/>
      <c r="H8" s="716"/>
      <c r="I8" s="625" t="s">
        <v>998</v>
      </c>
      <c r="J8" s="625"/>
      <c r="K8" s="717"/>
      <c r="L8" s="712"/>
      <c r="M8" s="710"/>
      <c r="N8" s="710"/>
      <c r="O8" s="710"/>
      <c r="P8" s="710"/>
      <c r="Q8" s="710"/>
    </row>
    <row r="9" s="1" customFormat="true" ht="15" hidden="false" customHeight="true" outlineLevel="0" collapsed="false">
      <c r="B9" s="625" t="s">
        <v>999</v>
      </c>
      <c r="C9" s="625"/>
      <c r="D9" s="718"/>
      <c r="E9" s="718"/>
      <c r="F9" s="718"/>
      <c r="G9" s="718"/>
      <c r="H9" s="718"/>
      <c r="I9" s="625" t="s">
        <v>1000</v>
      </c>
      <c r="J9" s="625"/>
      <c r="K9" s="714"/>
      <c r="L9" s="712"/>
    </row>
    <row r="10" s="1" customFormat="true" ht="15" hidden="false" customHeight="true" outlineLevel="0" collapsed="false">
      <c r="B10" s="632" t="s">
        <v>1001</v>
      </c>
      <c r="C10" s="632"/>
      <c r="D10" s="719"/>
      <c r="E10" s="719"/>
      <c r="F10" s="657" t="s">
        <v>1002</v>
      </c>
      <c r="G10" s="719"/>
      <c r="H10" s="719"/>
      <c r="I10" s="632" t="s">
        <v>1003</v>
      </c>
      <c r="J10" s="632"/>
      <c r="K10" s="720" t="n">
        <f aca="false">(K8*(K8+1))/2</f>
        <v>0</v>
      </c>
      <c r="L10" s="712"/>
    </row>
    <row r="11" s="1" customFormat="true" ht="15" hidden="false" customHeight="true" outlineLevel="0" collapsed="false"/>
    <row r="12" s="1" customFormat="true" ht="15" hidden="false" customHeight="true" outlineLevel="0" collapsed="false">
      <c r="B12" s="665" t="s">
        <v>1004</v>
      </c>
    </row>
    <row r="13" s="1" customFormat="true" ht="15" hidden="false" customHeight="true" outlineLevel="0" collapsed="false">
      <c r="B13" s="721" t="s">
        <v>835</v>
      </c>
      <c r="C13" s="721"/>
      <c r="D13" s="722" t="s">
        <v>998</v>
      </c>
      <c r="E13" s="722"/>
      <c r="F13" s="722" t="s">
        <v>1005</v>
      </c>
      <c r="G13" s="722" t="s">
        <v>1003</v>
      </c>
      <c r="H13" s="722"/>
      <c r="I13" s="721" t="s">
        <v>965</v>
      </c>
      <c r="J13" s="721"/>
      <c r="K13" s="722" t="s">
        <v>1006</v>
      </c>
      <c r="L13" s="723"/>
    </row>
    <row r="14" s="1" customFormat="true" ht="15" hidden="false" customHeight="true" outlineLevel="0" collapsed="false">
      <c r="B14" s="721"/>
      <c r="C14" s="721"/>
      <c r="D14" s="722"/>
      <c r="E14" s="722"/>
      <c r="F14" s="722"/>
      <c r="G14" s="722"/>
      <c r="H14" s="722"/>
      <c r="I14" s="721"/>
      <c r="J14" s="721"/>
      <c r="K14" s="722"/>
      <c r="L14" s="723"/>
    </row>
    <row r="15" s="1" customFormat="true" ht="15" hidden="false" customHeight="true" outlineLevel="0" collapsed="false">
      <c r="B15" s="724" t="str">
        <f aca="false">IF(D8="","",D8)</f>
        <v/>
      </c>
      <c r="C15" s="724"/>
      <c r="D15" s="725" t="n">
        <f aca="false">D9</f>
        <v>0</v>
      </c>
      <c r="E15" s="725"/>
      <c r="F15" s="725" t="n">
        <f aca="false">K8-D15</f>
        <v>0</v>
      </c>
      <c r="G15" s="726" t="n">
        <f aca="false">K10-((F15*(F15+1)/2))</f>
        <v>0</v>
      </c>
      <c r="H15" s="726"/>
      <c r="I15" s="727" t="n">
        <f aca="false">IF(K10=0,0,+K6*G15/K10)</f>
        <v>0</v>
      </c>
      <c r="J15" s="727"/>
      <c r="K15" s="675" t="n">
        <f aca="false">I15</f>
        <v>0</v>
      </c>
      <c r="L15" s="689"/>
    </row>
    <row r="16" s="1" customFormat="true" ht="15" hidden="false" customHeight="true" outlineLevel="0" collapsed="false">
      <c r="B16" s="728" t="str">
        <f aca="false">IF(ISERROR(DATE(YEAR(B15)+1,MONTH(B15),DAY(B15))),"",DATE(YEAR(B15)+1,MONTH(B15),DAY(B15)))</f>
        <v/>
      </c>
      <c r="C16" s="728"/>
      <c r="D16" s="729" t="n">
        <f aca="false">IF(F15&gt;=12,12,F15)</f>
        <v>0</v>
      </c>
      <c r="E16" s="729"/>
      <c r="F16" s="729" t="n">
        <f aca="false">F15-D16</f>
        <v>0</v>
      </c>
      <c r="G16" s="730" t="n">
        <f aca="false">(K10-G15)-((F16*(F16+1)/2))</f>
        <v>0</v>
      </c>
      <c r="H16" s="730"/>
      <c r="I16" s="731" t="n">
        <f aca="false">IF(K10=0,0,+K6*G16/K10)</f>
        <v>0</v>
      </c>
      <c r="J16" s="731"/>
      <c r="K16" s="679" t="n">
        <f aca="false">IF(I16=0,0,K15+I16)</f>
        <v>0</v>
      </c>
      <c r="L16" s="689"/>
    </row>
    <row r="17" s="1" customFormat="true" ht="15" hidden="false" customHeight="true" outlineLevel="0" collapsed="false">
      <c r="B17" s="728" t="str">
        <f aca="false">IF(ISERROR(DATE(YEAR(B16)+1,MONTH(B16),DAY(B16))),"",DATE(YEAR(B16)+1,MONTH(B16),DAY(B16)))</f>
        <v/>
      </c>
      <c r="C17" s="728"/>
      <c r="D17" s="729" t="n">
        <f aca="false">IF(F16&gt;=12,12,F16)</f>
        <v>0</v>
      </c>
      <c r="E17" s="729"/>
      <c r="F17" s="729" t="n">
        <f aca="false">F16-D17</f>
        <v>0</v>
      </c>
      <c r="G17" s="730" t="n">
        <f aca="false">(K10-(G15+G16)-((F17*(F17+1)/2)))</f>
        <v>0</v>
      </c>
      <c r="H17" s="730"/>
      <c r="I17" s="731" t="n">
        <f aca="false">IF(K10=0,0,+K6*G17/K10)</f>
        <v>0</v>
      </c>
      <c r="J17" s="731"/>
      <c r="K17" s="679" t="n">
        <f aca="false">IF(I17=0,0,K16+I17)</f>
        <v>0</v>
      </c>
      <c r="L17" s="689"/>
    </row>
    <row r="18" s="1" customFormat="true" ht="15" hidden="false" customHeight="true" outlineLevel="0" collapsed="false">
      <c r="B18" s="728" t="str">
        <f aca="false">IF(ISERROR(DATE(YEAR(B17)+1,MONTH(B17),DAY(B17))),"",DATE(YEAR(B17)+1,MONTH(B17),DAY(B17)))</f>
        <v/>
      </c>
      <c r="C18" s="728"/>
      <c r="D18" s="729" t="n">
        <f aca="false">IF(F17&gt;=12,12,F17)</f>
        <v>0</v>
      </c>
      <c r="E18" s="729"/>
      <c r="F18" s="729" t="n">
        <f aca="false">F17-D18</f>
        <v>0</v>
      </c>
      <c r="G18" s="730" t="n">
        <f aca="false">(K10-(G15+G16+G17)-((F18*(F18+1)/2)))</f>
        <v>0</v>
      </c>
      <c r="H18" s="730"/>
      <c r="I18" s="731" t="n">
        <f aca="false">IF(K10=0,0,+K6*G18/K10)</f>
        <v>0</v>
      </c>
      <c r="J18" s="731"/>
      <c r="K18" s="679" t="n">
        <f aca="false">IF(I18=0,0,K17+I18)</f>
        <v>0</v>
      </c>
      <c r="L18" s="689"/>
    </row>
    <row r="19" s="1" customFormat="true" ht="15" hidden="false" customHeight="true" outlineLevel="0" collapsed="false">
      <c r="B19" s="728" t="str">
        <f aca="false">IF(ISERROR(DATE(YEAR(B18)+1,MONTH(B18),DAY(B18))),"",DATE(YEAR(B18)+1,MONTH(B18),DAY(B18)))</f>
        <v/>
      </c>
      <c r="C19" s="728"/>
      <c r="D19" s="729" t="n">
        <f aca="false">IF(F18&gt;=12,12,F18)</f>
        <v>0</v>
      </c>
      <c r="E19" s="729"/>
      <c r="F19" s="729" t="n">
        <f aca="false">F18-D19</f>
        <v>0</v>
      </c>
      <c r="G19" s="730" t="n">
        <f aca="false">(K10-(G15+G16+G17+G18)-((F19*(F19+1)/2)))</f>
        <v>0</v>
      </c>
      <c r="H19" s="730"/>
      <c r="I19" s="731" t="n">
        <f aca="false">IF(K10=0,0,+K6*G19/K10)</f>
        <v>0</v>
      </c>
      <c r="J19" s="731"/>
      <c r="K19" s="679" t="n">
        <f aca="false">IF(I19=0,0,K18+I19)</f>
        <v>0</v>
      </c>
      <c r="L19" s="689"/>
    </row>
    <row r="20" s="1" customFormat="true" ht="15" hidden="false" customHeight="true" outlineLevel="0" collapsed="false">
      <c r="B20" s="732" t="str">
        <f aca="false">IF(ISERROR(DATE(YEAR(B19)+1,MONTH(B19),DAY(B19))),"",DATE(YEAR(B19)+1,MONTH(B19),DAY(B19)))</f>
        <v/>
      </c>
      <c r="C20" s="732"/>
      <c r="D20" s="733" t="n">
        <f aca="false">IF(F19&gt;=12,12,F19)</f>
        <v>0</v>
      </c>
      <c r="E20" s="733"/>
      <c r="F20" s="733" t="n">
        <f aca="false">F19-D20</f>
        <v>0</v>
      </c>
      <c r="G20" s="734" t="n">
        <f aca="false">(K10-(G15+G16+G17+G18+G19)-((F20*(F20+1)/2)))</f>
        <v>0</v>
      </c>
      <c r="H20" s="734"/>
      <c r="I20" s="735" t="n">
        <f aca="false">IF(K10=0,0,+K6*G20/K10)</f>
        <v>0</v>
      </c>
      <c r="J20" s="735"/>
      <c r="K20" s="683" t="n">
        <f aca="false">IF(I20=0,0,K19+I20)</f>
        <v>0</v>
      </c>
      <c r="L20" s="689"/>
    </row>
    <row r="21" s="1" customFormat="true" ht="15" hidden="false" customHeight="true" outlineLevel="0" collapsed="false">
      <c r="B21" s="665" t="s">
        <v>496</v>
      </c>
      <c r="D21" s="736" t="n">
        <f aca="false">SUM(D15:E20)</f>
        <v>0</v>
      </c>
      <c r="E21" s="736"/>
      <c r="G21" s="737" t="n">
        <f aca="false">SUM(G15:H20)</f>
        <v>0</v>
      </c>
      <c r="H21" s="737"/>
      <c r="I21" s="738" t="n">
        <f aca="false">SUM(I15:J20)</f>
        <v>0</v>
      </c>
      <c r="J21" s="738"/>
      <c r="K21" s="689"/>
      <c r="L21" s="689"/>
    </row>
    <row r="22" s="1" customFormat="true" ht="15" hidden="false" customHeight="true" outlineLevel="0" collapsed="false">
      <c r="A22" s="160" t="s">
        <v>1007</v>
      </c>
    </row>
    <row r="23" s="1" customFormat="true" ht="15" hidden="false" customHeight="true" outlineLevel="0" collapsed="false">
      <c r="M23" s="739" t="n">
        <f aca="false">DATE(YEAR(Index!C4)+1,MONTH(Index!C4),DAY(Index!C4))</f>
        <v>45747</v>
      </c>
      <c r="N23" s="740"/>
    </row>
    <row r="24" s="1" customFormat="true" ht="15" hidden="false" customHeight="true" outlineLevel="0" collapsed="false">
      <c r="B24" s="665" t="s">
        <v>1008</v>
      </c>
      <c r="K24" s="741"/>
      <c r="L24" s="689"/>
    </row>
    <row r="25" s="1" customFormat="true" ht="15" hidden="false" customHeight="true" outlineLevel="0" collapsed="false">
      <c r="K25" s="689"/>
      <c r="L25" s="689"/>
    </row>
    <row r="26" s="1" customFormat="true" ht="15" hidden="false" customHeight="true" outlineLevel="0" collapsed="false">
      <c r="B26" s="665" t="s">
        <v>955</v>
      </c>
      <c r="K26" s="689"/>
      <c r="L26" s="689"/>
    </row>
    <row r="27" s="1" customFormat="true" ht="15" hidden="false" customHeight="true" outlineLevel="0" collapsed="false">
      <c r="K27" s="689"/>
      <c r="L27" s="689"/>
    </row>
    <row r="28" s="1" customFormat="true" ht="15" hidden="false" customHeight="true" outlineLevel="0" collapsed="false">
      <c r="B28" s="264" t="s">
        <v>1009</v>
      </c>
      <c r="D28" s="742" t="str">
        <f aca="false">IF(Index!C4="","",IF(D8="","",(VLOOKUP(Index!C4,B15:F20,3,FALSE()))))</f>
        <v/>
      </c>
      <c r="F28" s="264" t="s">
        <v>1010</v>
      </c>
      <c r="H28" s="743" t="n">
        <f aca="false">K7</f>
        <v>0</v>
      </c>
      <c r="I28" s="743"/>
      <c r="K28" s="689"/>
      <c r="L28" s="689"/>
    </row>
    <row r="29" s="1" customFormat="true" ht="15" hidden="false" customHeight="true" outlineLevel="0" collapsed="false">
      <c r="B29" s="264" t="s">
        <v>1009</v>
      </c>
      <c r="D29" s="744"/>
      <c r="F29" s="264" t="s">
        <v>1010</v>
      </c>
      <c r="H29" s="741"/>
      <c r="I29" s="741"/>
      <c r="K29" s="689"/>
      <c r="L29" s="689"/>
    </row>
    <row r="30" s="1" customFormat="true" ht="15" hidden="false" customHeight="true" outlineLevel="0" collapsed="false">
      <c r="B30" s="264" t="s">
        <v>1000</v>
      </c>
      <c r="H30" s="741"/>
      <c r="I30" s="741"/>
      <c r="K30" s="689"/>
      <c r="L30" s="689"/>
    </row>
    <row r="31" s="1" customFormat="true" ht="15" hidden="false" customHeight="true" outlineLevel="0" collapsed="false">
      <c r="B31" s="264" t="s">
        <v>1000</v>
      </c>
      <c r="H31" s="741"/>
      <c r="I31" s="741"/>
      <c r="K31" s="743" t="n">
        <f aca="false">IF(ISERROR((D28*H28)+(D29*H29)+H30+H31),0,(D28*H28)+(D29*H29)+H30+H31)</f>
        <v>0</v>
      </c>
      <c r="L31" s="689"/>
    </row>
    <row r="32" s="1" customFormat="true" ht="15" hidden="false" customHeight="true" outlineLevel="0" collapsed="false">
      <c r="K32" s="689"/>
      <c r="L32" s="689"/>
      <c r="N32" s="689"/>
    </row>
    <row r="33" s="1" customFormat="true" ht="15" hidden="false" customHeight="true" outlineLevel="0" collapsed="false">
      <c r="B33" s="665" t="s">
        <v>1011</v>
      </c>
      <c r="K33" s="743" t="n">
        <f aca="false">IF(ISERROR(K24-K31), 0, ROUND(K24-K31,2))</f>
        <v>0</v>
      </c>
      <c r="L33" s="689"/>
    </row>
    <row r="34" s="1" customFormat="true" ht="15" hidden="false" customHeight="true" outlineLevel="0" collapsed="false">
      <c r="B34" s="665"/>
      <c r="K34" s="689"/>
      <c r="L34" s="689"/>
      <c r="N34" s="689"/>
    </row>
    <row r="35" s="1" customFormat="true" ht="15" hidden="false" customHeight="true" outlineLevel="0" collapsed="false">
      <c r="B35" s="264" t="s">
        <v>1012</v>
      </c>
      <c r="D35" s="742" t="str">
        <f aca="false">IF(ISERROR((VLOOKUP(Index!C4,B15:K20,5,FALSE()))),"",(VLOOKUP(Index!C4,B15:K20,5,FALSE())))</f>
        <v/>
      </c>
      <c r="E35" s="14" t="s">
        <v>1013</v>
      </c>
      <c r="F35" s="264" t="s">
        <v>1010</v>
      </c>
      <c r="H35" s="743" t="n">
        <f aca="false">K7</f>
        <v>0</v>
      </c>
      <c r="I35" s="743"/>
      <c r="K35" s="743" t="n">
        <f aca="false">IF(ISERROR(D35*H35), 0, D35*H35)</f>
        <v>0</v>
      </c>
      <c r="L35" s="689"/>
    </row>
    <row r="36" s="1" customFormat="true" ht="15" hidden="false" customHeight="true" outlineLevel="0" collapsed="false">
      <c r="B36" s="264" t="s">
        <v>1012</v>
      </c>
      <c r="D36" s="744"/>
      <c r="E36" s="14" t="s">
        <v>1013</v>
      </c>
      <c r="F36" s="264" t="s">
        <v>1010</v>
      </c>
      <c r="H36" s="741"/>
      <c r="I36" s="741"/>
      <c r="J36" s="745"/>
      <c r="K36" s="743" t="n">
        <f aca="false">IF(ISERROR(D36*H36), 0, D36*H36)</f>
        <v>0</v>
      </c>
      <c r="L36" s="745"/>
    </row>
    <row r="37" s="1" customFormat="true" ht="15" hidden="false" customHeight="true" outlineLevel="0" collapsed="false">
      <c r="K37" s="746" t="n">
        <f aca="false">K35+K36</f>
        <v>0</v>
      </c>
      <c r="L37" s="689"/>
    </row>
    <row r="38" s="1" customFormat="true" ht="15" hidden="false" customHeight="true" outlineLevel="0" collapsed="false">
      <c r="B38" s="747"/>
      <c r="K38" s="748" t="str">
        <f aca="false">IF(ISERROR(K33-K37), "", IF((K33=K37),"","Error: K33 &amp; K37 should be equal"))</f>
        <v/>
      </c>
      <c r="L38" s="689"/>
    </row>
    <row r="39" s="1" customFormat="true" ht="15" hidden="false" customHeight="true" outlineLevel="0" collapsed="false">
      <c r="K39" s="689"/>
      <c r="L39" s="689"/>
    </row>
    <row r="40" s="1" customFormat="true" ht="15" hidden="false" customHeight="true" outlineLevel="0" collapsed="false">
      <c r="B40" s="665" t="s">
        <v>1014</v>
      </c>
      <c r="K40" s="741"/>
      <c r="L40" s="689"/>
    </row>
    <row r="41" s="1" customFormat="true" ht="15" hidden="false" customHeight="true" outlineLevel="0" collapsed="false">
      <c r="K41" s="689"/>
      <c r="L41" s="689"/>
    </row>
    <row r="42" s="1" customFormat="true" ht="15" hidden="false" customHeight="true" outlineLevel="0" collapsed="false">
      <c r="B42" s="264" t="s">
        <v>1015</v>
      </c>
      <c r="K42" s="743" t="n">
        <f aca="false">IF(ISERROR((VLOOKUP(Index!C4,B15:K20,8,FALSE()))),0,(VLOOKUP(Index!C4,B15:K20,8,FALSE())))</f>
        <v>0</v>
      </c>
      <c r="L42" s="689"/>
    </row>
    <row r="43" s="1" customFormat="true" ht="15" hidden="false" customHeight="true" outlineLevel="0" collapsed="false">
      <c r="K43" s="689"/>
      <c r="L43" s="689"/>
    </row>
    <row r="44" s="1" customFormat="true" ht="15" hidden="false" customHeight="true" outlineLevel="0" collapsed="false">
      <c r="B44" s="665" t="s">
        <v>1016</v>
      </c>
      <c r="K44" s="743" t="n">
        <f aca="false">IF(ISERROR(K40-K42), "", K40-K42)</f>
        <v>0</v>
      </c>
      <c r="L44" s="689"/>
    </row>
    <row r="45" s="1" customFormat="true" ht="15" hidden="false" customHeight="true" outlineLevel="0" collapsed="false">
      <c r="K45" s="689"/>
      <c r="L45" s="689"/>
    </row>
    <row r="46" s="1" customFormat="true" ht="15" hidden="false" customHeight="true" outlineLevel="0" collapsed="false">
      <c r="B46" s="665" t="s">
        <v>1017</v>
      </c>
      <c r="K46" s="738" t="n">
        <f aca="false">IF(ISERROR(K33-K44),"",K33-K44)</f>
        <v>0</v>
      </c>
      <c r="L46" s="689"/>
    </row>
    <row r="47" s="1" customFormat="true" ht="15" hidden="false" customHeight="true" outlineLevel="0" collapsed="false"/>
    <row r="48" s="1" customFormat="true" ht="15" hidden="false" customHeight="true" outlineLevel="0" collapsed="false">
      <c r="B48" s="665" t="s">
        <v>1018</v>
      </c>
      <c r="E48" s="749"/>
    </row>
    <row r="49" s="1" customFormat="true" ht="15" hidden="false" customHeight="true" outlineLevel="0" collapsed="false">
      <c r="B49" s="264" t="s">
        <v>1019</v>
      </c>
      <c r="E49" s="750"/>
      <c r="G49" s="264" t="s">
        <v>655</v>
      </c>
      <c r="H49" s="743" t="n">
        <f aca="false">K7</f>
        <v>0</v>
      </c>
      <c r="I49" s="743"/>
    </row>
    <row r="50" s="1" customFormat="true" ht="15" hidden="false" customHeight="true" outlineLevel="0" collapsed="false">
      <c r="B50" s="264" t="s">
        <v>1019</v>
      </c>
      <c r="E50" s="744"/>
      <c r="G50" s="264" t="s">
        <v>655</v>
      </c>
      <c r="H50" s="741"/>
      <c r="I50" s="741"/>
      <c r="K50" s="743" t="n">
        <f aca="false">IF(E48&lt;&gt;"n",IF(ISERROR((E49*H49)),0,E49*H49)+IF(ISERROR(E50*H50),0,E50*H50),0)</f>
        <v>0</v>
      </c>
    </row>
    <row r="51" s="1" customFormat="true" ht="15" hidden="false" customHeight="true" outlineLevel="0" collapsed="false">
      <c r="B51" s="264" t="s">
        <v>1020</v>
      </c>
      <c r="K51" s="743" t="n">
        <f aca="false">IF(E48&lt;&gt;"n",IF(ISERROR((VLOOKUP(M23,B15:K20,8,FALSE()))),0,(VLOOKUP(M23,B15:K20,8,FALSE()))),0)</f>
        <v>0</v>
      </c>
    </row>
    <row r="52" s="1" customFormat="true" ht="15" hidden="false" customHeight="true" outlineLevel="0" collapsed="false">
      <c r="B52" s="264"/>
      <c r="K52" s="689"/>
    </row>
    <row r="53" s="1" customFormat="true" ht="15" hidden="false" customHeight="true" outlineLevel="0" collapsed="false">
      <c r="E53" s="751" t="s">
        <v>980</v>
      </c>
    </row>
    <row r="54" s="1" customFormat="true" ht="15" hidden="false" customHeight="true" outlineLevel="0" collapsed="false">
      <c r="B54" s="752" t="s">
        <v>1021</v>
      </c>
      <c r="C54" s="753"/>
      <c r="D54" s="753"/>
      <c r="E54" s="343"/>
      <c r="F54" s="753"/>
      <c r="G54" s="753"/>
      <c r="H54" s="753"/>
      <c r="I54" s="753"/>
      <c r="J54" s="753"/>
      <c r="K54" s="754" t="n">
        <f aca="false">IF(ISERROR(K50-K51),0,K50-K51)</f>
        <v>0</v>
      </c>
    </row>
    <row r="55" s="1" customFormat="true" ht="15" hidden="false" customHeight="true" outlineLevel="0" collapsed="false">
      <c r="B55" s="755" t="s">
        <v>1022</v>
      </c>
      <c r="E55" s="347"/>
      <c r="K55" s="756" t="n">
        <f aca="false">IF(ISERROR(K46-K54), 0, K46-K54)</f>
        <v>0</v>
      </c>
    </row>
    <row r="56" s="1" customFormat="true" ht="15" hidden="false" customHeight="true" outlineLevel="0" collapsed="false">
      <c r="B56" s="755" t="s">
        <v>1023</v>
      </c>
      <c r="K56" s="757" t="n">
        <f aca="false">SUM(K54:K55)</f>
        <v>0</v>
      </c>
    </row>
    <row r="57" s="1" customFormat="true" ht="15" hidden="false" customHeight="true" outlineLevel="0" collapsed="false">
      <c r="B57" s="758"/>
      <c r="C57" s="759"/>
      <c r="D57" s="759"/>
      <c r="E57" s="759"/>
      <c r="F57" s="759"/>
      <c r="G57" s="759"/>
      <c r="H57" s="759"/>
      <c r="I57" s="759"/>
      <c r="J57" s="759"/>
      <c r="K57" s="760"/>
    </row>
    <row r="58" s="1" customFormat="true" ht="15" hidden="false" customHeight="true" outlineLevel="0" collapsed="false">
      <c r="B58" s="264"/>
    </row>
    <row r="59" s="1" customFormat="true" ht="15" hidden="false" customHeight="true" outlineLevel="0" collapsed="false">
      <c r="B59" s="692" t="s">
        <v>1024</v>
      </c>
      <c r="C59" s="761"/>
      <c r="D59" s="693"/>
      <c r="E59" s="694" t="n">
        <f aca="false">K54</f>
        <v>0</v>
      </c>
      <c r="F59" s="694"/>
      <c r="H59" s="692" t="s">
        <v>1025</v>
      </c>
      <c r="I59" s="761"/>
      <c r="J59" s="693"/>
      <c r="K59" s="694" t="n">
        <f aca="false">-K55</f>
        <v>0</v>
      </c>
    </row>
    <row r="60" s="1" customFormat="true" ht="15" hidden="false" customHeight="true" outlineLevel="0" collapsed="false">
      <c r="B60" s="696" t="s">
        <v>1026</v>
      </c>
      <c r="C60" s="762"/>
      <c r="D60" s="697"/>
      <c r="E60" s="698" t="n">
        <f aca="false">DSH!E38</f>
        <v>0</v>
      </c>
      <c r="F60" s="698"/>
      <c r="H60" s="696" t="s">
        <v>1027</v>
      </c>
      <c r="I60" s="762"/>
      <c r="J60" s="697"/>
      <c r="K60" s="698" t="n">
        <f aca="false">DSH!E70</f>
        <v>0</v>
      </c>
    </row>
    <row r="61" s="1" customFormat="true" ht="15" hidden="false" customHeight="true" outlineLevel="0" collapsed="false">
      <c r="B61" s="700" t="s">
        <v>591</v>
      </c>
      <c r="C61" s="763"/>
      <c r="D61" s="701"/>
      <c r="E61" s="702" t="n">
        <f aca="false">IFERROR(VALUE(E59) - VALUE(E60), 0)</f>
        <v>0</v>
      </c>
      <c r="F61" s="702"/>
      <c r="H61" s="700" t="s">
        <v>591</v>
      </c>
      <c r="I61" s="763"/>
      <c r="J61" s="701"/>
      <c r="K61" s="702" t="n">
        <f aca="false">IFERROR(VALUE(K59) - VALUE(K60), 0)</f>
        <v>0</v>
      </c>
    </row>
    <row r="62" s="1" customFormat="true" ht="15" hidden="false" customHeight="true" outlineLevel="0" collapsed="false"/>
  </sheetData>
  <mergeCells count="67">
    <mergeCell ref="B2:K2"/>
    <mergeCell ref="B3:I3"/>
    <mergeCell ref="D4:H4"/>
    <mergeCell ref="I4:J4"/>
    <mergeCell ref="B5:C5"/>
    <mergeCell ref="D5:H5"/>
    <mergeCell ref="I5:J5"/>
    <mergeCell ref="B6:C6"/>
    <mergeCell ref="D6:H6"/>
    <mergeCell ref="I6:J6"/>
    <mergeCell ref="B7:C7"/>
    <mergeCell ref="D7:H7"/>
    <mergeCell ref="I7:J7"/>
    <mergeCell ref="B8:C8"/>
    <mergeCell ref="D8:H8"/>
    <mergeCell ref="I8:J8"/>
    <mergeCell ref="B9:C9"/>
    <mergeCell ref="D9:H9"/>
    <mergeCell ref="I9:J9"/>
    <mergeCell ref="B10:C10"/>
    <mergeCell ref="D10:E10"/>
    <mergeCell ref="G10:H10"/>
    <mergeCell ref="I10:J10"/>
    <mergeCell ref="B13:C14"/>
    <mergeCell ref="D13:E14"/>
    <mergeCell ref="F13:F14"/>
    <mergeCell ref="G13:H14"/>
    <mergeCell ref="I13:J14"/>
    <mergeCell ref="K13:K14"/>
    <mergeCell ref="B15:C15"/>
    <mergeCell ref="D15:E15"/>
    <mergeCell ref="G15:H15"/>
    <mergeCell ref="I15:J15"/>
    <mergeCell ref="B16:C16"/>
    <mergeCell ref="D16:E16"/>
    <mergeCell ref="G16:H16"/>
    <mergeCell ref="I16:J16"/>
    <mergeCell ref="B17:C17"/>
    <mergeCell ref="D17:E17"/>
    <mergeCell ref="G17:H17"/>
    <mergeCell ref="I17:J17"/>
    <mergeCell ref="B18:C18"/>
    <mergeCell ref="D18:E18"/>
    <mergeCell ref="G18:H18"/>
    <mergeCell ref="I18:J18"/>
    <mergeCell ref="B19:C19"/>
    <mergeCell ref="D19:E19"/>
    <mergeCell ref="G19:H19"/>
    <mergeCell ref="I19:J19"/>
    <mergeCell ref="B20:C20"/>
    <mergeCell ref="D20:E20"/>
    <mergeCell ref="G20:H20"/>
    <mergeCell ref="I20:J20"/>
    <mergeCell ref="D21:E21"/>
    <mergeCell ref="G21:H21"/>
    <mergeCell ref="I21:J21"/>
    <mergeCell ref="H28:I28"/>
    <mergeCell ref="H29:I29"/>
    <mergeCell ref="H30:I30"/>
    <mergeCell ref="H31:I31"/>
    <mergeCell ref="H35:I35"/>
    <mergeCell ref="H36:I36"/>
    <mergeCell ref="H49:I49"/>
    <mergeCell ref="H50:I50"/>
    <mergeCell ref="E59:F59"/>
    <mergeCell ref="E60:F60"/>
    <mergeCell ref="E61:F61"/>
  </mergeCells>
  <printOptions headings="false" gridLines="false" gridLinesSet="true" horizontalCentered="false" verticalCentered="false"/>
  <pageMargins left="0.590277777777778" right="0.590277777777778" top="0.590277777777778" bottom="0.590277777777778" header="0.511811023622047" footer="0.511805555555556"/>
  <pageSetup paperSize="9" scale="100" fitToWidth="0" fitToHeight="1" pageOrder="downThenOver" orientation="portrait" blackAndWhite="false" draft="false" cellComments="none" horizontalDpi="300" verticalDpi="300" copies="1"/>
  <headerFooter differentFirst="false" differentOddEven="false">
    <oddHeader/>
    <oddFooter>&amp;L&amp;8 CCH Business Fitness NZ&amp;R&amp;8 &amp;P of &amp;N</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80"/>
  <sheetViews>
    <sheetView showFormulas="false" showGridLines="false" showRowColHeaders="true" showZeros="true" rightToLeft="false" tabSelected="false" showOutlineSymbols="true" defaultGridColor="true" view="normal" topLeftCell="A29" colorId="64" zoomScale="100" zoomScaleNormal="100" zoomScalePageLayoutView="100" workbookViewId="0">
      <selection pane="topLeft" activeCell="A7" activeCellId="0" sqref="A7"/>
    </sheetView>
  </sheetViews>
  <sheetFormatPr defaultColWidth="9.14453125" defaultRowHeight="12.75" zeroHeight="false" outlineLevelRow="0" outlineLevelCol="0"/>
  <cols>
    <col collapsed="false" customWidth="true" hidden="false" outlineLevel="0" max="1" min="1" style="469" width="3.15"/>
    <col collapsed="false" customWidth="false" hidden="false" outlineLevel="0" max="7" min="2" style="469" width="9.14"/>
    <col collapsed="false" customWidth="true" hidden="false" outlineLevel="0" max="8" min="8" style="469" width="12"/>
    <col collapsed="false" customWidth="true" hidden="false" outlineLevel="0" max="9" min="9" style="470" width="10.57"/>
    <col collapsed="false" customWidth="false" hidden="false" outlineLevel="0" max="11" min="10" style="498" width="9.14"/>
    <col collapsed="false" customWidth="true" hidden="false" outlineLevel="0" max="12" min="12" style="469" width="3.15"/>
    <col collapsed="false" customWidth="false" hidden="true" outlineLevel="0" max="18" min="13" style="469" width="9.14"/>
    <col collapsed="false" customWidth="false" hidden="false" outlineLevel="0" max="19" min="19" style="469" width="9.14"/>
    <col collapsed="false" customWidth="true" hidden="false" outlineLevel="0" max="20" min="20" style="469" width="9.86"/>
    <col collapsed="false" customWidth="false" hidden="false" outlineLevel="0" max="16384" min="21" style="469" width="9.14"/>
  </cols>
  <sheetData>
    <row r="1" s="23" customFormat="true" ht="15.75" hidden="false" customHeight="true" outlineLevel="0" collapsed="false">
      <c r="A1" s="54"/>
      <c r="B1" s="54"/>
      <c r="L1" s="764"/>
    </row>
    <row r="2" s="23" customFormat="true" ht="20.25" hidden="false" customHeight="true" outlineLevel="0" collapsed="false">
      <c r="A2" s="24" t="s">
        <v>555</v>
      </c>
      <c r="B2" s="24"/>
      <c r="C2" s="24"/>
      <c r="D2" s="24"/>
      <c r="E2" s="24"/>
      <c r="F2" s="24"/>
      <c r="G2" s="24"/>
      <c r="H2" s="24"/>
      <c r="I2" s="24"/>
      <c r="J2" s="24"/>
      <c r="K2" s="24"/>
    </row>
    <row r="5" customFormat="false" ht="15" hidden="false" customHeight="true" outlineLevel="0" collapsed="false">
      <c r="B5" s="765" t="s">
        <v>1028</v>
      </c>
      <c r="C5" s="765"/>
      <c r="D5" s="765"/>
      <c r="E5" s="765"/>
      <c r="F5" s="765"/>
      <c r="G5" s="765"/>
      <c r="H5" s="765"/>
      <c r="I5" s="766"/>
      <c r="J5" s="767" t="str">
        <f aca="false">TCP!F38</f>
        <v>0</v>
      </c>
      <c r="K5" s="767"/>
      <c r="L5" s="765"/>
      <c r="M5" s="469" t="s">
        <v>1029</v>
      </c>
      <c r="R5" s="765"/>
      <c r="T5" s="161" t="s">
        <v>628</v>
      </c>
    </row>
    <row r="6" customFormat="false" ht="15" hidden="false" customHeight="true" outlineLevel="0" collapsed="false">
      <c r="B6" s="765"/>
      <c r="C6" s="765"/>
      <c r="D6" s="765"/>
      <c r="E6" s="765"/>
      <c r="F6" s="765"/>
      <c r="G6" s="765"/>
      <c r="H6" s="765"/>
      <c r="I6" s="766"/>
      <c r="J6" s="768"/>
      <c r="K6" s="768"/>
      <c r="L6" s="765"/>
      <c r="M6" s="469" t="s">
        <v>1030</v>
      </c>
      <c r="R6" s="765"/>
    </row>
    <row r="7" customFormat="false" ht="15" hidden="false" customHeight="true" outlineLevel="0" collapsed="false">
      <c r="B7" s="765" t="s">
        <v>1031</v>
      </c>
      <c r="C7" s="765"/>
      <c r="D7" s="765"/>
      <c r="E7" s="765"/>
      <c r="F7" s="765"/>
      <c r="G7" s="765"/>
      <c r="H7" s="765"/>
      <c r="I7" s="766"/>
      <c r="J7" s="769" t="s">
        <v>848</v>
      </c>
      <c r="K7" s="769"/>
      <c r="L7" s="765"/>
      <c r="M7" s="770" t="s">
        <v>1032</v>
      </c>
      <c r="N7" s="770"/>
      <c r="O7" s="770"/>
      <c r="P7" s="770"/>
      <c r="Q7" s="770"/>
      <c r="R7" s="765"/>
    </row>
    <row r="8" customFormat="false" ht="15" hidden="false" customHeight="true" outlineLevel="0" collapsed="false">
      <c r="B8" s="765"/>
      <c r="C8" s="765"/>
      <c r="D8" s="765"/>
      <c r="E8" s="765"/>
      <c r="F8" s="765"/>
      <c r="G8" s="765"/>
      <c r="H8" s="765"/>
      <c r="I8" s="766"/>
      <c r="J8" s="771"/>
      <c r="K8" s="771"/>
      <c r="L8" s="765"/>
      <c r="M8" s="770"/>
      <c r="N8" s="770"/>
      <c r="O8" s="770"/>
      <c r="P8" s="770"/>
      <c r="Q8" s="770"/>
      <c r="R8" s="765"/>
    </row>
    <row r="9" customFormat="false" ht="15" hidden="false" customHeight="true" outlineLevel="0" collapsed="false">
      <c r="B9" s="765" t="s">
        <v>1033</v>
      </c>
      <c r="C9" s="765"/>
      <c r="D9" s="765"/>
      <c r="E9" s="765"/>
      <c r="F9" s="765"/>
      <c r="G9" s="765"/>
      <c r="H9" s="765"/>
      <c r="I9" s="766"/>
      <c r="J9" s="772"/>
      <c r="K9" s="772"/>
      <c r="L9" s="765"/>
      <c r="R9" s="765"/>
    </row>
    <row r="10" customFormat="false" ht="15" hidden="false" customHeight="true" outlineLevel="0" collapsed="false">
      <c r="B10" s="765"/>
      <c r="C10" s="765"/>
      <c r="D10" s="765"/>
      <c r="E10" s="765"/>
      <c r="F10" s="765"/>
      <c r="G10" s="765"/>
      <c r="H10" s="765"/>
      <c r="I10" s="766"/>
      <c r="J10" s="768"/>
      <c r="K10" s="768"/>
      <c r="L10" s="765"/>
      <c r="R10" s="765"/>
    </row>
    <row r="11" customFormat="false" ht="15" hidden="false" customHeight="true" outlineLevel="0" collapsed="false">
      <c r="B11" s="765" t="s">
        <v>1034</v>
      </c>
      <c r="C11" s="765"/>
      <c r="D11" s="765"/>
      <c r="E11" s="765"/>
      <c r="F11" s="765"/>
      <c r="G11" s="765"/>
      <c r="H11" s="765"/>
      <c r="I11" s="766" t="s">
        <v>654</v>
      </c>
      <c r="J11" s="768"/>
      <c r="K11" s="768"/>
      <c r="L11" s="765"/>
      <c r="R11" s="765"/>
    </row>
    <row r="12" customFormat="false" ht="15" hidden="false" customHeight="true" outlineLevel="0" collapsed="false">
      <c r="B12" s="773" t="s">
        <v>1035</v>
      </c>
      <c r="C12" s="773"/>
      <c r="D12" s="773"/>
      <c r="E12" s="773"/>
      <c r="F12" s="773"/>
      <c r="G12" s="773"/>
      <c r="H12" s="773"/>
      <c r="I12" s="774" t="s">
        <v>617</v>
      </c>
      <c r="J12" s="775" t="n">
        <f aca="false">IIC!E13</f>
        <v>0</v>
      </c>
      <c r="K12" s="775"/>
      <c r="L12" s="765"/>
      <c r="M12" s="765"/>
      <c r="N12" s="765"/>
      <c r="O12" s="765"/>
      <c r="P12" s="765"/>
      <c r="Q12" s="765"/>
      <c r="R12" s="765"/>
    </row>
    <row r="13" customFormat="false" ht="15" hidden="false" customHeight="true" outlineLevel="0" collapsed="false">
      <c r="B13" s="776" t="s">
        <v>1036</v>
      </c>
      <c r="C13" s="776"/>
      <c r="D13" s="776"/>
      <c r="E13" s="776"/>
      <c r="F13" s="776"/>
      <c r="G13" s="776"/>
      <c r="H13" s="776"/>
      <c r="I13" s="777" t="s">
        <v>617</v>
      </c>
      <c r="J13" s="778" t="n">
        <f aca="false">IIC!F43+IIC!G89</f>
        <v>0</v>
      </c>
      <c r="K13" s="778"/>
      <c r="L13" s="765"/>
      <c r="M13" s="765"/>
      <c r="N13" s="765"/>
      <c r="O13" s="765"/>
      <c r="P13" s="765"/>
      <c r="Q13" s="765"/>
      <c r="R13" s="765"/>
    </row>
    <row r="14" customFormat="false" ht="15" hidden="false" customHeight="true" outlineLevel="0" collapsed="false">
      <c r="B14" s="776" t="s">
        <v>1037</v>
      </c>
      <c r="C14" s="776"/>
      <c r="D14" s="776"/>
      <c r="E14" s="776"/>
      <c r="F14" s="776"/>
      <c r="G14" s="776"/>
      <c r="H14" s="776"/>
      <c r="I14" s="777" t="s">
        <v>617</v>
      </c>
      <c r="J14" s="779" t="n">
        <f aca="false">+IIC!F28+IIC!G43</f>
        <v>0</v>
      </c>
      <c r="K14" s="779"/>
      <c r="L14" s="765"/>
      <c r="M14" s="765"/>
      <c r="N14" s="765"/>
      <c r="O14" s="765"/>
      <c r="P14" s="765"/>
      <c r="Q14" s="765"/>
      <c r="R14" s="765"/>
    </row>
    <row r="15" customFormat="false" ht="15" hidden="false" customHeight="true" outlineLevel="0" collapsed="false">
      <c r="B15" s="776" t="s">
        <v>1038</v>
      </c>
      <c r="C15" s="776"/>
      <c r="D15" s="776"/>
      <c r="E15" s="776"/>
      <c r="F15" s="776"/>
      <c r="G15" s="776"/>
      <c r="H15" s="776"/>
      <c r="I15" s="777" t="s">
        <v>617</v>
      </c>
      <c r="J15" s="780"/>
      <c r="K15" s="780"/>
      <c r="L15" s="765"/>
      <c r="M15" s="765"/>
      <c r="N15" s="765"/>
      <c r="O15" s="765"/>
      <c r="P15" s="765"/>
      <c r="Q15" s="765"/>
      <c r="R15" s="765"/>
    </row>
    <row r="16" customFormat="false" ht="15" hidden="false" customHeight="true" outlineLevel="0" collapsed="false">
      <c r="B16" s="776" t="s">
        <v>1039</v>
      </c>
      <c r="C16" s="776"/>
      <c r="D16" s="776"/>
      <c r="E16" s="776"/>
      <c r="F16" s="776"/>
      <c r="G16" s="776"/>
      <c r="H16" s="776"/>
      <c r="I16" s="781"/>
      <c r="J16" s="782"/>
      <c r="K16" s="782"/>
      <c r="L16" s="765"/>
      <c r="M16" s="765"/>
      <c r="N16" s="765"/>
      <c r="O16" s="765"/>
      <c r="P16" s="765"/>
      <c r="Q16" s="765"/>
      <c r="R16" s="765"/>
    </row>
    <row r="17" customFormat="false" ht="15" hidden="false" customHeight="true" outlineLevel="0" collapsed="false">
      <c r="B17" s="776" t="s">
        <v>1040</v>
      </c>
      <c r="C17" s="776"/>
      <c r="D17" s="776"/>
      <c r="E17" s="776"/>
      <c r="F17" s="776"/>
      <c r="G17" s="776"/>
      <c r="H17" s="776"/>
      <c r="I17" s="777" t="s">
        <v>617</v>
      </c>
      <c r="J17" s="779" t="n">
        <f aca="false">+IIC!E28</f>
        <v>0</v>
      </c>
      <c r="K17" s="779"/>
      <c r="L17" s="765"/>
      <c r="M17" s="765"/>
      <c r="N17" s="765"/>
      <c r="O17" s="765"/>
      <c r="P17" s="765"/>
      <c r="Q17" s="765"/>
      <c r="R17" s="765"/>
    </row>
    <row r="18" customFormat="false" ht="15" hidden="false" customHeight="true" outlineLevel="0" collapsed="false">
      <c r="B18" s="783" t="s">
        <v>1041</v>
      </c>
      <c r="C18" s="783"/>
      <c r="D18" s="783"/>
      <c r="E18" s="783"/>
      <c r="F18" s="783"/>
      <c r="G18" s="783"/>
      <c r="H18" s="783"/>
      <c r="I18" s="784"/>
      <c r="J18" s="785"/>
      <c r="K18" s="785"/>
      <c r="L18" s="765"/>
      <c r="M18" s="765"/>
      <c r="N18" s="765"/>
      <c r="O18" s="765"/>
      <c r="P18" s="765"/>
      <c r="Q18" s="765"/>
      <c r="R18" s="765"/>
    </row>
    <row r="19" customFormat="false" ht="15" hidden="false" customHeight="true" outlineLevel="0" collapsed="false">
      <c r="B19" s="765" t="s">
        <v>669</v>
      </c>
      <c r="C19" s="765"/>
      <c r="D19" s="765"/>
      <c r="E19" s="765"/>
      <c r="F19" s="765"/>
      <c r="G19" s="765"/>
      <c r="H19" s="765"/>
      <c r="I19" s="766"/>
      <c r="J19" s="786" t="n">
        <f aca="false">SUM(J12:K15)-J16+SUM(J17:K18)</f>
        <v>0</v>
      </c>
      <c r="K19" s="786"/>
      <c r="L19" s="765"/>
      <c r="M19" s="765"/>
      <c r="N19" s="765"/>
      <c r="O19" s="765"/>
      <c r="P19" s="765"/>
      <c r="Q19" s="765"/>
      <c r="R19" s="765"/>
    </row>
    <row r="20" customFormat="false" ht="15" hidden="false" customHeight="true" outlineLevel="0" collapsed="false">
      <c r="B20" s="765"/>
      <c r="C20" s="765"/>
      <c r="D20" s="765"/>
      <c r="E20" s="765"/>
      <c r="F20" s="765"/>
      <c r="G20" s="765"/>
      <c r="H20" s="765"/>
      <c r="I20" s="766"/>
      <c r="J20" s="768"/>
      <c r="K20" s="768"/>
      <c r="L20" s="765"/>
      <c r="M20" s="765"/>
      <c r="N20" s="765"/>
      <c r="O20" s="765"/>
      <c r="P20" s="765"/>
      <c r="Q20" s="765"/>
      <c r="R20" s="765"/>
    </row>
    <row r="21" customFormat="false" ht="15" hidden="false" customHeight="true" outlineLevel="0" collapsed="false">
      <c r="B21" s="765" t="s">
        <v>1042</v>
      </c>
      <c r="C21" s="765"/>
      <c r="D21" s="765"/>
      <c r="E21" s="765"/>
      <c r="F21" s="765"/>
      <c r="G21" s="765"/>
      <c r="H21" s="765"/>
      <c r="I21" s="766"/>
      <c r="J21" s="787" t="n">
        <f aca="false">J5+J9-J19</f>
        <v>0</v>
      </c>
      <c r="K21" s="787"/>
      <c r="L21" s="765"/>
      <c r="M21" s="765"/>
      <c r="N21" s="765"/>
      <c r="O21" s="765"/>
      <c r="P21" s="765"/>
      <c r="Q21" s="765"/>
      <c r="R21" s="765"/>
    </row>
    <row r="22" customFormat="false" ht="15" hidden="false" customHeight="true" outlineLevel="0" collapsed="false">
      <c r="B22" s="765"/>
      <c r="C22" s="765"/>
      <c r="D22" s="765"/>
      <c r="E22" s="765"/>
      <c r="F22" s="765"/>
      <c r="G22" s="765"/>
      <c r="H22" s="765"/>
      <c r="I22" s="766"/>
      <c r="J22" s="768"/>
      <c r="K22" s="768"/>
      <c r="L22" s="765"/>
      <c r="M22" s="765"/>
      <c r="N22" s="765"/>
      <c r="O22" s="765"/>
      <c r="P22" s="765"/>
      <c r="Q22" s="765"/>
      <c r="R22" s="765"/>
    </row>
    <row r="23" customFormat="false" ht="15" hidden="false" customHeight="true" outlineLevel="0" collapsed="false">
      <c r="B23" s="788" t="s">
        <v>1043</v>
      </c>
      <c r="C23" s="765"/>
      <c r="D23" s="765"/>
      <c r="E23" s="765"/>
      <c r="F23" s="765"/>
      <c r="G23" s="765"/>
      <c r="H23" s="766" t="s">
        <v>652</v>
      </c>
      <c r="I23" s="766" t="s">
        <v>654</v>
      </c>
      <c r="J23" s="768"/>
      <c r="K23" s="768"/>
      <c r="L23" s="765"/>
      <c r="M23" s="765"/>
      <c r="N23" s="765"/>
      <c r="O23" s="765"/>
      <c r="P23" s="765"/>
      <c r="Q23" s="765"/>
      <c r="R23" s="765"/>
    </row>
    <row r="24" customFormat="false" ht="15" hidden="false" customHeight="true" outlineLevel="0" collapsed="false">
      <c r="B24" s="773" t="s">
        <v>1044</v>
      </c>
      <c r="C24" s="773"/>
      <c r="D24" s="773"/>
      <c r="E24" s="773"/>
      <c r="F24" s="773"/>
      <c r="G24" s="773"/>
      <c r="H24" s="789"/>
      <c r="I24" s="790"/>
      <c r="J24" s="791"/>
      <c r="K24" s="791"/>
      <c r="L24" s="765"/>
      <c r="M24" s="765"/>
      <c r="N24" s="765"/>
      <c r="O24" s="765"/>
      <c r="P24" s="765"/>
      <c r="Q24" s="765"/>
      <c r="R24" s="765"/>
    </row>
    <row r="25" customFormat="false" ht="15" hidden="false" customHeight="true" outlineLevel="0" collapsed="false">
      <c r="B25" s="776" t="s">
        <v>1045</v>
      </c>
      <c r="C25" s="776"/>
      <c r="D25" s="776"/>
      <c r="E25" s="776"/>
      <c r="F25" s="776"/>
      <c r="G25" s="776"/>
      <c r="H25" s="792"/>
      <c r="I25" s="781"/>
      <c r="J25" s="793"/>
      <c r="K25" s="793"/>
      <c r="L25" s="765"/>
      <c r="M25" s="765"/>
      <c r="N25" s="765"/>
      <c r="O25" s="765"/>
      <c r="P25" s="765"/>
      <c r="Q25" s="765"/>
      <c r="R25" s="765"/>
      <c r="S25" s="794"/>
    </row>
    <row r="26" customFormat="false" ht="15" hidden="false" customHeight="true" outlineLevel="0" collapsed="false">
      <c r="B26" s="776" t="s">
        <v>1046</v>
      </c>
      <c r="C26" s="776"/>
      <c r="D26" s="776"/>
      <c r="E26" s="776"/>
      <c r="F26" s="776"/>
      <c r="G26" s="776"/>
      <c r="H26" s="792"/>
      <c r="I26" s="781"/>
      <c r="J26" s="793"/>
      <c r="K26" s="793"/>
      <c r="L26" s="765"/>
      <c r="M26" s="765"/>
      <c r="N26" s="765"/>
      <c r="O26" s="765"/>
      <c r="P26" s="765"/>
      <c r="Q26" s="765"/>
      <c r="R26" s="765"/>
      <c r="S26" s="794"/>
    </row>
    <row r="27" customFormat="false" ht="15" hidden="false" customHeight="true" outlineLevel="0" collapsed="false">
      <c r="B27" s="776" t="s">
        <v>1047</v>
      </c>
      <c r="C27" s="776"/>
      <c r="D27" s="776"/>
      <c r="E27" s="776"/>
      <c r="F27" s="776"/>
      <c r="G27" s="776"/>
      <c r="H27" s="792"/>
      <c r="I27" s="781"/>
      <c r="J27" s="793"/>
      <c r="K27" s="793"/>
      <c r="L27" s="765"/>
      <c r="M27" s="765"/>
      <c r="N27" s="765"/>
      <c r="O27" s="765"/>
      <c r="P27" s="765"/>
      <c r="Q27" s="765"/>
      <c r="R27" s="765"/>
      <c r="S27" s="794"/>
    </row>
    <row r="28" customFormat="false" ht="15" hidden="false" customHeight="true" outlineLevel="0" collapsed="false">
      <c r="B28" s="795"/>
      <c r="C28" s="795"/>
      <c r="D28" s="795"/>
      <c r="E28" s="795"/>
      <c r="F28" s="795"/>
      <c r="G28" s="795"/>
      <c r="H28" s="792"/>
      <c r="I28" s="781"/>
      <c r="J28" s="793"/>
      <c r="K28" s="793"/>
      <c r="L28" s="765"/>
      <c r="M28" s="765"/>
      <c r="N28" s="765"/>
      <c r="O28" s="765"/>
      <c r="P28" s="765"/>
      <c r="Q28" s="765"/>
      <c r="R28" s="765"/>
      <c r="S28" s="794"/>
    </row>
    <row r="29" customFormat="false" ht="15" hidden="false" customHeight="true" outlineLevel="0" collapsed="false">
      <c r="B29" s="795"/>
      <c r="C29" s="795"/>
      <c r="D29" s="795"/>
      <c r="E29" s="795"/>
      <c r="F29" s="795"/>
      <c r="G29" s="795"/>
      <c r="H29" s="792"/>
      <c r="I29" s="781"/>
      <c r="J29" s="793"/>
      <c r="K29" s="793"/>
      <c r="L29" s="765"/>
      <c r="M29" s="765"/>
      <c r="N29" s="765"/>
      <c r="O29" s="765"/>
      <c r="P29" s="765"/>
      <c r="Q29" s="765"/>
      <c r="R29" s="765"/>
      <c r="S29" s="794"/>
    </row>
    <row r="30" customFormat="false" ht="15" hidden="false" customHeight="true" outlineLevel="0" collapsed="false">
      <c r="B30" s="795"/>
      <c r="C30" s="795"/>
      <c r="D30" s="795"/>
      <c r="E30" s="795"/>
      <c r="F30" s="795"/>
      <c r="G30" s="795"/>
      <c r="H30" s="792"/>
      <c r="I30" s="781"/>
      <c r="J30" s="793"/>
      <c r="K30" s="793"/>
      <c r="L30" s="765"/>
      <c r="M30" s="765"/>
      <c r="N30" s="765"/>
      <c r="O30" s="765"/>
      <c r="P30" s="765"/>
      <c r="Q30" s="765"/>
      <c r="R30" s="765"/>
      <c r="S30" s="794"/>
    </row>
    <row r="31" customFormat="false" ht="15" hidden="false" customHeight="true" outlineLevel="0" collapsed="false">
      <c r="B31" s="776" t="s">
        <v>1048</v>
      </c>
      <c r="C31" s="776"/>
      <c r="D31" s="776"/>
      <c r="E31" s="776"/>
      <c r="F31" s="776"/>
      <c r="G31" s="776"/>
      <c r="H31" s="792"/>
      <c r="I31" s="781"/>
      <c r="J31" s="793"/>
      <c r="K31" s="793"/>
      <c r="L31" s="765"/>
      <c r="M31" s="765"/>
      <c r="N31" s="765"/>
      <c r="O31" s="765"/>
      <c r="P31" s="765"/>
      <c r="Q31" s="765"/>
      <c r="R31" s="765"/>
      <c r="S31" s="794"/>
    </row>
    <row r="32" customFormat="false" ht="15" hidden="false" customHeight="true" outlineLevel="0" collapsed="false">
      <c r="B32" s="776" t="s">
        <v>1049</v>
      </c>
      <c r="C32" s="776"/>
      <c r="D32" s="776"/>
      <c r="E32" s="776"/>
      <c r="F32" s="776"/>
      <c r="G32" s="776"/>
      <c r="H32" s="792"/>
      <c r="I32" s="781"/>
      <c r="J32" s="793"/>
      <c r="K32" s="793"/>
      <c r="L32" s="765"/>
      <c r="M32" s="765"/>
      <c r="N32" s="765"/>
      <c r="O32" s="765"/>
      <c r="P32" s="765"/>
      <c r="Q32" s="765"/>
      <c r="R32" s="765"/>
      <c r="S32" s="794"/>
    </row>
    <row r="33" customFormat="false" ht="15" hidden="false" customHeight="true" outlineLevel="0" collapsed="false">
      <c r="B33" s="783" t="s">
        <v>1050</v>
      </c>
      <c r="C33" s="783"/>
      <c r="D33" s="783"/>
      <c r="E33" s="783"/>
      <c r="F33" s="783"/>
      <c r="G33" s="783"/>
      <c r="H33" s="796"/>
      <c r="I33" s="784"/>
      <c r="J33" s="793"/>
      <c r="K33" s="793"/>
      <c r="L33" s="765"/>
      <c r="M33" s="765"/>
      <c r="N33" s="765"/>
      <c r="O33" s="765"/>
      <c r="P33" s="765"/>
      <c r="Q33" s="765"/>
      <c r="R33" s="765"/>
      <c r="S33" s="794"/>
    </row>
    <row r="34" customFormat="false" ht="15" hidden="false" customHeight="true" outlineLevel="0" collapsed="false">
      <c r="B34" s="765" t="s">
        <v>1051</v>
      </c>
      <c r="C34" s="765"/>
      <c r="D34" s="765"/>
      <c r="E34" s="765"/>
      <c r="F34" s="765"/>
      <c r="G34" s="765"/>
      <c r="H34" s="765"/>
      <c r="I34" s="766"/>
      <c r="J34" s="786" t="n">
        <f aca="false">SUM(J24:J32)-J33</f>
        <v>0</v>
      </c>
      <c r="K34" s="786"/>
      <c r="L34" s="765"/>
      <c r="M34" s="765"/>
      <c r="N34" s="765"/>
      <c r="O34" s="765"/>
      <c r="P34" s="765"/>
      <c r="Q34" s="765"/>
      <c r="R34" s="765"/>
      <c r="V34" s="469" t="n">
        <f aca="false">SUM(V24:V32)-V33</f>
        <v>0</v>
      </c>
    </row>
    <row r="35" customFormat="false" ht="15" hidden="false" customHeight="true" outlineLevel="0" collapsed="false">
      <c r="B35" s="765"/>
      <c r="C35" s="765"/>
      <c r="D35" s="765"/>
      <c r="E35" s="765"/>
      <c r="F35" s="765"/>
      <c r="G35" s="765"/>
      <c r="H35" s="765"/>
      <c r="I35" s="766"/>
      <c r="J35" s="771"/>
      <c r="K35" s="771"/>
      <c r="L35" s="765"/>
      <c r="M35" s="765"/>
      <c r="N35" s="765"/>
      <c r="O35" s="765"/>
      <c r="P35" s="765"/>
      <c r="Q35" s="765"/>
      <c r="R35" s="765"/>
    </row>
    <row r="36" customFormat="false" ht="15" hidden="false" customHeight="true" outlineLevel="0" collapsed="false">
      <c r="B36" s="765" t="s">
        <v>1052</v>
      </c>
      <c r="C36" s="765"/>
      <c r="D36" s="765"/>
      <c r="E36" s="765"/>
      <c r="F36" s="765"/>
      <c r="G36" s="765"/>
      <c r="H36" s="765"/>
      <c r="I36" s="766"/>
      <c r="J36" s="797" t="n">
        <f aca="false">J21-J34</f>
        <v>0</v>
      </c>
      <c r="K36" s="797"/>
      <c r="L36" s="765"/>
      <c r="M36" s="765"/>
      <c r="N36" s="765"/>
      <c r="O36" s="765"/>
      <c r="P36" s="765"/>
      <c r="Q36" s="765"/>
      <c r="R36" s="765"/>
    </row>
    <row r="37" customFormat="false" ht="15" hidden="false" customHeight="true" outlineLevel="0" collapsed="false">
      <c r="B37" s="765" t="s">
        <v>1053</v>
      </c>
      <c r="C37" s="765"/>
      <c r="D37" s="765"/>
      <c r="E37" s="765"/>
      <c r="F37" s="765"/>
      <c r="G37" s="765"/>
      <c r="H37" s="765"/>
      <c r="I37" s="766"/>
      <c r="J37" s="798"/>
      <c r="K37" s="798"/>
      <c r="L37" s="765"/>
      <c r="M37" s="765"/>
      <c r="N37" s="765"/>
      <c r="O37" s="765"/>
      <c r="P37" s="765"/>
      <c r="Q37" s="765"/>
      <c r="R37" s="765"/>
    </row>
    <row r="38" customFormat="false" ht="15" hidden="false" customHeight="true" outlineLevel="0" collapsed="false">
      <c r="B38" s="765"/>
      <c r="C38" s="765"/>
      <c r="D38" s="765"/>
      <c r="E38" s="765"/>
      <c r="F38" s="765"/>
      <c r="G38" s="765"/>
      <c r="H38" s="765"/>
      <c r="I38" s="766"/>
      <c r="J38" s="768"/>
      <c r="K38" s="768"/>
      <c r="L38" s="765"/>
      <c r="M38" s="765"/>
      <c r="N38" s="765"/>
      <c r="O38" s="765"/>
      <c r="P38" s="765"/>
      <c r="Q38" s="765"/>
      <c r="R38" s="765"/>
    </row>
    <row r="39" customFormat="false" ht="15" hidden="false" customHeight="true" outlineLevel="0" collapsed="false">
      <c r="B39" s="765" t="s">
        <v>1054</v>
      </c>
      <c r="C39" s="765"/>
      <c r="D39" s="765"/>
      <c r="E39" s="765"/>
      <c r="F39" s="765"/>
      <c r="G39" s="765"/>
      <c r="H39" s="765"/>
      <c r="I39" s="766" t="s">
        <v>654</v>
      </c>
      <c r="J39" s="768"/>
      <c r="K39" s="768"/>
      <c r="L39" s="765"/>
      <c r="M39" s="765"/>
      <c r="N39" s="765"/>
      <c r="O39" s="765"/>
      <c r="P39" s="765"/>
      <c r="Q39" s="765"/>
      <c r="R39" s="765"/>
    </row>
    <row r="40" customFormat="false" ht="15" hidden="false" customHeight="true" outlineLevel="0" collapsed="false">
      <c r="B40" s="799"/>
      <c r="C40" s="799"/>
      <c r="D40" s="799"/>
      <c r="E40" s="799"/>
      <c r="F40" s="799"/>
      <c r="G40" s="799"/>
      <c r="H40" s="799"/>
      <c r="I40" s="790"/>
      <c r="J40" s="800"/>
      <c r="K40" s="800"/>
      <c r="L40" s="765"/>
      <c r="M40" s="765"/>
      <c r="N40" s="765"/>
      <c r="O40" s="765"/>
      <c r="P40" s="765"/>
      <c r="Q40" s="765"/>
      <c r="R40" s="765"/>
    </row>
    <row r="41" customFormat="false" ht="15" hidden="false" customHeight="true" outlineLevel="0" collapsed="false">
      <c r="B41" s="795"/>
      <c r="C41" s="795"/>
      <c r="D41" s="795"/>
      <c r="E41" s="795"/>
      <c r="F41" s="795"/>
      <c r="G41" s="795"/>
      <c r="H41" s="795"/>
      <c r="I41" s="781"/>
      <c r="J41" s="780"/>
      <c r="K41" s="780"/>
      <c r="L41" s="765"/>
      <c r="M41" s="765"/>
      <c r="N41" s="765"/>
      <c r="O41" s="765"/>
      <c r="P41" s="765"/>
      <c r="Q41" s="765"/>
      <c r="R41" s="765"/>
    </row>
    <row r="42" customFormat="false" ht="15" hidden="false" customHeight="true" outlineLevel="0" collapsed="false">
      <c r="B42" s="801"/>
      <c r="C42" s="801"/>
      <c r="D42" s="801"/>
      <c r="E42" s="801"/>
      <c r="F42" s="801"/>
      <c r="G42" s="801"/>
      <c r="H42" s="801"/>
      <c r="I42" s="784"/>
      <c r="J42" s="785"/>
      <c r="K42" s="785"/>
      <c r="L42" s="765"/>
      <c r="M42" s="765"/>
      <c r="N42" s="765"/>
      <c r="O42" s="765"/>
      <c r="P42" s="765"/>
      <c r="Q42" s="765"/>
      <c r="R42" s="765"/>
    </row>
    <row r="43" customFormat="false" ht="15" hidden="false" customHeight="true" outlineLevel="0" collapsed="false">
      <c r="B43" s="765" t="s">
        <v>1055</v>
      </c>
      <c r="C43" s="765"/>
      <c r="D43" s="765"/>
      <c r="E43" s="765"/>
      <c r="F43" s="765"/>
      <c r="G43" s="765"/>
      <c r="H43" s="765"/>
      <c r="I43" s="766"/>
      <c r="J43" s="787" t="n">
        <f aca="false">SUM(J40:K42)</f>
        <v>0</v>
      </c>
      <c r="K43" s="787"/>
      <c r="L43" s="765"/>
      <c r="M43" s="765"/>
      <c r="N43" s="765"/>
      <c r="O43" s="765"/>
      <c r="P43" s="765"/>
      <c r="Q43" s="765"/>
      <c r="R43" s="765"/>
    </row>
    <row r="44" customFormat="false" ht="15" hidden="false" customHeight="true" outlineLevel="0" collapsed="false">
      <c r="B44" s="765"/>
      <c r="C44" s="765"/>
      <c r="D44" s="765"/>
      <c r="E44" s="765"/>
      <c r="F44" s="765"/>
      <c r="G44" s="765"/>
      <c r="H44" s="765"/>
      <c r="I44" s="766"/>
      <c r="J44" s="768"/>
      <c r="K44" s="768"/>
      <c r="L44" s="765"/>
      <c r="M44" s="765"/>
      <c r="N44" s="765"/>
      <c r="O44" s="765"/>
      <c r="P44" s="765"/>
      <c r="Q44" s="765"/>
      <c r="R44" s="765"/>
    </row>
    <row r="45" customFormat="false" ht="15" hidden="false" customHeight="true" outlineLevel="0" collapsed="false">
      <c r="B45" s="765" t="s">
        <v>1056</v>
      </c>
      <c r="C45" s="765"/>
      <c r="D45" s="765"/>
      <c r="E45" s="765"/>
      <c r="F45" s="765"/>
      <c r="G45" s="765"/>
      <c r="H45" s="765"/>
      <c r="I45" s="766"/>
      <c r="J45" s="787" t="n">
        <f aca="false">J36+J37+J43</f>
        <v>0</v>
      </c>
      <c r="K45" s="787"/>
      <c r="L45" s="765"/>
      <c r="M45" s="765"/>
      <c r="N45" s="765"/>
      <c r="O45" s="765"/>
      <c r="P45" s="765"/>
      <c r="Q45" s="765"/>
      <c r="R45" s="765"/>
    </row>
    <row r="46" customFormat="false" ht="15" hidden="false" customHeight="true" outlineLevel="0" collapsed="false">
      <c r="B46" s="765"/>
      <c r="C46" s="765"/>
      <c r="D46" s="765"/>
      <c r="E46" s="765"/>
      <c r="F46" s="765"/>
      <c r="G46" s="765"/>
      <c r="H46" s="765"/>
      <c r="I46" s="766"/>
      <c r="J46" s="768"/>
      <c r="K46" s="768"/>
      <c r="L46" s="765"/>
      <c r="M46" s="765"/>
      <c r="N46" s="765"/>
      <c r="O46" s="765"/>
      <c r="P46" s="765"/>
      <c r="Q46" s="765"/>
      <c r="R46" s="765"/>
    </row>
    <row r="47" customFormat="false" ht="15" hidden="false" customHeight="true" outlineLevel="0" collapsed="false">
      <c r="B47" s="765" t="s">
        <v>1057</v>
      </c>
      <c r="C47" s="765"/>
      <c r="D47" s="765"/>
      <c r="E47" s="765"/>
      <c r="F47" s="765"/>
      <c r="G47" s="765"/>
      <c r="H47" s="765"/>
      <c r="I47" s="766" t="s">
        <v>654</v>
      </c>
      <c r="J47" s="768"/>
      <c r="K47" s="768"/>
      <c r="L47" s="765"/>
      <c r="M47" s="765"/>
      <c r="N47" s="765"/>
      <c r="O47" s="765"/>
      <c r="P47" s="765"/>
      <c r="Q47" s="765"/>
      <c r="R47" s="765"/>
    </row>
    <row r="48" customFormat="false" ht="15" hidden="false" customHeight="true" outlineLevel="0" collapsed="false">
      <c r="B48" s="799"/>
      <c r="C48" s="799"/>
      <c r="D48" s="799"/>
      <c r="E48" s="799"/>
      <c r="F48" s="799"/>
      <c r="G48" s="799"/>
      <c r="H48" s="799"/>
      <c r="I48" s="790"/>
      <c r="J48" s="800"/>
      <c r="K48" s="800"/>
      <c r="L48" s="765"/>
      <c r="M48" s="765"/>
      <c r="N48" s="765"/>
      <c r="O48" s="765"/>
      <c r="P48" s="765"/>
      <c r="Q48" s="765"/>
      <c r="R48" s="765"/>
    </row>
    <row r="49" customFormat="false" ht="15" hidden="false" customHeight="true" outlineLevel="0" collapsed="false">
      <c r="B49" s="795"/>
      <c r="C49" s="795"/>
      <c r="D49" s="795"/>
      <c r="E49" s="795"/>
      <c r="F49" s="795"/>
      <c r="G49" s="795"/>
      <c r="H49" s="795"/>
      <c r="I49" s="781"/>
      <c r="J49" s="780"/>
      <c r="K49" s="780"/>
      <c r="L49" s="765"/>
      <c r="M49" s="765"/>
      <c r="N49" s="765"/>
      <c r="O49" s="765"/>
      <c r="P49" s="765"/>
      <c r="Q49" s="765"/>
      <c r="R49" s="765"/>
    </row>
    <row r="50" customFormat="false" ht="15" hidden="false" customHeight="true" outlineLevel="0" collapsed="false">
      <c r="B50" s="795"/>
      <c r="C50" s="795"/>
      <c r="D50" s="795"/>
      <c r="E50" s="795"/>
      <c r="F50" s="795"/>
      <c r="G50" s="795"/>
      <c r="H50" s="795"/>
      <c r="I50" s="781"/>
      <c r="J50" s="780"/>
      <c r="K50" s="780"/>
      <c r="L50" s="765"/>
      <c r="M50" s="765"/>
      <c r="N50" s="765"/>
      <c r="O50" s="765"/>
      <c r="P50" s="765"/>
      <c r="Q50" s="765"/>
      <c r="R50" s="765"/>
    </row>
    <row r="51" customFormat="false" ht="15" hidden="false" customHeight="true" outlineLevel="0" collapsed="false">
      <c r="B51" s="801"/>
      <c r="C51" s="801"/>
      <c r="D51" s="801"/>
      <c r="E51" s="801"/>
      <c r="F51" s="801"/>
      <c r="G51" s="801"/>
      <c r="H51" s="801"/>
      <c r="I51" s="784"/>
      <c r="J51" s="785"/>
      <c r="K51" s="785"/>
      <c r="L51" s="765"/>
      <c r="M51" s="765"/>
      <c r="N51" s="765"/>
      <c r="O51" s="765"/>
      <c r="P51" s="765"/>
      <c r="Q51" s="765"/>
      <c r="R51" s="765"/>
    </row>
    <row r="52" customFormat="false" ht="15" hidden="false" customHeight="true" outlineLevel="0" collapsed="false">
      <c r="B52" s="765" t="s">
        <v>1058</v>
      </c>
      <c r="C52" s="765"/>
      <c r="D52" s="765"/>
      <c r="E52" s="765"/>
      <c r="F52" s="765"/>
      <c r="G52" s="765"/>
      <c r="H52" s="765"/>
      <c r="I52" s="766"/>
      <c r="J52" s="787" t="n">
        <f aca="false">SUM(J48:K51)</f>
        <v>0</v>
      </c>
      <c r="K52" s="787"/>
      <c r="L52" s="765"/>
      <c r="M52" s="765"/>
      <c r="N52" s="765"/>
      <c r="O52" s="765"/>
      <c r="P52" s="765"/>
      <c r="Q52" s="765"/>
      <c r="R52" s="765"/>
    </row>
    <row r="53" customFormat="false" ht="15" hidden="false" customHeight="true" outlineLevel="0" collapsed="false">
      <c r="B53" s="765"/>
      <c r="C53" s="765"/>
      <c r="D53" s="765"/>
      <c r="E53" s="765"/>
      <c r="F53" s="765"/>
      <c r="G53" s="765"/>
      <c r="H53" s="765"/>
      <c r="I53" s="766"/>
      <c r="J53" s="768"/>
      <c r="K53" s="768"/>
      <c r="L53" s="765"/>
      <c r="M53" s="765"/>
      <c r="N53" s="765"/>
      <c r="O53" s="765"/>
      <c r="P53" s="765"/>
      <c r="Q53" s="765"/>
      <c r="R53" s="765"/>
    </row>
    <row r="54" customFormat="false" ht="15" hidden="false" customHeight="true" outlineLevel="0" collapsed="false">
      <c r="B54" s="765" t="s">
        <v>1059</v>
      </c>
      <c r="C54" s="765"/>
      <c r="D54" s="765"/>
      <c r="E54" s="765"/>
      <c r="F54" s="765"/>
      <c r="G54" s="765"/>
      <c r="H54" s="765"/>
      <c r="I54" s="766"/>
      <c r="J54" s="797" t="str">
        <f aca="false">IF(J7="N",J5,0)</f>
        <v>0</v>
      </c>
      <c r="K54" s="797"/>
      <c r="L54" s="765"/>
      <c r="M54" s="765"/>
      <c r="N54" s="765"/>
      <c r="O54" s="765"/>
      <c r="P54" s="765"/>
      <c r="Q54" s="765"/>
      <c r="R54" s="765"/>
    </row>
    <row r="55" customFormat="false" ht="15" hidden="false" customHeight="true" outlineLevel="0" collapsed="false">
      <c r="B55" s="765" t="s">
        <v>1060</v>
      </c>
      <c r="C55" s="765"/>
      <c r="D55" s="765"/>
      <c r="E55" s="765"/>
      <c r="F55" s="765"/>
      <c r="G55" s="765"/>
      <c r="H55" s="765"/>
      <c r="I55" s="766"/>
      <c r="J55" s="802" t="n">
        <f aca="false">IF(J7="N",J14+J15-J16,0)</f>
        <v>0</v>
      </c>
      <c r="K55" s="802"/>
      <c r="L55" s="765"/>
      <c r="M55" s="765"/>
      <c r="N55" s="765"/>
      <c r="O55" s="765"/>
      <c r="P55" s="765"/>
      <c r="Q55" s="765"/>
      <c r="R55" s="765"/>
    </row>
    <row r="56" customFormat="false" ht="15" hidden="false" customHeight="true" outlineLevel="0" collapsed="false">
      <c r="B56" s="765"/>
      <c r="C56" s="765"/>
      <c r="D56" s="765"/>
      <c r="E56" s="765"/>
      <c r="F56" s="765"/>
      <c r="G56" s="765"/>
      <c r="H56" s="765"/>
      <c r="I56" s="766"/>
      <c r="J56" s="768"/>
      <c r="K56" s="768"/>
      <c r="L56" s="765"/>
      <c r="M56" s="765"/>
      <c r="N56" s="765"/>
      <c r="O56" s="765"/>
      <c r="P56" s="765"/>
      <c r="Q56" s="765"/>
      <c r="R56" s="765"/>
    </row>
    <row r="57" customFormat="false" ht="15" hidden="false" customHeight="true" outlineLevel="0" collapsed="false">
      <c r="B57" s="765" t="s">
        <v>1061</v>
      </c>
      <c r="C57" s="765"/>
      <c r="D57" s="765"/>
      <c r="E57" s="765"/>
      <c r="F57" s="765"/>
      <c r="G57" s="765"/>
      <c r="H57" s="765"/>
      <c r="I57" s="766"/>
      <c r="J57" s="787" t="n">
        <f aca="false">J45-J52-J54+J55</f>
        <v>0</v>
      </c>
      <c r="K57" s="787"/>
      <c r="L57" s="765"/>
      <c r="M57" s="765"/>
      <c r="N57" s="765"/>
      <c r="O57" s="765"/>
      <c r="P57" s="765"/>
      <c r="Q57" s="765"/>
      <c r="R57" s="765"/>
    </row>
    <row r="58" customFormat="false" ht="15" hidden="false" customHeight="true" outlineLevel="0" collapsed="false">
      <c r="B58" s="765"/>
      <c r="C58" s="765"/>
      <c r="D58" s="765"/>
      <c r="E58" s="765"/>
      <c r="F58" s="765"/>
      <c r="G58" s="765"/>
      <c r="H58" s="765"/>
      <c r="I58" s="766"/>
      <c r="J58" s="803"/>
      <c r="K58" s="803"/>
      <c r="L58" s="765"/>
      <c r="M58" s="765"/>
      <c r="N58" s="765"/>
      <c r="O58" s="765"/>
      <c r="P58" s="765"/>
      <c r="Q58" s="765"/>
      <c r="R58" s="765"/>
    </row>
    <row r="59" customFormat="false" ht="15" hidden="false" customHeight="true" outlineLevel="0" collapsed="false">
      <c r="B59" s="765"/>
      <c r="C59" s="765"/>
      <c r="D59" s="765"/>
      <c r="E59" s="765"/>
      <c r="F59" s="765"/>
      <c r="G59" s="765"/>
      <c r="H59" s="207" t="s">
        <v>659</v>
      </c>
      <c r="I59" s="804"/>
      <c r="J59" s="805" t="n">
        <f aca="false">-J57</f>
        <v>-0</v>
      </c>
      <c r="K59" s="805"/>
      <c r="L59" s="765"/>
      <c r="M59" s="765"/>
      <c r="N59" s="765"/>
      <c r="O59" s="765"/>
      <c r="P59" s="765"/>
      <c r="Q59" s="765"/>
      <c r="R59" s="765"/>
    </row>
    <row r="60" customFormat="false" ht="15" hidden="false" customHeight="true" outlineLevel="0" collapsed="false">
      <c r="B60" s="765"/>
      <c r="C60" s="765"/>
      <c r="D60" s="765"/>
      <c r="E60" s="765"/>
      <c r="F60" s="765"/>
      <c r="G60" s="765"/>
      <c r="H60" s="210" t="s">
        <v>660</v>
      </c>
      <c r="I60" s="806"/>
      <c r="J60" s="807" t="n">
        <f aca="false">DSH!E36</f>
        <v>0</v>
      </c>
      <c r="K60" s="807"/>
      <c r="L60" s="765"/>
      <c r="M60" s="765"/>
      <c r="N60" s="765"/>
      <c r="O60" s="765"/>
      <c r="P60" s="765"/>
      <c r="Q60" s="765"/>
      <c r="R60" s="765"/>
    </row>
    <row r="61" customFormat="false" ht="15" hidden="false" customHeight="true" outlineLevel="0" collapsed="false">
      <c r="B61" s="765"/>
      <c r="C61" s="765"/>
      <c r="D61" s="765"/>
      <c r="E61" s="765"/>
      <c r="F61" s="765"/>
      <c r="G61" s="765"/>
      <c r="H61" s="213" t="s">
        <v>591</v>
      </c>
      <c r="I61" s="808"/>
      <c r="J61" s="809" t="n">
        <f aca="false">J59-J60</f>
        <v>-0</v>
      </c>
      <c r="K61" s="809"/>
      <c r="L61" s="765"/>
      <c r="M61" s="765"/>
      <c r="N61" s="765"/>
      <c r="O61" s="765"/>
      <c r="P61" s="765"/>
      <c r="Q61" s="765"/>
      <c r="R61" s="765"/>
    </row>
    <row r="62" customFormat="false" ht="15" hidden="false" customHeight="true" outlineLevel="0" collapsed="false">
      <c r="B62" s="765"/>
      <c r="C62" s="765"/>
      <c r="D62" s="765"/>
      <c r="E62" s="765"/>
      <c r="F62" s="765"/>
      <c r="G62" s="765"/>
      <c r="H62" s="765"/>
      <c r="I62" s="766"/>
      <c r="J62" s="810"/>
      <c r="K62" s="810"/>
      <c r="L62" s="765"/>
      <c r="M62" s="765"/>
      <c r="N62" s="765"/>
      <c r="O62" s="765"/>
      <c r="P62" s="765"/>
      <c r="Q62" s="765"/>
      <c r="R62" s="765"/>
    </row>
    <row r="63" customFormat="false" ht="15" hidden="false" customHeight="true" outlineLevel="0" collapsed="false">
      <c r="B63" s="765"/>
      <c r="C63" s="765"/>
      <c r="D63" s="765"/>
      <c r="E63" s="765"/>
      <c r="F63" s="765"/>
      <c r="G63" s="765"/>
      <c r="H63" s="765"/>
      <c r="I63" s="766"/>
      <c r="J63" s="810"/>
      <c r="K63" s="810"/>
      <c r="L63" s="765"/>
      <c r="M63" s="765"/>
      <c r="N63" s="765"/>
      <c r="O63" s="765"/>
      <c r="P63" s="765"/>
      <c r="Q63" s="765"/>
      <c r="R63" s="765"/>
    </row>
    <row r="64" customFormat="false" ht="15" hidden="false" customHeight="true" outlineLevel="0" collapsed="false">
      <c r="B64" s="765"/>
      <c r="C64" s="765"/>
      <c r="D64" s="765"/>
      <c r="E64" s="765"/>
      <c r="F64" s="765"/>
      <c r="G64" s="765"/>
      <c r="H64" s="765"/>
      <c r="I64" s="766"/>
      <c r="J64" s="810"/>
      <c r="K64" s="810"/>
      <c r="L64" s="765"/>
      <c r="M64" s="765"/>
      <c r="N64" s="765"/>
      <c r="O64" s="765"/>
      <c r="P64" s="765"/>
      <c r="Q64" s="765"/>
      <c r="R64" s="765"/>
    </row>
    <row r="65" customFormat="false" ht="15" hidden="false" customHeight="true" outlineLevel="0" collapsed="false">
      <c r="B65" s="765"/>
      <c r="C65" s="765"/>
      <c r="D65" s="765"/>
      <c r="E65" s="765"/>
      <c r="F65" s="765"/>
      <c r="G65" s="765"/>
      <c r="H65" s="765"/>
      <c r="I65" s="766"/>
      <c r="J65" s="810"/>
      <c r="K65" s="810"/>
      <c r="L65" s="765"/>
      <c r="M65" s="765"/>
      <c r="N65" s="765"/>
      <c r="O65" s="765"/>
      <c r="P65" s="765"/>
      <c r="Q65" s="765"/>
      <c r="R65" s="765"/>
    </row>
    <row r="66" customFormat="false" ht="15" hidden="false" customHeight="true" outlineLevel="0" collapsed="false">
      <c r="B66" s="765"/>
      <c r="C66" s="765"/>
      <c r="D66" s="765"/>
      <c r="E66" s="765"/>
      <c r="F66" s="765"/>
      <c r="G66" s="765"/>
      <c r="H66" s="765"/>
      <c r="I66" s="766"/>
      <c r="J66" s="810"/>
      <c r="K66" s="810"/>
      <c r="L66" s="765"/>
      <c r="M66" s="765"/>
      <c r="N66" s="765"/>
      <c r="O66" s="765"/>
      <c r="P66" s="765"/>
      <c r="Q66" s="765"/>
      <c r="R66" s="765"/>
    </row>
    <row r="67" customFormat="false" ht="15" hidden="false" customHeight="true" outlineLevel="0" collapsed="false">
      <c r="B67" s="765"/>
      <c r="C67" s="765"/>
      <c r="D67" s="765"/>
      <c r="E67" s="765"/>
      <c r="F67" s="765"/>
      <c r="G67" s="765"/>
      <c r="H67" s="765"/>
      <c r="I67" s="766"/>
      <c r="J67" s="810"/>
      <c r="K67" s="810"/>
      <c r="L67" s="765"/>
      <c r="M67" s="765"/>
      <c r="N67" s="765"/>
      <c r="O67" s="765"/>
      <c r="P67" s="765"/>
      <c r="Q67" s="765"/>
      <c r="R67" s="765"/>
    </row>
    <row r="68" customFormat="false" ht="15" hidden="false" customHeight="true" outlineLevel="0" collapsed="false">
      <c r="B68" s="765"/>
      <c r="C68" s="765"/>
      <c r="D68" s="765"/>
      <c r="E68" s="765"/>
      <c r="F68" s="765"/>
      <c r="G68" s="765"/>
      <c r="H68" s="765"/>
      <c r="I68" s="766"/>
      <c r="J68" s="810"/>
      <c r="K68" s="810"/>
      <c r="L68" s="765"/>
      <c r="M68" s="765"/>
      <c r="N68" s="765"/>
      <c r="O68" s="765"/>
      <c r="P68" s="765"/>
      <c r="Q68" s="765"/>
      <c r="R68" s="765"/>
    </row>
    <row r="69" customFormat="false" ht="15" hidden="false" customHeight="true" outlineLevel="0" collapsed="false">
      <c r="B69" s="765"/>
      <c r="C69" s="765"/>
      <c r="D69" s="765"/>
      <c r="E69" s="765"/>
      <c r="F69" s="765"/>
      <c r="G69" s="765"/>
      <c r="H69" s="765"/>
      <c r="I69" s="766"/>
      <c r="J69" s="810"/>
      <c r="K69" s="810"/>
      <c r="L69" s="765"/>
      <c r="M69" s="765"/>
      <c r="N69" s="765"/>
      <c r="O69" s="765"/>
      <c r="P69" s="765"/>
      <c r="Q69" s="765"/>
      <c r="R69" s="765"/>
    </row>
    <row r="70" customFormat="false" ht="15" hidden="false" customHeight="true" outlineLevel="0" collapsed="false">
      <c r="B70" s="765"/>
      <c r="C70" s="765"/>
      <c r="D70" s="765"/>
      <c r="E70" s="765"/>
      <c r="F70" s="765"/>
      <c r="G70" s="765"/>
      <c r="H70" s="765"/>
      <c r="I70" s="766"/>
      <c r="J70" s="810"/>
      <c r="K70" s="810"/>
      <c r="L70" s="765"/>
      <c r="M70" s="765"/>
      <c r="N70" s="765"/>
      <c r="O70" s="765"/>
      <c r="P70" s="765"/>
      <c r="Q70" s="765"/>
      <c r="R70" s="765"/>
    </row>
    <row r="71" customFormat="false" ht="15" hidden="false" customHeight="true" outlineLevel="0" collapsed="false">
      <c r="B71" s="765"/>
      <c r="C71" s="765"/>
      <c r="D71" s="765"/>
      <c r="E71" s="765"/>
      <c r="F71" s="765"/>
      <c r="G71" s="765"/>
      <c r="H71" s="765"/>
      <c r="I71" s="766"/>
      <c r="J71" s="810"/>
      <c r="K71" s="810"/>
      <c r="L71" s="765"/>
      <c r="M71" s="765"/>
      <c r="N71" s="765"/>
      <c r="O71" s="765"/>
      <c r="P71" s="765"/>
      <c r="Q71" s="765"/>
      <c r="R71" s="765"/>
    </row>
    <row r="72" customFormat="false" ht="15" hidden="false" customHeight="true" outlineLevel="0" collapsed="false">
      <c r="B72" s="765"/>
      <c r="C72" s="765"/>
      <c r="D72" s="765"/>
      <c r="E72" s="765"/>
      <c r="F72" s="765"/>
      <c r="G72" s="765"/>
      <c r="H72" s="765"/>
      <c r="I72" s="766"/>
      <c r="J72" s="810"/>
      <c r="K72" s="810"/>
      <c r="L72" s="765"/>
      <c r="M72" s="765"/>
      <c r="N72" s="765"/>
      <c r="O72" s="765"/>
      <c r="P72" s="765"/>
      <c r="Q72" s="765"/>
      <c r="R72" s="765"/>
    </row>
    <row r="73" customFormat="false" ht="15" hidden="false" customHeight="true" outlineLevel="0" collapsed="false">
      <c r="B73" s="765"/>
      <c r="C73" s="765"/>
      <c r="D73" s="765"/>
      <c r="E73" s="765"/>
      <c r="F73" s="765"/>
      <c r="G73" s="765"/>
      <c r="H73" s="765"/>
      <c r="I73" s="766"/>
      <c r="J73" s="810"/>
      <c r="K73" s="810"/>
      <c r="L73" s="765"/>
      <c r="M73" s="765"/>
      <c r="N73" s="765"/>
      <c r="O73" s="765"/>
      <c r="P73" s="765"/>
      <c r="Q73" s="765"/>
      <c r="R73" s="765"/>
    </row>
    <row r="74" customFormat="false" ht="15" hidden="false" customHeight="true" outlineLevel="0" collapsed="false">
      <c r="B74" s="765"/>
      <c r="C74" s="765"/>
      <c r="D74" s="765"/>
      <c r="E74" s="765"/>
      <c r="F74" s="765"/>
      <c r="G74" s="765"/>
      <c r="H74" s="765"/>
      <c r="I74" s="766"/>
      <c r="J74" s="810"/>
      <c r="K74" s="810"/>
      <c r="L74" s="765"/>
      <c r="M74" s="765"/>
      <c r="N74" s="765"/>
      <c r="O74" s="765"/>
      <c r="P74" s="765"/>
      <c r="Q74" s="765"/>
      <c r="R74" s="765"/>
    </row>
    <row r="75" customFormat="false" ht="15" hidden="false" customHeight="true" outlineLevel="0" collapsed="false">
      <c r="B75" s="765"/>
      <c r="C75" s="765"/>
      <c r="D75" s="765"/>
      <c r="E75" s="765"/>
      <c r="F75" s="765"/>
      <c r="G75" s="765"/>
      <c r="H75" s="765"/>
      <c r="I75" s="766"/>
      <c r="J75" s="810"/>
      <c r="K75" s="810"/>
      <c r="L75" s="765"/>
      <c r="M75" s="765"/>
      <c r="N75" s="765"/>
      <c r="O75" s="765"/>
      <c r="P75" s="765"/>
      <c r="Q75" s="765"/>
      <c r="R75" s="765"/>
    </row>
    <row r="76" customFormat="false" ht="15" hidden="false" customHeight="true" outlineLevel="0" collapsed="false">
      <c r="B76" s="765"/>
      <c r="C76" s="765"/>
      <c r="D76" s="765"/>
      <c r="E76" s="765"/>
      <c r="F76" s="765"/>
      <c r="G76" s="765"/>
      <c r="H76" s="765"/>
      <c r="I76" s="766"/>
      <c r="J76" s="810"/>
      <c r="K76" s="810"/>
      <c r="L76" s="765"/>
      <c r="M76" s="765"/>
      <c r="N76" s="765"/>
      <c r="O76" s="765"/>
      <c r="P76" s="765"/>
      <c r="Q76" s="765"/>
      <c r="R76" s="765"/>
    </row>
    <row r="77" customFormat="false" ht="15" hidden="false" customHeight="true" outlineLevel="0" collapsed="false">
      <c r="B77" s="765"/>
      <c r="C77" s="765"/>
      <c r="D77" s="765"/>
      <c r="E77" s="765"/>
      <c r="F77" s="765"/>
      <c r="G77" s="765"/>
      <c r="H77" s="765"/>
      <c r="I77" s="766"/>
      <c r="J77" s="810"/>
      <c r="K77" s="810"/>
      <c r="L77" s="765"/>
      <c r="M77" s="765"/>
      <c r="N77" s="765"/>
      <c r="O77" s="765"/>
      <c r="P77" s="765"/>
      <c r="Q77" s="765"/>
      <c r="R77" s="765"/>
    </row>
    <row r="78" customFormat="false" ht="15" hidden="false" customHeight="true" outlineLevel="0" collapsed="false">
      <c r="B78" s="765"/>
      <c r="C78" s="765"/>
      <c r="D78" s="765"/>
      <c r="E78" s="765"/>
      <c r="F78" s="765"/>
      <c r="G78" s="765"/>
      <c r="H78" s="765"/>
      <c r="I78" s="766"/>
      <c r="J78" s="810"/>
      <c r="K78" s="810"/>
      <c r="L78" s="765"/>
      <c r="M78" s="765"/>
      <c r="N78" s="765"/>
      <c r="O78" s="765"/>
      <c r="P78" s="765"/>
      <c r="Q78" s="765"/>
      <c r="R78" s="765"/>
    </row>
    <row r="79" customFormat="false" ht="15" hidden="false" customHeight="true" outlineLevel="0" collapsed="false">
      <c r="B79" s="765"/>
      <c r="C79" s="765"/>
      <c r="D79" s="765"/>
      <c r="E79" s="765"/>
      <c r="F79" s="765"/>
      <c r="G79" s="765"/>
      <c r="H79" s="765"/>
      <c r="I79" s="766"/>
      <c r="J79" s="810"/>
      <c r="K79" s="810"/>
      <c r="L79" s="765"/>
      <c r="M79" s="765"/>
      <c r="N79" s="765"/>
      <c r="O79" s="765"/>
      <c r="P79" s="765"/>
      <c r="Q79" s="765"/>
      <c r="R79" s="765"/>
    </row>
    <row r="80" customFormat="false" ht="15" hidden="false" customHeight="true" outlineLevel="0" collapsed="false">
      <c r="B80" s="765"/>
      <c r="C80" s="765"/>
      <c r="D80" s="765"/>
      <c r="E80" s="765"/>
      <c r="F80" s="765"/>
      <c r="G80" s="765"/>
      <c r="H80" s="765"/>
      <c r="I80" s="766"/>
      <c r="J80" s="810"/>
      <c r="K80" s="810"/>
      <c r="L80" s="765"/>
      <c r="M80" s="765"/>
      <c r="N80" s="765"/>
      <c r="O80" s="765"/>
      <c r="P80" s="765"/>
      <c r="Q80" s="765"/>
      <c r="R80" s="765"/>
    </row>
  </sheetData>
  <mergeCells count="81">
    <mergeCell ref="A2:K2"/>
    <mergeCell ref="J5:K5"/>
    <mergeCell ref="J6:K6"/>
    <mergeCell ref="J7:K7"/>
    <mergeCell ref="M7:Q8"/>
    <mergeCell ref="J9:K9"/>
    <mergeCell ref="J10:K10"/>
    <mergeCell ref="J11:K11"/>
    <mergeCell ref="B12:H12"/>
    <mergeCell ref="J12:K12"/>
    <mergeCell ref="B13:H13"/>
    <mergeCell ref="J13:K13"/>
    <mergeCell ref="B14:H14"/>
    <mergeCell ref="J14:K14"/>
    <mergeCell ref="B15:H15"/>
    <mergeCell ref="J15:K15"/>
    <mergeCell ref="B16:H16"/>
    <mergeCell ref="J16:K16"/>
    <mergeCell ref="B17:H17"/>
    <mergeCell ref="J17:K17"/>
    <mergeCell ref="B18:H18"/>
    <mergeCell ref="J18:K18"/>
    <mergeCell ref="J19:K19"/>
    <mergeCell ref="J20:K20"/>
    <mergeCell ref="J21:K21"/>
    <mergeCell ref="J22:K22"/>
    <mergeCell ref="J23:K23"/>
    <mergeCell ref="B24:G24"/>
    <mergeCell ref="J24:K24"/>
    <mergeCell ref="B25:G25"/>
    <mergeCell ref="J25:K25"/>
    <mergeCell ref="B26:G26"/>
    <mergeCell ref="J26:K26"/>
    <mergeCell ref="B27:G27"/>
    <mergeCell ref="J27:K27"/>
    <mergeCell ref="B28:G28"/>
    <mergeCell ref="J28:K28"/>
    <mergeCell ref="B29:G29"/>
    <mergeCell ref="J29:K29"/>
    <mergeCell ref="B30:G30"/>
    <mergeCell ref="J30:K30"/>
    <mergeCell ref="B31:G31"/>
    <mergeCell ref="J31:K31"/>
    <mergeCell ref="B32:G32"/>
    <mergeCell ref="J32:K32"/>
    <mergeCell ref="B33:G33"/>
    <mergeCell ref="J33:K33"/>
    <mergeCell ref="J34:K34"/>
    <mergeCell ref="J36:K36"/>
    <mergeCell ref="J37:K37"/>
    <mergeCell ref="J38:K38"/>
    <mergeCell ref="J39:K39"/>
    <mergeCell ref="B40:H40"/>
    <mergeCell ref="J40:K40"/>
    <mergeCell ref="B41:H41"/>
    <mergeCell ref="J41:K41"/>
    <mergeCell ref="B42:H42"/>
    <mergeCell ref="J42:K42"/>
    <mergeCell ref="J43:K43"/>
    <mergeCell ref="J44:K44"/>
    <mergeCell ref="J45:K45"/>
    <mergeCell ref="J46:K46"/>
    <mergeCell ref="J47:K47"/>
    <mergeCell ref="B48:H48"/>
    <mergeCell ref="J48:K48"/>
    <mergeCell ref="B49:H49"/>
    <mergeCell ref="J49:K49"/>
    <mergeCell ref="B50:H50"/>
    <mergeCell ref="J50:K50"/>
    <mergeCell ref="B51:H51"/>
    <mergeCell ref="J51:K51"/>
    <mergeCell ref="J52:K52"/>
    <mergeCell ref="J53:K53"/>
    <mergeCell ref="J54:K54"/>
    <mergeCell ref="J55:K55"/>
    <mergeCell ref="J56:K56"/>
    <mergeCell ref="J57:K57"/>
    <mergeCell ref="J58:K58"/>
    <mergeCell ref="J59:K59"/>
    <mergeCell ref="J60:K60"/>
    <mergeCell ref="J61:K61"/>
  </mergeCells>
  <hyperlinks>
    <hyperlink ref="B23" r:id="rId2" display="Less provisional tax payments - check via IRD Online"/>
  </hyperlinks>
  <printOptions headings="false" gridLines="false" gridLinesSet="true" horizontalCentered="false" verticalCentered="false"/>
  <pageMargins left="0.590277777777778" right="0.590277777777778" top="0.590277777777778" bottom="0.59027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&amp;L&amp;8 CCH Business Fitness NZ&amp;R&amp;8 &amp;P of &amp;N</oddFooter>
  </headerFooter>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79"/>
  <sheetViews>
    <sheetView showFormulas="false" showGridLines="false" showRowColHeaders="true" showZeros="true" rightToLeft="false" tabSelected="false" showOutlineSymbols="true" defaultGridColor="true" view="normal" topLeftCell="A52" colorId="64" zoomScale="100" zoomScaleNormal="100" zoomScalePageLayoutView="100" workbookViewId="0">
      <selection pane="topLeft" activeCell="A7" activeCellId="0" sqref="A7"/>
    </sheetView>
  </sheetViews>
  <sheetFormatPr defaultColWidth="9.14453125" defaultRowHeight="12.75" zeroHeight="false" outlineLevelRow="0" outlineLevelCol="0"/>
  <cols>
    <col collapsed="false" customWidth="true" hidden="false" outlineLevel="0" max="1" min="1" style="811" width="9.43"/>
    <col collapsed="false" customWidth="false" hidden="false" outlineLevel="0" max="2" min="2" style="811" width="9.14"/>
    <col collapsed="false" customWidth="true" hidden="false" outlineLevel="0" max="3" min="3" style="811" width="9.86"/>
    <col collapsed="false" customWidth="false" hidden="false" outlineLevel="0" max="6" min="4" style="811" width="9.14"/>
    <col collapsed="false" customWidth="true" hidden="false" outlineLevel="0" max="7" min="7" style="811" width="10.43"/>
    <col collapsed="false" customWidth="false" hidden="false" outlineLevel="0" max="8" min="8" style="811" width="9.14"/>
    <col collapsed="false" customWidth="true" hidden="false" outlineLevel="0" max="9" min="9" style="811" width="11.86"/>
    <col collapsed="false" customWidth="true" hidden="false" outlineLevel="0" max="10" min="10" style="811" width="13.43"/>
    <col collapsed="false" customWidth="false" hidden="false" outlineLevel="0" max="17" min="11" style="811" width="9.14"/>
    <col collapsed="false" customWidth="true" hidden="false" outlineLevel="0" max="18" min="18" style="811" width="10.14"/>
    <col collapsed="false" customWidth="false" hidden="false" outlineLevel="0" max="16384" min="19" style="811" width="9.14"/>
  </cols>
  <sheetData>
    <row r="1" customFormat="false" ht="12.75" hidden="false" customHeight="false" outlineLevel="0" collapsed="false">
      <c r="A1" s="812"/>
      <c r="B1" s="812"/>
      <c r="C1" s="812"/>
      <c r="D1" s="812"/>
      <c r="E1" s="812"/>
      <c r="F1" s="812"/>
      <c r="G1" s="812"/>
      <c r="H1" s="812"/>
      <c r="I1" s="812"/>
      <c r="J1" s="812"/>
    </row>
    <row r="2" customFormat="false" ht="19.7" hidden="false" customHeight="false" outlineLevel="0" collapsed="false">
      <c r="A2" s="813" t="s">
        <v>1062</v>
      </c>
      <c r="B2" s="813"/>
      <c r="C2" s="813"/>
      <c r="D2" s="813"/>
      <c r="E2" s="813"/>
      <c r="F2" s="813"/>
      <c r="G2" s="813"/>
      <c r="H2" s="813"/>
      <c r="I2" s="813"/>
      <c r="J2" s="813"/>
    </row>
    <row r="4" customFormat="false" ht="13.8" hidden="false" customHeight="false" outlineLevel="0" collapsed="false">
      <c r="A4" s="814" t="s">
        <v>1063</v>
      </c>
      <c r="B4" s="814"/>
      <c r="C4" s="814"/>
      <c r="D4" s="814"/>
      <c r="E4" s="814"/>
      <c r="F4" s="814"/>
      <c r="G4" s="814"/>
      <c r="H4" s="814"/>
      <c r="I4" s="814"/>
      <c r="J4" s="814"/>
    </row>
    <row r="5" customFormat="false" ht="12.75" hidden="false" customHeight="false" outlineLevel="0" collapsed="false">
      <c r="A5" s="815" t="s">
        <v>1064</v>
      </c>
      <c r="B5" s="815" t="s">
        <v>1065</v>
      </c>
      <c r="C5" s="815"/>
      <c r="D5" s="815"/>
      <c r="E5" s="815"/>
      <c r="F5" s="815"/>
      <c r="G5" s="815"/>
      <c r="H5" s="815"/>
      <c r="I5" s="815"/>
      <c r="J5" s="816" t="s">
        <v>655</v>
      </c>
    </row>
    <row r="6" customFormat="false" ht="12.75" hidden="false" customHeight="false" outlineLevel="0" collapsed="false">
      <c r="A6" s="817"/>
      <c r="B6" s="815" t="s">
        <v>1066</v>
      </c>
      <c r="C6" s="815"/>
      <c r="D6" s="815"/>
      <c r="E6" s="815"/>
      <c r="F6" s="815"/>
      <c r="G6" s="815"/>
      <c r="H6" s="815"/>
      <c r="I6" s="815"/>
      <c r="J6" s="818"/>
    </row>
    <row r="7" customFormat="false" ht="12.75" hidden="false" customHeight="false" outlineLevel="0" collapsed="false">
      <c r="A7" s="817"/>
      <c r="B7" s="819" t="s">
        <v>1067</v>
      </c>
      <c r="C7" s="819"/>
      <c r="D7" s="819"/>
      <c r="E7" s="819"/>
      <c r="F7" s="819"/>
      <c r="G7" s="819"/>
      <c r="H7" s="819"/>
      <c r="I7" s="819"/>
      <c r="J7" s="820"/>
    </row>
    <row r="8" customFormat="false" ht="12.75" hidden="false" customHeight="false" outlineLevel="0" collapsed="false">
      <c r="A8" s="821" t="n">
        <f aca="false">YEAR(Index!C4)</f>
        <v>2024</v>
      </c>
      <c r="B8" s="822" t="s">
        <v>1068</v>
      </c>
      <c r="C8" s="822"/>
      <c r="D8" s="822"/>
      <c r="E8" s="822"/>
      <c r="F8" s="822"/>
      <c r="G8" s="822"/>
      <c r="H8" s="822"/>
      <c r="I8" s="822"/>
      <c r="J8" s="823" t="n">
        <f aca="false">+ITD!J34-ITD!J37</f>
        <v>0</v>
      </c>
    </row>
    <row r="9" customFormat="false" ht="12.75" hidden="false" customHeight="false" outlineLevel="0" collapsed="false">
      <c r="A9" s="817"/>
      <c r="B9" s="817"/>
      <c r="C9" s="817"/>
      <c r="D9" s="817"/>
      <c r="E9" s="817"/>
      <c r="F9" s="817"/>
      <c r="G9" s="817"/>
      <c r="H9" s="817"/>
      <c r="I9" s="817"/>
      <c r="J9" s="820"/>
    </row>
    <row r="10" customFormat="false" ht="12.75" hidden="false" customHeight="false" outlineLevel="0" collapsed="false">
      <c r="A10" s="817"/>
      <c r="B10" s="819" t="s">
        <v>1069</v>
      </c>
      <c r="C10" s="819"/>
      <c r="D10" s="819"/>
      <c r="E10" s="819"/>
      <c r="F10" s="819"/>
      <c r="G10" s="819"/>
      <c r="H10" s="819"/>
      <c r="I10" s="819"/>
      <c r="J10" s="820"/>
    </row>
    <row r="11" customFormat="false" ht="12.75" hidden="false" customHeight="false" outlineLevel="0" collapsed="false">
      <c r="A11" s="821" t="n">
        <f aca="false">+A8-1</f>
        <v>2023</v>
      </c>
      <c r="B11" s="822" t="s">
        <v>1069</v>
      </c>
      <c r="C11" s="822"/>
      <c r="D11" s="822"/>
      <c r="E11" s="822"/>
      <c r="F11" s="822"/>
      <c r="G11" s="822"/>
      <c r="H11" s="822"/>
      <c r="I11" s="818"/>
      <c r="J11" s="820"/>
    </row>
    <row r="12" customFormat="false" ht="12.75" hidden="false" customHeight="false" outlineLevel="0" collapsed="false">
      <c r="A12" s="821" t="n">
        <f aca="false">+A11-1</f>
        <v>2022</v>
      </c>
      <c r="B12" s="822" t="s">
        <v>1069</v>
      </c>
      <c r="C12" s="822"/>
      <c r="D12" s="822"/>
      <c r="E12" s="822"/>
      <c r="F12" s="822"/>
      <c r="G12" s="822"/>
      <c r="H12" s="822"/>
      <c r="I12" s="818"/>
      <c r="J12" s="820"/>
    </row>
    <row r="13" customFormat="false" ht="12.75" hidden="false" customHeight="false" outlineLevel="0" collapsed="false">
      <c r="A13" s="821" t="n">
        <f aca="false">+A12-1</f>
        <v>2021</v>
      </c>
      <c r="B13" s="822" t="s">
        <v>1069</v>
      </c>
      <c r="C13" s="822"/>
      <c r="D13" s="822"/>
      <c r="E13" s="822"/>
      <c r="F13" s="822"/>
      <c r="G13" s="822"/>
      <c r="H13" s="822"/>
      <c r="I13" s="818"/>
      <c r="J13" s="820"/>
    </row>
    <row r="14" customFormat="false" ht="12.75" hidden="false" customHeight="false" outlineLevel="0" collapsed="false">
      <c r="A14" s="821" t="n">
        <f aca="false">+A13-1</f>
        <v>2020</v>
      </c>
      <c r="B14" s="822" t="s">
        <v>1069</v>
      </c>
      <c r="C14" s="822"/>
      <c r="D14" s="822"/>
      <c r="E14" s="822"/>
      <c r="F14" s="822"/>
      <c r="G14" s="822"/>
      <c r="H14" s="822"/>
      <c r="I14" s="818"/>
      <c r="J14" s="824" t="n">
        <f aca="false">SUM(I11:I14)</f>
        <v>0</v>
      </c>
    </row>
    <row r="15" customFormat="false" ht="12.75" hidden="false" customHeight="false" outlineLevel="0" collapsed="false">
      <c r="A15" s="817"/>
      <c r="B15" s="817"/>
      <c r="C15" s="817"/>
      <c r="D15" s="817"/>
      <c r="E15" s="817"/>
      <c r="F15" s="817"/>
      <c r="G15" s="817"/>
      <c r="H15" s="817"/>
      <c r="I15" s="817"/>
      <c r="J15" s="820"/>
    </row>
    <row r="16" customFormat="false" ht="12.75" hidden="false" customHeight="false" outlineLevel="0" collapsed="false">
      <c r="A16" s="817"/>
      <c r="B16" s="819" t="s">
        <v>1070</v>
      </c>
      <c r="C16" s="819"/>
      <c r="D16" s="819"/>
      <c r="E16" s="819"/>
      <c r="F16" s="819"/>
      <c r="G16" s="819"/>
      <c r="H16" s="819"/>
      <c r="I16" s="819"/>
      <c r="J16" s="820"/>
    </row>
    <row r="17" customFormat="false" ht="12.75" hidden="false" customHeight="false" outlineLevel="0" collapsed="false">
      <c r="A17" s="817"/>
      <c r="B17" s="822" t="s">
        <v>1071</v>
      </c>
      <c r="C17" s="822"/>
      <c r="D17" s="822"/>
      <c r="E17" s="822"/>
      <c r="F17" s="822"/>
      <c r="G17" s="822"/>
      <c r="H17" s="822"/>
      <c r="I17" s="825" t="n">
        <f aca="false">ITD!J12</f>
        <v>0</v>
      </c>
      <c r="J17" s="820"/>
    </row>
    <row r="18" customFormat="false" ht="12.75" hidden="false" customHeight="false" outlineLevel="0" collapsed="false">
      <c r="A18" s="820"/>
      <c r="B18" s="822" t="s">
        <v>1072</v>
      </c>
      <c r="C18" s="822"/>
      <c r="D18" s="822"/>
      <c r="E18" s="822"/>
      <c r="F18" s="822"/>
      <c r="G18" s="822"/>
      <c r="H18" s="822"/>
      <c r="I18" s="825" t="n">
        <f aca="false">ITD!J17</f>
        <v>0</v>
      </c>
      <c r="J18" s="820"/>
    </row>
    <row r="19" customFormat="false" ht="12.75" hidden="false" customHeight="false" outlineLevel="0" collapsed="false">
      <c r="A19" s="820"/>
      <c r="B19" s="826" t="s">
        <v>1073</v>
      </c>
      <c r="C19" s="827"/>
      <c r="D19" s="827"/>
      <c r="E19" s="827"/>
      <c r="F19" s="827"/>
      <c r="G19" s="827"/>
      <c r="H19" s="828"/>
      <c r="I19" s="825" t="n">
        <f aca="false">ITD!J13</f>
        <v>0</v>
      </c>
      <c r="J19" s="820"/>
    </row>
    <row r="20" customFormat="false" ht="12.75" hidden="false" customHeight="false" outlineLevel="0" collapsed="false">
      <c r="A20" s="820"/>
      <c r="B20" s="822" t="s">
        <v>1074</v>
      </c>
      <c r="C20" s="822"/>
      <c r="D20" s="822"/>
      <c r="E20" s="822"/>
      <c r="F20" s="822"/>
      <c r="G20" s="822"/>
      <c r="H20" s="822"/>
      <c r="I20" s="818"/>
      <c r="J20" s="824" t="n">
        <f aca="false">SUM(I17:I20)</f>
        <v>0</v>
      </c>
    </row>
    <row r="21" customFormat="false" ht="12.75" hidden="false" customHeight="false" outlineLevel="0" collapsed="false">
      <c r="A21" s="820"/>
      <c r="B21" s="817"/>
      <c r="C21" s="817"/>
      <c r="D21" s="817"/>
      <c r="E21" s="817"/>
      <c r="F21" s="817"/>
      <c r="G21" s="817"/>
      <c r="H21" s="817"/>
      <c r="I21" s="817"/>
      <c r="J21" s="820"/>
    </row>
    <row r="22" customFormat="false" ht="12.75" hidden="false" customHeight="false" outlineLevel="0" collapsed="false">
      <c r="A22" s="820"/>
      <c r="B22" s="819" t="s">
        <v>1075</v>
      </c>
      <c r="C22" s="819"/>
      <c r="D22" s="819"/>
      <c r="E22" s="819"/>
      <c r="F22" s="819"/>
      <c r="G22" s="819"/>
      <c r="H22" s="819"/>
      <c r="I22" s="819"/>
      <c r="J22" s="825" t="n">
        <f aca="false">ITD!J14</f>
        <v>0</v>
      </c>
    </row>
    <row r="23" customFormat="false" ht="12.75" hidden="false" customHeight="false" outlineLevel="0" collapsed="false">
      <c r="A23" s="820"/>
      <c r="B23" s="817"/>
      <c r="C23" s="817"/>
      <c r="D23" s="817"/>
      <c r="E23" s="817"/>
      <c r="F23" s="817"/>
      <c r="G23" s="817"/>
      <c r="H23" s="817"/>
      <c r="I23" s="817"/>
      <c r="J23" s="820"/>
    </row>
    <row r="24" customFormat="false" ht="12.75" hidden="false" customHeight="false" outlineLevel="0" collapsed="false">
      <c r="A24" s="820"/>
      <c r="B24" s="819" t="s">
        <v>1076</v>
      </c>
      <c r="C24" s="819"/>
      <c r="D24" s="819"/>
      <c r="E24" s="819"/>
      <c r="F24" s="819"/>
      <c r="G24" s="819"/>
      <c r="H24" s="819"/>
      <c r="I24" s="819"/>
      <c r="J24" s="820"/>
    </row>
    <row r="25" customFormat="false" ht="12.75" hidden="false" customHeight="false" outlineLevel="0" collapsed="false">
      <c r="A25" s="820"/>
      <c r="B25" s="829"/>
      <c r="C25" s="829"/>
      <c r="D25" s="829"/>
      <c r="E25" s="829"/>
      <c r="F25" s="829"/>
      <c r="G25" s="829"/>
      <c r="H25" s="829"/>
      <c r="I25" s="818"/>
      <c r="J25" s="820"/>
    </row>
    <row r="26" customFormat="false" ht="12.75" hidden="false" customHeight="false" outlineLevel="0" collapsed="false">
      <c r="A26" s="820"/>
      <c r="B26" s="829"/>
      <c r="C26" s="829"/>
      <c r="D26" s="829"/>
      <c r="E26" s="829"/>
      <c r="F26" s="829"/>
      <c r="G26" s="829"/>
      <c r="H26" s="829"/>
      <c r="I26" s="818"/>
      <c r="J26" s="820"/>
      <c r="R26" s="830"/>
    </row>
    <row r="27" customFormat="false" ht="12.75" hidden="false" customHeight="false" outlineLevel="0" collapsed="false">
      <c r="A27" s="820"/>
      <c r="B27" s="829"/>
      <c r="C27" s="829"/>
      <c r="D27" s="829"/>
      <c r="E27" s="829"/>
      <c r="F27" s="829"/>
      <c r="G27" s="829"/>
      <c r="H27" s="829"/>
      <c r="I27" s="818"/>
      <c r="J27" s="824" t="n">
        <f aca="false">SUM(I25:I27)</f>
        <v>0</v>
      </c>
    </row>
    <row r="28" customFormat="false" ht="12.75" hidden="false" customHeight="false" outlineLevel="0" collapsed="false">
      <c r="A28" s="820"/>
      <c r="B28" s="817"/>
      <c r="C28" s="817"/>
      <c r="D28" s="817"/>
      <c r="E28" s="817"/>
      <c r="F28" s="817"/>
      <c r="G28" s="817"/>
      <c r="H28" s="817"/>
      <c r="I28" s="817"/>
      <c r="J28" s="820"/>
      <c r="R28" s="830"/>
    </row>
    <row r="29" customFormat="false" ht="12.75" hidden="false" customHeight="false" outlineLevel="0" collapsed="false">
      <c r="A29" s="820"/>
      <c r="B29" s="819" t="s">
        <v>1077</v>
      </c>
      <c r="C29" s="819"/>
      <c r="D29" s="819"/>
      <c r="E29" s="819"/>
      <c r="F29" s="819"/>
      <c r="G29" s="819"/>
      <c r="H29" s="819"/>
      <c r="I29" s="819"/>
      <c r="J29" s="820"/>
    </row>
    <row r="30" customFormat="false" ht="12.75" hidden="false" customHeight="false" outlineLevel="0" collapsed="false">
      <c r="A30" s="820"/>
      <c r="B30" s="829" t="s">
        <v>1078</v>
      </c>
      <c r="C30" s="829"/>
      <c r="D30" s="829"/>
      <c r="E30" s="829"/>
      <c r="F30" s="829"/>
      <c r="G30" s="829"/>
      <c r="H30" s="829"/>
      <c r="I30" s="818"/>
      <c r="J30" s="820"/>
    </row>
    <row r="31" customFormat="false" ht="12.75" hidden="false" customHeight="false" outlineLevel="0" collapsed="false">
      <c r="A31" s="820"/>
      <c r="B31" s="829"/>
      <c r="C31" s="829"/>
      <c r="D31" s="829"/>
      <c r="E31" s="829"/>
      <c r="F31" s="829"/>
      <c r="G31" s="829"/>
      <c r="H31" s="829"/>
      <c r="I31" s="818"/>
      <c r="J31" s="820"/>
    </row>
    <row r="32" customFormat="false" ht="12.75" hidden="false" customHeight="false" outlineLevel="0" collapsed="false">
      <c r="A32" s="820"/>
      <c r="B32" s="829"/>
      <c r="C32" s="829"/>
      <c r="D32" s="829"/>
      <c r="E32" s="829"/>
      <c r="F32" s="829"/>
      <c r="G32" s="829"/>
      <c r="H32" s="829"/>
      <c r="I32" s="818"/>
      <c r="J32" s="824" t="n">
        <f aca="false">-SUM(I30:I32)</f>
        <v>0</v>
      </c>
    </row>
    <row r="33" customFormat="false" ht="12.75" hidden="false" customHeight="false" outlineLevel="0" collapsed="false">
      <c r="A33" s="820"/>
      <c r="B33" s="817"/>
      <c r="C33" s="817"/>
      <c r="D33" s="817"/>
      <c r="E33" s="817"/>
      <c r="F33" s="817"/>
      <c r="G33" s="817"/>
      <c r="H33" s="817"/>
      <c r="I33" s="817"/>
      <c r="J33" s="820"/>
    </row>
    <row r="34" customFormat="false" ht="12.75" hidden="false" customHeight="false" outlineLevel="0" collapsed="false">
      <c r="A34" s="820"/>
      <c r="B34" s="819" t="s">
        <v>1079</v>
      </c>
      <c r="C34" s="819"/>
      <c r="D34" s="819"/>
      <c r="E34" s="819"/>
      <c r="F34" s="819"/>
      <c r="G34" s="819"/>
      <c r="H34" s="819"/>
      <c r="I34" s="819"/>
      <c r="J34" s="820"/>
    </row>
    <row r="35" customFormat="false" ht="12.75" hidden="false" customHeight="false" outlineLevel="0" collapsed="false">
      <c r="A35" s="820"/>
      <c r="B35" s="829" t="s">
        <v>1078</v>
      </c>
      <c r="C35" s="829"/>
      <c r="D35" s="829"/>
      <c r="E35" s="829"/>
      <c r="F35" s="829"/>
      <c r="G35" s="829"/>
      <c r="H35" s="829"/>
      <c r="I35" s="829"/>
      <c r="J35" s="831"/>
    </row>
    <row r="36" customFormat="false" ht="12.75" hidden="false" customHeight="false" outlineLevel="0" collapsed="false">
      <c r="A36" s="820"/>
      <c r="B36" s="817"/>
      <c r="C36" s="817"/>
      <c r="D36" s="817"/>
      <c r="E36" s="817"/>
      <c r="F36" s="817"/>
      <c r="G36" s="817"/>
      <c r="H36" s="817"/>
      <c r="I36" s="817"/>
      <c r="J36" s="820"/>
    </row>
    <row r="37" customFormat="false" ht="12.75" hidden="false" customHeight="false" outlineLevel="0" collapsed="false">
      <c r="A37" s="820"/>
      <c r="B37" s="819" t="s">
        <v>1080</v>
      </c>
      <c r="C37" s="819"/>
      <c r="D37" s="819"/>
      <c r="E37" s="819"/>
      <c r="F37" s="819"/>
      <c r="G37" s="819"/>
      <c r="H37" s="819"/>
      <c r="I37" s="819"/>
      <c r="J37" s="820"/>
    </row>
    <row r="38" customFormat="false" ht="12.75" hidden="false" customHeight="false" outlineLevel="0" collapsed="false">
      <c r="A38" s="820"/>
      <c r="B38" s="829" t="s">
        <v>1081</v>
      </c>
      <c r="C38" s="829"/>
      <c r="D38" s="829"/>
      <c r="E38" s="829"/>
      <c r="F38" s="829"/>
      <c r="G38" s="829"/>
      <c r="H38" s="829"/>
      <c r="I38" s="818"/>
      <c r="J38" s="820"/>
    </row>
    <row r="39" customFormat="false" ht="12.75" hidden="false" customHeight="false" outlineLevel="0" collapsed="false">
      <c r="A39" s="820"/>
      <c r="B39" s="829"/>
      <c r="C39" s="829"/>
      <c r="D39" s="829"/>
      <c r="E39" s="829"/>
      <c r="F39" s="829"/>
      <c r="G39" s="829"/>
      <c r="H39" s="829"/>
      <c r="I39" s="818"/>
      <c r="J39" s="820"/>
    </row>
    <row r="40" customFormat="false" ht="12.75" hidden="false" customHeight="false" outlineLevel="0" collapsed="false">
      <c r="A40" s="820"/>
      <c r="B40" s="829"/>
      <c r="C40" s="829"/>
      <c r="D40" s="829"/>
      <c r="E40" s="829"/>
      <c r="F40" s="829"/>
      <c r="G40" s="829"/>
      <c r="H40" s="829"/>
      <c r="I40" s="818"/>
      <c r="J40" s="824" t="n">
        <f aca="false">-SUM(I38:I40)</f>
        <v>0</v>
      </c>
    </row>
    <row r="41" customFormat="false" ht="12.75" hidden="false" customHeight="false" outlineLevel="0" collapsed="false">
      <c r="A41" s="820"/>
      <c r="B41" s="817"/>
      <c r="C41" s="817"/>
      <c r="D41" s="817"/>
      <c r="E41" s="817"/>
      <c r="F41" s="817"/>
      <c r="G41" s="817"/>
      <c r="H41" s="817"/>
      <c r="I41" s="817"/>
      <c r="J41" s="820"/>
    </row>
    <row r="42" customFormat="false" ht="12.75" hidden="false" customHeight="false" outlineLevel="0" collapsed="false">
      <c r="A42" s="820"/>
      <c r="B42" s="815" t="s">
        <v>1082</v>
      </c>
      <c r="C42" s="815"/>
      <c r="D42" s="815"/>
      <c r="E42" s="815"/>
      <c r="F42" s="815"/>
      <c r="G42" s="815"/>
      <c r="H42" s="815"/>
      <c r="I42" s="815"/>
      <c r="J42" s="832" t="n">
        <f aca="false">J6+J8+J14+J20+J22+J27+J32-J35+J40</f>
        <v>0</v>
      </c>
    </row>
    <row r="44" customFormat="false" ht="18.75" hidden="false" customHeight="true" outlineLevel="0" collapsed="false">
      <c r="A44" s="814" t="s">
        <v>1083</v>
      </c>
      <c r="B44" s="814"/>
      <c r="C44" s="814"/>
      <c r="D44" s="814"/>
      <c r="E44" s="814"/>
      <c r="F44" s="814"/>
      <c r="G44" s="814"/>
      <c r="H44" s="814"/>
      <c r="I44" s="814"/>
      <c r="J44" s="814"/>
    </row>
    <row r="45" customFormat="false" ht="30" hidden="false" customHeight="true" outlineLevel="0" collapsed="false">
      <c r="A45" s="815" t="s">
        <v>1064</v>
      </c>
      <c r="B45" s="815"/>
      <c r="C45" s="833" t="s">
        <v>1084</v>
      </c>
      <c r="D45" s="815" t="s">
        <v>1085</v>
      </c>
      <c r="E45" s="815"/>
      <c r="F45" s="834" t="s">
        <v>1086</v>
      </c>
      <c r="G45" s="834"/>
      <c r="H45" s="834" t="s">
        <v>1087</v>
      </c>
      <c r="I45" s="834"/>
      <c r="J45" s="815" t="s">
        <v>16</v>
      </c>
    </row>
    <row r="46" customFormat="false" ht="12.75" hidden="false" customHeight="false" outlineLevel="0" collapsed="false">
      <c r="A46" s="821" t="n">
        <f aca="false">A47-1</f>
        <v>2012</v>
      </c>
      <c r="B46" s="821"/>
      <c r="C46" s="835" t="n">
        <v>0.28</v>
      </c>
      <c r="D46" s="836"/>
      <c r="E46" s="836"/>
      <c r="F46" s="837"/>
      <c r="G46" s="837"/>
      <c r="H46" s="838"/>
      <c r="I46" s="838"/>
      <c r="J46" s="823" t="n">
        <f aca="false">F46-H46</f>
        <v>0</v>
      </c>
    </row>
    <row r="47" customFormat="false" ht="12.75" hidden="false" customHeight="false" outlineLevel="0" collapsed="false">
      <c r="A47" s="821" t="n">
        <f aca="false">A48-1</f>
        <v>2013</v>
      </c>
      <c r="B47" s="821"/>
      <c r="C47" s="835" t="n">
        <v>0.28</v>
      </c>
      <c r="D47" s="836"/>
      <c r="E47" s="836"/>
      <c r="F47" s="837"/>
      <c r="G47" s="837"/>
      <c r="H47" s="838"/>
      <c r="I47" s="838"/>
      <c r="J47" s="823" t="n">
        <f aca="false">+J46+F47-H47</f>
        <v>0</v>
      </c>
    </row>
    <row r="48" customFormat="false" ht="12.75" hidden="false" customHeight="false" outlineLevel="0" collapsed="false">
      <c r="A48" s="821" t="n">
        <f aca="false">A49-1</f>
        <v>2014</v>
      </c>
      <c r="B48" s="821"/>
      <c r="C48" s="835" t="n">
        <v>0.28</v>
      </c>
      <c r="D48" s="836"/>
      <c r="E48" s="836"/>
      <c r="F48" s="837"/>
      <c r="G48" s="837"/>
      <c r="H48" s="838"/>
      <c r="I48" s="838"/>
      <c r="J48" s="823" t="n">
        <f aca="false">+J47+F48-H48</f>
        <v>0</v>
      </c>
    </row>
    <row r="49" customFormat="false" ht="12.75" hidden="false" customHeight="false" outlineLevel="0" collapsed="false">
      <c r="A49" s="821" t="n">
        <f aca="false">A50-1</f>
        <v>2015</v>
      </c>
      <c r="B49" s="821"/>
      <c r="C49" s="835" t="n">
        <v>0.28</v>
      </c>
      <c r="D49" s="836"/>
      <c r="E49" s="836"/>
      <c r="F49" s="837"/>
      <c r="G49" s="837"/>
      <c r="H49" s="838"/>
      <c r="I49" s="838"/>
      <c r="J49" s="823" t="n">
        <f aca="false">+J48+F49-H49</f>
        <v>0</v>
      </c>
    </row>
    <row r="50" customFormat="false" ht="12.75" hidden="false" customHeight="false" outlineLevel="0" collapsed="false">
      <c r="A50" s="821" t="n">
        <f aca="false">A51-1</f>
        <v>2016</v>
      </c>
      <c r="B50" s="821"/>
      <c r="C50" s="835" t="n">
        <v>0.28</v>
      </c>
      <c r="D50" s="836"/>
      <c r="E50" s="836"/>
      <c r="F50" s="837"/>
      <c r="G50" s="837"/>
      <c r="H50" s="838"/>
      <c r="I50" s="838"/>
      <c r="J50" s="823" t="n">
        <f aca="false">+J49+F50-H50</f>
        <v>0</v>
      </c>
    </row>
    <row r="51" customFormat="false" ht="12.75" hidden="false" customHeight="false" outlineLevel="0" collapsed="false">
      <c r="A51" s="821" t="n">
        <f aca="false">A52-1</f>
        <v>2017</v>
      </c>
      <c r="B51" s="821"/>
      <c r="C51" s="835" t="n">
        <v>0.28</v>
      </c>
      <c r="D51" s="836"/>
      <c r="E51" s="836"/>
      <c r="F51" s="837"/>
      <c r="G51" s="837"/>
      <c r="H51" s="838"/>
      <c r="I51" s="838"/>
      <c r="J51" s="823" t="n">
        <f aca="false">+J50+F51-H51</f>
        <v>0</v>
      </c>
    </row>
    <row r="52" customFormat="false" ht="12.75" hidden="false" customHeight="false" outlineLevel="0" collapsed="false">
      <c r="A52" s="821" t="n">
        <f aca="false">A53-1</f>
        <v>2018</v>
      </c>
      <c r="B52" s="821"/>
      <c r="C52" s="835" t="n">
        <v>0.28</v>
      </c>
      <c r="D52" s="836"/>
      <c r="E52" s="836"/>
      <c r="F52" s="837"/>
      <c r="G52" s="837"/>
      <c r="H52" s="838"/>
      <c r="I52" s="838"/>
      <c r="J52" s="823" t="n">
        <f aca="false">+J51+F52-H52</f>
        <v>0</v>
      </c>
    </row>
    <row r="53" customFormat="false" ht="12.75" hidden="false" customHeight="false" outlineLevel="0" collapsed="false">
      <c r="A53" s="821" t="n">
        <f aca="false">A54-1</f>
        <v>2019</v>
      </c>
      <c r="B53" s="821"/>
      <c r="C53" s="835" t="n">
        <v>0.28</v>
      </c>
      <c r="D53" s="836"/>
      <c r="E53" s="836"/>
      <c r="F53" s="837"/>
      <c r="G53" s="837"/>
      <c r="H53" s="838"/>
      <c r="I53" s="838"/>
      <c r="J53" s="823" t="n">
        <f aca="false">+J52+F53-H53</f>
        <v>0</v>
      </c>
    </row>
    <row r="54" customFormat="false" ht="12.75" hidden="false" customHeight="false" outlineLevel="0" collapsed="false">
      <c r="A54" s="821" t="n">
        <f aca="false">A55-1</f>
        <v>2020</v>
      </c>
      <c r="B54" s="821"/>
      <c r="C54" s="835" t="n">
        <v>0.28</v>
      </c>
      <c r="D54" s="836"/>
      <c r="E54" s="836"/>
      <c r="F54" s="837"/>
      <c r="G54" s="837"/>
      <c r="H54" s="838"/>
      <c r="I54" s="838"/>
      <c r="J54" s="823" t="n">
        <f aca="false">+J53+F54-H54</f>
        <v>0</v>
      </c>
    </row>
    <row r="55" customFormat="false" ht="12.75" hidden="false" customHeight="false" outlineLevel="0" collapsed="false">
      <c r="A55" s="821" t="n">
        <f aca="false">A56-1</f>
        <v>2021</v>
      </c>
      <c r="B55" s="821"/>
      <c r="C55" s="835" t="n">
        <v>0.28</v>
      </c>
      <c r="D55" s="836"/>
      <c r="E55" s="836"/>
      <c r="F55" s="837"/>
      <c r="G55" s="837"/>
      <c r="H55" s="838"/>
      <c r="I55" s="838"/>
      <c r="J55" s="823" t="n">
        <f aca="false">+J54+F55-H55</f>
        <v>0</v>
      </c>
    </row>
    <row r="56" customFormat="false" ht="12.75" hidden="false" customHeight="false" outlineLevel="0" collapsed="false">
      <c r="A56" s="821" t="n">
        <f aca="false">A57-1</f>
        <v>2022</v>
      </c>
      <c r="B56" s="821"/>
      <c r="C56" s="835" t="n">
        <v>0.28</v>
      </c>
      <c r="D56" s="836"/>
      <c r="E56" s="836"/>
      <c r="F56" s="837"/>
      <c r="G56" s="837"/>
      <c r="H56" s="838"/>
      <c r="I56" s="838"/>
      <c r="J56" s="823" t="n">
        <f aca="false">+J55+F56-H56</f>
        <v>0</v>
      </c>
    </row>
    <row r="57" customFormat="false" ht="12.75" hidden="false" customHeight="false" outlineLevel="0" collapsed="false">
      <c r="A57" s="821" t="n">
        <f aca="false">A58-1</f>
        <v>2023</v>
      </c>
      <c r="B57" s="821"/>
      <c r="C57" s="835" t="n">
        <v>0.28</v>
      </c>
      <c r="D57" s="836"/>
      <c r="E57" s="836"/>
      <c r="F57" s="837"/>
      <c r="G57" s="837"/>
      <c r="H57" s="838"/>
      <c r="I57" s="838"/>
      <c r="J57" s="823" t="n">
        <f aca="false">+J56+F57-H57</f>
        <v>0</v>
      </c>
    </row>
    <row r="58" customFormat="false" ht="12.75" hidden="false" customHeight="false" outlineLevel="0" collapsed="false">
      <c r="A58" s="821" t="n">
        <f aca="false">YEAR(Index!C4)</f>
        <v>2024</v>
      </c>
      <c r="B58" s="821"/>
      <c r="C58" s="835" t="n">
        <v>0.28</v>
      </c>
      <c r="D58" s="836"/>
      <c r="E58" s="836"/>
      <c r="F58" s="837"/>
      <c r="G58" s="837"/>
      <c r="H58" s="838"/>
      <c r="I58" s="838"/>
      <c r="J58" s="823" t="n">
        <f aca="false">+J57+F58-H58</f>
        <v>0</v>
      </c>
    </row>
    <row r="60" customFormat="false" ht="12.75" hidden="false" customHeight="false" outlineLevel="0" collapsed="false">
      <c r="F60" s="839" t="s">
        <v>1088</v>
      </c>
      <c r="G60" s="839"/>
      <c r="H60" s="839"/>
      <c r="I60" s="839"/>
      <c r="J60" s="840" t="n">
        <f aca="false">J58</f>
        <v>0</v>
      </c>
    </row>
    <row r="62" customFormat="false" ht="13.8" hidden="false" customHeight="false" outlineLevel="0" collapsed="false">
      <c r="B62" s="814" t="s">
        <v>1089</v>
      </c>
      <c r="C62" s="814"/>
      <c r="D62" s="814"/>
      <c r="E62" s="814"/>
      <c r="F62" s="814"/>
      <c r="G62" s="814"/>
      <c r="H62" s="814"/>
      <c r="I62" s="814"/>
      <c r="J62" s="814"/>
    </row>
    <row r="64" customFormat="false" ht="12.75" hidden="false" customHeight="false" outlineLevel="0" collapsed="false">
      <c r="B64" s="819" t="s">
        <v>1090</v>
      </c>
      <c r="C64" s="819"/>
      <c r="D64" s="819"/>
      <c r="E64" s="819"/>
      <c r="F64" s="819"/>
      <c r="G64" s="819"/>
      <c r="H64" s="819"/>
      <c r="I64" s="819"/>
      <c r="J64" s="820"/>
    </row>
    <row r="65" customFormat="false" ht="12.75" hidden="false" customHeight="false" outlineLevel="0" collapsed="false">
      <c r="B65" s="822" t="s">
        <v>1091</v>
      </c>
      <c r="C65" s="822"/>
      <c r="D65" s="822"/>
      <c r="E65" s="822"/>
      <c r="F65" s="822"/>
      <c r="G65" s="822"/>
      <c r="H65" s="822"/>
      <c r="I65" s="841"/>
      <c r="J65" s="820"/>
    </row>
    <row r="66" customFormat="false" ht="12.75" hidden="false" customHeight="false" outlineLevel="0" collapsed="false">
      <c r="B66" s="822" t="s">
        <v>1092</v>
      </c>
      <c r="C66" s="822"/>
      <c r="D66" s="822"/>
      <c r="E66" s="822"/>
      <c r="F66" s="822"/>
      <c r="G66" s="822"/>
      <c r="H66" s="822"/>
      <c r="I66" s="841"/>
      <c r="J66" s="820"/>
    </row>
    <row r="67" customFormat="false" ht="12.75" hidden="false" customHeight="false" outlineLevel="0" collapsed="false">
      <c r="B67" s="822" t="s">
        <v>1093</v>
      </c>
      <c r="C67" s="822"/>
      <c r="D67" s="822"/>
      <c r="E67" s="822"/>
      <c r="F67" s="822"/>
      <c r="G67" s="822"/>
      <c r="H67" s="822"/>
      <c r="I67" s="841"/>
      <c r="J67" s="825" t="n">
        <f aca="false">+I65+I66-I67</f>
        <v>0</v>
      </c>
    </row>
    <row r="68" customFormat="false" ht="12.75" hidden="false" customHeight="false" outlineLevel="0" collapsed="false">
      <c r="B68" s="817"/>
      <c r="C68" s="817"/>
      <c r="D68" s="817"/>
      <c r="E68" s="817"/>
      <c r="F68" s="817"/>
      <c r="G68" s="817"/>
      <c r="H68" s="817"/>
      <c r="I68" s="817"/>
      <c r="J68" s="820"/>
    </row>
    <row r="69" customFormat="false" ht="12.75" hidden="false" customHeight="false" outlineLevel="0" collapsed="false">
      <c r="B69" s="820" t="s">
        <v>1094</v>
      </c>
      <c r="C69" s="820"/>
      <c r="D69" s="820"/>
      <c r="E69" s="820"/>
      <c r="F69" s="817" t="s">
        <v>1095</v>
      </c>
      <c r="G69" s="841"/>
      <c r="H69" s="817" t="s">
        <v>1096</v>
      </c>
      <c r="I69" s="841"/>
      <c r="J69" s="825" t="n">
        <f aca="false">I69</f>
        <v>0</v>
      </c>
    </row>
    <row r="70" customFormat="false" ht="12.75" hidden="false" customHeight="false" outlineLevel="0" collapsed="false">
      <c r="B70" s="822" t="s">
        <v>1097</v>
      </c>
      <c r="C70" s="827"/>
      <c r="D70" s="827"/>
      <c r="E70" s="827"/>
      <c r="F70" s="817" t="s">
        <v>1095</v>
      </c>
      <c r="G70" s="841"/>
      <c r="H70" s="817" t="s">
        <v>1096</v>
      </c>
      <c r="I70" s="841"/>
      <c r="J70" s="825" t="n">
        <f aca="false">+G70+I70</f>
        <v>0</v>
      </c>
    </row>
    <row r="71" customFormat="false" ht="12.75" hidden="false" customHeight="false" outlineLevel="0" collapsed="false">
      <c r="B71" s="822" t="s">
        <v>1098</v>
      </c>
      <c r="C71" s="827"/>
      <c r="D71" s="827"/>
      <c r="E71" s="827"/>
      <c r="F71" s="817" t="s">
        <v>1095</v>
      </c>
      <c r="G71" s="841"/>
      <c r="H71" s="817" t="s">
        <v>1096</v>
      </c>
      <c r="I71" s="841"/>
      <c r="J71" s="825" t="n">
        <f aca="false">+G71+I71</f>
        <v>0</v>
      </c>
    </row>
    <row r="72" customFormat="false" ht="12.75" hidden="false" customHeight="false" outlineLevel="0" collapsed="false">
      <c r="B72" s="819" t="s">
        <v>1099</v>
      </c>
      <c r="C72" s="819"/>
      <c r="D72" s="819"/>
      <c r="E72" s="819"/>
      <c r="F72" s="819"/>
      <c r="G72" s="819"/>
      <c r="H72" s="819"/>
      <c r="I72" s="819"/>
      <c r="J72" s="842"/>
    </row>
    <row r="73" customFormat="false" ht="12.75" hidden="false" customHeight="false" outlineLevel="0" collapsed="false">
      <c r="B73" s="822" t="s">
        <v>1100</v>
      </c>
      <c r="C73" s="822"/>
      <c r="D73" s="822"/>
      <c r="E73" s="822"/>
      <c r="F73" s="817" t="s">
        <v>1095</v>
      </c>
      <c r="G73" s="841"/>
      <c r="H73" s="817" t="s">
        <v>1096</v>
      </c>
      <c r="I73" s="841"/>
      <c r="J73" s="825" t="n">
        <f aca="false">-(G73+I73)</f>
        <v>0</v>
      </c>
    </row>
    <row r="74" customFormat="false" ht="12.75" hidden="false" customHeight="false" outlineLevel="0" collapsed="false">
      <c r="B74" s="829"/>
      <c r="C74" s="829"/>
      <c r="D74" s="829"/>
      <c r="E74" s="829"/>
      <c r="F74" s="829"/>
      <c r="G74" s="829"/>
      <c r="H74" s="829"/>
      <c r="I74" s="841"/>
      <c r="J74" s="825" t="n">
        <f aca="false">-I74</f>
        <v>0</v>
      </c>
    </row>
    <row r="75" customFormat="false" ht="12.75" hidden="false" customHeight="false" outlineLevel="0" collapsed="false">
      <c r="B75" s="829"/>
      <c r="C75" s="829"/>
      <c r="D75" s="829"/>
      <c r="E75" s="829"/>
      <c r="F75" s="829"/>
      <c r="G75" s="829"/>
      <c r="H75" s="829"/>
      <c r="I75" s="841"/>
      <c r="J75" s="825" t="n">
        <f aca="false">-I75</f>
        <v>0</v>
      </c>
    </row>
    <row r="77" customFormat="false" ht="12.75" hidden="false" customHeight="false" outlineLevel="0" collapsed="false">
      <c r="I77" s="843" t="s">
        <v>16</v>
      </c>
      <c r="J77" s="832" t="n">
        <f aca="false">J60-J67+J69-J70+J71-SUM(J73:J75)</f>
        <v>0</v>
      </c>
    </row>
    <row r="78" customFormat="false" ht="12.75" hidden="false" customHeight="false" outlineLevel="0" collapsed="false">
      <c r="I78" s="843"/>
    </row>
    <row r="79" customFormat="false" ht="12.75" hidden="false" customHeight="false" outlineLevel="0" collapsed="false">
      <c r="I79" s="843" t="s">
        <v>591</v>
      </c>
      <c r="J79" s="824" t="n">
        <f aca="false">+J42-J77</f>
        <v>0</v>
      </c>
    </row>
  </sheetData>
  <mergeCells count="107">
    <mergeCell ref="A2:J2"/>
    <mergeCell ref="A4:J4"/>
    <mergeCell ref="B5:I5"/>
    <mergeCell ref="B6:I6"/>
    <mergeCell ref="B7:I7"/>
    <mergeCell ref="B8:I8"/>
    <mergeCell ref="B9:I9"/>
    <mergeCell ref="B10:I10"/>
    <mergeCell ref="B11:H11"/>
    <mergeCell ref="B12:H12"/>
    <mergeCell ref="B13:H13"/>
    <mergeCell ref="B14:H14"/>
    <mergeCell ref="B15:I15"/>
    <mergeCell ref="B16:I16"/>
    <mergeCell ref="B17:H17"/>
    <mergeCell ref="B18:H18"/>
    <mergeCell ref="B20:H20"/>
    <mergeCell ref="B21:I21"/>
    <mergeCell ref="B22:I22"/>
    <mergeCell ref="B23:I23"/>
    <mergeCell ref="B24:I24"/>
    <mergeCell ref="B25:H25"/>
    <mergeCell ref="B26:H26"/>
    <mergeCell ref="B27:H27"/>
    <mergeCell ref="B28:I28"/>
    <mergeCell ref="B29:I29"/>
    <mergeCell ref="B30:H30"/>
    <mergeCell ref="B31:H31"/>
    <mergeCell ref="B32:H32"/>
    <mergeCell ref="B33:I33"/>
    <mergeCell ref="B34:I34"/>
    <mergeCell ref="B35:I35"/>
    <mergeCell ref="B36:I36"/>
    <mergeCell ref="B37:I37"/>
    <mergeCell ref="B38:H38"/>
    <mergeCell ref="B39:H39"/>
    <mergeCell ref="B40:H40"/>
    <mergeCell ref="B41:I41"/>
    <mergeCell ref="B42:I42"/>
    <mergeCell ref="A44:J44"/>
    <mergeCell ref="A45:B45"/>
    <mergeCell ref="D45:E45"/>
    <mergeCell ref="F45:G45"/>
    <mergeCell ref="H45:I45"/>
    <mergeCell ref="A46:B46"/>
    <mergeCell ref="D46:E46"/>
    <mergeCell ref="F46:G46"/>
    <mergeCell ref="H46:I46"/>
    <mergeCell ref="A47:B47"/>
    <mergeCell ref="D47:E47"/>
    <mergeCell ref="F47:G47"/>
    <mergeCell ref="H47:I47"/>
    <mergeCell ref="A48:B48"/>
    <mergeCell ref="D48:E48"/>
    <mergeCell ref="F48:G48"/>
    <mergeCell ref="H48:I48"/>
    <mergeCell ref="A49:B49"/>
    <mergeCell ref="D49:E49"/>
    <mergeCell ref="F49:G49"/>
    <mergeCell ref="H49:I49"/>
    <mergeCell ref="A50:B50"/>
    <mergeCell ref="D50:E50"/>
    <mergeCell ref="F50:G50"/>
    <mergeCell ref="H50:I50"/>
    <mergeCell ref="A51:B51"/>
    <mergeCell ref="D51:E51"/>
    <mergeCell ref="F51:G51"/>
    <mergeCell ref="H51:I51"/>
    <mergeCell ref="A52:B52"/>
    <mergeCell ref="D52:E52"/>
    <mergeCell ref="F52:G52"/>
    <mergeCell ref="H52:I52"/>
    <mergeCell ref="A53:B53"/>
    <mergeCell ref="D53:E53"/>
    <mergeCell ref="F53:G53"/>
    <mergeCell ref="H53:I53"/>
    <mergeCell ref="A54:B54"/>
    <mergeCell ref="D54:E54"/>
    <mergeCell ref="F54:G54"/>
    <mergeCell ref="H54:I54"/>
    <mergeCell ref="A55:B55"/>
    <mergeCell ref="D55:E55"/>
    <mergeCell ref="F55:G55"/>
    <mergeCell ref="H55:I55"/>
    <mergeCell ref="A56:B56"/>
    <mergeCell ref="D56:E56"/>
    <mergeCell ref="F56:G56"/>
    <mergeCell ref="H56:I56"/>
    <mergeCell ref="A57:B57"/>
    <mergeCell ref="D57:E57"/>
    <mergeCell ref="F57:G57"/>
    <mergeCell ref="H57:I57"/>
    <mergeCell ref="A58:B58"/>
    <mergeCell ref="D58:E58"/>
    <mergeCell ref="F58:G58"/>
    <mergeCell ref="H58:I58"/>
    <mergeCell ref="F60:I60"/>
    <mergeCell ref="B62:J62"/>
    <mergeCell ref="B64:I64"/>
    <mergeCell ref="B65:H65"/>
    <mergeCell ref="B66:H66"/>
    <mergeCell ref="B67:H67"/>
    <mergeCell ref="B68:I68"/>
    <mergeCell ref="B72:I72"/>
    <mergeCell ref="B73:E73"/>
    <mergeCell ref="B74:H74"/>
    <mergeCell ref="B75:H7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14453125" defaultRowHeight="13.5" zeroHeight="false" outlineLevelRow="0" outlineLevelCol="0"/>
  <cols>
    <col collapsed="false" customWidth="false" hidden="false" outlineLevel="0" max="6" min="1" style="844" width="9.14"/>
    <col collapsed="false" customWidth="true" hidden="false" outlineLevel="0" max="7" min="7" style="844" width="11.57"/>
    <col collapsed="false" customWidth="false" hidden="false" outlineLevel="0" max="8" min="8" style="844" width="9.14"/>
    <col collapsed="false" customWidth="true" hidden="false" outlineLevel="0" max="9" min="9" style="844" width="12.43"/>
    <col collapsed="false" customWidth="true" hidden="false" outlineLevel="0" max="10" min="10" style="844" width="12.86"/>
    <col collapsed="false" customWidth="false" hidden="false" outlineLevel="0" max="16384" min="11" style="844" width="9.14"/>
  </cols>
  <sheetData>
    <row r="1" s="811" customFormat="true" ht="13.5" hidden="false" customHeight="false" outlineLevel="0" collapsed="false">
      <c r="A1" s="812"/>
      <c r="B1" s="812"/>
      <c r="C1" s="812"/>
      <c r="D1" s="812"/>
      <c r="E1" s="812"/>
      <c r="F1" s="812"/>
      <c r="G1" s="812"/>
      <c r="H1" s="812"/>
      <c r="I1" s="812"/>
      <c r="J1" s="812"/>
    </row>
    <row r="2" s="811" customFormat="true" ht="19.7" hidden="false" customHeight="false" outlineLevel="0" collapsed="false">
      <c r="B2" s="813" t="s">
        <v>1101</v>
      </c>
      <c r="C2" s="813"/>
      <c r="D2" s="813"/>
      <c r="E2" s="813"/>
      <c r="F2" s="813"/>
      <c r="G2" s="813"/>
      <c r="H2" s="813"/>
      <c r="I2" s="813"/>
      <c r="J2" s="813"/>
    </row>
    <row r="3" s="811" customFormat="true" ht="13.5" hidden="false" customHeight="false" outlineLevel="0" collapsed="false"/>
    <row r="4" s="811" customFormat="true" ht="13.5" hidden="false" customHeight="false" outlineLevel="0" collapsed="false">
      <c r="B4" s="845" t="s">
        <v>1101</v>
      </c>
      <c r="C4" s="845"/>
      <c r="D4" s="845"/>
      <c r="E4" s="845"/>
      <c r="F4" s="845"/>
      <c r="G4" s="845"/>
      <c r="H4" s="845"/>
      <c r="I4" s="845"/>
      <c r="J4" s="845"/>
    </row>
    <row r="5" s="811" customFormat="true" ht="13.5" hidden="false" customHeight="false" outlineLevel="0" collapsed="false">
      <c r="B5" s="822" t="s">
        <v>1102</v>
      </c>
      <c r="C5" s="822"/>
      <c r="D5" s="822"/>
      <c r="E5" s="822"/>
      <c r="F5" s="822"/>
      <c r="G5" s="822"/>
      <c r="H5" s="822"/>
      <c r="I5" s="822"/>
      <c r="J5" s="846"/>
    </row>
    <row r="6" s="811" customFormat="true" ht="13.5" hidden="false" customHeight="false" outlineLevel="0" collapsed="false">
      <c r="B6" s="822" t="s">
        <v>1103</v>
      </c>
      <c r="C6" s="822"/>
      <c r="D6" s="822"/>
      <c r="E6" s="822"/>
      <c r="F6" s="822"/>
      <c r="G6" s="822"/>
      <c r="H6" s="822"/>
      <c r="I6" s="822"/>
      <c r="J6" s="825" t="n">
        <f aca="false">SUM(ICA!D46:E58)-SUM(ICA!F46:G58)</f>
        <v>0</v>
      </c>
    </row>
    <row r="7" s="811" customFormat="true" ht="13.5" hidden="false" customHeight="false" outlineLevel="0" collapsed="false">
      <c r="B7" s="819" t="s">
        <v>1104</v>
      </c>
      <c r="C7" s="819"/>
      <c r="D7" s="819"/>
      <c r="E7" s="819"/>
      <c r="F7" s="819"/>
      <c r="G7" s="819"/>
      <c r="H7" s="819"/>
      <c r="I7" s="819"/>
      <c r="J7" s="842"/>
    </row>
    <row r="8" s="811" customFormat="true" ht="13.8" hidden="false" customHeight="false" outlineLevel="0" collapsed="false">
      <c r="B8" s="847" t="s">
        <v>1105</v>
      </c>
      <c r="C8" s="848"/>
      <c r="D8" s="848"/>
      <c r="E8" s="848"/>
      <c r="F8" s="817" t="s">
        <v>1095</v>
      </c>
      <c r="G8" s="849"/>
      <c r="H8" s="817" t="s">
        <v>1096</v>
      </c>
      <c r="I8" s="849"/>
      <c r="J8" s="825" t="n">
        <f aca="false">+G8+I8</f>
        <v>0</v>
      </c>
    </row>
    <row r="9" s="811" customFormat="true" ht="13.5" hidden="false" customHeight="false" outlineLevel="0" collapsed="false">
      <c r="B9" s="822" t="s">
        <v>1106</v>
      </c>
      <c r="C9" s="822"/>
      <c r="D9" s="822"/>
      <c r="E9" s="822"/>
      <c r="F9" s="822"/>
      <c r="G9" s="822"/>
      <c r="H9" s="822"/>
      <c r="I9" s="822"/>
      <c r="J9" s="841"/>
    </row>
    <row r="10" s="811" customFormat="true" ht="13.5" hidden="false" customHeight="false" outlineLevel="0" collapsed="false">
      <c r="B10" s="817"/>
      <c r="C10" s="817"/>
      <c r="D10" s="817"/>
      <c r="E10" s="817"/>
      <c r="F10" s="817"/>
      <c r="G10" s="817"/>
      <c r="H10" s="817"/>
      <c r="I10" s="817"/>
      <c r="J10" s="842"/>
    </row>
    <row r="11" s="811" customFormat="true" ht="13.5" hidden="false" customHeight="false" outlineLevel="0" collapsed="false">
      <c r="B11" s="819" t="s">
        <v>1107</v>
      </c>
      <c r="C11" s="819"/>
      <c r="D11" s="819"/>
      <c r="E11" s="819"/>
      <c r="F11" s="819"/>
      <c r="G11" s="819"/>
      <c r="H11" s="819"/>
      <c r="I11" s="819"/>
      <c r="J11" s="842"/>
    </row>
    <row r="12" s="811" customFormat="true" ht="13.5" hidden="false" customHeight="false" outlineLevel="0" collapsed="false">
      <c r="B12" s="822" t="s">
        <v>1108</v>
      </c>
      <c r="C12" s="822"/>
      <c r="D12" s="822"/>
      <c r="E12" s="822"/>
      <c r="F12" s="822"/>
      <c r="G12" s="822"/>
      <c r="H12" s="822"/>
      <c r="I12" s="822"/>
      <c r="J12" s="825" t="n">
        <f aca="false">ROUNDUP((SUM(ICA!H46:I58)/28*72),0)</f>
        <v>0</v>
      </c>
      <c r="N12" s="850"/>
    </row>
    <row r="13" s="811" customFormat="true" ht="13.5" hidden="false" customHeight="false" outlineLevel="0" collapsed="false">
      <c r="B13" s="819" t="s">
        <v>1109</v>
      </c>
      <c r="C13" s="819"/>
      <c r="D13" s="819"/>
      <c r="E13" s="819"/>
      <c r="F13" s="819"/>
      <c r="G13" s="819"/>
      <c r="H13" s="819"/>
      <c r="I13" s="819"/>
      <c r="J13" s="842"/>
    </row>
    <row r="14" s="811" customFormat="true" ht="13.8" hidden="false" customHeight="false" outlineLevel="0" collapsed="false">
      <c r="B14" s="847" t="s">
        <v>1110</v>
      </c>
      <c r="C14" s="848"/>
      <c r="D14" s="848"/>
      <c r="E14" s="848"/>
      <c r="F14" s="817" t="s">
        <v>1095</v>
      </c>
      <c r="G14" s="849"/>
      <c r="H14" s="817" t="s">
        <v>1096</v>
      </c>
      <c r="I14" s="849" t="n">
        <f aca="false">IF(TCP!F32&lt;"0",-TCP!F32,"")</f>
        <v>0</v>
      </c>
      <c r="J14" s="825" t="n">
        <f aca="false">+G14+I14</f>
        <v>0</v>
      </c>
    </row>
    <row r="15" s="811" customFormat="true" ht="13.8" hidden="false" customHeight="false" outlineLevel="0" collapsed="false">
      <c r="B15" s="847" t="s">
        <v>1111</v>
      </c>
      <c r="C15" s="848"/>
      <c r="D15" s="848"/>
      <c r="E15" s="848"/>
      <c r="F15" s="817" t="s">
        <v>1095</v>
      </c>
      <c r="G15" s="851"/>
      <c r="H15" s="817" t="s">
        <v>1096</v>
      </c>
      <c r="I15" s="851" t="n">
        <f aca="false">TCP!F24</f>
        <v>0</v>
      </c>
      <c r="J15" s="825" t="n">
        <f aca="false">+G15+I15</f>
        <v>0</v>
      </c>
    </row>
    <row r="16" s="811" customFormat="true" ht="13.5" hidden="false" customHeight="false" outlineLevel="0" collapsed="false">
      <c r="B16" s="819" t="s">
        <v>1112</v>
      </c>
      <c r="C16" s="819"/>
      <c r="D16" s="819"/>
      <c r="E16" s="819"/>
      <c r="F16" s="819"/>
      <c r="G16" s="819"/>
      <c r="H16" s="819"/>
      <c r="I16" s="819"/>
      <c r="J16" s="842"/>
    </row>
    <row r="17" s="811" customFormat="true" ht="13.8" hidden="false" customHeight="false" outlineLevel="0" collapsed="false">
      <c r="B17" s="847" t="s">
        <v>1113</v>
      </c>
      <c r="C17" s="848"/>
      <c r="D17" s="848"/>
      <c r="E17" s="848"/>
      <c r="F17" s="817" t="s">
        <v>1095</v>
      </c>
      <c r="G17" s="849"/>
      <c r="H17" s="817" t="s">
        <v>1096</v>
      </c>
      <c r="I17" s="849" t="n">
        <f aca="false">TCP!F26</f>
        <v>0</v>
      </c>
      <c r="J17" s="825" t="n">
        <f aca="false">+G17+I17</f>
        <v>0</v>
      </c>
    </row>
    <row r="18" s="811" customFormat="true" ht="13.8" hidden="false" customHeight="false" outlineLevel="0" collapsed="false">
      <c r="B18" s="847" t="s">
        <v>1114</v>
      </c>
      <c r="C18" s="848"/>
      <c r="D18" s="848"/>
      <c r="E18" s="848"/>
      <c r="F18" s="817" t="s">
        <v>1095</v>
      </c>
      <c r="G18" s="851"/>
      <c r="H18" s="817" t="s">
        <v>1096</v>
      </c>
      <c r="I18" s="851" t="n">
        <f aca="false">ICA!I69/0.28</f>
        <v>0</v>
      </c>
      <c r="J18" s="825" t="n">
        <f aca="false">+G18+I18</f>
        <v>0</v>
      </c>
    </row>
    <row r="19" s="811" customFormat="true" ht="13.5" hidden="false" customHeight="false" outlineLevel="0" collapsed="false">
      <c r="B19" s="822" t="s">
        <v>1115</v>
      </c>
      <c r="C19" s="822"/>
      <c r="D19" s="822"/>
      <c r="E19" s="822"/>
      <c r="F19" s="822"/>
      <c r="G19" s="822"/>
      <c r="H19" s="822"/>
      <c r="I19" s="822"/>
      <c r="J19" s="841"/>
    </row>
    <row r="20" s="811" customFormat="true" ht="13.5" hidden="false" customHeight="false" outlineLevel="0" collapsed="false">
      <c r="B20" s="819" t="s">
        <v>1116</v>
      </c>
      <c r="C20" s="819"/>
      <c r="D20" s="819"/>
      <c r="E20" s="819"/>
      <c r="F20" s="819"/>
      <c r="G20" s="819"/>
      <c r="H20" s="819"/>
      <c r="I20" s="819"/>
      <c r="J20" s="842"/>
    </row>
    <row r="21" s="811" customFormat="true" ht="15.75" hidden="false" customHeight="true" outlineLevel="0" collapsed="false">
      <c r="B21" s="847" t="s">
        <v>1117</v>
      </c>
      <c r="C21" s="848"/>
      <c r="D21" s="848"/>
      <c r="E21" s="848"/>
      <c r="F21" s="817" t="s">
        <v>1095</v>
      </c>
      <c r="G21" s="849"/>
      <c r="H21" s="817" t="s">
        <v>1096</v>
      </c>
      <c r="I21" s="849" t="n">
        <f aca="false">TCP!F13-TCP!E11</f>
        <v>0</v>
      </c>
      <c r="J21" s="825" t="n">
        <f aca="false">+G21+I21</f>
        <v>0</v>
      </c>
    </row>
    <row r="22" s="811" customFormat="true" ht="15.75" hidden="false" customHeight="true" outlineLevel="0" collapsed="false">
      <c r="B22" s="847" t="s">
        <v>1118</v>
      </c>
      <c r="C22" s="848"/>
      <c r="D22" s="848"/>
      <c r="E22" s="848"/>
      <c r="F22" s="817" t="s">
        <v>1095</v>
      </c>
      <c r="G22" s="851" t="n">
        <f aca="false">ICA!G69</f>
        <v>0</v>
      </c>
      <c r="H22" s="817" t="s">
        <v>1096</v>
      </c>
      <c r="I22" s="851" t="n">
        <f aca="false">ICA!I69</f>
        <v>0</v>
      </c>
      <c r="J22" s="825" t="n">
        <f aca="false">+G22+I22</f>
        <v>0</v>
      </c>
    </row>
    <row r="23" s="811" customFormat="true" ht="13.5" hidden="false" customHeight="false" outlineLevel="0" collapsed="false">
      <c r="B23" s="822" t="s">
        <v>1119</v>
      </c>
      <c r="C23" s="822"/>
      <c r="D23" s="822"/>
      <c r="E23" s="822"/>
      <c r="F23" s="822"/>
      <c r="G23" s="822"/>
      <c r="H23" s="822"/>
      <c r="I23" s="822"/>
      <c r="J23" s="841"/>
    </row>
    <row r="24" s="811" customFormat="true" ht="13.5" hidden="false" customHeight="false" outlineLevel="0" collapsed="false">
      <c r="B24" s="822" t="s">
        <v>1120</v>
      </c>
      <c r="C24" s="822"/>
      <c r="D24" s="822"/>
      <c r="E24" s="822"/>
      <c r="F24" s="822"/>
      <c r="G24" s="822"/>
      <c r="H24" s="822"/>
      <c r="I24" s="822"/>
      <c r="J24" s="852" t="n">
        <f aca="false">+J15-J14-J18</f>
        <v>0</v>
      </c>
    </row>
    <row r="25" s="811" customFormat="true" ht="15" hidden="false" customHeight="true" outlineLevel="0" collapsed="false">
      <c r="B25" s="815" t="s">
        <v>1121</v>
      </c>
      <c r="C25" s="815"/>
      <c r="D25" s="815"/>
      <c r="E25" s="815"/>
      <c r="F25" s="815"/>
      <c r="G25" s="815"/>
      <c r="H25" s="815"/>
      <c r="I25" s="815"/>
      <c r="J25" s="852" t="n">
        <f aca="false">J5+J6-J8-J9-J12+J14-J15+J17+J18+J19-J21-J22-J23+J24</f>
        <v>0</v>
      </c>
    </row>
    <row r="26" s="811" customFormat="true" ht="13.5" hidden="false" customHeight="false" outlineLevel="0" collapsed="false">
      <c r="J26" s="853"/>
    </row>
    <row r="27" s="811" customFormat="true" ht="13.5" hidden="false" customHeight="false" outlineLevel="0" collapsed="false">
      <c r="D27" s="843" t="s">
        <v>660</v>
      </c>
      <c r="J27" s="825" t="n">
        <f aca="false">-DSH!E131</f>
        <v>-0</v>
      </c>
    </row>
    <row r="28" s="811" customFormat="true" ht="13.5" hidden="false" customHeight="false" outlineLevel="0" collapsed="false">
      <c r="D28" s="843"/>
      <c r="J28" s="853"/>
    </row>
    <row r="29" s="811" customFormat="true" ht="13.5" hidden="false" customHeight="false" outlineLevel="0" collapsed="false">
      <c r="D29" s="843" t="s">
        <v>591</v>
      </c>
      <c r="J29" s="825" t="n">
        <f aca="false">+J25-J27</f>
        <v>0</v>
      </c>
    </row>
  </sheetData>
  <mergeCells count="16">
    <mergeCell ref="B2:J2"/>
    <mergeCell ref="B4:J4"/>
    <mergeCell ref="B5:I5"/>
    <mergeCell ref="B6:I6"/>
    <mergeCell ref="B7:I7"/>
    <mergeCell ref="B9:I9"/>
    <mergeCell ref="B10:I10"/>
    <mergeCell ref="B11:I11"/>
    <mergeCell ref="B12:I12"/>
    <mergeCell ref="B13:I13"/>
    <mergeCell ref="B16:I16"/>
    <mergeCell ref="B19:I19"/>
    <mergeCell ref="B20:I20"/>
    <mergeCell ref="B23:I23"/>
    <mergeCell ref="B24:I24"/>
    <mergeCell ref="B25:I2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859375" defaultRowHeight="12.75" zeroHeight="false" outlineLevelRow="0" outlineLevelCol="0"/>
  <cols>
    <col collapsed="false" customWidth="true" hidden="false" outlineLevel="0" max="1" min="1" style="469" width="18.57"/>
    <col collapsed="false" customWidth="true" hidden="false" outlineLevel="0" max="2" min="2" style="469" width="19.15"/>
    <col collapsed="false" customWidth="true" hidden="false" outlineLevel="0" max="3" min="3" style="469" width="12"/>
    <col collapsed="false" customWidth="true" hidden="false" outlineLevel="0" max="4" min="4" style="469" width="15.15"/>
    <col collapsed="false" customWidth="true" hidden="false" outlineLevel="0" max="5" min="5" style="854" width="18.14"/>
    <col collapsed="false" customWidth="true" hidden="false" outlineLevel="0" max="6" min="6" style="469" width="15.43"/>
    <col collapsed="false" customWidth="true" hidden="false" outlineLevel="0" max="7" min="7" style="854" width="17.14"/>
    <col collapsed="false" customWidth="true" hidden="false" outlineLevel="0" max="8" min="8" style="854" width="13"/>
    <col collapsed="false" customWidth="true" hidden="false" outlineLevel="0" max="9" min="9" style="469" width="10.57"/>
    <col collapsed="false" customWidth="false" hidden="false" outlineLevel="0" max="16384" min="10" style="469" width="8.86"/>
  </cols>
  <sheetData>
    <row r="1" s="856" customFormat="true" ht="10.5" hidden="false" customHeight="true" outlineLevel="0" collapsed="false">
      <c r="A1" s="855"/>
      <c r="B1" s="855"/>
      <c r="C1" s="855"/>
    </row>
    <row r="2" s="856" customFormat="true" ht="19.5" hidden="false" customHeight="true" outlineLevel="0" collapsed="false">
      <c r="A2" s="857" t="s">
        <v>561</v>
      </c>
      <c r="B2" s="857"/>
      <c r="C2" s="857"/>
      <c r="D2" s="857"/>
      <c r="E2" s="857"/>
      <c r="F2" s="857"/>
      <c r="G2" s="857"/>
    </row>
    <row r="3" customFormat="false" ht="14.25" hidden="false" customHeight="true" outlineLevel="0" collapsed="false">
      <c r="A3" s="765"/>
      <c r="B3" s="765"/>
      <c r="C3" s="765"/>
      <c r="G3" s="858"/>
      <c r="H3" s="859"/>
    </row>
    <row r="4" s="469" customFormat="true" ht="22.5" hidden="false" customHeight="true" outlineLevel="0" collapsed="false">
      <c r="A4" s="860" t="s">
        <v>1122</v>
      </c>
      <c r="B4" s="860"/>
      <c r="C4" s="861" t="s">
        <v>1123</v>
      </c>
      <c r="D4" s="861" t="s">
        <v>1124</v>
      </c>
      <c r="E4" s="861" t="s">
        <v>1125</v>
      </c>
      <c r="F4" s="861" t="s">
        <v>1126</v>
      </c>
      <c r="G4" s="861" t="s">
        <v>1127</v>
      </c>
      <c r="I4" s="126" t="s">
        <v>628</v>
      </c>
    </row>
    <row r="5" s="469" customFormat="true" ht="29.25" hidden="false" customHeight="true" outlineLevel="0" collapsed="false">
      <c r="A5" s="860"/>
      <c r="B5" s="860"/>
      <c r="C5" s="861"/>
      <c r="D5" s="861"/>
      <c r="E5" s="861"/>
      <c r="F5" s="861"/>
      <c r="G5" s="861"/>
    </row>
    <row r="6" s="469" customFormat="true" ht="14.25" hidden="false" customHeight="true" outlineLevel="0" collapsed="false">
      <c r="A6" s="862"/>
      <c r="B6" s="862"/>
      <c r="C6" s="863"/>
      <c r="D6" s="864" t="n">
        <f aca="false">IF(C6="",0,C6/$C$16)</f>
        <v>0</v>
      </c>
      <c r="E6" s="863"/>
      <c r="F6" s="865" t="n">
        <f aca="false">IF(E6="",0,E6/$E$16)</f>
        <v>0</v>
      </c>
      <c r="G6" s="866" t="n">
        <f aca="false">IF(F6&lt;=D6,F6,D6)</f>
        <v>0</v>
      </c>
    </row>
    <row r="7" s="469" customFormat="true" ht="17.25" hidden="false" customHeight="true" outlineLevel="0" collapsed="false">
      <c r="A7" s="862"/>
      <c r="B7" s="862"/>
      <c r="C7" s="863"/>
      <c r="D7" s="864" t="n">
        <f aca="false">IF(C7="",0,C7/$C$16)</f>
        <v>0</v>
      </c>
      <c r="E7" s="863"/>
      <c r="F7" s="865" t="n">
        <f aca="false">IF(E7="",0,E7/$E$16)</f>
        <v>0</v>
      </c>
      <c r="G7" s="866" t="n">
        <f aca="false">IF(F7&lt;=D7,F7,D7)</f>
        <v>0</v>
      </c>
    </row>
    <row r="8" s="469" customFormat="true" ht="14.25" hidden="false" customHeight="true" outlineLevel="0" collapsed="false">
      <c r="A8" s="862"/>
      <c r="B8" s="862"/>
      <c r="C8" s="863"/>
      <c r="D8" s="864" t="n">
        <f aca="false">IF(C8="",0,C8/$C$16)</f>
        <v>0</v>
      </c>
      <c r="E8" s="863"/>
      <c r="F8" s="865" t="n">
        <f aca="false">IF(E8="",0,E8/$E$16)</f>
        <v>0</v>
      </c>
      <c r="G8" s="866" t="n">
        <f aca="false">IF(F8&lt;=D8,F8,D8)</f>
        <v>0</v>
      </c>
    </row>
    <row r="9" s="469" customFormat="true" ht="14.25" hidden="false" customHeight="true" outlineLevel="0" collapsed="false">
      <c r="A9" s="862"/>
      <c r="B9" s="862"/>
      <c r="C9" s="863"/>
      <c r="D9" s="864" t="n">
        <f aca="false">IF(C9="",0,C9/$C$16)</f>
        <v>0</v>
      </c>
      <c r="E9" s="863"/>
      <c r="F9" s="865" t="n">
        <f aca="false">IF(E9="",0,E9/$E$16)</f>
        <v>0</v>
      </c>
      <c r="G9" s="866" t="n">
        <f aca="false">IF(F9&lt;=D9,F9,D9)</f>
        <v>0</v>
      </c>
    </row>
    <row r="10" s="469" customFormat="true" ht="14.25" hidden="true" customHeight="true" outlineLevel="0" collapsed="false">
      <c r="A10" s="776"/>
      <c r="B10" s="867"/>
      <c r="C10" s="868" t="n">
        <v>0</v>
      </c>
      <c r="D10" s="864" t="e">
        <f aca="false">C10/$C$16</f>
        <v>#DIV/0!</v>
      </c>
      <c r="E10" s="869" t="n">
        <v>0</v>
      </c>
      <c r="F10" s="870" t="e">
        <f aca="false">E10/$E$16</f>
        <v>#DIV/0!</v>
      </c>
      <c r="G10" s="871" t="e">
        <f aca="false">IF(F10&lt;=D10,F10,D10)</f>
        <v>#DIV/0!</v>
      </c>
    </row>
    <row r="11" s="469" customFormat="true" ht="15" hidden="true" customHeight="true" outlineLevel="0" collapsed="false">
      <c r="A11" s="776" t="s">
        <v>1128</v>
      </c>
      <c r="B11" s="867"/>
      <c r="C11" s="872" t="n">
        <v>0</v>
      </c>
      <c r="D11" s="864" t="e">
        <f aca="false">C11/$C$16</f>
        <v>#DIV/0!</v>
      </c>
      <c r="E11" s="873" t="n">
        <v>0</v>
      </c>
      <c r="F11" s="870" t="e">
        <f aca="false">E11/$E$16</f>
        <v>#DIV/0!</v>
      </c>
      <c r="G11" s="871" t="e">
        <f aca="false">IF(F11&lt;=D11,F11,D11)</f>
        <v>#DIV/0!</v>
      </c>
    </row>
    <row r="12" s="469" customFormat="true" ht="14.25" hidden="true" customHeight="true" outlineLevel="0" collapsed="false">
      <c r="A12" s="776" t="s">
        <v>1129</v>
      </c>
      <c r="B12" s="867"/>
      <c r="C12" s="868" t="n">
        <v>0</v>
      </c>
      <c r="D12" s="864" t="e">
        <f aca="false">C12/$C$16</f>
        <v>#DIV/0!</v>
      </c>
      <c r="E12" s="869" t="n">
        <v>0</v>
      </c>
      <c r="F12" s="870" t="e">
        <f aca="false">E12/$E$16</f>
        <v>#DIV/0!</v>
      </c>
      <c r="G12" s="871" t="e">
        <f aca="false">IF(F12&lt;=D12,F12,D12)</f>
        <v>#DIV/0!</v>
      </c>
    </row>
    <row r="13" s="469" customFormat="true" ht="14.25" hidden="true" customHeight="true" outlineLevel="0" collapsed="false">
      <c r="A13" s="776" t="s">
        <v>1130</v>
      </c>
      <c r="B13" s="867"/>
      <c r="C13" s="868" t="n">
        <v>0</v>
      </c>
      <c r="D13" s="864" t="e">
        <f aca="false">C13/$C$16</f>
        <v>#DIV/0!</v>
      </c>
      <c r="E13" s="869" t="n">
        <v>0</v>
      </c>
      <c r="F13" s="870" t="e">
        <f aca="false">E13/$E$16</f>
        <v>#DIV/0!</v>
      </c>
      <c r="G13" s="871" t="e">
        <f aca="false">IF(F13&lt;=D13,F13,D13)</f>
        <v>#DIV/0!</v>
      </c>
    </row>
    <row r="14" s="469" customFormat="true" ht="14.25" hidden="true" customHeight="true" outlineLevel="0" collapsed="false">
      <c r="A14" s="776" t="s">
        <v>1131</v>
      </c>
      <c r="B14" s="867"/>
      <c r="C14" s="868" t="n">
        <v>0</v>
      </c>
      <c r="D14" s="864" t="e">
        <f aca="false">C14/$C$16</f>
        <v>#DIV/0!</v>
      </c>
      <c r="E14" s="869" t="n">
        <v>0</v>
      </c>
      <c r="F14" s="870" t="e">
        <f aca="false">E14/$E$16</f>
        <v>#DIV/0!</v>
      </c>
      <c r="G14" s="871" t="e">
        <f aca="false">IF(F14&lt;=D14,F14,D14)</f>
        <v>#DIV/0!</v>
      </c>
    </row>
    <row r="15" s="469" customFormat="true" ht="14.25" hidden="true" customHeight="true" outlineLevel="0" collapsed="false">
      <c r="A15" s="776" t="s">
        <v>1132</v>
      </c>
      <c r="B15" s="867"/>
      <c r="C15" s="868" t="n">
        <v>0</v>
      </c>
      <c r="D15" s="864" t="e">
        <f aca="false">C15/$C$16</f>
        <v>#DIV/0!</v>
      </c>
      <c r="E15" s="869" t="n">
        <v>0</v>
      </c>
      <c r="F15" s="870" t="e">
        <f aca="false">E15/$E$16</f>
        <v>#DIV/0!</v>
      </c>
      <c r="G15" s="871" t="e">
        <f aca="false">IF(F15&lt;=D15,F15,D15)</f>
        <v>#DIV/0!</v>
      </c>
    </row>
    <row r="16" s="469" customFormat="true" ht="14.25" hidden="false" customHeight="true" outlineLevel="0" collapsed="false">
      <c r="A16" s="874"/>
      <c r="B16" s="874"/>
      <c r="C16" s="875" t="n">
        <f aca="false">SUM(C6:C9)</f>
        <v>0</v>
      </c>
      <c r="D16" s="876" t="n">
        <f aca="false">+SUM(D6:D9)</f>
        <v>0</v>
      </c>
      <c r="E16" s="875" t="n">
        <f aca="false">SUM(E6:E15)</f>
        <v>0</v>
      </c>
      <c r="F16" s="877" t="n">
        <f aca="false">+SUM(F6:F9)</f>
        <v>0</v>
      </c>
      <c r="G16" s="878" t="n">
        <f aca="false">+SUM(G6:G9)</f>
        <v>0</v>
      </c>
    </row>
    <row r="17" customFormat="false" ht="18" hidden="false" customHeight="true" outlineLevel="0" collapsed="false">
      <c r="A17" s="879"/>
      <c r="B17" s="879"/>
      <c r="C17" s="879"/>
      <c r="D17" s="880"/>
      <c r="E17" s="881"/>
      <c r="F17" s="880"/>
      <c r="G17" s="881"/>
      <c r="H17" s="881"/>
    </row>
    <row r="18" customFormat="false" ht="18" hidden="false" customHeight="true" outlineLevel="0" collapsed="false">
      <c r="E18" s="880"/>
      <c r="F18" s="882" t="s">
        <v>1133</v>
      </c>
      <c r="G18" s="883" t="str">
        <f aca="false">IF(G16&gt;=49%,"YES","NO")</f>
        <v>NO</v>
      </c>
    </row>
    <row r="19" customFormat="false" ht="18" hidden="false" customHeight="true" outlineLevel="0" collapsed="false">
      <c r="E19" s="880"/>
      <c r="F19" s="882" t="s">
        <v>1134</v>
      </c>
      <c r="G19" s="883" t="str">
        <f aca="false">IF(G16&gt;=66%,"YES","NO")</f>
        <v>NO</v>
      </c>
    </row>
    <row r="20" customFormat="false" ht="14.25" hidden="false" customHeight="true" outlineLevel="0" collapsed="false">
      <c r="A20" s="884"/>
      <c r="B20" s="884"/>
      <c r="C20" s="884"/>
      <c r="D20" s="880"/>
      <c r="E20" s="881"/>
      <c r="F20" s="880"/>
      <c r="G20" s="881"/>
      <c r="H20" s="885"/>
    </row>
    <row r="21" customFormat="false" ht="14.25" hidden="false" customHeight="true" outlineLevel="0" collapsed="false">
      <c r="A21" s="884"/>
      <c r="B21" s="884"/>
      <c r="C21" s="884"/>
      <c r="D21" s="880"/>
      <c r="E21" s="881"/>
      <c r="F21" s="880"/>
      <c r="G21" s="881"/>
      <c r="H21" s="885"/>
    </row>
    <row r="22" customFormat="false" ht="14.25" hidden="false" customHeight="true" outlineLevel="0" collapsed="false">
      <c r="A22" s="884"/>
      <c r="B22" s="884"/>
      <c r="C22" s="884"/>
      <c r="D22" s="880"/>
      <c r="E22" s="881"/>
      <c r="F22" s="880"/>
      <c r="G22" s="881"/>
      <c r="H22" s="885"/>
    </row>
    <row r="23" customFormat="false" ht="14.25" hidden="false" customHeight="true" outlineLevel="0" collapsed="false">
      <c r="A23" s="884"/>
      <c r="B23" s="884"/>
      <c r="C23" s="884"/>
      <c r="D23" s="880"/>
      <c r="E23" s="881"/>
      <c r="F23" s="880"/>
      <c r="G23" s="881"/>
      <c r="H23" s="885"/>
    </row>
    <row r="24" customFormat="false" ht="14.25" hidden="false" customHeight="true" outlineLevel="0" collapsed="false">
      <c r="A24" s="884"/>
      <c r="B24" s="884"/>
      <c r="C24" s="884"/>
      <c r="D24" s="880"/>
      <c r="E24" s="881"/>
      <c r="F24" s="880"/>
      <c r="G24" s="881"/>
      <c r="H24" s="885"/>
    </row>
    <row r="25" customFormat="false" ht="14.25" hidden="false" customHeight="true" outlineLevel="0" collapsed="false">
      <c r="A25" s="884"/>
      <c r="B25" s="884"/>
      <c r="C25" s="884"/>
      <c r="D25" s="880"/>
      <c r="E25" s="881"/>
      <c r="F25" s="880"/>
      <c r="G25" s="881"/>
      <c r="H25" s="885"/>
    </row>
    <row r="26" customFormat="false" ht="14.25" hidden="false" customHeight="true" outlineLevel="0" collapsed="false">
      <c r="A26" s="884"/>
      <c r="B26" s="884"/>
      <c r="C26" s="884"/>
      <c r="D26" s="880"/>
      <c r="E26" s="881"/>
      <c r="F26" s="880"/>
      <c r="G26" s="881"/>
      <c r="H26" s="885"/>
    </row>
    <row r="27" customFormat="false" ht="14.25" hidden="false" customHeight="true" outlineLevel="0" collapsed="false">
      <c r="A27" s="884"/>
      <c r="B27" s="884"/>
      <c r="C27" s="884"/>
      <c r="D27" s="880"/>
      <c r="E27" s="881"/>
      <c r="F27" s="880"/>
      <c r="G27" s="881"/>
      <c r="H27" s="885"/>
    </row>
    <row r="28" customFormat="false" ht="14.25" hidden="false" customHeight="true" outlineLevel="0" collapsed="false">
      <c r="A28" s="884"/>
      <c r="B28" s="884"/>
      <c r="C28" s="884"/>
      <c r="D28" s="880"/>
      <c r="E28" s="881"/>
      <c r="F28" s="880"/>
      <c r="G28" s="881"/>
      <c r="H28" s="885"/>
    </row>
    <row r="29" customFormat="false" ht="14.25" hidden="false" customHeight="true" outlineLevel="0" collapsed="false">
      <c r="A29" s="884"/>
      <c r="B29" s="884"/>
      <c r="C29" s="884"/>
      <c r="D29" s="880"/>
      <c r="E29" s="881"/>
      <c r="F29" s="880"/>
      <c r="G29" s="881"/>
      <c r="H29" s="885"/>
    </row>
    <row r="30" customFormat="false" ht="14.25" hidden="false" customHeight="true" outlineLevel="0" collapsed="false">
      <c r="A30" s="884"/>
      <c r="B30" s="884"/>
      <c r="C30" s="884"/>
      <c r="D30" s="880"/>
      <c r="E30" s="881"/>
      <c r="F30" s="880"/>
      <c r="G30" s="881"/>
      <c r="H30" s="885"/>
    </row>
    <row r="31" customFormat="false" ht="14.25" hidden="false" customHeight="true" outlineLevel="0" collapsed="false">
      <c r="A31" s="884"/>
      <c r="B31" s="884"/>
      <c r="C31" s="884"/>
      <c r="D31" s="880"/>
      <c r="E31" s="881"/>
      <c r="F31" s="880"/>
      <c r="G31" s="881"/>
      <c r="H31" s="885"/>
    </row>
    <row r="32" customFormat="false" ht="14.25" hidden="false" customHeight="true" outlineLevel="0" collapsed="false">
      <c r="A32" s="884"/>
      <c r="B32" s="884"/>
      <c r="C32" s="884"/>
      <c r="D32" s="880"/>
      <c r="E32" s="881"/>
      <c r="F32" s="880"/>
      <c r="G32" s="881"/>
      <c r="H32" s="885"/>
    </row>
    <row r="33" customFormat="false" ht="14.25" hidden="false" customHeight="true" outlineLevel="0" collapsed="false">
      <c r="A33" s="884"/>
      <c r="B33" s="884"/>
      <c r="C33" s="884"/>
      <c r="D33" s="880"/>
      <c r="E33" s="881"/>
      <c r="F33" s="880"/>
      <c r="G33" s="881"/>
      <c r="H33" s="885"/>
    </row>
    <row r="34" customFormat="false" ht="14.25" hidden="false" customHeight="true" outlineLevel="0" collapsed="false">
      <c r="A34" s="884"/>
      <c r="B34" s="884"/>
      <c r="C34" s="884"/>
      <c r="D34" s="880"/>
      <c r="E34" s="881"/>
      <c r="F34" s="880"/>
      <c r="G34" s="881"/>
      <c r="H34" s="885"/>
    </row>
  </sheetData>
  <mergeCells count="12">
    <mergeCell ref="A2:G2"/>
    <mergeCell ref="A4:B5"/>
    <mergeCell ref="C4:C5"/>
    <mergeCell ref="D4:D5"/>
    <mergeCell ref="E4:E5"/>
    <mergeCell ref="F4:F5"/>
    <mergeCell ref="G4:G5"/>
    <mergeCell ref="A6:B6"/>
    <mergeCell ref="A7:B7"/>
    <mergeCell ref="A8:B8"/>
    <mergeCell ref="A9:B9"/>
    <mergeCell ref="A16:B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14453125" defaultRowHeight="12.75" zeroHeight="false" outlineLevelRow="0" outlineLevelCol="0"/>
  <cols>
    <col collapsed="false" customWidth="true" hidden="false" outlineLevel="0" max="1" min="1" style="469" width="28.86"/>
    <col collapsed="false" customWidth="true" hidden="false" outlineLevel="0" max="2" min="2" style="469" width="14.14"/>
    <col collapsed="false" customWidth="true" hidden="false" outlineLevel="0" max="3" min="3" style="469" width="11.43"/>
    <col collapsed="false" customWidth="true" hidden="false" outlineLevel="0" max="4" min="4" style="469" width="11.57"/>
    <col collapsed="false" customWidth="true" hidden="false" outlineLevel="0" max="5" min="5" style="469" width="11.15"/>
    <col collapsed="false" customWidth="true" hidden="false" outlineLevel="0" max="6" min="6" style="469" width="10.86"/>
    <col collapsed="false" customWidth="true" hidden="false" outlineLevel="0" max="7" min="7" style="469" width="12.14"/>
    <col collapsed="false" customWidth="true" hidden="false" outlineLevel="0" max="8" min="8" style="469" width="11.86"/>
    <col collapsed="false" customWidth="true" hidden="false" outlineLevel="0" max="9" min="9" style="469" width="11.15"/>
    <col collapsed="false" customWidth="true" hidden="false" outlineLevel="0" max="10" min="10" style="469" width="12.86"/>
    <col collapsed="false" customWidth="true" hidden="false" outlineLevel="0" max="11" min="11" style="469" width="11.43"/>
    <col collapsed="false" customWidth="true" hidden="false" outlineLevel="0" max="12" min="12" style="469" width="12.14"/>
    <col collapsed="false" customWidth="true" hidden="false" outlineLevel="0" max="13" min="13" style="469" width="10.14"/>
    <col collapsed="false" customWidth="true" hidden="false" outlineLevel="0" max="14" min="14" style="469" width="9.86"/>
    <col collapsed="false" customWidth="false" hidden="false" outlineLevel="0" max="16384" min="15" style="469" width="9.14"/>
  </cols>
  <sheetData>
    <row r="1" s="23" customFormat="true" ht="21" hidden="false" customHeight="true" outlineLevel="0" collapsed="false">
      <c r="A1" s="54"/>
    </row>
    <row r="2" s="23" customFormat="true" ht="21" hidden="false" customHeight="true" outlineLevel="0" collapsed="false">
      <c r="A2" s="218"/>
      <c r="B2" s="218"/>
      <c r="C2" s="218"/>
      <c r="D2" s="218"/>
      <c r="E2" s="218" t="s">
        <v>563</v>
      </c>
      <c r="F2" s="218"/>
      <c r="G2" s="218"/>
      <c r="H2" s="218"/>
      <c r="I2" s="218"/>
      <c r="J2" s="218"/>
      <c r="K2" s="218"/>
    </row>
    <row r="3" customFormat="false" ht="12.75" hidden="false" customHeight="false" outlineLevel="0" collapsed="false">
      <c r="G3" s="886"/>
      <c r="H3" s="887"/>
      <c r="I3" s="887"/>
    </row>
    <row r="4" customFormat="false" ht="30.75" hidden="false" customHeight="true" outlineLevel="0" collapsed="false">
      <c r="A4" s="888" t="s">
        <v>1135</v>
      </c>
      <c r="B4" s="889" t="n">
        <f aca="false">DATE(YEAR(C4),MONTH(C4)-1,1)</f>
        <v>45017</v>
      </c>
      <c r="C4" s="889" t="n">
        <f aca="false">DATE(YEAR(D4),MONTH(D4)-1,1)</f>
        <v>45047</v>
      </c>
      <c r="D4" s="889" t="n">
        <f aca="false">DATE(YEAR(E4),MONTH(E4)-1,1)</f>
        <v>45078</v>
      </c>
      <c r="E4" s="889" t="n">
        <f aca="false">DATE(YEAR(F4),MONTH(F4)-1,1)</f>
        <v>45108</v>
      </c>
      <c r="F4" s="889" t="n">
        <f aca="false">DATE(YEAR(G4),MONTH(G4)-1,1)</f>
        <v>45139</v>
      </c>
      <c r="G4" s="889" t="n">
        <f aca="false">DATE(YEAR(H4),MONTH(H4)-1,1)</f>
        <v>45170</v>
      </c>
      <c r="H4" s="889" t="n">
        <f aca="false">DATE(YEAR(I4),MONTH(I4)-1,1)</f>
        <v>45200</v>
      </c>
      <c r="I4" s="889" t="n">
        <f aca="false">DATE(YEAR(J4),MONTH(J4)-1,1)</f>
        <v>45231</v>
      </c>
      <c r="J4" s="889" t="n">
        <f aca="false">DATE(YEAR(K4),MONTH(K4)-1,1)</f>
        <v>45261</v>
      </c>
      <c r="K4" s="889" t="n">
        <f aca="false">DATE(YEAR(L4),MONTH(L4)-1,1)</f>
        <v>45292</v>
      </c>
      <c r="L4" s="889" t="n">
        <f aca="false">DATE(YEAR(M4),MONTH(M4)-1,1)</f>
        <v>45323</v>
      </c>
      <c r="M4" s="889" t="n">
        <f aca="false">+Index!C4</f>
        <v>45382</v>
      </c>
      <c r="N4" s="890" t="s">
        <v>669</v>
      </c>
      <c r="O4" s="890"/>
      <c r="Q4" s="161" t="s">
        <v>628</v>
      </c>
    </row>
    <row r="5" s="893" customFormat="true" ht="16.5" hidden="false" customHeight="true" outlineLevel="0" collapsed="false">
      <c r="A5" s="342" t="s">
        <v>1136</v>
      </c>
      <c r="B5" s="344"/>
      <c r="C5" s="344"/>
      <c r="D5" s="344"/>
      <c r="E5" s="344"/>
      <c r="F5" s="344"/>
      <c r="G5" s="344"/>
      <c r="H5" s="344"/>
      <c r="I5" s="344"/>
      <c r="J5" s="344"/>
      <c r="K5" s="344"/>
      <c r="L5" s="344"/>
      <c r="M5" s="344"/>
      <c r="N5" s="891" t="n">
        <f aca="false">SUM(B5:M5)</f>
        <v>0</v>
      </c>
      <c r="O5" s="891"/>
      <c r="P5" s="892"/>
    </row>
    <row r="6" customFormat="false" ht="14.25" hidden="false" customHeight="true" outlineLevel="0" collapsed="false">
      <c r="A6" s="346" t="s">
        <v>1136</v>
      </c>
      <c r="B6" s="344"/>
      <c r="C6" s="344"/>
      <c r="D6" s="344"/>
      <c r="E6" s="344"/>
      <c r="F6" s="344"/>
      <c r="G6" s="344"/>
      <c r="H6" s="344"/>
      <c r="I6" s="344"/>
      <c r="J6" s="344"/>
      <c r="K6" s="344"/>
      <c r="L6" s="344"/>
      <c r="M6" s="344"/>
      <c r="N6" s="894" t="n">
        <f aca="false">SUM(B6:M6)</f>
        <v>0</v>
      </c>
      <c r="O6" s="894"/>
    </row>
    <row r="7" s="893" customFormat="true" ht="14.25" hidden="false" customHeight="true" outlineLevel="0" collapsed="false">
      <c r="A7" s="354" t="s">
        <v>1136</v>
      </c>
      <c r="B7" s="344"/>
      <c r="C7" s="344"/>
      <c r="D7" s="344"/>
      <c r="E7" s="344"/>
      <c r="F7" s="344"/>
      <c r="G7" s="344"/>
      <c r="H7" s="344"/>
      <c r="I7" s="344"/>
      <c r="J7" s="344"/>
      <c r="K7" s="344"/>
      <c r="L7" s="344"/>
      <c r="M7" s="344"/>
      <c r="N7" s="895" t="n">
        <f aca="false">SUM(B7:M7)</f>
        <v>0</v>
      </c>
      <c r="O7" s="895"/>
    </row>
    <row r="8" customFormat="false" ht="14.25" hidden="false" customHeight="true" outlineLevel="0" collapsed="false">
      <c r="A8" s="896" t="s">
        <v>1137</v>
      </c>
      <c r="B8" s="897" t="n">
        <f aca="false">SUM(B5:B7)</f>
        <v>0</v>
      </c>
      <c r="C8" s="897" t="n">
        <f aca="false">SUM(C5:C7)</f>
        <v>0</v>
      </c>
      <c r="D8" s="897" t="n">
        <f aca="false">SUM(D5:D7)</f>
        <v>0</v>
      </c>
      <c r="E8" s="897" t="n">
        <f aca="false">SUM(E5:E7)</f>
        <v>0</v>
      </c>
      <c r="F8" s="897" t="n">
        <f aca="false">SUM(F5:F7)</f>
        <v>0</v>
      </c>
      <c r="G8" s="897" t="n">
        <f aca="false">SUM(G5:G7)</f>
        <v>0</v>
      </c>
      <c r="H8" s="897" t="n">
        <f aca="false">SUM(H5:H7)</f>
        <v>0</v>
      </c>
      <c r="I8" s="897" t="n">
        <f aca="false">SUM(I5:I7)</f>
        <v>0</v>
      </c>
      <c r="J8" s="897" t="n">
        <f aca="false">SUM(J5:J7)</f>
        <v>0</v>
      </c>
      <c r="K8" s="897" t="n">
        <f aca="false">SUM(K5:K7)</f>
        <v>0</v>
      </c>
      <c r="L8" s="897" t="n">
        <f aca="false">SUM(L5:L7)</f>
        <v>0</v>
      </c>
      <c r="M8" s="897" t="n">
        <f aca="false">SUM(M5:M7)</f>
        <v>0</v>
      </c>
      <c r="N8" s="897" t="n">
        <f aca="false">SUM(B8:M8)</f>
        <v>0</v>
      </c>
      <c r="O8" s="897"/>
    </row>
    <row r="9" customFormat="false" ht="14.25" hidden="false" customHeight="true" outlineLevel="0" collapsed="false">
      <c r="A9" s="264"/>
      <c r="B9" s="264"/>
      <c r="C9" s="264"/>
      <c r="D9" s="264"/>
      <c r="E9" s="264"/>
      <c r="F9" s="264"/>
      <c r="G9" s="264"/>
      <c r="H9" s="264"/>
      <c r="I9" s="264"/>
      <c r="J9" s="264"/>
      <c r="K9" s="264"/>
      <c r="L9" s="264"/>
      <c r="M9" s="264"/>
      <c r="N9" s="376"/>
      <c r="O9" s="376"/>
    </row>
    <row r="10" s="893" customFormat="true" ht="14.25" hidden="false" customHeight="true" outlineLevel="0" collapsed="false">
      <c r="A10" s="603" t="s">
        <v>1138</v>
      </c>
      <c r="B10" s="898" t="n">
        <f aca="false">DATE(YEAR(C10),MONTH(C10)-1,1)</f>
        <v>45017</v>
      </c>
      <c r="C10" s="898" t="n">
        <f aca="false">DATE(YEAR(D10),MONTH(D10)-1,1)</f>
        <v>45047</v>
      </c>
      <c r="D10" s="898" t="n">
        <f aca="false">DATE(YEAR(E10),MONTH(E10)-1,1)</f>
        <v>45078</v>
      </c>
      <c r="E10" s="898" t="n">
        <f aca="false">DATE(YEAR(F10),MONTH(F10)-1,1)</f>
        <v>45108</v>
      </c>
      <c r="F10" s="898" t="n">
        <f aca="false">DATE(YEAR(G10),MONTH(G10)-1,1)</f>
        <v>45139</v>
      </c>
      <c r="G10" s="898" t="n">
        <f aca="false">DATE(YEAR(H10),MONTH(H10)-1,1)</f>
        <v>45170</v>
      </c>
      <c r="H10" s="898" t="n">
        <f aca="false">DATE(YEAR(I10),MONTH(I10)-1,1)</f>
        <v>45200</v>
      </c>
      <c r="I10" s="898" t="n">
        <f aca="false">DATE(YEAR(J10),MONTH(J10)-1,1)</f>
        <v>45231</v>
      </c>
      <c r="J10" s="898" t="n">
        <f aca="false">DATE(YEAR(K10),MONTH(K10)-1,1)</f>
        <v>45261</v>
      </c>
      <c r="K10" s="898" t="n">
        <f aca="false">DATE(YEAR(L10),MONTH(L10)-1,1)</f>
        <v>45292</v>
      </c>
      <c r="L10" s="898" t="n">
        <f aca="false">DATE(YEAR(M10),MONTH(M10)-1,1)</f>
        <v>45323</v>
      </c>
      <c r="M10" s="898" t="n">
        <f aca="false">M4</f>
        <v>45382</v>
      </c>
      <c r="N10" s="339" t="s">
        <v>669</v>
      </c>
      <c r="O10" s="339"/>
    </row>
    <row r="11" customFormat="false" ht="14.25" hidden="false" customHeight="true" outlineLevel="0" collapsed="false">
      <c r="A11" s="899" t="s">
        <v>1139</v>
      </c>
      <c r="B11" s="344"/>
      <c r="C11" s="344"/>
      <c r="D11" s="344"/>
      <c r="E11" s="344"/>
      <c r="F11" s="344"/>
      <c r="G11" s="344"/>
      <c r="H11" s="344"/>
      <c r="I11" s="344"/>
      <c r="J11" s="344"/>
      <c r="K11" s="344"/>
      <c r="L11" s="344"/>
      <c r="M11" s="344"/>
      <c r="N11" s="891" t="n">
        <f aca="false">SUM(B11:M11)</f>
        <v>0</v>
      </c>
      <c r="O11" s="891"/>
    </row>
    <row r="12" customFormat="false" ht="14.25" hidden="false" customHeight="true" outlineLevel="0" collapsed="false">
      <c r="A12" s="346" t="s">
        <v>1140</v>
      </c>
      <c r="B12" s="344"/>
      <c r="C12" s="344"/>
      <c r="D12" s="344"/>
      <c r="E12" s="344"/>
      <c r="F12" s="344"/>
      <c r="G12" s="344"/>
      <c r="H12" s="344"/>
      <c r="I12" s="344"/>
      <c r="J12" s="344"/>
      <c r="K12" s="344"/>
      <c r="L12" s="344"/>
      <c r="M12" s="344"/>
      <c r="N12" s="894" t="n">
        <f aca="false">SUM(B12:M12)</f>
        <v>0</v>
      </c>
      <c r="O12" s="894"/>
    </row>
    <row r="13" customFormat="false" ht="14.25" hidden="false" customHeight="true" outlineLevel="0" collapsed="false">
      <c r="A13" s="346" t="s">
        <v>1141</v>
      </c>
      <c r="B13" s="344"/>
      <c r="C13" s="344"/>
      <c r="D13" s="344"/>
      <c r="E13" s="344"/>
      <c r="F13" s="344"/>
      <c r="G13" s="344"/>
      <c r="H13" s="344"/>
      <c r="I13" s="344"/>
      <c r="J13" s="344"/>
      <c r="K13" s="344"/>
      <c r="L13" s="344"/>
      <c r="M13" s="344"/>
      <c r="N13" s="894" t="n">
        <f aca="false">SUM(B13:M13)</f>
        <v>0</v>
      </c>
      <c r="O13" s="894"/>
    </row>
    <row r="14" customFormat="false" ht="14.25" hidden="false" customHeight="true" outlineLevel="0" collapsed="false">
      <c r="A14" s="346" t="s">
        <v>1142</v>
      </c>
      <c r="B14" s="344"/>
      <c r="C14" s="344"/>
      <c r="D14" s="344"/>
      <c r="E14" s="344"/>
      <c r="F14" s="344"/>
      <c r="G14" s="344"/>
      <c r="H14" s="344"/>
      <c r="I14" s="344"/>
      <c r="J14" s="344"/>
      <c r="K14" s="344"/>
      <c r="L14" s="344"/>
      <c r="M14" s="344"/>
      <c r="N14" s="894" t="n">
        <f aca="false">SUM(B14:M14)</f>
        <v>0</v>
      </c>
      <c r="O14" s="894"/>
    </row>
    <row r="15" customFormat="false" ht="14.25" hidden="false" customHeight="true" outlineLevel="0" collapsed="false">
      <c r="A15" s="346" t="s">
        <v>75</v>
      </c>
      <c r="B15" s="344"/>
      <c r="C15" s="344"/>
      <c r="D15" s="344"/>
      <c r="E15" s="344"/>
      <c r="F15" s="344"/>
      <c r="G15" s="344"/>
      <c r="H15" s="344"/>
      <c r="I15" s="344"/>
      <c r="J15" s="344"/>
      <c r="K15" s="344"/>
      <c r="L15" s="344"/>
      <c r="M15" s="344"/>
      <c r="N15" s="894" t="n">
        <f aca="false">SUM(B15:M15)</f>
        <v>0</v>
      </c>
      <c r="O15" s="894"/>
    </row>
    <row r="16" customFormat="false" ht="14.25" hidden="false" customHeight="true" outlineLevel="0" collapsed="false">
      <c r="A16" s="346" t="s">
        <v>1143</v>
      </c>
      <c r="B16" s="344"/>
      <c r="C16" s="344"/>
      <c r="D16" s="344"/>
      <c r="E16" s="344"/>
      <c r="F16" s="344"/>
      <c r="G16" s="344"/>
      <c r="H16" s="344"/>
      <c r="I16" s="344"/>
      <c r="J16" s="344"/>
      <c r="K16" s="344"/>
      <c r="L16" s="344"/>
      <c r="M16" s="344"/>
      <c r="N16" s="894" t="n">
        <f aca="false">SUM(B16:M16)</f>
        <v>0</v>
      </c>
      <c r="O16" s="894"/>
    </row>
    <row r="17" customFormat="false" ht="14.25" hidden="false" customHeight="true" outlineLevel="0" collapsed="false">
      <c r="A17" s="346" t="s">
        <v>97</v>
      </c>
      <c r="B17" s="344"/>
      <c r="C17" s="344"/>
      <c r="D17" s="344"/>
      <c r="E17" s="344"/>
      <c r="F17" s="344"/>
      <c r="G17" s="344"/>
      <c r="H17" s="344"/>
      <c r="I17" s="344"/>
      <c r="J17" s="344"/>
      <c r="K17" s="344"/>
      <c r="L17" s="344"/>
      <c r="M17" s="344"/>
      <c r="N17" s="894" t="n">
        <f aca="false">SUM(B17:M17)</f>
        <v>0</v>
      </c>
      <c r="O17" s="894"/>
    </row>
    <row r="18" customFormat="false" ht="14.25" hidden="false" customHeight="true" outlineLevel="0" collapsed="false">
      <c r="A18" s="346" t="s">
        <v>1144</v>
      </c>
      <c r="B18" s="344"/>
      <c r="C18" s="344"/>
      <c r="D18" s="344"/>
      <c r="E18" s="344"/>
      <c r="F18" s="344"/>
      <c r="G18" s="344"/>
      <c r="H18" s="344"/>
      <c r="I18" s="344"/>
      <c r="J18" s="344"/>
      <c r="K18" s="344"/>
      <c r="L18" s="344"/>
      <c r="M18" s="344"/>
      <c r="N18" s="894" t="n">
        <f aca="false">SUM(B18:M18)</f>
        <v>0</v>
      </c>
      <c r="O18" s="894"/>
    </row>
    <row r="19" customFormat="false" ht="14.25" hidden="false" customHeight="true" outlineLevel="0" collapsed="false">
      <c r="A19" s="346" t="s">
        <v>1145</v>
      </c>
      <c r="B19" s="344"/>
      <c r="C19" s="344"/>
      <c r="D19" s="344"/>
      <c r="E19" s="344"/>
      <c r="F19" s="344"/>
      <c r="G19" s="344"/>
      <c r="H19" s="344"/>
      <c r="I19" s="344"/>
      <c r="J19" s="344"/>
      <c r="K19" s="344"/>
      <c r="L19" s="344"/>
      <c r="M19" s="344"/>
      <c r="N19" s="894" t="n">
        <f aca="false">SUM(B19:M19)</f>
        <v>0</v>
      </c>
      <c r="O19" s="894"/>
    </row>
    <row r="20" customFormat="false" ht="14.25" hidden="false" customHeight="true" outlineLevel="0" collapsed="false">
      <c r="A20" s="346" t="s">
        <v>122</v>
      </c>
      <c r="B20" s="344"/>
      <c r="C20" s="344"/>
      <c r="D20" s="344"/>
      <c r="E20" s="344"/>
      <c r="F20" s="344"/>
      <c r="G20" s="344"/>
      <c r="H20" s="344"/>
      <c r="I20" s="344"/>
      <c r="J20" s="344"/>
      <c r="K20" s="344"/>
      <c r="L20" s="344"/>
      <c r="M20" s="344"/>
      <c r="N20" s="894" t="n">
        <f aca="false">SUM(B20:M20)</f>
        <v>0</v>
      </c>
      <c r="O20" s="894"/>
    </row>
    <row r="21" customFormat="false" ht="14.25" hidden="false" customHeight="true" outlineLevel="0" collapsed="false">
      <c r="A21" s="346" t="s">
        <v>1146</v>
      </c>
      <c r="B21" s="344"/>
      <c r="C21" s="344"/>
      <c r="D21" s="344"/>
      <c r="E21" s="344"/>
      <c r="F21" s="344"/>
      <c r="G21" s="344"/>
      <c r="H21" s="344"/>
      <c r="I21" s="344"/>
      <c r="J21" s="344"/>
      <c r="K21" s="344"/>
      <c r="L21" s="344"/>
      <c r="M21" s="344"/>
      <c r="N21" s="894" t="n">
        <f aca="false">SUM(B21:M21)</f>
        <v>0</v>
      </c>
      <c r="O21" s="894"/>
    </row>
    <row r="22" customFormat="false" ht="14.25" hidden="false" customHeight="true" outlineLevel="0" collapsed="false">
      <c r="A22" s="346" t="s">
        <v>1147</v>
      </c>
      <c r="B22" s="344"/>
      <c r="C22" s="344"/>
      <c r="D22" s="344"/>
      <c r="E22" s="344"/>
      <c r="F22" s="344"/>
      <c r="G22" s="344"/>
      <c r="H22" s="344"/>
      <c r="I22" s="344"/>
      <c r="J22" s="344"/>
      <c r="K22" s="344"/>
      <c r="L22" s="344"/>
      <c r="M22" s="344"/>
      <c r="N22" s="894" t="n">
        <f aca="false">SUM(B22:M22)</f>
        <v>0</v>
      </c>
      <c r="O22" s="894"/>
    </row>
    <row r="23" customFormat="false" ht="14.25" hidden="false" customHeight="true" outlineLevel="0" collapsed="false">
      <c r="A23" s="353" t="s">
        <v>408</v>
      </c>
      <c r="B23" s="344"/>
      <c r="C23" s="344"/>
      <c r="D23" s="344"/>
      <c r="E23" s="344"/>
      <c r="F23" s="344"/>
      <c r="G23" s="344"/>
      <c r="H23" s="344"/>
      <c r="I23" s="344"/>
      <c r="J23" s="344"/>
      <c r="K23" s="344"/>
      <c r="L23" s="344"/>
      <c r="M23" s="344"/>
      <c r="N23" s="894" t="n">
        <f aca="false">SUM(B23:M23)</f>
        <v>0</v>
      </c>
      <c r="O23" s="894"/>
    </row>
    <row r="24" customFormat="false" ht="14.25" hidden="false" customHeight="true" outlineLevel="0" collapsed="false">
      <c r="A24" s="353" t="s">
        <v>408</v>
      </c>
      <c r="B24" s="344"/>
      <c r="C24" s="344"/>
      <c r="D24" s="344"/>
      <c r="E24" s="344"/>
      <c r="F24" s="344"/>
      <c r="G24" s="344"/>
      <c r="H24" s="344"/>
      <c r="I24" s="344"/>
      <c r="J24" s="344"/>
      <c r="K24" s="344"/>
      <c r="L24" s="344"/>
      <c r="M24" s="344"/>
      <c r="N24" s="894" t="n">
        <f aca="false">SUM(B24:M24)</f>
        <v>0</v>
      </c>
      <c r="O24" s="894"/>
    </row>
    <row r="25" customFormat="false" ht="14.25" hidden="false" customHeight="true" outlineLevel="0" collapsed="false">
      <c r="A25" s="353" t="s">
        <v>408</v>
      </c>
      <c r="B25" s="344"/>
      <c r="C25" s="344"/>
      <c r="D25" s="344"/>
      <c r="E25" s="344"/>
      <c r="F25" s="344"/>
      <c r="G25" s="344"/>
      <c r="H25" s="344"/>
      <c r="I25" s="344"/>
      <c r="J25" s="344"/>
      <c r="K25" s="344"/>
      <c r="L25" s="344"/>
      <c r="M25" s="344"/>
      <c r="N25" s="894" t="n">
        <f aca="false">SUM(B25:M25)</f>
        <v>0</v>
      </c>
      <c r="O25" s="894"/>
    </row>
    <row r="26" customFormat="false" ht="14.25" hidden="false" customHeight="true" outlineLevel="0" collapsed="false">
      <c r="A26" s="353" t="s">
        <v>408</v>
      </c>
      <c r="B26" s="344"/>
      <c r="C26" s="344"/>
      <c r="D26" s="344"/>
      <c r="E26" s="344"/>
      <c r="F26" s="344"/>
      <c r="G26" s="344"/>
      <c r="H26" s="344"/>
      <c r="I26" s="344"/>
      <c r="J26" s="344"/>
      <c r="K26" s="344"/>
      <c r="L26" s="344"/>
      <c r="M26" s="344"/>
      <c r="N26" s="894" t="n">
        <f aca="false">SUM(B26:M26)</f>
        <v>0</v>
      </c>
      <c r="O26" s="894"/>
    </row>
    <row r="27" customFormat="false" ht="14.25" hidden="false" customHeight="true" outlineLevel="0" collapsed="false">
      <c r="A27" s="368" t="s">
        <v>408</v>
      </c>
      <c r="B27" s="344"/>
      <c r="C27" s="344"/>
      <c r="D27" s="344"/>
      <c r="E27" s="344"/>
      <c r="F27" s="344"/>
      <c r="G27" s="344"/>
      <c r="H27" s="344"/>
      <c r="I27" s="344"/>
      <c r="J27" s="344"/>
      <c r="K27" s="344"/>
      <c r="L27" s="344"/>
      <c r="M27" s="344"/>
      <c r="N27" s="895" t="n">
        <f aca="false">SUM(B27:M27)</f>
        <v>0</v>
      </c>
      <c r="O27" s="895"/>
    </row>
    <row r="28" customFormat="false" ht="14.25" hidden="false" customHeight="true" outlineLevel="0" collapsed="false">
      <c r="A28" s="896" t="s">
        <v>1148</v>
      </c>
      <c r="B28" s="897" t="n">
        <f aca="false">SUM(B11:B27)</f>
        <v>0</v>
      </c>
      <c r="C28" s="897" t="n">
        <f aca="false">SUM(C11:C27)</f>
        <v>0</v>
      </c>
      <c r="D28" s="897" t="n">
        <f aca="false">SUM(D11:D27)</f>
        <v>0</v>
      </c>
      <c r="E28" s="897" t="n">
        <f aca="false">SUM(E11:E27)</f>
        <v>0</v>
      </c>
      <c r="F28" s="897" t="n">
        <f aca="false">SUM(F11:F27)</f>
        <v>0</v>
      </c>
      <c r="G28" s="897" t="n">
        <f aca="false">SUM(G11:G27)</f>
        <v>0</v>
      </c>
      <c r="H28" s="897" t="n">
        <f aca="false">SUM(H11:H27)</f>
        <v>0</v>
      </c>
      <c r="I28" s="897" t="n">
        <f aca="false">SUM(I11:I27)</f>
        <v>0</v>
      </c>
      <c r="J28" s="897" t="n">
        <f aca="false">SUM(J11:J27)</f>
        <v>0</v>
      </c>
      <c r="K28" s="897" t="n">
        <f aca="false">SUM(K11:K27)</f>
        <v>0</v>
      </c>
      <c r="L28" s="897" t="n">
        <f aca="false">SUM(L11:L27)</f>
        <v>0</v>
      </c>
      <c r="M28" s="897" t="n">
        <f aca="false">SUM(M11:M27)</f>
        <v>0</v>
      </c>
      <c r="N28" s="897" t="n">
        <f aca="false">SUM(B28:M28)</f>
        <v>0</v>
      </c>
      <c r="O28" s="897"/>
    </row>
    <row r="29" s="893" customFormat="true" ht="14.25" hidden="false" customHeight="true" outlineLevel="0" collapsed="false">
      <c r="A29" s="264"/>
      <c r="B29" s="264"/>
      <c r="C29" s="264"/>
      <c r="D29" s="264"/>
      <c r="E29" s="264"/>
      <c r="F29" s="264"/>
      <c r="G29" s="264"/>
      <c r="H29" s="264"/>
      <c r="I29" s="264"/>
      <c r="J29" s="264"/>
      <c r="K29" s="264"/>
      <c r="L29" s="264"/>
      <c r="M29" s="264"/>
      <c r="N29" s="376"/>
      <c r="O29" s="376"/>
    </row>
    <row r="30" customFormat="false" ht="14.25" hidden="false" customHeight="true" outlineLevel="0" collapsed="false">
      <c r="A30" s="264" t="s">
        <v>1149</v>
      </c>
      <c r="B30" s="900" t="n">
        <f aca="false">B8-B28</f>
        <v>0</v>
      </c>
      <c r="C30" s="900" t="n">
        <f aca="false">C8-C28</f>
        <v>0</v>
      </c>
      <c r="D30" s="900" t="n">
        <f aca="false">D8-D28</f>
        <v>0</v>
      </c>
      <c r="E30" s="900" t="n">
        <f aca="false">E8-E28</f>
        <v>0</v>
      </c>
      <c r="F30" s="900" t="n">
        <f aca="false">F8-F28</f>
        <v>0</v>
      </c>
      <c r="G30" s="900" t="n">
        <f aca="false">G8-G28</f>
        <v>0</v>
      </c>
      <c r="H30" s="900" t="n">
        <f aca="false">H8-H28</f>
        <v>0</v>
      </c>
      <c r="I30" s="900" t="n">
        <f aca="false">I8-I28</f>
        <v>0</v>
      </c>
      <c r="J30" s="900" t="n">
        <f aca="false">J8-J28</f>
        <v>0</v>
      </c>
      <c r="K30" s="900" t="n">
        <f aca="false">K8-K28</f>
        <v>0</v>
      </c>
      <c r="L30" s="900" t="n">
        <f aca="false">L8-L28</f>
        <v>0</v>
      </c>
      <c r="M30" s="900" t="n">
        <f aca="false">M8-M28</f>
        <v>0</v>
      </c>
      <c r="N30" s="901" t="n">
        <f aca="false">N8-N28</f>
        <v>0</v>
      </c>
      <c r="O30" s="901"/>
    </row>
    <row r="31" customFormat="false" ht="14.25" hidden="false" customHeight="true" outlineLevel="0" collapsed="false">
      <c r="B31" s="902"/>
      <c r="C31" s="902"/>
      <c r="D31" s="902"/>
      <c r="E31" s="902"/>
      <c r="F31" s="902"/>
      <c r="G31" s="902"/>
      <c r="H31" s="902"/>
      <c r="I31" s="902"/>
      <c r="J31" s="902"/>
      <c r="K31" s="903"/>
    </row>
  </sheetData>
  <mergeCells count="27">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9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43"/>
  <sheetViews>
    <sheetView showFormulas="false" showGridLines="false" showRowColHeaders="true" showZeros="true" rightToLeft="false" tabSelected="false" showOutlineSymbols="true" defaultGridColor="true" view="normal" topLeftCell="A12" colorId="64" zoomScale="100" zoomScaleNormal="100" zoomScalePageLayoutView="100" workbookViewId="0">
      <selection pane="topLeft" activeCell="A7" activeCellId="0" sqref="A7"/>
    </sheetView>
  </sheetViews>
  <sheetFormatPr defaultColWidth="9.14453125" defaultRowHeight="12.75" zeroHeight="false" outlineLevelRow="0" outlineLevelCol="0"/>
  <cols>
    <col collapsed="false" customWidth="true" hidden="false" outlineLevel="0" max="2" min="1" style="469" width="18.14"/>
    <col collapsed="false" customWidth="true" hidden="false" outlineLevel="0" max="3" min="3" style="469" width="13.43"/>
    <col collapsed="false" customWidth="true" hidden="false" outlineLevel="0" max="5" min="4" style="469" width="14.57"/>
    <col collapsed="false" customWidth="true" hidden="false" outlineLevel="0" max="6" min="6" style="469" width="13.14"/>
    <col collapsed="false" customWidth="true" hidden="false" outlineLevel="0" max="7" min="7" style="469" width="12.86"/>
    <col collapsed="false" customWidth="true" hidden="false" outlineLevel="0" max="8" min="8" style="469" width="9.86"/>
    <col collapsed="false" customWidth="false" hidden="false" outlineLevel="0" max="16384" min="9" style="469" width="9.14"/>
  </cols>
  <sheetData>
    <row r="1" s="23" customFormat="true" ht="12.75" hidden="false" customHeight="true" outlineLevel="0" collapsed="false">
      <c r="A1" s="54"/>
      <c r="B1" s="54"/>
    </row>
    <row r="2" s="23" customFormat="true" ht="20.25" hidden="false" customHeight="true" outlineLevel="0" collapsed="false">
      <c r="A2" s="24" t="s">
        <v>565</v>
      </c>
      <c r="B2" s="24"/>
      <c r="C2" s="24"/>
      <c r="D2" s="24"/>
      <c r="E2" s="24"/>
      <c r="F2" s="24"/>
    </row>
    <row r="4" customFormat="false" ht="14.25" hidden="false" customHeight="true" outlineLevel="0" collapsed="false">
      <c r="A4" s="898" t="s">
        <v>835</v>
      </c>
      <c r="B4" s="898" t="s">
        <v>1150</v>
      </c>
      <c r="C4" s="898" t="s">
        <v>1151</v>
      </c>
      <c r="D4" s="264"/>
      <c r="E4" s="904"/>
      <c r="F4" s="264"/>
      <c r="G4" s="904"/>
      <c r="H4" s="161" t="s">
        <v>628</v>
      </c>
    </row>
    <row r="5" customFormat="false" ht="15" hidden="false" customHeight="true" outlineLevel="0" collapsed="false">
      <c r="A5" s="905" t="n">
        <f aca="true">IFERROR(INDIRECT("'GRC'!B10"),0)</f>
        <v>45046</v>
      </c>
      <c r="B5" s="906" t="n">
        <f aca="true">IFERROR(INDIRECT("'GRC'!C10"),0)</f>
        <v>0</v>
      </c>
      <c r="C5" s="907"/>
      <c r="D5" s="264"/>
      <c r="E5" s="264"/>
      <c r="F5" s="908"/>
      <c r="G5" s="264"/>
    </row>
    <row r="6" customFormat="false" ht="14.25" hidden="false" customHeight="true" outlineLevel="0" collapsed="false">
      <c r="A6" s="909" t="n">
        <f aca="true">IFERROR(INDIRECT("'GRC'!B11"),0)</f>
        <v>45077</v>
      </c>
      <c r="B6" s="910" t="n">
        <f aca="true">IFERROR(INDIRECT("'GRC'!C11"),0)</f>
        <v>0</v>
      </c>
      <c r="C6" s="911"/>
      <c r="D6" s="264"/>
      <c r="E6" s="264"/>
      <c r="F6" s="264"/>
      <c r="G6" s="264"/>
    </row>
    <row r="7" customFormat="false" ht="14.25" hidden="false" customHeight="true" outlineLevel="0" collapsed="false">
      <c r="A7" s="909" t="n">
        <f aca="true">IFERROR(INDIRECT("'GRC'!B12"),0)</f>
        <v>45107</v>
      </c>
      <c r="B7" s="910" t="n">
        <f aca="true">IFERROR(INDIRECT("'GRC'!C12"),0)</f>
        <v>0</v>
      </c>
      <c r="C7" s="911"/>
      <c r="D7" s="264"/>
      <c r="E7" s="264"/>
      <c r="F7" s="264"/>
      <c r="G7" s="264"/>
    </row>
    <row r="8" customFormat="false" ht="14.25" hidden="false" customHeight="true" outlineLevel="0" collapsed="false">
      <c r="A8" s="909" t="n">
        <f aca="true">IFERROR(INDIRECT("'GRC'!B13"),0)</f>
        <v>45138</v>
      </c>
      <c r="B8" s="910" t="n">
        <f aca="true">IFERROR(INDIRECT("'GRC'!C13"),0)</f>
        <v>0</v>
      </c>
      <c r="C8" s="911"/>
      <c r="D8" s="264"/>
      <c r="E8" s="264"/>
      <c r="F8" s="264"/>
      <c r="G8" s="264"/>
    </row>
    <row r="9" customFormat="false" ht="14.25" hidden="false" customHeight="true" outlineLevel="0" collapsed="false">
      <c r="A9" s="909" t="n">
        <f aca="true">IFERROR(INDIRECT("'GRC'!B14"),0)</f>
        <v>45169</v>
      </c>
      <c r="B9" s="910" t="n">
        <f aca="true">IFERROR(INDIRECT("'GRC'!C14"),0)</f>
        <v>0</v>
      </c>
      <c r="C9" s="911"/>
      <c r="D9" s="264"/>
      <c r="E9" s="264"/>
      <c r="F9" s="264"/>
      <c r="G9" s="264"/>
    </row>
    <row r="10" customFormat="false" ht="14.25" hidden="false" customHeight="true" outlineLevel="0" collapsed="false">
      <c r="A10" s="909" t="n">
        <f aca="true">IFERROR(INDIRECT("'GRC'!B15"),0)</f>
        <v>45199</v>
      </c>
      <c r="B10" s="910" t="n">
        <f aca="true">IFERROR(INDIRECT("'GRC'!C15"),0)</f>
        <v>0</v>
      </c>
      <c r="C10" s="911"/>
      <c r="D10" s="264"/>
      <c r="E10" s="264"/>
      <c r="F10" s="264"/>
      <c r="G10" s="264"/>
    </row>
    <row r="11" customFormat="false" ht="14.25" hidden="false" customHeight="true" outlineLevel="0" collapsed="false">
      <c r="A11" s="909" t="n">
        <f aca="true">IFERROR(INDIRECT("'GRC'!B16"),0)</f>
        <v>45230</v>
      </c>
      <c r="B11" s="910" t="n">
        <f aca="true">IFERROR(INDIRECT("'GRC'!C16"),0)</f>
        <v>0</v>
      </c>
      <c r="C11" s="911"/>
      <c r="D11" s="264"/>
      <c r="E11" s="264"/>
      <c r="F11" s="264"/>
      <c r="G11" s="264"/>
    </row>
    <row r="12" customFormat="false" ht="14.25" hidden="false" customHeight="true" outlineLevel="0" collapsed="false">
      <c r="A12" s="909" t="n">
        <f aca="true">IFERROR(INDIRECT("'GRC'!B17"),0)</f>
        <v>45260</v>
      </c>
      <c r="B12" s="910" t="n">
        <f aca="true">IFERROR(INDIRECT("'GRC'!C17"),0)</f>
        <v>0</v>
      </c>
      <c r="C12" s="911"/>
      <c r="D12" s="264"/>
      <c r="E12" s="264"/>
      <c r="F12" s="264"/>
      <c r="G12" s="264"/>
    </row>
    <row r="13" customFormat="false" ht="14.25" hidden="false" customHeight="true" outlineLevel="0" collapsed="false">
      <c r="A13" s="909" t="n">
        <f aca="true">IFERROR(INDIRECT("'GRC'!B18"),0)</f>
        <v>45291</v>
      </c>
      <c r="B13" s="910" t="n">
        <f aca="true">IFERROR(INDIRECT("'GRC'!C18"),0)</f>
        <v>0</v>
      </c>
      <c r="C13" s="911"/>
      <c r="D13" s="264"/>
      <c r="E13" s="264"/>
      <c r="F13" s="264"/>
      <c r="G13" s="264"/>
    </row>
    <row r="14" customFormat="false" ht="14.25" hidden="false" customHeight="true" outlineLevel="0" collapsed="false">
      <c r="A14" s="909" t="n">
        <f aca="true">IFERROR(INDIRECT("'GRC'!B19"),0)</f>
        <v>45322</v>
      </c>
      <c r="B14" s="910" t="n">
        <f aca="true">IFERROR(INDIRECT("'GRC'!C19"),0)</f>
        <v>0</v>
      </c>
      <c r="C14" s="911"/>
      <c r="D14" s="264"/>
      <c r="E14" s="264"/>
      <c r="F14" s="264"/>
      <c r="G14" s="264"/>
    </row>
    <row r="15" customFormat="false" ht="14.25" hidden="false" customHeight="true" outlineLevel="0" collapsed="false">
      <c r="A15" s="909" t="n">
        <f aca="true">IFERROR(INDIRECT("'GRC'!B20"),0)</f>
        <v>45351</v>
      </c>
      <c r="B15" s="910" t="n">
        <f aca="true">IFERROR(INDIRECT("'GRC'!C20"),0)</f>
        <v>0</v>
      </c>
      <c r="C15" s="911"/>
      <c r="D15" s="264"/>
      <c r="E15" s="264"/>
      <c r="F15" s="264"/>
      <c r="G15" s="264"/>
    </row>
    <row r="16" customFormat="false" ht="14.25" hidden="false" customHeight="true" outlineLevel="0" collapsed="false">
      <c r="A16" s="912" t="n">
        <f aca="true">IFERROR(INDIRECT("'GRC'!B21"),0)</f>
        <v>45382</v>
      </c>
      <c r="B16" s="913" t="n">
        <f aca="true">IFERROR(INDIRECT("'GRC'!C21"),0)</f>
        <v>0</v>
      </c>
      <c r="C16" s="914"/>
      <c r="D16" s="264"/>
      <c r="E16" s="264"/>
      <c r="F16" s="264"/>
      <c r="G16" s="264"/>
    </row>
    <row r="17" customFormat="false" ht="15" hidden="false" customHeight="true" outlineLevel="0" collapsed="false">
      <c r="A17" s="264"/>
      <c r="B17" s="264"/>
      <c r="C17" s="264"/>
      <c r="D17" s="264"/>
      <c r="E17" s="264"/>
      <c r="F17" s="264"/>
      <c r="G17" s="264"/>
    </row>
    <row r="18" customFormat="false" ht="14.25" hidden="false" customHeight="true" outlineLevel="0" collapsed="false">
      <c r="A18" s="915" t="s">
        <v>669</v>
      </c>
      <c r="B18" s="916" t="n">
        <f aca="false">+SUM(B5:B16)</f>
        <v>0</v>
      </c>
      <c r="C18" s="917" t="n">
        <f aca="false">+SUM(C5:C16)</f>
        <v>0</v>
      </c>
      <c r="D18" s="918"/>
      <c r="E18" s="264"/>
      <c r="F18" s="264"/>
      <c r="G18" s="264"/>
    </row>
    <row r="20" customFormat="false" ht="15" hidden="false" customHeight="true" outlineLevel="0" collapsed="false">
      <c r="A20" s="919" t="s">
        <v>1152</v>
      </c>
      <c r="B20" s="919"/>
      <c r="C20" s="919"/>
      <c r="D20" s="919"/>
      <c r="E20" s="919"/>
      <c r="F20" s="919"/>
      <c r="G20" s="919"/>
    </row>
    <row r="21" customFormat="false" ht="14.25" hidden="false" customHeight="true" outlineLevel="0" collapsed="false">
      <c r="A21" s="264"/>
      <c r="B21" s="264"/>
      <c r="C21" s="264"/>
      <c r="D21" s="264"/>
      <c r="E21" s="264"/>
      <c r="F21" s="264"/>
      <c r="G21" s="920"/>
    </row>
    <row r="22" customFormat="false" ht="14.25" hidden="false" customHeight="true" outlineLevel="0" collapsed="false">
      <c r="A22" s="921" t="s">
        <v>1153</v>
      </c>
      <c r="B22" s="921"/>
      <c r="C22" s="921"/>
      <c r="D22" s="921"/>
      <c r="E22" s="921"/>
      <c r="F22" s="910" t="n">
        <f aca="false">B18+C18</f>
        <v>0</v>
      </c>
      <c r="G22" s="918"/>
    </row>
    <row r="23" customFormat="false" ht="14.25" hidden="false" customHeight="true" outlineLevel="0" collapsed="false">
      <c r="A23" s="922"/>
      <c r="B23" s="922"/>
      <c r="C23" s="922"/>
      <c r="D23" s="922"/>
      <c r="E23" s="922"/>
      <c r="F23" s="923"/>
      <c r="G23" s="264"/>
    </row>
    <row r="24" customFormat="false" ht="14.25" hidden="false" customHeight="true" outlineLevel="0" collapsed="false">
      <c r="A24" s="921" t="s">
        <v>1154</v>
      </c>
      <c r="B24" s="921"/>
      <c r="C24" s="921"/>
      <c r="D24" s="921"/>
      <c r="E24" s="921"/>
      <c r="F24" s="924" t="n">
        <f aca="false">ACR!H15</f>
        <v>0</v>
      </c>
      <c r="G24" s="918"/>
    </row>
    <row r="25" customFormat="false" ht="14.25" hidden="false" customHeight="true" outlineLevel="0" collapsed="false">
      <c r="A25" s="921" t="s">
        <v>1155</v>
      </c>
      <c r="B25" s="921"/>
      <c r="C25" s="921"/>
      <c r="D25" s="921"/>
      <c r="E25" s="921"/>
      <c r="F25" s="925" t="n">
        <f aca="false">IFERROR(-DSH!I18, 0)</f>
        <v>-0</v>
      </c>
      <c r="G25" s="918"/>
    </row>
    <row r="26" customFormat="false" ht="14.25" hidden="false" customHeight="true" outlineLevel="0" collapsed="false">
      <c r="A26" s="264"/>
      <c r="B26" s="264"/>
      <c r="C26" s="264"/>
      <c r="D26" s="264"/>
      <c r="E26" s="264"/>
      <c r="F26" s="119"/>
      <c r="G26" s="264"/>
    </row>
    <row r="27" customFormat="false" ht="14.25" hidden="false" customHeight="true" outlineLevel="0" collapsed="false">
      <c r="A27" s="264"/>
      <c r="B27" s="264"/>
      <c r="C27" s="264"/>
      <c r="D27" s="264"/>
      <c r="E27" s="264"/>
      <c r="F27" s="264"/>
      <c r="G27" s="926" t="n">
        <f aca="false">F22+F24-F25</f>
        <v>0</v>
      </c>
    </row>
    <row r="28" customFormat="false" ht="14.25" hidden="false" customHeight="true" outlineLevel="0" collapsed="false">
      <c r="A28" s="264"/>
      <c r="B28" s="264"/>
      <c r="C28" s="264"/>
      <c r="D28" s="264"/>
      <c r="E28" s="264"/>
      <c r="F28" s="264"/>
      <c r="G28" s="927"/>
    </row>
    <row r="29" customFormat="false" ht="14.25" hidden="false" customHeight="true" outlineLevel="0" collapsed="false">
      <c r="A29" s="921" t="s">
        <v>1156</v>
      </c>
      <c r="B29" s="921"/>
      <c r="C29" s="921"/>
      <c r="D29" s="921"/>
      <c r="E29" s="921"/>
      <c r="F29" s="910" t="n">
        <f aca="true">IFERROR(INDIRECT("GRC!rL1OutputTax"),0)+(F24*3/23)-(F25*3/23)</f>
        <v>0</v>
      </c>
      <c r="G29" s="918"/>
    </row>
    <row r="30" customFormat="false" ht="14.25" hidden="false" customHeight="true" outlineLevel="0" collapsed="false">
      <c r="A30" s="264"/>
      <c r="B30" s="264"/>
      <c r="C30" s="264"/>
      <c r="D30" s="264"/>
      <c r="E30" s="264"/>
      <c r="F30" s="119"/>
      <c r="G30" s="264"/>
    </row>
    <row r="31" customFormat="false" ht="14.25" hidden="false" customHeight="true" outlineLevel="0" collapsed="false">
      <c r="A31" s="264"/>
      <c r="B31" s="264"/>
      <c r="C31" s="264"/>
      <c r="D31" s="264"/>
      <c r="E31" s="264"/>
      <c r="F31" s="264"/>
      <c r="G31" s="926" t="n">
        <f aca="false">G27-F29</f>
        <v>0</v>
      </c>
    </row>
    <row r="32" customFormat="false" ht="14.25" hidden="false" customHeight="true" outlineLevel="0" collapsed="false">
      <c r="A32" s="264"/>
      <c r="B32" s="264"/>
      <c r="C32" s="264"/>
      <c r="D32" s="264"/>
      <c r="E32" s="264"/>
      <c r="F32" s="264"/>
      <c r="G32" s="927"/>
    </row>
    <row r="33" customFormat="false" ht="14.25" hidden="false" customHeight="true" outlineLevel="0" collapsed="false">
      <c r="A33" s="921" t="s">
        <v>1157</v>
      </c>
      <c r="B33" s="921"/>
      <c r="C33" s="921"/>
      <c r="D33" s="921"/>
      <c r="E33" s="921"/>
      <c r="F33" s="924" t="n">
        <f aca="false">FIA!F40</f>
        <v>0</v>
      </c>
      <c r="G33" s="918"/>
    </row>
    <row r="34" customFormat="false" ht="14.25" hidden="false" customHeight="true" outlineLevel="0" collapsed="false">
      <c r="A34" s="921" t="s">
        <v>1158</v>
      </c>
      <c r="B34" s="921"/>
      <c r="C34" s="921"/>
      <c r="D34" s="921"/>
      <c r="E34" s="921"/>
      <c r="F34" s="549"/>
      <c r="G34" s="918"/>
    </row>
    <row r="35" customFormat="false" ht="14.25" hidden="false" customHeight="true" outlineLevel="0" collapsed="false">
      <c r="A35" s="921" t="s">
        <v>1159</v>
      </c>
      <c r="B35" s="921"/>
      <c r="C35" s="921"/>
      <c r="D35" s="921"/>
      <c r="E35" s="921"/>
      <c r="F35" s="549"/>
      <c r="G35" s="918"/>
    </row>
    <row r="36" customFormat="false" ht="14.25" hidden="false" customHeight="true" outlineLevel="0" collapsed="false">
      <c r="A36" s="264"/>
      <c r="B36" s="264"/>
      <c r="C36" s="264"/>
      <c r="D36" s="264"/>
      <c r="E36" s="264"/>
      <c r="F36" s="119"/>
      <c r="G36" s="264"/>
    </row>
    <row r="37" customFormat="false" ht="14.25" hidden="false" customHeight="true" outlineLevel="0" collapsed="false">
      <c r="A37" s="264"/>
      <c r="B37" s="264"/>
      <c r="C37" s="264"/>
      <c r="D37" s="264"/>
      <c r="E37" s="928" t="s">
        <v>1137</v>
      </c>
      <c r="F37" s="928"/>
      <c r="G37" s="926" t="n">
        <f aca="false">G31-F33-F34-F35</f>
        <v>0</v>
      </c>
    </row>
    <row r="38" customFormat="false" ht="14.25" hidden="false" customHeight="true" outlineLevel="0" collapsed="false">
      <c r="A38" s="264"/>
      <c r="B38" s="264"/>
      <c r="C38" s="264"/>
      <c r="D38" s="264"/>
      <c r="E38" s="922"/>
      <c r="F38" s="929"/>
      <c r="G38" s="927"/>
    </row>
    <row r="39" customFormat="false" ht="14.25" hidden="false" customHeight="true" outlineLevel="0" collapsed="false">
      <c r="A39" s="264"/>
      <c r="B39" s="264"/>
      <c r="C39" s="264"/>
      <c r="D39" s="264"/>
      <c r="E39" s="921" t="s">
        <v>1160</v>
      </c>
      <c r="F39" s="921"/>
      <c r="G39" s="930" t="n">
        <f aca="false">-DSH!E81</f>
        <v>-0</v>
      </c>
    </row>
    <row r="40" customFormat="false" ht="14.25" hidden="false" customHeight="true" outlineLevel="0" collapsed="false">
      <c r="A40" s="264"/>
      <c r="B40" s="264"/>
      <c r="C40" s="264"/>
      <c r="D40" s="264"/>
      <c r="E40" s="922"/>
      <c r="F40" s="922"/>
      <c r="G40" s="923"/>
    </row>
    <row r="41" customFormat="false" ht="14.25" hidden="false" customHeight="true" outlineLevel="0" collapsed="false">
      <c r="A41" s="264"/>
      <c r="B41" s="264"/>
      <c r="C41" s="264"/>
      <c r="D41" s="264"/>
      <c r="E41" s="921" t="s">
        <v>1161</v>
      </c>
      <c r="F41" s="921"/>
      <c r="G41" s="931" t="n">
        <f aca="false">G37-G39</f>
        <v>0</v>
      </c>
    </row>
    <row r="42" customFormat="false" ht="14.25" hidden="false" customHeight="true" outlineLevel="0" collapsed="false">
      <c r="A42" s="264"/>
      <c r="B42" s="264"/>
      <c r="C42" s="264"/>
      <c r="D42" s="264"/>
      <c r="E42" s="922"/>
      <c r="F42" s="922"/>
      <c r="G42" s="923"/>
    </row>
    <row r="43" customFormat="false" ht="14.25" hidden="false" customHeight="true" outlineLevel="0" collapsed="false">
      <c r="A43" s="264"/>
      <c r="B43" s="264"/>
      <c r="C43" s="264"/>
      <c r="D43" s="264"/>
      <c r="E43" s="932" t="s">
        <v>1162</v>
      </c>
      <c r="F43" s="932"/>
      <c r="G43" s="933" t="n">
        <f aca="false">IF(ISERROR(G41/G39),0,G41/G39)</f>
        <v>0</v>
      </c>
    </row>
  </sheetData>
  <mergeCells count="12">
    <mergeCell ref="A2:F2"/>
    <mergeCell ref="A20:G20"/>
    <mergeCell ref="A22:E22"/>
    <mergeCell ref="A24:E24"/>
    <mergeCell ref="A25:E25"/>
    <mergeCell ref="A29:E29"/>
    <mergeCell ref="A33:E33"/>
    <mergeCell ref="A34:E34"/>
    <mergeCell ref="A35:E35"/>
    <mergeCell ref="E37:F37"/>
    <mergeCell ref="E39:F39"/>
    <mergeCell ref="E41:F41"/>
  </mergeCells>
  <printOptions headings="false" gridLines="false" gridLinesSet="true" horizontalCentered="false" verticalCentered="false"/>
  <pageMargins left="0.590277777777778" right="0.315277777777778" top="0.729861111111111"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7" activeCellId="0" sqref="A7"/>
    </sheetView>
  </sheetViews>
  <sheetFormatPr defaultColWidth="9.14453125" defaultRowHeight="14.25" zeroHeight="false" outlineLevelRow="0" outlineLevelCol="0"/>
  <cols>
    <col collapsed="false" customWidth="false" hidden="false" outlineLevel="0" max="1" min="1" style="217" width="9.14"/>
    <col collapsed="false" customWidth="true" hidden="false" outlineLevel="0" max="2" min="2" style="217" width="11.86"/>
    <col collapsed="false" customWidth="false" hidden="false" outlineLevel="0" max="3" min="3" style="217" width="9.14"/>
    <col collapsed="false" customWidth="true" hidden="false" outlineLevel="0" max="4" min="4" style="217" width="12.86"/>
    <col collapsed="false" customWidth="false" hidden="false" outlineLevel="0" max="5" min="5" style="217" width="9.14"/>
    <col collapsed="false" customWidth="true" hidden="false" outlineLevel="0" max="6" min="6" style="217" width="13.43"/>
    <col collapsed="false" customWidth="true" hidden="false" outlineLevel="0" max="7" min="7" style="217" width="11.57"/>
    <col collapsed="false" customWidth="false" hidden="false" outlineLevel="0" max="8" min="8" style="217" width="9.14"/>
    <col collapsed="false" customWidth="true" hidden="false" outlineLevel="0" max="9" min="9" style="217" width="14.14"/>
    <col collapsed="false" customWidth="true" hidden="false" outlineLevel="0" max="10" min="10" style="217" width="16.43"/>
    <col collapsed="false" customWidth="false" hidden="false" outlineLevel="0" max="11" min="11" style="217" width="9.14"/>
    <col collapsed="false" customWidth="true" hidden="false" outlineLevel="0" max="12" min="12" style="217" width="12"/>
    <col collapsed="false" customWidth="false" hidden="false" outlineLevel="0" max="13" min="13" style="236" width="9.14"/>
    <col collapsed="false" customWidth="false" hidden="false" outlineLevel="0" max="16384" min="14" style="217" width="9.14"/>
  </cols>
  <sheetData>
    <row r="1" s="935" customFormat="true" ht="20.25" hidden="false" customHeight="true" outlineLevel="0" collapsed="false">
      <c r="A1" s="934"/>
      <c r="B1" s="934"/>
      <c r="M1" s="936"/>
    </row>
    <row r="2" s="935" customFormat="true" ht="20.25" hidden="false" customHeight="true" outlineLevel="0" collapsed="false">
      <c r="A2" s="937" t="s">
        <v>28</v>
      </c>
      <c r="B2" s="937"/>
      <c r="C2" s="937"/>
      <c r="D2" s="937"/>
      <c r="E2" s="937"/>
      <c r="F2" s="937"/>
      <c r="G2" s="937"/>
      <c r="H2" s="937"/>
      <c r="I2" s="937"/>
      <c r="J2" s="937"/>
      <c r="M2" s="652" t="s">
        <v>1163</v>
      </c>
    </row>
    <row r="3" customFormat="false" ht="14.25" hidden="false" customHeight="false" outlineLevel="0" collapsed="false">
      <c r="M3" s="938" t="b">
        <f aca="false">MONTH(DATE(YEAR(Index!C4),2,29))=2</f>
        <v>1</v>
      </c>
    </row>
    <row r="5" s="178" customFormat="true" ht="14.25" hidden="false" customHeight="false" outlineLevel="0" collapsed="false">
      <c r="A5" s="939" t="s">
        <v>875</v>
      </c>
      <c r="B5" s="940"/>
      <c r="F5" s="941"/>
      <c r="G5" s="941"/>
      <c r="J5" s="942"/>
      <c r="L5" s="161" t="s">
        <v>628</v>
      </c>
      <c r="M5" s="182"/>
    </row>
    <row r="6" s="178" customFormat="true" ht="57" hidden="false" customHeight="true" outlineLevel="0" collapsed="false">
      <c r="A6" s="943" t="s">
        <v>1164</v>
      </c>
      <c r="B6" s="943"/>
      <c r="C6" s="943"/>
      <c r="D6" s="943"/>
      <c r="E6" s="943"/>
      <c r="F6" s="188" t="s">
        <v>1165</v>
      </c>
      <c r="G6" s="188" t="s">
        <v>1166</v>
      </c>
      <c r="H6" s="188" t="s">
        <v>1167</v>
      </c>
      <c r="I6" s="188" t="s">
        <v>1168</v>
      </c>
      <c r="J6" s="944" t="s">
        <v>1169</v>
      </c>
      <c r="M6" s="182"/>
    </row>
    <row r="7" s="178" customFormat="true" ht="15" hidden="false" customHeight="true" outlineLevel="0" collapsed="false">
      <c r="A7" s="945"/>
      <c r="B7" s="945"/>
      <c r="C7" s="945"/>
      <c r="D7" s="945"/>
      <c r="E7" s="945"/>
      <c r="F7" s="946"/>
      <c r="G7" s="946"/>
      <c r="H7" s="947"/>
      <c r="I7" s="948" t="n">
        <f aca="false">IF($M$3,366,365)-H7</f>
        <v>366</v>
      </c>
      <c r="J7" s="949" t="n">
        <f aca="false">IF(G7&gt;0,IF(G7&lt;8333,8333,G7)*0.36,F7*0.2)*I7/IF($M$3,366,365)</f>
        <v>0</v>
      </c>
      <c r="M7" s="182"/>
    </row>
    <row r="8" s="178" customFormat="true" ht="15" hidden="false" customHeight="true" outlineLevel="0" collapsed="false">
      <c r="A8" s="950"/>
      <c r="B8" s="950"/>
      <c r="C8" s="950"/>
      <c r="D8" s="950"/>
      <c r="E8" s="950"/>
      <c r="F8" s="951"/>
      <c r="G8" s="951"/>
      <c r="H8" s="952"/>
      <c r="I8" s="948" t="n">
        <f aca="false">IF($M$3,366,365)-H8</f>
        <v>366</v>
      </c>
      <c r="J8" s="949" t="n">
        <f aca="false">IF(G8&gt;0,IF(G8&lt;8333,8333,G8)*0.36,F8*0.2)*I8/IF($M$3,366,365)</f>
        <v>0</v>
      </c>
      <c r="M8" s="182"/>
    </row>
    <row r="9" s="178" customFormat="true" ht="15" hidden="false" customHeight="true" outlineLevel="0" collapsed="false">
      <c r="A9" s="953"/>
      <c r="B9" s="953"/>
      <c r="C9" s="953"/>
      <c r="D9" s="953"/>
      <c r="E9" s="953"/>
      <c r="F9" s="951"/>
      <c r="G9" s="951"/>
      <c r="H9" s="952"/>
      <c r="I9" s="948" t="n">
        <f aca="false">IF($M$3,366,365)-H9</f>
        <v>366</v>
      </c>
      <c r="J9" s="949" t="n">
        <f aca="false">IF(G9&gt;0,IF(G9&lt;8333,8333,G9)*0.36,F9*0.2)*I9/IF($M$3,366,365)</f>
        <v>0</v>
      </c>
      <c r="M9" s="182"/>
    </row>
    <row r="10" s="178" customFormat="true" ht="15" hidden="false" customHeight="true" outlineLevel="0" collapsed="false">
      <c r="A10" s="953"/>
      <c r="B10" s="953"/>
      <c r="C10" s="953"/>
      <c r="D10" s="953"/>
      <c r="E10" s="953"/>
      <c r="F10" s="951"/>
      <c r="G10" s="951"/>
      <c r="H10" s="952"/>
      <c r="I10" s="948" t="n">
        <f aca="false">IF($M$3,366,365)-H10</f>
        <v>366</v>
      </c>
      <c r="J10" s="949" t="n">
        <f aca="false">IF(G10&gt;0,IF(G10&lt;8333,8333,G10)*0.36,F10*0.2)*I10/IF($M$3,366,365)</f>
        <v>0</v>
      </c>
      <c r="M10" s="182"/>
    </row>
    <row r="11" s="178" customFormat="true" ht="15" hidden="false" customHeight="true" outlineLevel="0" collapsed="false">
      <c r="A11" s="953"/>
      <c r="B11" s="953"/>
      <c r="C11" s="953"/>
      <c r="D11" s="953"/>
      <c r="E11" s="953"/>
      <c r="F11" s="951"/>
      <c r="G11" s="951"/>
      <c r="H11" s="952"/>
      <c r="I11" s="948" t="n">
        <f aca="false">IF($M$3,366,365)-H11</f>
        <v>366</v>
      </c>
      <c r="J11" s="949" t="n">
        <f aca="false">IF(G11&gt;0,IF(G11&lt;8333,8333,G11)*0.36,F11*0.2)*I11/IF($M$3,366,365)</f>
        <v>0</v>
      </c>
      <c r="M11" s="182"/>
    </row>
    <row r="12" s="178" customFormat="true" ht="15" hidden="false" customHeight="true" outlineLevel="0" collapsed="false">
      <c r="A12" s="950"/>
      <c r="B12" s="950"/>
      <c r="C12" s="950"/>
      <c r="D12" s="950"/>
      <c r="E12" s="950"/>
      <c r="F12" s="951"/>
      <c r="G12" s="951"/>
      <c r="H12" s="952"/>
      <c r="I12" s="948" t="n">
        <f aca="false">IF($M$3,366,365)-H12</f>
        <v>366</v>
      </c>
      <c r="J12" s="949" t="n">
        <f aca="false">IF(G12&gt;0,IF(G12&lt;8333,8333,G12)*0.36,F12*0.2)*I12/IF($M$3,366,365)</f>
        <v>0</v>
      </c>
      <c r="M12" s="182"/>
    </row>
    <row r="13" s="178" customFormat="true" ht="15" hidden="false" customHeight="true" outlineLevel="0" collapsed="false">
      <c r="A13" s="953"/>
      <c r="B13" s="953"/>
      <c r="C13" s="953"/>
      <c r="D13" s="953"/>
      <c r="E13" s="953"/>
      <c r="F13" s="951"/>
      <c r="G13" s="951"/>
      <c r="H13" s="952"/>
      <c r="I13" s="948" t="n">
        <f aca="false">IF($M$3,366,365)-H13</f>
        <v>366</v>
      </c>
      <c r="J13" s="949" t="n">
        <f aca="false">IF(G13&gt;0,IF(G13&lt;8333,8333,G13)*0.36,F13*0.2)*I13/IF($M$3,366,365)</f>
        <v>0</v>
      </c>
      <c r="M13" s="182"/>
    </row>
    <row r="14" s="178" customFormat="true" ht="15" hidden="false" customHeight="true" outlineLevel="0" collapsed="false">
      <c r="A14" s="953"/>
      <c r="B14" s="953"/>
      <c r="C14" s="953"/>
      <c r="D14" s="953"/>
      <c r="E14" s="953"/>
      <c r="F14" s="951"/>
      <c r="G14" s="951"/>
      <c r="H14" s="952"/>
      <c r="I14" s="948" t="n">
        <f aca="false">IF($M$3,366,365)-H14</f>
        <v>366</v>
      </c>
      <c r="J14" s="949" t="n">
        <f aca="false">IF(G14&gt;0,IF(G14&lt;8333,8333,G14)*0.36,F14*0.2)*I14/IF($M$3,366,365)</f>
        <v>0</v>
      </c>
      <c r="M14" s="182"/>
    </row>
    <row r="15" s="178" customFormat="true" ht="15" hidden="false" customHeight="true" outlineLevel="0" collapsed="false">
      <c r="A15" s="953"/>
      <c r="B15" s="953"/>
      <c r="C15" s="953"/>
      <c r="D15" s="953"/>
      <c r="E15" s="953"/>
      <c r="F15" s="951"/>
      <c r="G15" s="951"/>
      <c r="H15" s="952"/>
      <c r="I15" s="948" t="n">
        <f aca="false">IF($M$3,366,365)-H15</f>
        <v>366</v>
      </c>
      <c r="J15" s="949" t="n">
        <f aca="false">IF(G15&gt;0,IF(G15&lt;8333,8333,G15)*0.36,F15*0.2)*I15/IF($M$3,366,365)</f>
        <v>0</v>
      </c>
      <c r="M15" s="182"/>
    </row>
    <row r="16" s="178" customFormat="true" ht="15" hidden="false" customHeight="true" outlineLevel="0" collapsed="false">
      <c r="A16" s="954"/>
      <c r="B16" s="954"/>
      <c r="C16" s="954"/>
      <c r="D16" s="954"/>
      <c r="E16" s="954"/>
      <c r="F16" s="955"/>
      <c r="G16" s="955"/>
      <c r="H16" s="956"/>
      <c r="I16" s="948" t="n">
        <f aca="false">IF($M$3,366,365)-H16</f>
        <v>366</v>
      </c>
      <c r="J16" s="949" t="n">
        <f aca="false">IF(G16&gt;0,IF(G16&lt;8333,8333,G16)*0.36,F16*0.2)*I16/IF($M$3,366,365)</f>
        <v>0</v>
      </c>
      <c r="M16" s="182"/>
    </row>
    <row r="17" s="178" customFormat="true" ht="14.25" hidden="false" customHeight="false" outlineLevel="0" collapsed="false">
      <c r="A17" s="957" t="s">
        <v>1170</v>
      </c>
      <c r="B17" s="957"/>
      <c r="C17" s="957"/>
      <c r="D17" s="957"/>
      <c r="E17" s="957"/>
      <c r="F17" s="957"/>
      <c r="G17" s="957"/>
      <c r="H17" s="957"/>
      <c r="I17" s="957"/>
      <c r="J17" s="958" t="n">
        <f aca="false">+SUM(J7:J16)</f>
        <v>0</v>
      </c>
      <c r="M17" s="182"/>
    </row>
    <row r="18" s="178" customFormat="true" ht="14.25" hidden="false" customHeight="false" outlineLevel="0" collapsed="false">
      <c r="A18" s="178" t="s">
        <v>1171</v>
      </c>
      <c r="J18" s="959" t="n">
        <f aca="false">IF(C3="No",0,J17*3/23)</f>
        <v>0</v>
      </c>
      <c r="M18" s="182"/>
    </row>
    <row r="19" s="178" customFormat="true" ht="14.25" hidden="false" customHeight="false" outlineLevel="0" collapsed="false">
      <c r="A19" s="178" t="s">
        <v>1172</v>
      </c>
      <c r="J19" s="960" t="n">
        <f aca="false">+J17-J18</f>
        <v>0</v>
      </c>
      <c r="M19" s="182"/>
    </row>
    <row r="20" s="178" customFormat="true" ht="14.25" hidden="false" customHeight="false" outlineLevel="0" collapsed="false">
      <c r="M20" s="182"/>
    </row>
    <row r="21" s="178" customFormat="true" ht="15" hidden="false" customHeight="true" outlineLevel="0" collapsed="false">
      <c r="H21" s="961" t="s">
        <v>659</v>
      </c>
      <c r="I21" s="962"/>
      <c r="J21" s="963" t="n">
        <f aca="false">-J19</f>
        <v>0</v>
      </c>
      <c r="M21" s="182"/>
    </row>
    <row r="22" s="178" customFormat="true" ht="14.25" hidden="false" customHeight="false" outlineLevel="0" collapsed="false">
      <c r="H22" s="964" t="s">
        <v>660</v>
      </c>
      <c r="I22" s="965"/>
      <c r="J22" s="966" t="n">
        <f aca="false">+DSH!E82</f>
        <v>0</v>
      </c>
      <c r="M22" s="182"/>
    </row>
    <row r="23" s="178" customFormat="true" ht="14.25" hidden="false" customHeight="false" outlineLevel="0" collapsed="false">
      <c r="H23" s="967" t="s">
        <v>591</v>
      </c>
      <c r="I23" s="968"/>
      <c r="J23" s="215" t="n">
        <f aca="false">IFERROR(VALUE(J21) - VALUE(J22), 0)</f>
        <v>0</v>
      </c>
      <c r="M23" s="182"/>
    </row>
    <row r="24" s="178" customFormat="true" ht="14.25" hidden="false" customHeight="false" outlineLevel="0" collapsed="false">
      <c r="M24" s="182"/>
    </row>
    <row r="25" s="178" customFormat="true" ht="14.25" hidden="false" customHeight="false" outlineLevel="0" collapsed="false">
      <c r="M25" s="182"/>
    </row>
    <row r="26" s="178" customFormat="true" ht="15" hidden="false" customHeight="true" outlineLevel="0" collapsed="false">
      <c r="A26" s="969" t="s">
        <v>408</v>
      </c>
      <c r="B26" s="969"/>
      <c r="L26" s="942"/>
      <c r="M26" s="182"/>
      <c r="N26" s="161" t="s">
        <v>628</v>
      </c>
    </row>
    <row r="27" s="178" customFormat="true" ht="26.25" hidden="false" customHeight="true" outlineLevel="0" collapsed="false">
      <c r="A27" s="188" t="s">
        <v>12</v>
      </c>
      <c r="B27" s="188"/>
      <c r="C27" s="188"/>
      <c r="D27" s="188"/>
      <c r="E27" s="188"/>
      <c r="F27" s="188"/>
      <c r="G27" s="188"/>
      <c r="H27" s="188"/>
      <c r="I27" s="188"/>
      <c r="J27" s="188" t="s">
        <v>655</v>
      </c>
      <c r="K27" s="182"/>
    </row>
    <row r="28" s="178" customFormat="true" ht="15" hidden="false" customHeight="true" outlineLevel="0" collapsed="false">
      <c r="A28" s="970"/>
      <c r="B28" s="970"/>
      <c r="C28" s="970"/>
      <c r="D28" s="970"/>
      <c r="E28" s="970"/>
      <c r="F28" s="970"/>
      <c r="G28" s="970"/>
      <c r="H28" s="970"/>
      <c r="I28" s="970"/>
      <c r="J28" s="971"/>
      <c r="K28" s="182"/>
    </row>
    <row r="29" s="178" customFormat="true" ht="15" hidden="false" customHeight="true" outlineLevel="0" collapsed="false">
      <c r="A29" s="972"/>
      <c r="B29" s="972"/>
      <c r="C29" s="972"/>
      <c r="D29" s="972"/>
      <c r="E29" s="972"/>
      <c r="F29" s="972"/>
      <c r="G29" s="972"/>
      <c r="H29" s="972"/>
      <c r="I29" s="972"/>
      <c r="J29" s="973"/>
      <c r="K29" s="182"/>
    </row>
    <row r="30" s="178" customFormat="true" ht="15" hidden="false" customHeight="true" outlineLevel="0" collapsed="false">
      <c r="A30" s="972"/>
      <c r="B30" s="972"/>
      <c r="C30" s="972"/>
      <c r="D30" s="972"/>
      <c r="E30" s="972"/>
      <c r="F30" s="972"/>
      <c r="G30" s="972"/>
      <c r="H30" s="972"/>
      <c r="I30" s="972"/>
      <c r="J30" s="973"/>
      <c r="K30" s="182"/>
    </row>
    <row r="31" s="178" customFormat="true" ht="15" hidden="false" customHeight="true" outlineLevel="0" collapsed="false">
      <c r="A31" s="972"/>
      <c r="B31" s="972"/>
      <c r="C31" s="972"/>
      <c r="D31" s="972"/>
      <c r="E31" s="972"/>
      <c r="F31" s="972"/>
      <c r="G31" s="972"/>
      <c r="H31" s="972"/>
      <c r="I31" s="972"/>
      <c r="J31" s="973"/>
      <c r="K31" s="182"/>
    </row>
    <row r="32" s="178" customFormat="true" ht="15" hidden="false" customHeight="true" outlineLevel="0" collapsed="false">
      <c r="A32" s="972"/>
      <c r="B32" s="972"/>
      <c r="C32" s="972"/>
      <c r="D32" s="972"/>
      <c r="E32" s="972"/>
      <c r="F32" s="972"/>
      <c r="G32" s="972"/>
      <c r="H32" s="972"/>
      <c r="I32" s="972"/>
      <c r="J32" s="973"/>
      <c r="K32" s="182"/>
    </row>
    <row r="33" s="178" customFormat="true" ht="15" hidden="false" customHeight="true" outlineLevel="0" collapsed="false">
      <c r="A33" s="972"/>
      <c r="B33" s="972"/>
      <c r="C33" s="972"/>
      <c r="D33" s="972"/>
      <c r="E33" s="972"/>
      <c r="F33" s="972"/>
      <c r="G33" s="972"/>
      <c r="H33" s="972"/>
      <c r="I33" s="972"/>
      <c r="J33" s="973"/>
      <c r="K33" s="182"/>
    </row>
    <row r="34" s="178" customFormat="true" ht="15" hidden="false" customHeight="true" outlineLevel="0" collapsed="false">
      <c r="A34" s="974" t="s">
        <v>669</v>
      </c>
      <c r="B34" s="974"/>
      <c r="C34" s="974"/>
      <c r="D34" s="974"/>
      <c r="E34" s="974"/>
      <c r="F34" s="974"/>
      <c r="G34" s="974"/>
      <c r="H34" s="974"/>
      <c r="I34" s="974"/>
      <c r="J34" s="975" t="n">
        <f aca="false">+SUM(J28:J33)</f>
        <v>0</v>
      </c>
      <c r="K34" s="182"/>
    </row>
    <row r="35" s="178" customFormat="true" ht="14.25" hidden="false" customHeight="false" outlineLevel="0" collapsed="false">
      <c r="M35" s="182"/>
    </row>
    <row r="36" s="178" customFormat="true" ht="14.25" hidden="false" customHeight="false" outlineLevel="0" collapsed="false">
      <c r="M36" s="182"/>
    </row>
    <row r="37" s="178" customFormat="true" ht="14.25" hidden="false" customHeight="false" outlineLevel="0" collapsed="false">
      <c r="H37" s="961" t="s">
        <v>659</v>
      </c>
      <c r="I37" s="962"/>
      <c r="J37" s="963" t="n">
        <f aca="false">J34</f>
        <v>0</v>
      </c>
      <c r="M37" s="182"/>
    </row>
    <row r="38" s="178" customFormat="true" ht="14.25" hidden="false" customHeight="false" outlineLevel="0" collapsed="false">
      <c r="H38" s="964" t="s">
        <v>660</v>
      </c>
      <c r="I38" s="965"/>
      <c r="J38" s="966" t="n">
        <f aca="false">DSH!E83</f>
        <v>0</v>
      </c>
      <c r="M38" s="182"/>
    </row>
    <row r="39" s="178" customFormat="true" ht="14.25" hidden="false" customHeight="false" outlineLevel="0" collapsed="false">
      <c r="H39" s="967" t="s">
        <v>591</v>
      </c>
      <c r="I39" s="968"/>
      <c r="J39" s="215" t="n">
        <f aca="false">IFERROR(VALUE(J37) - VALUE(J38), 0)</f>
        <v>0</v>
      </c>
      <c r="M39" s="182"/>
    </row>
    <row r="40" s="178" customFormat="true" ht="14.25" hidden="false" customHeight="false" outlineLevel="0" collapsed="false">
      <c r="M40" s="182"/>
    </row>
  </sheetData>
  <mergeCells count="21">
    <mergeCell ref="A2:J2"/>
    <mergeCell ref="A6:E6"/>
    <mergeCell ref="A7:E7"/>
    <mergeCell ref="A8:E8"/>
    <mergeCell ref="A9:E9"/>
    <mergeCell ref="A10:E10"/>
    <mergeCell ref="A11:E11"/>
    <mergeCell ref="A12:E12"/>
    <mergeCell ref="A13:E13"/>
    <mergeCell ref="A14:E14"/>
    <mergeCell ref="A15:E15"/>
    <mergeCell ref="A16:E16"/>
    <mergeCell ref="A26:B26"/>
    <mergeCell ref="A27:I27"/>
    <mergeCell ref="A28:I28"/>
    <mergeCell ref="A29:I29"/>
    <mergeCell ref="A30:I30"/>
    <mergeCell ref="A31:I31"/>
    <mergeCell ref="A32:I32"/>
    <mergeCell ref="A33:I33"/>
    <mergeCell ref="A34:I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9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ColWidth="8.859375" defaultRowHeight="15" zeroHeight="false" outlineLevelRow="0" outlineLevelCol="0"/>
  <cols>
    <col collapsed="false" customWidth="true" hidden="false" outlineLevel="0" max="1" min="1" style="23" width="18.43"/>
    <col collapsed="false" customWidth="true" hidden="false" outlineLevel="0" max="2" min="2" style="23" width="29.14"/>
    <col collapsed="false" customWidth="true" hidden="false" outlineLevel="0" max="3" min="3" style="23" width="11.57"/>
    <col collapsed="false" customWidth="true" hidden="false" outlineLevel="0" max="4" min="4" style="23" width="14.14"/>
    <col collapsed="false" customWidth="true" hidden="false" outlineLevel="0" max="5" min="5" style="23" width="14.57"/>
    <col collapsed="false" customWidth="true" hidden="false" outlineLevel="0" max="6" min="6" style="23" width="15.15"/>
    <col collapsed="false" customWidth="true" hidden="false" outlineLevel="0" max="7" min="7" style="23" width="15.86"/>
    <col collapsed="false" customWidth="true" hidden="false" outlineLevel="0" max="8" min="8" style="23" width="14.14"/>
    <col collapsed="false" customWidth="true" hidden="false" outlineLevel="0" max="9" min="9" style="23" width="17.86"/>
    <col collapsed="false" customWidth="true" hidden="false" outlineLevel="0" max="10" min="10" style="23" width="15.57"/>
    <col collapsed="false" customWidth="true" hidden="false" outlineLevel="0" max="11" min="11" style="23" width="14.14"/>
    <col collapsed="false" customWidth="true" hidden="false" outlineLevel="0" max="12" min="12" style="23" width="9.86"/>
    <col collapsed="false" customWidth="true" hidden="false" outlineLevel="0" max="13" min="13" style="23" width="11"/>
    <col collapsed="false" customWidth="true" hidden="false" outlineLevel="0" max="14" min="14" style="23" width="9.43"/>
    <col collapsed="false" customWidth="true" hidden="false" outlineLevel="0" max="15" min="15" style="23" width="12"/>
    <col collapsed="false" customWidth="false" hidden="false" outlineLevel="0" max="16384" min="16" style="23" width="8.86"/>
  </cols>
  <sheetData>
    <row r="1" customFormat="false" ht="20.25" hidden="false" customHeight="true" outlineLevel="0" collapsed="false">
      <c r="A1" s="54"/>
    </row>
    <row r="2" customFormat="false" ht="20.25" hidden="false" customHeight="true" outlineLevel="0" collapsed="false">
      <c r="A2" s="24" t="s">
        <v>568</v>
      </c>
      <c r="B2" s="24"/>
      <c r="C2" s="24"/>
      <c r="D2" s="24"/>
      <c r="E2" s="24"/>
      <c r="F2" s="24"/>
      <c r="G2" s="24"/>
      <c r="H2" s="24"/>
      <c r="I2" s="24"/>
    </row>
    <row r="4" customFormat="false" ht="15" hidden="false" customHeight="false" outlineLevel="0" collapsed="false">
      <c r="A4" s="976" t="s">
        <v>1173</v>
      </c>
      <c r="B4" s="976"/>
      <c r="C4" s="976"/>
      <c r="D4" s="976"/>
      <c r="E4" s="976"/>
      <c r="F4" s="976"/>
      <c r="G4" s="976"/>
      <c r="H4" s="976"/>
      <c r="I4" s="976"/>
      <c r="J4" s="976"/>
      <c r="K4" s="161" t="s">
        <v>628</v>
      </c>
    </row>
    <row r="5" customFormat="false" ht="45" hidden="false" customHeight="true" outlineLevel="0" collapsed="false">
      <c r="A5" s="977" t="s">
        <v>1174</v>
      </c>
      <c r="B5" s="977"/>
      <c r="C5" s="977"/>
      <c r="D5" s="978" t="s">
        <v>1175</v>
      </c>
      <c r="E5" s="978" t="s">
        <v>1070</v>
      </c>
      <c r="F5" s="978" t="s">
        <v>1176</v>
      </c>
      <c r="G5" s="978" t="s">
        <v>1177</v>
      </c>
      <c r="H5" s="978" t="s">
        <v>1178</v>
      </c>
      <c r="I5" s="978" t="s">
        <v>1179</v>
      </c>
      <c r="J5" s="264"/>
      <c r="K5" s="264"/>
    </row>
    <row r="6" customFormat="false" ht="15" hidden="false" customHeight="false" outlineLevel="0" collapsed="false">
      <c r="A6" s="979" t="s">
        <v>921</v>
      </c>
      <c r="B6" s="979"/>
      <c r="C6" s="979"/>
      <c r="D6" s="980" t="n">
        <f aca="false">IOA!M46</f>
        <v>3933.3</v>
      </c>
      <c r="E6" s="981" t="n">
        <f aca="false">IOA!M47</f>
        <v>0</v>
      </c>
      <c r="F6" s="982" t="n">
        <f aca="false">D6-E6</f>
        <v>3933.3</v>
      </c>
      <c r="G6" s="983"/>
      <c r="H6" s="983"/>
      <c r="I6" s="984" t="n">
        <f aca="false">IF(ISERROR(D6-G6+H6),"",D6-G6+H6)</f>
        <v>3933.3</v>
      </c>
      <c r="J6" s="264"/>
      <c r="K6" s="264"/>
    </row>
    <row r="7" customFormat="false" ht="15" hidden="false" customHeight="false" outlineLevel="0" collapsed="false">
      <c r="A7" s="985"/>
      <c r="B7" s="985"/>
      <c r="C7" s="985"/>
      <c r="D7" s="986"/>
      <c r="E7" s="987"/>
      <c r="F7" s="988" t="n">
        <f aca="false">D7-E7</f>
        <v>0</v>
      </c>
      <c r="G7" s="987"/>
      <c r="H7" s="987"/>
      <c r="I7" s="989" t="n">
        <f aca="false">IF(ISERROR(D7-G7+H7),"",D7-G7+H7)</f>
        <v>0</v>
      </c>
      <c r="J7" s="264"/>
      <c r="K7" s="264"/>
    </row>
    <row r="8" customFormat="false" ht="15" hidden="false" customHeight="false" outlineLevel="0" collapsed="false">
      <c r="A8" s="985"/>
      <c r="B8" s="985"/>
      <c r="C8" s="985"/>
      <c r="D8" s="986"/>
      <c r="E8" s="987"/>
      <c r="F8" s="988" t="n">
        <f aca="false">D8-E8</f>
        <v>0</v>
      </c>
      <c r="G8" s="987"/>
      <c r="H8" s="987"/>
      <c r="I8" s="989" t="n">
        <f aca="false">IF(ISERROR(D8-G8+H8),"",D8-G8+H8)</f>
        <v>0</v>
      </c>
      <c r="J8" s="264"/>
      <c r="K8" s="264"/>
    </row>
    <row r="9" customFormat="false" ht="15" hidden="false" customHeight="false" outlineLevel="0" collapsed="false">
      <c r="A9" s="985"/>
      <c r="B9" s="985"/>
      <c r="C9" s="985"/>
      <c r="D9" s="986"/>
      <c r="E9" s="987"/>
      <c r="F9" s="988" t="n">
        <f aca="false">D9-E9</f>
        <v>0</v>
      </c>
      <c r="G9" s="987"/>
      <c r="H9" s="987"/>
      <c r="I9" s="989" t="n">
        <f aca="false">IF(ISERROR(D9-G9+H9),"",D9-G9+H9)</f>
        <v>0</v>
      </c>
      <c r="J9" s="264"/>
      <c r="K9" s="264"/>
    </row>
    <row r="10" customFormat="false" ht="15" hidden="false" customHeight="false" outlineLevel="0" collapsed="false">
      <c r="A10" s="985"/>
      <c r="B10" s="985"/>
      <c r="C10" s="985"/>
      <c r="D10" s="986"/>
      <c r="E10" s="987"/>
      <c r="F10" s="988" t="n">
        <f aca="false">D10-E10</f>
        <v>0</v>
      </c>
      <c r="G10" s="987"/>
      <c r="H10" s="987"/>
      <c r="I10" s="989" t="n">
        <f aca="false">IF(ISERROR(D10-G10+H10),"",D10-G10+H10)</f>
        <v>0</v>
      </c>
      <c r="J10" s="264"/>
      <c r="K10" s="264"/>
    </row>
    <row r="11" customFormat="false" ht="15" hidden="false" customHeight="false" outlineLevel="0" collapsed="false">
      <c r="A11" s="990"/>
      <c r="B11" s="990"/>
      <c r="C11" s="990"/>
      <c r="D11" s="991"/>
      <c r="E11" s="992"/>
      <c r="F11" s="993" t="n">
        <f aca="false">D11-E11</f>
        <v>0</v>
      </c>
      <c r="G11" s="994"/>
      <c r="H11" s="994"/>
      <c r="I11" s="995" t="n">
        <f aca="false">IF(ISERROR(D11-G11+H11),"",D11-G11+H11)</f>
        <v>0</v>
      </c>
      <c r="J11" s="264"/>
      <c r="K11" s="264"/>
    </row>
    <row r="13" customFormat="false" ht="15" hidden="false" customHeight="false" outlineLevel="0" collapsed="false">
      <c r="A13" s="996" t="s">
        <v>669</v>
      </c>
      <c r="B13" s="996"/>
      <c r="C13" s="996"/>
      <c r="D13" s="997" t="n">
        <f aca="false">SUM(D6:D11)</f>
        <v>3933.3</v>
      </c>
      <c r="E13" s="997" t="n">
        <f aca="false">SUM(E6:E11)</f>
        <v>0</v>
      </c>
      <c r="F13" s="997" t="n">
        <f aca="false">SUM(F6:F11)</f>
        <v>3933.3</v>
      </c>
      <c r="G13" s="997" t="n">
        <f aca="false">SUM(G6:G11)</f>
        <v>0</v>
      </c>
      <c r="H13" s="997" t="n">
        <f aca="false">SUM(H6:H11)</f>
        <v>0</v>
      </c>
      <c r="I13" s="997" t="n">
        <f aca="false">SUM(I6:I11)</f>
        <v>3933.3</v>
      </c>
      <c r="J13" s="264"/>
      <c r="K13" s="264"/>
    </row>
    <row r="14" customFormat="false" ht="15" hidden="false" customHeight="false" outlineLevel="0" collapsed="false">
      <c r="B14" s="264"/>
      <c r="C14" s="264"/>
      <c r="D14" s="998"/>
      <c r="E14" s="998"/>
      <c r="F14" s="998"/>
      <c r="G14" s="998"/>
      <c r="H14" s="998"/>
      <c r="I14" s="998"/>
      <c r="J14" s="264"/>
      <c r="K14" s="264"/>
    </row>
    <row r="15" customFormat="false" ht="15" hidden="false" customHeight="false" outlineLevel="0" collapsed="false">
      <c r="B15" s="264"/>
      <c r="C15" s="264"/>
      <c r="D15" s="998"/>
      <c r="E15" s="998"/>
      <c r="F15" s="998"/>
      <c r="G15" s="999" t="s">
        <v>659</v>
      </c>
      <c r="H15" s="999"/>
      <c r="I15" s="1000" t="n">
        <f aca="false">-I13</f>
        <v>-3933.3</v>
      </c>
      <c r="J15" s="264"/>
      <c r="K15" s="264"/>
    </row>
    <row r="16" customFormat="false" ht="15" hidden="false" customHeight="false" outlineLevel="0" collapsed="false">
      <c r="A16" s="264"/>
      <c r="B16" s="264"/>
      <c r="C16" s="264"/>
      <c r="D16" s="264"/>
      <c r="E16" s="264"/>
      <c r="F16" s="264"/>
      <c r="G16" s="1001" t="s">
        <v>660</v>
      </c>
      <c r="H16" s="1001"/>
      <c r="I16" s="1002" t="n">
        <f aca="false">DSH!E84</f>
        <v>0</v>
      </c>
      <c r="J16" s="264"/>
      <c r="K16" s="264"/>
    </row>
    <row r="17" customFormat="false" ht="15.75" hidden="false" customHeight="true" outlineLevel="0" collapsed="false">
      <c r="A17" s="264"/>
      <c r="B17" s="264"/>
      <c r="C17" s="264"/>
      <c r="D17" s="264"/>
      <c r="E17" s="264"/>
      <c r="F17" s="264"/>
      <c r="G17" s="1003" t="s">
        <v>591</v>
      </c>
      <c r="H17" s="1003"/>
      <c r="I17" s="262" t="n">
        <f aca="false">I15-I16</f>
        <v>-3933.3</v>
      </c>
      <c r="J17" s="264"/>
      <c r="K17" s="264"/>
    </row>
    <row r="19" customFormat="false" ht="15" hidden="false" customHeight="false" outlineLevel="0" collapsed="false">
      <c r="A19" s="976" t="s">
        <v>1180</v>
      </c>
      <c r="B19" s="976"/>
      <c r="C19" s="976"/>
      <c r="D19" s="976"/>
      <c r="E19" s="976"/>
      <c r="F19" s="976"/>
      <c r="G19" s="976"/>
      <c r="H19" s="976"/>
      <c r="I19" s="976"/>
      <c r="J19" s="976"/>
      <c r="K19" s="161" t="s">
        <v>628</v>
      </c>
    </row>
    <row r="20" customFormat="false" ht="45" hidden="false" customHeight="true" outlineLevel="0" collapsed="false">
      <c r="A20" s="1004" t="s">
        <v>1181</v>
      </c>
      <c r="B20" s="1005" t="s">
        <v>1182</v>
      </c>
      <c r="C20" s="1006"/>
      <c r="D20" s="1007" t="s">
        <v>1183</v>
      </c>
      <c r="E20" s="1007" t="s">
        <v>1184</v>
      </c>
      <c r="F20" s="1007" t="s">
        <v>1185</v>
      </c>
      <c r="G20" s="1007" t="s">
        <v>1186</v>
      </c>
      <c r="H20" s="1007" t="s">
        <v>1187</v>
      </c>
      <c r="I20" s="1008" t="s">
        <v>1188</v>
      </c>
      <c r="J20" s="264"/>
      <c r="K20" s="264"/>
    </row>
    <row r="21" customFormat="false" ht="15" hidden="false" customHeight="false" outlineLevel="0" collapsed="false">
      <c r="A21" s="1009"/>
      <c r="B21" s="1010"/>
      <c r="C21" s="1010"/>
      <c r="D21" s="987"/>
      <c r="E21" s="987"/>
      <c r="F21" s="987"/>
      <c r="G21" s="1011" t="str">
        <f aca="false">IF(ISERROR(F21/D21),"",F21/D21)</f>
        <v/>
      </c>
      <c r="H21" s="1012" t="str">
        <f aca="false">IFERROR((E21+F21)/D21,"")</f>
        <v/>
      </c>
      <c r="I21" s="1013" t="n">
        <f aca="false">D21-E21-F21</f>
        <v>0</v>
      </c>
      <c r="J21" s="264"/>
      <c r="K21" s="264"/>
    </row>
    <row r="22" customFormat="false" ht="15" hidden="false" customHeight="false" outlineLevel="0" collapsed="false">
      <c r="A22" s="1009"/>
      <c r="B22" s="1010"/>
      <c r="C22" s="1010"/>
      <c r="D22" s="987"/>
      <c r="E22" s="987"/>
      <c r="F22" s="987"/>
      <c r="G22" s="1011" t="str">
        <f aca="false">IF(ISERROR(F22/D22),"",F22/D22)</f>
        <v/>
      </c>
      <c r="H22" s="1012" t="str">
        <f aca="false">IFERROR((E22+F22)/D22,"")</f>
        <v/>
      </c>
      <c r="I22" s="1013" t="n">
        <f aca="false">D22-E22-F22</f>
        <v>0</v>
      </c>
      <c r="J22" s="264"/>
      <c r="K22" s="264"/>
    </row>
    <row r="23" customFormat="false" ht="15" hidden="false" customHeight="false" outlineLevel="0" collapsed="false">
      <c r="A23" s="1009"/>
      <c r="B23" s="1010"/>
      <c r="C23" s="1010"/>
      <c r="D23" s="987"/>
      <c r="E23" s="987"/>
      <c r="F23" s="987"/>
      <c r="G23" s="1011" t="str">
        <f aca="false">IF(ISERROR(F23/D23),"",F23/D23)</f>
        <v/>
      </c>
      <c r="H23" s="1012" t="str">
        <f aca="false">IFERROR((E23+F23)/D23,"")</f>
        <v/>
      </c>
      <c r="I23" s="1013" t="n">
        <f aca="false">D23-E23-F23</f>
        <v>0</v>
      </c>
      <c r="J23" s="264"/>
      <c r="K23" s="264"/>
    </row>
    <row r="24" customFormat="false" ht="15" hidden="false" customHeight="false" outlineLevel="0" collapsed="false">
      <c r="A24" s="1009"/>
      <c r="B24" s="1010"/>
      <c r="C24" s="1010"/>
      <c r="D24" s="987"/>
      <c r="E24" s="987"/>
      <c r="F24" s="987"/>
      <c r="G24" s="1011" t="str">
        <f aca="false">IF(ISERROR(F24/D24),"",F24/D24)</f>
        <v/>
      </c>
      <c r="H24" s="1012" t="str">
        <f aca="false">IFERROR((E24+F24)/D24,"")</f>
        <v/>
      </c>
      <c r="I24" s="1013" t="n">
        <f aca="false">D24-E24-F24</f>
        <v>0</v>
      </c>
      <c r="J24" s="264"/>
      <c r="K24" s="264"/>
    </row>
    <row r="25" customFormat="false" ht="15" hidden="false" customHeight="false" outlineLevel="0" collapsed="false">
      <c r="A25" s="1009"/>
      <c r="B25" s="1010"/>
      <c r="C25" s="1010"/>
      <c r="D25" s="987"/>
      <c r="E25" s="987"/>
      <c r="F25" s="987"/>
      <c r="G25" s="1011" t="str">
        <f aca="false">IF(ISERROR(F25/D25),"",F25/D25)</f>
        <v/>
      </c>
      <c r="H25" s="1012" t="str">
        <f aca="false">IFERROR((E25+F25)/D25,"")</f>
        <v/>
      </c>
      <c r="I25" s="1013" t="n">
        <f aca="false">D25-E25-F25</f>
        <v>0</v>
      </c>
      <c r="J25" s="264"/>
      <c r="K25" s="264"/>
    </row>
    <row r="26" customFormat="false" ht="15" hidden="false" customHeight="false" outlineLevel="0" collapsed="false">
      <c r="A26" s="1014"/>
      <c r="B26" s="1015"/>
      <c r="C26" s="1015"/>
      <c r="D26" s="994"/>
      <c r="E26" s="994"/>
      <c r="F26" s="994"/>
      <c r="G26" s="993" t="str">
        <f aca="false">IF(ISERROR(F26/D26),"",F26/D26)</f>
        <v/>
      </c>
      <c r="H26" s="993" t="str">
        <f aca="false">IFERROR((E26+F26)/D26,"")</f>
        <v/>
      </c>
      <c r="I26" s="1016" t="n">
        <f aca="false">D26-E26-F26</f>
        <v>0</v>
      </c>
      <c r="J26" s="264"/>
      <c r="K26" s="264"/>
    </row>
    <row r="28" customFormat="false" ht="15" hidden="false" customHeight="false" outlineLevel="0" collapsed="false">
      <c r="A28" s="996" t="s">
        <v>669</v>
      </c>
      <c r="B28" s="1017"/>
      <c r="C28" s="1017"/>
      <c r="D28" s="997" t="n">
        <f aca="false">SUM(D21:D26)</f>
        <v>0</v>
      </c>
      <c r="E28" s="997" t="n">
        <f aca="false">SUM(E21:E26)</f>
        <v>0</v>
      </c>
      <c r="F28" s="997" t="n">
        <f aca="false">SUM(F21:F26)</f>
        <v>0</v>
      </c>
      <c r="G28" s="998"/>
      <c r="H28" s="264"/>
      <c r="I28" s="997" t="n">
        <f aca="false">SUM(I21:I26)</f>
        <v>0</v>
      </c>
      <c r="J28" s="264"/>
      <c r="K28" s="264"/>
    </row>
    <row r="29" customFormat="false" ht="15" hidden="false" customHeight="false" outlineLevel="0" collapsed="false">
      <c r="B29" s="264"/>
      <c r="C29" s="264"/>
      <c r="D29" s="264"/>
      <c r="E29" s="264"/>
      <c r="F29" s="998"/>
      <c r="G29" s="264"/>
      <c r="H29" s="264"/>
      <c r="I29" s="998"/>
      <c r="J29" s="998"/>
      <c r="K29" s="264"/>
    </row>
    <row r="30" customFormat="false" ht="15" hidden="false" customHeight="false" outlineLevel="0" collapsed="false">
      <c r="B30" s="264"/>
      <c r="C30" s="264"/>
      <c r="D30" s="264"/>
      <c r="E30" s="264"/>
      <c r="F30" s="998"/>
      <c r="G30" s="999" t="s">
        <v>659</v>
      </c>
      <c r="H30" s="999"/>
      <c r="I30" s="1000" t="n">
        <f aca="false">-D28</f>
        <v>0</v>
      </c>
      <c r="J30" s="264"/>
      <c r="K30" s="264"/>
    </row>
    <row r="31" customFormat="false" ht="15" hidden="false" customHeight="false" outlineLevel="0" collapsed="false">
      <c r="A31" s="264"/>
      <c r="B31" s="264"/>
      <c r="C31" s="264"/>
      <c r="D31" s="264"/>
      <c r="E31" s="264"/>
      <c r="F31" s="264"/>
      <c r="G31" s="1001" t="s">
        <v>660</v>
      </c>
      <c r="H31" s="1001"/>
      <c r="I31" s="1002" t="n">
        <f aca="false">DSH!E85</f>
        <v>0</v>
      </c>
      <c r="J31" s="264"/>
      <c r="K31" s="264"/>
    </row>
    <row r="32" customFormat="false" ht="15.75" hidden="false" customHeight="true" outlineLevel="0" collapsed="false">
      <c r="A32" s="264"/>
      <c r="B32" s="264"/>
      <c r="C32" s="264"/>
      <c r="D32" s="264"/>
      <c r="E32" s="264"/>
      <c r="F32" s="264"/>
      <c r="G32" s="1003" t="s">
        <v>591</v>
      </c>
      <c r="H32" s="1003"/>
      <c r="I32" s="262" t="n">
        <f aca="false">IFERROR(VALUE(I30) - VALUE(I31), 0)</f>
        <v>0</v>
      </c>
      <c r="J32" s="264"/>
      <c r="K32" s="264"/>
    </row>
    <row r="34" customFormat="false" ht="15" hidden="false" customHeight="false" outlineLevel="0" collapsed="false">
      <c r="A34" s="976" t="s">
        <v>1189</v>
      </c>
      <c r="B34" s="976"/>
      <c r="C34" s="976"/>
      <c r="D34" s="976"/>
      <c r="E34" s="976"/>
      <c r="F34" s="976"/>
      <c r="G34" s="976"/>
      <c r="H34" s="976"/>
      <c r="I34" s="976"/>
      <c r="J34" s="976"/>
      <c r="K34" s="161" t="s">
        <v>628</v>
      </c>
    </row>
    <row r="35" customFormat="false" ht="30" hidden="false" customHeight="true" outlineLevel="0" collapsed="false">
      <c r="A35" s="977" t="s">
        <v>1174</v>
      </c>
      <c r="B35" s="977"/>
      <c r="C35" s="977"/>
      <c r="D35" s="977"/>
      <c r="E35" s="978" t="s">
        <v>1190</v>
      </c>
      <c r="F35" s="978" t="s">
        <v>1070</v>
      </c>
      <c r="G35" s="978" t="s">
        <v>1185</v>
      </c>
      <c r="H35" s="978" t="s">
        <v>1191</v>
      </c>
      <c r="I35" s="978" t="s">
        <v>1183</v>
      </c>
      <c r="J35" s="264"/>
      <c r="K35" s="264"/>
    </row>
    <row r="36" customFormat="false" ht="15" hidden="false" customHeight="false" outlineLevel="0" collapsed="false">
      <c r="A36" s="1018"/>
      <c r="B36" s="1018"/>
      <c r="C36" s="1018"/>
      <c r="D36" s="1018"/>
      <c r="E36" s="983"/>
      <c r="F36" s="983"/>
      <c r="G36" s="983"/>
      <c r="H36" s="983"/>
      <c r="I36" s="984" t="n">
        <f aca="false">E36+F36+G36+H36</f>
        <v>0</v>
      </c>
      <c r="J36" s="264"/>
      <c r="K36" s="264"/>
    </row>
    <row r="37" customFormat="false" ht="15" hidden="false" customHeight="false" outlineLevel="0" collapsed="false">
      <c r="A37" s="1019"/>
      <c r="B37" s="1019"/>
      <c r="C37" s="1019"/>
      <c r="D37" s="1019"/>
      <c r="E37" s="987"/>
      <c r="F37" s="987"/>
      <c r="G37" s="987"/>
      <c r="H37" s="987"/>
      <c r="I37" s="989" t="n">
        <f aca="false">E37+F37+G37+H37</f>
        <v>0</v>
      </c>
      <c r="J37" s="264"/>
      <c r="K37" s="264"/>
    </row>
    <row r="38" customFormat="false" ht="15" hidden="false" customHeight="false" outlineLevel="0" collapsed="false">
      <c r="A38" s="1019"/>
      <c r="B38" s="1019"/>
      <c r="C38" s="1019"/>
      <c r="D38" s="1019"/>
      <c r="E38" s="987"/>
      <c r="F38" s="987"/>
      <c r="G38" s="987"/>
      <c r="H38" s="987"/>
      <c r="I38" s="989" t="n">
        <f aca="false">E38+F38+G38+H38</f>
        <v>0</v>
      </c>
      <c r="J38" s="264"/>
      <c r="K38" s="264"/>
    </row>
    <row r="39" customFormat="false" ht="15" hidden="false" customHeight="false" outlineLevel="0" collapsed="false">
      <c r="A39" s="1019"/>
      <c r="B39" s="1019"/>
      <c r="C39" s="1019"/>
      <c r="D39" s="1019"/>
      <c r="E39" s="987"/>
      <c r="F39" s="987"/>
      <c r="G39" s="987"/>
      <c r="H39" s="987"/>
      <c r="I39" s="989" t="n">
        <f aca="false">E39+F39+G39+H39</f>
        <v>0</v>
      </c>
      <c r="J39" s="264"/>
      <c r="K39" s="264"/>
    </row>
    <row r="40" customFormat="false" ht="15" hidden="false" customHeight="false" outlineLevel="0" collapsed="false">
      <c r="A40" s="1019"/>
      <c r="B40" s="1019"/>
      <c r="C40" s="1019"/>
      <c r="D40" s="1019"/>
      <c r="E40" s="987"/>
      <c r="F40" s="987"/>
      <c r="G40" s="987"/>
      <c r="H40" s="987"/>
      <c r="I40" s="989" t="n">
        <f aca="false">E40+F40+G40+H40</f>
        <v>0</v>
      </c>
      <c r="J40" s="264"/>
      <c r="K40" s="264"/>
    </row>
    <row r="41" customFormat="false" ht="15" hidden="false" customHeight="false" outlineLevel="0" collapsed="false">
      <c r="A41" s="1020"/>
      <c r="B41" s="1020"/>
      <c r="C41" s="1020"/>
      <c r="D41" s="1020"/>
      <c r="E41" s="994"/>
      <c r="F41" s="994"/>
      <c r="G41" s="994"/>
      <c r="H41" s="994"/>
      <c r="I41" s="995" t="n">
        <f aca="false">E41+F41+G41+H41</f>
        <v>0</v>
      </c>
      <c r="J41" s="264"/>
      <c r="K41" s="264"/>
    </row>
    <row r="43" customFormat="false" ht="15" hidden="false" customHeight="false" outlineLevel="0" collapsed="false">
      <c r="A43" s="996" t="s">
        <v>669</v>
      </c>
      <c r="B43" s="1017"/>
      <c r="C43" s="1017"/>
      <c r="D43" s="1017"/>
      <c r="E43" s="997" t="n">
        <f aca="false">SUM(E36:E41)</f>
        <v>0</v>
      </c>
      <c r="F43" s="997" t="n">
        <f aca="false">SUM(F36:F41)</f>
        <v>0</v>
      </c>
      <c r="G43" s="997" t="n">
        <f aca="false">SUM(G36:G41)</f>
        <v>0</v>
      </c>
      <c r="H43" s="997" t="n">
        <f aca="false">SUM(H36:H41)</f>
        <v>0</v>
      </c>
      <c r="I43" s="997" t="n">
        <f aca="false">SUM(I36:I41)</f>
        <v>0</v>
      </c>
      <c r="J43" s="264"/>
      <c r="K43" s="264"/>
    </row>
    <row r="44" customFormat="false" ht="15" hidden="false" customHeight="false" outlineLevel="0" collapsed="false">
      <c r="A44" s="422"/>
      <c r="B44" s="422"/>
      <c r="C44" s="422"/>
      <c r="D44" s="422"/>
      <c r="E44" s="422"/>
      <c r="F44" s="422"/>
      <c r="G44" s="422"/>
      <c r="H44" s="422"/>
      <c r="I44" s="264"/>
      <c r="J44" s="264"/>
      <c r="K44" s="264"/>
    </row>
    <row r="45" customFormat="false" ht="15" hidden="false" customHeight="false" outlineLevel="0" collapsed="false">
      <c r="A45" s="422"/>
      <c r="B45" s="422"/>
      <c r="C45" s="422"/>
      <c r="D45" s="422"/>
      <c r="E45" s="422"/>
      <c r="F45" s="422"/>
      <c r="G45" s="999" t="s">
        <v>659</v>
      </c>
      <c r="H45" s="999"/>
      <c r="I45" s="1000" t="n">
        <f aca="false">-I43</f>
        <v>0</v>
      </c>
      <c r="J45" s="264"/>
      <c r="K45" s="264"/>
    </row>
    <row r="46" customFormat="false" ht="15" hidden="false" customHeight="false" outlineLevel="0" collapsed="false">
      <c r="A46" s="264"/>
      <c r="B46" s="264"/>
      <c r="C46" s="264"/>
      <c r="D46" s="264"/>
      <c r="E46" s="264"/>
      <c r="F46" s="264"/>
      <c r="G46" s="1001" t="s">
        <v>660</v>
      </c>
      <c r="H46" s="1001"/>
      <c r="I46" s="1002" t="n">
        <f aca="false">DSH!E86</f>
        <v>0</v>
      </c>
      <c r="J46" s="264"/>
      <c r="K46" s="264"/>
    </row>
    <row r="47" customFormat="false" ht="15.75" hidden="false" customHeight="true" outlineLevel="0" collapsed="false">
      <c r="A47" s="264"/>
      <c r="B47" s="264"/>
      <c r="C47" s="264"/>
      <c r="D47" s="264"/>
      <c r="E47" s="264"/>
      <c r="F47" s="264"/>
      <c r="G47" s="1003" t="s">
        <v>591</v>
      </c>
      <c r="H47" s="1003"/>
      <c r="I47" s="262" t="n">
        <f aca="false">IFERROR(VALUE(I45) - VALUE(I46), 0)</f>
        <v>0</v>
      </c>
      <c r="J47" s="264"/>
      <c r="K47" s="264"/>
    </row>
    <row r="49" customFormat="false" ht="15" hidden="false" customHeight="false" outlineLevel="0" collapsed="false">
      <c r="A49" s="976" t="s">
        <v>1192</v>
      </c>
      <c r="B49" s="976"/>
      <c r="C49" s="976"/>
      <c r="D49" s="976"/>
      <c r="E49" s="976"/>
      <c r="F49" s="976"/>
      <c r="G49" s="976"/>
      <c r="H49" s="976"/>
      <c r="I49" s="976"/>
      <c r="J49" s="976"/>
      <c r="K49" s="161" t="s">
        <v>628</v>
      </c>
    </row>
    <row r="50" customFormat="false" ht="30" hidden="false" customHeight="true" outlineLevel="0" collapsed="false">
      <c r="A50" s="977" t="s">
        <v>1174</v>
      </c>
      <c r="B50" s="977"/>
      <c r="C50" s="977"/>
      <c r="D50" s="977"/>
      <c r="E50" s="977"/>
      <c r="F50" s="977"/>
      <c r="G50" s="977"/>
      <c r="H50" s="977"/>
      <c r="I50" s="978" t="s">
        <v>1193</v>
      </c>
      <c r="J50" s="264"/>
      <c r="K50" s="264"/>
    </row>
    <row r="51" customFormat="false" ht="15" hidden="false" customHeight="false" outlineLevel="0" collapsed="false">
      <c r="A51" s="1018"/>
      <c r="B51" s="1018"/>
      <c r="C51" s="1018"/>
      <c r="D51" s="1018"/>
      <c r="E51" s="1018"/>
      <c r="F51" s="1018"/>
      <c r="G51" s="1018"/>
      <c r="H51" s="1018"/>
      <c r="I51" s="1021"/>
      <c r="J51" s="264"/>
      <c r="K51" s="264"/>
    </row>
    <row r="52" customFormat="false" ht="15" hidden="false" customHeight="false" outlineLevel="0" collapsed="false">
      <c r="A52" s="1019"/>
      <c r="B52" s="1019"/>
      <c r="C52" s="1019"/>
      <c r="D52" s="1019"/>
      <c r="E52" s="1019"/>
      <c r="F52" s="1019"/>
      <c r="G52" s="1019"/>
      <c r="H52" s="1019"/>
      <c r="I52" s="1022"/>
      <c r="J52" s="264"/>
      <c r="K52" s="264"/>
    </row>
    <row r="53" customFormat="false" ht="15" hidden="false" customHeight="false" outlineLevel="0" collapsed="false">
      <c r="A53" s="1019"/>
      <c r="B53" s="1019"/>
      <c r="C53" s="1019"/>
      <c r="D53" s="1019"/>
      <c r="E53" s="1019"/>
      <c r="F53" s="1019"/>
      <c r="G53" s="1019"/>
      <c r="H53" s="1019"/>
      <c r="I53" s="1022"/>
      <c r="J53" s="264"/>
      <c r="K53" s="264"/>
    </row>
    <row r="54" customFormat="false" ht="15" hidden="false" customHeight="false" outlineLevel="0" collapsed="false">
      <c r="A54" s="1019"/>
      <c r="B54" s="1019"/>
      <c r="C54" s="1019"/>
      <c r="D54" s="1019"/>
      <c r="E54" s="1019"/>
      <c r="F54" s="1019"/>
      <c r="G54" s="1019"/>
      <c r="H54" s="1019"/>
      <c r="I54" s="1022"/>
      <c r="J54" s="264"/>
      <c r="K54" s="264"/>
    </row>
    <row r="55" customFormat="false" ht="15" hidden="false" customHeight="false" outlineLevel="0" collapsed="false">
      <c r="A55" s="1019"/>
      <c r="B55" s="1019"/>
      <c r="C55" s="1019"/>
      <c r="D55" s="1019"/>
      <c r="E55" s="1019"/>
      <c r="F55" s="1019"/>
      <c r="G55" s="1019"/>
      <c r="H55" s="1019"/>
      <c r="I55" s="1022"/>
      <c r="J55" s="264"/>
      <c r="K55" s="264"/>
    </row>
    <row r="56" customFormat="false" ht="15" hidden="false" customHeight="false" outlineLevel="0" collapsed="false">
      <c r="A56" s="1020"/>
      <c r="B56" s="1020"/>
      <c r="C56" s="1020"/>
      <c r="D56" s="1020"/>
      <c r="E56" s="1020"/>
      <c r="F56" s="1020"/>
      <c r="G56" s="1020"/>
      <c r="H56" s="1020"/>
      <c r="I56" s="1023"/>
      <c r="J56" s="264"/>
      <c r="K56" s="264"/>
    </row>
    <row r="58" customFormat="false" ht="15" hidden="false" customHeight="false" outlineLevel="0" collapsed="false">
      <c r="A58" s="996" t="s">
        <v>1194</v>
      </c>
      <c r="B58" s="996"/>
      <c r="C58" s="996"/>
      <c r="D58" s="996"/>
      <c r="E58" s="996"/>
      <c r="F58" s="996"/>
      <c r="G58" s="996"/>
      <c r="H58" s="996"/>
      <c r="I58" s="997" t="n">
        <f aca="false">-SUM(I51:I56)</f>
        <v>0</v>
      </c>
      <c r="J58" s="264"/>
      <c r="K58" s="264"/>
    </row>
    <row r="59" customFormat="false" ht="15" hidden="false" customHeight="false" outlineLevel="0" collapsed="false">
      <c r="A59" s="264"/>
      <c r="B59" s="264"/>
      <c r="C59" s="264"/>
      <c r="D59" s="264"/>
      <c r="E59" s="264"/>
      <c r="F59" s="264"/>
      <c r="G59" s="264"/>
      <c r="H59" s="264"/>
      <c r="I59" s="264"/>
      <c r="J59" s="264"/>
      <c r="K59" s="264"/>
    </row>
    <row r="60" customFormat="false" ht="15" hidden="false" customHeight="false" outlineLevel="0" collapsed="false">
      <c r="A60" s="264"/>
      <c r="B60" s="264"/>
      <c r="C60" s="264"/>
      <c r="D60" s="264"/>
      <c r="E60" s="264"/>
      <c r="F60" s="264"/>
      <c r="G60" s="999" t="s">
        <v>659</v>
      </c>
      <c r="H60" s="999"/>
      <c r="I60" s="1000" t="n">
        <f aca="false">I58</f>
        <v>0</v>
      </c>
      <c r="J60" s="264"/>
      <c r="K60" s="264"/>
    </row>
    <row r="61" customFormat="false" ht="15" hidden="false" customHeight="false" outlineLevel="0" collapsed="false">
      <c r="A61" s="264"/>
      <c r="B61" s="264"/>
      <c r="C61" s="264"/>
      <c r="D61" s="264"/>
      <c r="E61" s="264"/>
      <c r="F61" s="264"/>
      <c r="G61" s="1001" t="s">
        <v>660</v>
      </c>
      <c r="H61" s="1001"/>
      <c r="I61" s="1002" t="n">
        <f aca="false">DSH!E87</f>
        <v>0</v>
      </c>
      <c r="J61" s="264"/>
      <c r="K61" s="264"/>
    </row>
    <row r="62" customFormat="false" ht="15.75" hidden="false" customHeight="true" outlineLevel="0" collapsed="false">
      <c r="A62" s="264"/>
      <c r="B62" s="264"/>
      <c r="C62" s="264"/>
      <c r="D62" s="264"/>
      <c r="E62" s="264"/>
      <c r="F62" s="264"/>
      <c r="G62" s="1003" t="s">
        <v>591</v>
      </c>
      <c r="H62" s="1003"/>
      <c r="I62" s="262" t="n">
        <f aca="false">IFERROR(VALUE(I60) - VALUE(I61), 0)</f>
        <v>0</v>
      </c>
      <c r="J62" s="264"/>
      <c r="K62" s="264"/>
    </row>
    <row r="64" customFormat="false" ht="15" hidden="false" customHeight="false" outlineLevel="0" collapsed="false">
      <c r="A64" s="976" t="s">
        <v>1195</v>
      </c>
      <c r="B64" s="976"/>
      <c r="C64" s="976"/>
      <c r="D64" s="976"/>
      <c r="E64" s="976"/>
      <c r="F64" s="976"/>
      <c r="G64" s="976"/>
      <c r="H64" s="976"/>
      <c r="I64" s="976"/>
      <c r="J64" s="976"/>
      <c r="K64" s="161" t="s">
        <v>628</v>
      </c>
    </row>
    <row r="65" customFormat="false" ht="30" hidden="false" customHeight="true" outlineLevel="0" collapsed="false">
      <c r="A65" s="977" t="s">
        <v>1174</v>
      </c>
      <c r="B65" s="977"/>
      <c r="C65" s="977"/>
      <c r="D65" s="977"/>
      <c r="E65" s="977"/>
      <c r="F65" s="977"/>
      <c r="G65" s="978" t="s">
        <v>1196</v>
      </c>
      <c r="H65" s="978" t="s">
        <v>1197</v>
      </c>
      <c r="I65" s="978" t="s">
        <v>1198</v>
      </c>
      <c r="J65" s="264"/>
      <c r="K65" s="264"/>
    </row>
    <row r="66" customFormat="false" ht="15" hidden="false" customHeight="false" outlineLevel="0" collapsed="false">
      <c r="A66" s="1018"/>
      <c r="B66" s="1018"/>
      <c r="C66" s="1018"/>
      <c r="D66" s="1018"/>
      <c r="E66" s="1018"/>
      <c r="F66" s="1018"/>
      <c r="G66" s="983"/>
      <c r="H66" s="983"/>
      <c r="I66" s="984" t="n">
        <f aca="false">G66+H66</f>
        <v>0</v>
      </c>
      <c r="J66" s="264"/>
      <c r="K66" s="264"/>
    </row>
    <row r="67" customFormat="false" ht="15" hidden="false" customHeight="false" outlineLevel="0" collapsed="false">
      <c r="A67" s="1019"/>
      <c r="B67" s="1019"/>
      <c r="C67" s="1019"/>
      <c r="D67" s="1019"/>
      <c r="E67" s="1019"/>
      <c r="F67" s="1019"/>
      <c r="G67" s="987"/>
      <c r="H67" s="987"/>
      <c r="I67" s="989" t="n">
        <f aca="false">G67+H67</f>
        <v>0</v>
      </c>
      <c r="J67" s="264"/>
      <c r="K67" s="264"/>
    </row>
    <row r="68" customFormat="false" ht="15" hidden="false" customHeight="false" outlineLevel="0" collapsed="false">
      <c r="A68" s="1019"/>
      <c r="B68" s="1019"/>
      <c r="C68" s="1019"/>
      <c r="D68" s="1019"/>
      <c r="E68" s="1019"/>
      <c r="F68" s="1019"/>
      <c r="G68" s="987"/>
      <c r="H68" s="987"/>
      <c r="I68" s="989" t="n">
        <f aca="false">G68+H68</f>
        <v>0</v>
      </c>
      <c r="J68" s="264"/>
      <c r="K68" s="264"/>
    </row>
    <row r="69" customFormat="false" ht="15" hidden="false" customHeight="false" outlineLevel="0" collapsed="false">
      <c r="A69" s="1019"/>
      <c r="B69" s="1019"/>
      <c r="C69" s="1019"/>
      <c r="D69" s="1019"/>
      <c r="E69" s="1019"/>
      <c r="F69" s="1019"/>
      <c r="G69" s="987"/>
      <c r="H69" s="987"/>
      <c r="I69" s="989" t="n">
        <f aca="false">G69+H69</f>
        <v>0</v>
      </c>
      <c r="J69" s="264"/>
      <c r="K69" s="264"/>
    </row>
    <row r="70" customFormat="false" ht="15" hidden="false" customHeight="false" outlineLevel="0" collapsed="false">
      <c r="A70" s="1019"/>
      <c r="B70" s="1019"/>
      <c r="C70" s="1019"/>
      <c r="D70" s="1019"/>
      <c r="E70" s="1019"/>
      <c r="F70" s="1019"/>
      <c r="G70" s="987"/>
      <c r="H70" s="987"/>
      <c r="I70" s="989" t="n">
        <f aca="false">G70+H70</f>
        <v>0</v>
      </c>
      <c r="J70" s="264"/>
      <c r="K70" s="264"/>
    </row>
    <row r="71" customFormat="false" ht="15" hidden="false" customHeight="false" outlineLevel="0" collapsed="false">
      <c r="A71" s="1020"/>
      <c r="B71" s="1020"/>
      <c r="C71" s="1020"/>
      <c r="D71" s="1020"/>
      <c r="E71" s="1020"/>
      <c r="F71" s="1020"/>
      <c r="G71" s="994"/>
      <c r="H71" s="994"/>
      <c r="I71" s="995" t="n">
        <f aca="false">G71+H71</f>
        <v>0</v>
      </c>
      <c r="J71" s="264"/>
      <c r="K71" s="264"/>
    </row>
    <row r="73" customFormat="false" ht="15" hidden="false" customHeight="false" outlineLevel="0" collapsed="false">
      <c r="A73" s="996" t="s">
        <v>669</v>
      </c>
      <c r="B73" s="996"/>
      <c r="C73" s="996"/>
      <c r="D73" s="996"/>
      <c r="E73" s="996"/>
      <c r="F73" s="996"/>
      <c r="G73" s="1024" t="n">
        <f aca="false">+SUM(G66:G71)</f>
        <v>0</v>
      </c>
      <c r="H73" s="1024" t="n">
        <f aca="false">+SUM(H66:H71)</f>
        <v>0</v>
      </c>
      <c r="I73" s="1024" t="n">
        <f aca="false">-+SUM(I66:I71)</f>
        <v>0</v>
      </c>
      <c r="J73" s="264"/>
      <c r="K73" s="264"/>
    </row>
    <row r="74" customFormat="false" ht="15" hidden="false" customHeight="false" outlineLevel="0" collapsed="false">
      <c r="A74" s="422"/>
      <c r="B74" s="422"/>
      <c r="C74" s="422"/>
      <c r="D74" s="422"/>
      <c r="E74" s="422"/>
      <c r="F74" s="422"/>
      <c r="G74" s="422"/>
      <c r="H74" s="422"/>
      <c r="I74" s="422"/>
      <c r="J74" s="264"/>
      <c r="K74" s="264"/>
    </row>
    <row r="75" customFormat="false" ht="15" hidden="false" customHeight="false" outlineLevel="0" collapsed="false">
      <c r="A75" s="264"/>
      <c r="B75" s="264"/>
      <c r="C75" s="264"/>
      <c r="D75" s="264"/>
      <c r="E75" s="264"/>
      <c r="F75" s="264"/>
      <c r="G75" s="999" t="s">
        <v>659</v>
      </c>
      <c r="H75" s="999"/>
      <c r="I75" s="1000" t="n">
        <f aca="false">I73</f>
        <v>0</v>
      </c>
      <c r="J75" s="264"/>
      <c r="K75" s="264"/>
    </row>
    <row r="76" customFormat="false" ht="15" hidden="false" customHeight="false" outlineLevel="0" collapsed="false">
      <c r="A76" s="264"/>
      <c r="B76" s="264"/>
      <c r="C76" s="264"/>
      <c r="D76" s="264"/>
      <c r="E76" s="264"/>
      <c r="F76" s="264"/>
      <c r="G76" s="1001" t="s">
        <v>660</v>
      </c>
      <c r="H76" s="1001"/>
      <c r="I76" s="1002" t="n">
        <f aca="false">DSH!E88</f>
        <v>0</v>
      </c>
      <c r="J76" s="264"/>
      <c r="K76" s="264"/>
    </row>
    <row r="77" customFormat="false" ht="15.75" hidden="false" customHeight="true" outlineLevel="0" collapsed="false">
      <c r="A77" s="264"/>
      <c r="B77" s="264"/>
      <c r="C77" s="264"/>
      <c r="D77" s="264"/>
      <c r="E77" s="264"/>
      <c r="F77" s="264"/>
      <c r="G77" s="1003" t="s">
        <v>591</v>
      </c>
      <c r="H77" s="1003"/>
      <c r="I77" s="262" t="n">
        <f aca="false">IFERROR(VALUE(I75) - VALUE(I76), 0)</f>
        <v>0</v>
      </c>
      <c r="J77" s="264"/>
      <c r="K77" s="264"/>
    </row>
    <row r="79" customFormat="false" ht="15" hidden="false" customHeight="false" outlineLevel="0" collapsed="false">
      <c r="A79" s="264"/>
      <c r="B79" s="264"/>
      <c r="C79" s="264"/>
      <c r="D79" s="264"/>
      <c r="E79" s="264"/>
      <c r="F79" s="264"/>
      <c r="G79" s="264"/>
      <c r="H79" s="1025"/>
      <c r="I79" s="1025"/>
      <c r="J79" s="1026"/>
      <c r="K79" s="264"/>
    </row>
    <row r="80" customFormat="false" ht="15" hidden="false" customHeight="false" outlineLevel="0" collapsed="false">
      <c r="A80" s="976" t="s">
        <v>1199</v>
      </c>
      <c r="B80" s="976"/>
      <c r="C80" s="976"/>
      <c r="D80" s="976"/>
      <c r="E80" s="976"/>
      <c r="F80" s="976"/>
      <c r="G80" s="976"/>
      <c r="H80" s="976"/>
      <c r="I80" s="976"/>
      <c r="J80" s="976"/>
      <c r="K80" s="976"/>
      <c r="L80" s="161" t="s">
        <v>628</v>
      </c>
    </row>
    <row r="81" customFormat="false" ht="30" hidden="false" customHeight="true" outlineLevel="0" collapsed="false">
      <c r="A81" s="977" t="s">
        <v>1174</v>
      </c>
      <c r="B81" s="977"/>
      <c r="C81" s="977"/>
      <c r="D81" s="977"/>
      <c r="E81" s="977"/>
      <c r="F81" s="978" t="s">
        <v>1200</v>
      </c>
      <c r="G81" s="978" t="s">
        <v>1201</v>
      </c>
      <c r="H81" s="978" t="s">
        <v>1191</v>
      </c>
      <c r="I81" s="978" t="s">
        <v>1202</v>
      </c>
      <c r="J81" s="978" t="s">
        <v>1150</v>
      </c>
      <c r="K81" s="264"/>
    </row>
    <row r="82" customFormat="false" ht="15" hidden="false" customHeight="false" outlineLevel="0" collapsed="false">
      <c r="A82" s="1018"/>
      <c r="B82" s="1018"/>
      <c r="C82" s="1018"/>
      <c r="D82" s="1018"/>
      <c r="E82" s="1018"/>
      <c r="F82" s="983"/>
      <c r="G82" s="983"/>
      <c r="H82" s="983"/>
      <c r="I82" s="983"/>
      <c r="J82" s="984" t="n">
        <f aca="false">SUM(F82:I82)</f>
        <v>0</v>
      </c>
      <c r="K82" s="264"/>
    </row>
    <row r="83" customFormat="false" ht="15" hidden="false" customHeight="false" outlineLevel="0" collapsed="false">
      <c r="A83" s="1019"/>
      <c r="B83" s="1019"/>
      <c r="C83" s="1019"/>
      <c r="D83" s="1019"/>
      <c r="E83" s="1019"/>
      <c r="F83" s="987"/>
      <c r="G83" s="987"/>
      <c r="H83" s="987"/>
      <c r="I83" s="987"/>
      <c r="J83" s="989" t="n">
        <f aca="false">SUM(F83:I83)</f>
        <v>0</v>
      </c>
      <c r="K83" s="264"/>
    </row>
    <row r="84" customFormat="false" ht="15" hidden="false" customHeight="false" outlineLevel="0" collapsed="false">
      <c r="A84" s="1019"/>
      <c r="B84" s="1019"/>
      <c r="C84" s="1019"/>
      <c r="D84" s="1019"/>
      <c r="E84" s="1019"/>
      <c r="F84" s="987"/>
      <c r="G84" s="987"/>
      <c r="H84" s="987"/>
      <c r="I84" s="987"/>
      <c r="J84" s="989" t="n">
        <f aca="false">SUM(F84:I84)</f>
        <v>0</v>
      </c>
      <c r="K84" s="264"/>
    </row>
    <row r="85" customFormat="false" ht="15" hidden="false" customHeight="false" outlineLevel="0" collapsed="false">
      <c r="A85" s="1019"/>
      <c r="B85" s="1019"/>
      <c r="C85" s="1019"/>
      <c r="D85" s="1019"/>
      <c r="E85" s="1019"/>
      <c r="F85" s="987"/>
      <c r="G85" s="987"/>
      <c r="H85" s="987"/>
      <c r="I85" s="987"/>
      <c r="J85" s="989" t="n">
        <f aca="false">SUM(F85:I85)</f>
        <v>0</v>
      </c>
      <c r="K85" s="264"/>
    </row>
    <row r="86" customFormat="false" ht="15" hidden="false" customHeight="false" outlineLevel="0" collapsed="false">
      <c r="A86" s="1019"/>
      <c r="B86" s="1019"/>
      <c r="C86" s="1019"/>
      <c r="D86" s="1019"/>
      <c r="E86" s="1019"/>
      <c r="F86" s="987"/>
      <c r="G86" s="987"/>
      <c r="H86" s="987"/>
      <c r="I86" s="987"/>
      <c r="J86" s="989" t="n">
        <f aca="false">SUM(F86:I86)</f>
        <v>0</v>
      </c>
      <c r="K86" s="264"/>
    </row>
    <row r="87" customFormat="false" ht="15" hidden="false" customHeight="false" outlineLevel="0" collapsed="false">
      <c r="A87" s="1020"/>
      <c r="B87" s="1020"/>
      <c r="C87" s="1020"/>
      <c r="D87" s="1020"/>
      <c r="E87" s="1020"/>
      <c r="F87" s="994"/>
      <c r="G87" s="994"/>
      <c r="H87" s="994"/>
      <c r="I87" s="994"/>
      <c r="J87" s="995" t="n">
        <f aca="false">SUM(F87:I87)</f>
        <v>0</v>
      </c>
      <c r="K87" s="264"/>
    </row>
    <row r="89" customFormat="false" ht="15" hidden="false" customHeight="false" outlineLevel="0" collapsed="false">
      <c r="A89" s="996" t="s">
        <v>669</v>
      </c>
      <c r="B89" s="996"/>
      <c r="C89" s="996"/>
      <c r="D89" s="996"/>
      <c r="E89" s="996"/>
      <c r="F89" s="1027" t="n">
        <f aca="false">SUM(F82:F88)</f>
        <v>0</v>
      </c>
      <c r="G89" s="1027" t="n">
        <f aca="false">SUM(G82:G88)</f>
        <v>0</v>
      </c>
      <c r="H89" s="1027" t="n">
        <f aca="false">SUM(H82:H88)</f>
        <v>0</v>
      </c>
      <c r="I89" s="1027" t="n">
        <f aca="false">SUM(I82:I88)</f>
        <v>0</v>
      </c>
      <c r="J89" s="1027" t="n">
        <f aca="false">SUM(J82:J88)</f>
        <v>0</v>
      </c>
      <c r="K89" s="264"/>
    </row>
    <row r="90" customFormat="false" ht="15" hidden="false" customHeight="false" outlineLevel="0" collapsed="false">
      <c r="A90" s="1028"/>
      <c r="B90" s="1028"/>
      <c r="C90" s="1028"/>
      <c r="D90" s="1028"/>
      <c r="E90" s="1028"/>
      <c r="F90" s="264"/>
      <c r="G90" s="264"/>
      <c r="H90" s="264"/>
      <c r="I90" s="264"/>
      <c r="J90" s="264"/>
      <c r="K90" s="264"/>
    </row>
    <row r="91" customFormat="false" ht="15" hidden="false" customHeight="false" outlineLevel="0" collapsed="false">
      <c r="A91" s="264"/>
      <c r="B91" s="264"/>
      <c r="C91" s="264"/>
      <c r="D91" s="264"/>
      <c r="E91" s="264"/>
      <c r="F91" s="264"/>
      <c r="G91" s="264"/>
      <c r="H91" s="999" t="s">
        <v>659</v>
      </c>
      <c r="I91" s="999"/>
      <c r="J91" s="1000" t="n">
        <f aca="false">-J89</f>
        <v>0</v>
      </c>
      <c r="K91" s="264"/>
    </row>
    <row r="92" customFormat="false" ht="15" hidden="false" customHeight="false" outlineLevel="0" collapsed="false">
      <c r="A92" s="264"/>
      <c r="B92" s="264"/>
      <c r="C92" s="264"/>
      <c r="D92" s="264"/>
      <c r="E92" s="264"/>
      <c r="F92" s="264"/>
      <c r="G92" s="264"/>
      <c r="H92" s="1001" t="s">
        <v>660</v>
      </c>
      <c r="I92" s="1001"/>
      <c r="J92" s="1002" t="n">
        <f aca="false">DSH!F89</f>
        <v>0</v>
      </c>
      <c r="K92" s="264"/>
    </row>
    <row r="93" customFormat="false" ht="15.75" hidden="false" customHeight="true" outlineLevel="0" collapsed="false">
      <c r="A93" s="264"/>
      <c r="B93" s="264"/>
      <c r="C93" s="264"/>
      <c r="D93" s="264"/>
      <c r="E93" s="264"/>
      <c r="F93" s="264"/>
      <c r="G93" s="264"/>
      <c r="H93" s="1003" t="s">
        <v>591</v>
      </c>
      <c r="I93" s="1003"/>
      <c r="J93" s="262" t="n">
        <f aca="false">IFERROR(VALUE(J91) - VALUE(J92), 0)</f>
        <v>0</v>
      </c>
    </row>
  </sheetData>
  <mergeCells count="61">
    <mergeCell ref="A2:I2"/>
    <mergeCell ref="A5:C5"/>
    <mergeCell ref="A6:C6"/>
    <mergeCell ref="A7:C7"/>
    <mergeCell ref="A8:C8"/>
    <mergeCell ref="A9:C9"/>
    <mergeCell ref="A10:C10"/>
    <mergeCell ref="A11:C11"/>
    <mergeCell ref="G15:H15"/>
    <mergeCell ref="G16:H16"/>
    <mergeCell ref="G17:H17"/>
    <mergeCell ref="B21:C21"/>
    <mergeCell ref="B22:C22"/>
    <mergeCell ref="B23:C23"/>
    <mergeCell ref="B24:C24"/>
    <mergeCell ref="B25:C25"/>
    <mergeCell ref="B26:C26"/>
    <mergeCell ref="G30:H30"/>
    <mergeCell ref="G31:H31"/>
    <mergeCell ref="G32:H32"/>
    <mergeCell ref="A35:D35"/>
    <mergeCell ref="A36:D36"/>
    <mergeCell ref="A37:D37"/>
    <mergeCell ref="A38:D38"/>
    <mergeCell ref="A39:D39"/>
    <mergeCell ref="A40:D40"/>
    <mergeCell ref="A41:D41"/>
    <mergeCell ref="G45:H45"/>
    <mergeCell ref="G46:H46"/>
    <mergeCell ref="G47:H47"/>
    <mergeCell ref="A50:H50"/>
    <mergeCell ref="A51:H51"/>
    <mergeCell ref="A52:H52"/>
    <mergeCell ref="A53:H53"/>
    <mergeCell ref="A54:H54"/>
    <mergeCell ref="A55:H55"/>
    <mergeCell ref="A56:H56"/>
    <mergeCell ref="G60:H60"/>
    <mergeCell ref="G61:H61"/>
    <mergeCell ref="G62:H62"/>
    <mergeCell ref="A65:F65"/>
    <mergeCell ref="A66:F66"/>
    <mergeCell ref="A67:F67"/>
    <mergeCell ref="A68:F68"/>
    <mergeCell ref="A69:F69"/>
    <mergeCell ref="A70:F70"/>
    <mergeCell ref="A71:F71"/>
    <mergeCell ref="G75:H75"/>
    <mergeCell ref="G76:H76"/>
    <mergeCell ref="G77:H77"/>
    <mergeCell ref="A81:E81"/>
    <mergeCell ref="A82:E82"/>
    <mergeCell ref="A83:E83"/>
    <mergeCell ref="A84:E84"/>
    <mergeCell ref="A85:E85"/>
    <mergeCell ref="A86:E86"/>
    <mergeCell ref="A87:E87"/>
    <mergeCell ref="A90:E90"/>
    <mergeCell ref="H91:I91"/>
    <mergeCell ref="H92:I92"/>
    <mergeCell ref="H93:I9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R167"/>
  <sheetViews>
    <sheetView showFormulas="false" showGridLines="false" showRowColHeaders="true" showZeros="true" rightToLeft="false" tabSelected="false" showOutlineSymbols="true" defaultGridColor="true" view="normal" topLeftCell="A25" colorId="64" zoomScale="100" zoomScaleNormal="100" zoomScalePageLayoutView="100" workbookViewId="0">
      <selection pane="topLeft" activeCell="A7" activeCellId="0" sqref="A7"/>
    </sheetView>
  </sheetViews>
  <sheetFormatPr defaultColWidth="9.14453125" defaultRowHeight="12.75" zeroHeight="false" outlineLevelRow="0" outlineLevelCol="0"/>
  <cols>
    <col collapsed="false" customWidth="true" hidden="false" outlineLevel="0" max="1" min="1" style="1029" width="3.15"/>
    <col collapsed="false" customWidth="true" hidden="false" outlineLevel="0" max="2" min="2" style="1029" width="11.15"/>
    <col collapsed="false" customWidth="true" hidden="false" outlineLevel="0" max="3" min="3" style="1029" width="7.57"/>
    <col collapsed="false" customWidth="true" hidden="false" outlineLevel="0" max="14" min="4" style="1029" width="12.57"/>
    <col collapsed="false" customWidth="true" hidden="false" outlineLevel="0" max="15" min="15" style="1029" width="13.86"/>
    <col collapsed="false" customWidth="true" hidden="false" outlineLevel="0" max="16" min="16" style="1029" width="12.57"/>
    <col collapsed="false" customWidth="false" hidden="false" outlineLevel="0" max="17" min="17" style="1029" width="9.14"/>
    <col collapsed="false" customWidth="true" hidden="false" outlineLevel="0" max="18" min="18" style="1029" width="10.57"/>
    <col collapsed="false" customWidth="false" hidden="false" outlineLevel="0" max="16384" min="19" style="1029" width="9.14"/>
  </cols>
  <sheetData>
    <row r="1" s="23" customFormat="true" ht="20.25" hidden="false" customHeight="true" outlineLevel="0" collapsed="false">
      <c r="A1" s="54"/>
      <c r="B1" s="54"/>
    </row>
    <row r="2" s="23" customFormat="true" ht="20.25" hidden="false" customHeight="true" outlineLevel="0" collapsed="false">
      <c r="A2" s="218"/>
      <c r="B2" s="218"/>
      <c r="C2" s="218"/>
      <c r="D2" s="218"/>
      <c r="E2" s="218"/>
      <c r="F2" s="218"/>
      <c r="G2" s="218"/>
      <c r="H2" s="218"/>
      <c r="I2" s="218"/>
      <c r="J2" s="174" t="s">
        <v>572</v>
      </c>
      <c r="K2" s="218"/>
      <c r="L2" s="218"/>
      <c r="M2" s="218"/>
      <c r="N2" s="218"/>
      <c r="O2" s="218"/>
      <c r="P2" s="218"/>
      <c r="R2" s="161" t="s">
        <v>628</v>
      </c>
    </row>
    <row r="3" customFormat="false" ht="18.75" hidden="false" customHeight="true" outlineLevel="0" collapsed="false">
      <c r="A3" s="1030"/>
      <c r="B3" s="1030"/>
      <c r="C3" s="1030"/>
      <c r="D3" s="1030"/>
      <c r="E3" s="1030"/>
      <c r="F3" s="1030"/>
      <c r="G3" s="1030"/>
      <c r="H3" s="1030"/>
      <c r="I3" s="1030"/>
      <c r="J3" s="1030"/>
      <c r="K3" s="1030"/>
      <c r="L3" s="1030"/>
      <c r="M3" s="1030"/>
      <c r="N3" s="1030"/>
      <c r="O3" s="1030"/>
      <c r="P3" s="1030"/>
    </row>
    <row r="4" customFormat="false" ht="18.75" hidden="false" customHeight="true" outlineLevel="0" collapsed="false">
      <c r="A4" s="1030"/>
      <c r="B4" s="1030"/>
      <c r="C4" s="1030"/>
      <c r="D4" s="1031" t="s">
        <v>667</v>
      </c>
      <c r="E4" s="1031"/>
      <c r="F4" s="1031"/>
      <c r="G4" s="1032" t="s">
        <v>1203</v>
      </c>
      <c r="H4" s="1032"/>
      <c r="I4" s="1032"/>
      <c r="J4" s="1032"/>
      <c r="K4" s="1032"/>
      <c r="L4" s="1032"/>
      <c r="M4" s="1032"/>
      <c r="N4" s="1032"/>
      <c r="O4" s="1032"/>
      <c r="P4" s="1032"/>
    </row>
    <row r="5" customFormat="false" ht="66.75" hidden="false" customHeight="true" outlineLevel="0" collapsed="false">
      <c r="A5" s="1030"/>
      <c r="B5" s="1030"/>
      <c r="C5" s="1030"/>
      <c r="D5" s="1033" t="s">
        <v>1204</v>
      </c>
      <c r="E5" s="1033" t="s">
        <v>1205</v>
      </c>
      <c r="F5" s="1033" t="s">
        <v>591</v>
      </c>
      <c r="G5" s="1033" t="s">
        <v>1206</v>
      </c>
      <c r="H5" s="1033" t="s">
        <v>1207</v>
      </c>
      <c r="I5" s="1033" t="s">
        <v>1208</v>
      </c>
      <c r="J5" s="1033" t="s">
        <v>1209</v>
      </c>
      <c r="K5" s="1033" t="s">
        <v>1210</v>
      </c>
      <c r="L5" s="1033" t="s">
        <v>1211</v>
      </c>
      <c r="M5" s="1033" t="s">
        <v>1212</v>
      </c>
      <c r="N5" s="1033" t="s">
        <v>1213</v>
      </c>
      <c r="O5" s="1033" t="s">
        <v>591</v>
      </c>
      <c r="P5" s="1034" t="s">
        <v>1214</v>
      </c>
    </row>
    <row r="6" customFormat="false" ht="18" hidden="false" customHeight="true" outlineLevel="0" collapsed="false">
      <c r="A6" s="1030"/>
      <c r="B6" s="1035" t="s">
        <v>1215</v>
      </c>
      <c r="C6" s="1035"/>
      <c r="D6" s="1036"/>
      <c r="E6" s="1037"/>
      <c r="F6" s="1038" t="n">
        <f aca="false">D6-E6</f>
        <v>0</v>
      </c>
      <c r="G6" s="1037"/>
      <c r="H6" s="1037"/>
      <c r="I6" s="1037"/>
      <c r="J6" s="1037"/>
      <c r="K6" s="1037"/>
      <c r="L6" s="1037"/>
      <c r="M6" s="1039" t="n">
        <f aca="false">SUM(G6:L6)</f>
        <v>0</v>
      </c>
      <c r="N6" s="1037"/>
      <c r="O6" s="1038" t="n">
        <f aca="false">M6-N6</f>
        <v>0</v>
      </c>
      <c r="P6" s="1040"/>
    </row>
    <row r="7" customFormat="false" ht="18" hidden="false" customHeight="true" outlineLevel="0" collapsed="false">
      <c r="A7" s="1030"/>
      <c r="B7" s="1035" t="s">
        <v>1216</v>
      </c>
      <c r="C7" s="1035"/>
      <c r="D7" s="1041"/>
      <c r="E7" s="1041"/>
      <c r="F7" s="1042" t="n">
        <f aca="false">D7-E7</f>
        <v>0</v>
      </c>
      <c r="G7" s="1041"/>
      <c r="H7" s="1041"/>
      <c r="I7" s="1041"/>
      <c r="J7" s="1041"/>
      <c r="K7" s="1041"/>
      <c r="L7" s="1041"/>
      <c r="M7" s="1043" t="n">
        <f aca="false">SUM(G7:L7)</f>
        <v>0</v>
      </c>
      <c r="N7" s="1041"/>
      <c r="O7" s="1042" t="n">
        <f aca="false">M7-N7</f>
        <v>0</v>
      </c>
      <c r="P7" s="1044"/>
    </row>
    <row r="8" customFormat="false" ht="18" hidden="false" customHeight="true" outlineLevel="0" collapsed="false">
      <c r="A8" s="1030"/>
      <c r="B8" s="1035" t="s">
        <v>1217</v>
      </c>
      <c r="C8" s="1035"/>
      <c r="D8" s="1041"/>
      <c r="E8" s="1041"/>
      <c r="F8" s="1042" t="n">
        <f aca="false">D8-E8</f>
        <v>0</v>
      </c>
      <c r="G8" s="1041"/>
      <c r="H8" s="1041"/>
      <c r="I8" s="1041"/>
      <c r="J8" s="1041"/>
      <c r="K8" s="1041"/>
      <c r="L8" s="1041"/>
      <c r="M8" s="1043" t="n">
        <f aca="false">SUM(G8:L8)</f>
        <v>0</v>
      </c>
      <c r="N8" s="1041"/>
      <c r="O8" s="1042" t="n">
        <f aca="false">M8-N8</f>
        <v>0</v>
      </c>
      <c r="P8" s="1044"/>
    </row>
    <row r="9" customFormat="false" ht="18" hidden="false" customHeight="true" outlineLevel="0" collapsed="false">
      <c r="A9" s="1030"/>
      <c r="B9" s="1035" t="s">
        <v>1218</v>
      </c>
      <c r="C9" s="1035"/>
      <c r="D9" s="1041"/>
      <c r="E9" s="1041"/>
      <c r="F9" s="1042" t="n">
        <f aca="false">D9-E9</f>
        <v>0</v>
      </c>
      <c r="G9" s="1041"/>
      <c r="H9" s="1041"/>
      <c r="I9" s="1041"/>
      <c r="J9" s="1041"/>
      <c r="K9" s="1041"/>
      <c r="L9" s="1041"/>
      <c r="M9" s="1043" t="n">
        <f aca="false">SUM(G9:L9)</f>
        <v>0</v>
      </c>
      <c r="N9" s="1041"/>
      <c r="O9" s="1042" t="n">
        <f aca="false">M9-N9</f>
        <v>0</v>
      </c>
      <c r="P9" s="1044"/>
    </row>
    <row r="10" customFormat="false" ht="18" hidden="false" customHeight="true" outlineLevel="0" collapsed="false">
      <c r="A10" s="1030"/>
      <c r="B10" s="1035" t="s">
        <v>1219</v>
      </c>
      <c r="C10" s="1035"/>
      <c r="D10" s="1041"/>
      <c r="E10" s="1041"/>
      <c r="F10" s="1042" t="n">
        <f aca="false">D10-E10</f>
        <v>0</v>
      </c>
      <c r="G10" s="1041"/>
      <c r="H10" s="1041"/>
      <c r="I10" s="1041"/>
      <c r="J10" s="1041"/>
      <c r="K10" s="1041"/>
      <c r="L10" s="1041"/>
      <c r="M10" s="1043" t="n">
        <f aca="false">SUM(G10:L10)</f>
        <v>0</v>
      </c>
      <c r="N10" s="1041"/>
      <c r="O10" s="1042" t="n">
        <f aca="false">M10-N10</f>
        <v>0</v>
      </c>
      <c r="P10" s="1044"/>
    </row>
    <row r="11" customFormat="false" ht="18" hidden="false" customHeight="true" outlineLevel="0" collapsed="false">
      <c r="A11" s="1030"/>
      <c r="B11" s="1035" t="s">
        <v>1220</v>
      </c>
      <c r="C11" s="1035"/>
      <c r="D11" s="1041"/>
      <c r="E11" s="1041"/>
      <c r="F11" s="1042" t="n">
        <f aca="false">D11-E11</f>
        <v>0</v>
      </c>
      <c r="G11" s="1041"/>
      <c r="H11" s="1041"/>
      <c r="I11" s="1041"/>
      <c r="J11" s="1041"/>
      <c r="K11" s="1041"/>
      <c r="L11" s="1041"/>
      <c r="M11" s="1043" t="n">
        <f aca="false">SUM(G11:L11)</f>
        <v>0</v>
      </c>
      <c r="N11" s="1041"/>
      <c r="O11" s="1042" t="n">
        <f aca="false">M11-N11</f>
        <v>0</v>
      </c>
      <c r="P11" s="1044"/>
    </row>
    <row r="12" customFormat="false" ht="18" hidden="false" customHeight="true" outlineLevel="0" collapsed="false">
      <c r="A12" s="1030"/>
      <c r="B12" s="1035" t="s">
        <v>1221</v>
      </c>
      <c r="C12" s="1035"/>
      <c r="D12" s="1041"/>
      <c r="E12" s="1041"/>
      <c r="F12" s="1042" t="n">
        <f aca="false">D12-E12</f>
        <v>0</v>
      </c>
      <c r="G12" s="1041"/>
      <c r="H12" s="1041"/>
      <c r="I12" s="1041"/>
      <c r="J12" s="1041"/>
      <c r="K12" s="1041"/>
      <c r="L12" s="1041"/>
      <c r="M12" s="1043" t="n">
        <f aca="false">SUM(G12:L12)</f>
        <v>0</v>
      </c>
      <c r="N12" s="1041"/>
      <c r="O12" s="1042" t="n">
        <f aca="false">M12-N12</f>
        <v>0</v>
      </c>
      <c r="P12" s="1044"/>
    </row>
    <row r="13" customFormat="false" ht="18" hidden="false" customHeight="true" outlineLevel="0" collapsed="false">
      <c r="A13" s="1030"/>
      <c r="B13" s="1035" t="s">
        <v>1222</v>
      </c>
      <c r="C13" s="1035"/>
      <c r="D13" s="1041"/>
      <c r="E13" s="1041"/>
      <c r="F13" s="1042" t="n">
        <f aca="false">D13-E13</f>
        <v>0</v>
      </c>
      <c r="G13" s="1041"/>
      <c r="H13" s="1041"/>
      <c r="I13" s="1041"/>
      <c r="J13" s="1041"/>
      <c r="K13" s="1041"/>
      <c r="L13" s="1041"/>
      <c r="M13" s="1043" t="n">
        <f aca="false">SUM(G13:L13)</f>
        <v>0</v>
      </c>
      <c r="N13" s="1041"/>
      <c r="O13" s="1042" t="n">
        <f aca="false">M13-N13</f>
        <v>0</v>
      </c>
      <c r="P13" s="1044"/>
    </row>
    <row r="14" customFormat="false" ht="18" hidden="false" customHeight="true" outlineLevel="0" collapsed="false">
      <c r="A14" s="1030"/>
      <c r="B14" s="1035" t="s">
        <v>1223</v>
      </c>
      <c r="C14" s="1035"/>
      <c r="D14" s="1041"/>
      <c r="E14" s="1041"/>
      <c r="F14" s="1042" t="n">
        <f aca="false">D14-E14</f>
        <v>0</v>
      </c>
      <c r="G14" s="1041"/>
      <c r="H14" s="1041"/>
      <c r="I14" s="1041"/>
      <c r="J14" s="1041"/>
      <c r="K14" s="1041"/>
      <c r="L14" s="1041"/>
      <c r="M14" s="1043" t="n">
        <f aca="false">SUM(G14:L14)</f>
        <v>0</v>
      </c>
      <c r="N14" s="1041"/>
      <c r="O14" s="1042" t="n">
        <f aca="false">M14-N14</f>
        <v>0</v>
      </c>
      <c r="P14" s="1044"/>
    </row>
    <row r="15" customFormat="false" ht="18" hidden="false" customHeight="true" outlineLevel="0" collapsed="false">
      <c r="A15" s="1030"/>
      <c r="B15" s="1035" t="s">
        <v>1224</v>
      </c>
      <c r="C15" s="1035"/>
      <c r="D15" s="1041"/>
      <c r="E15" s="1041"/>
      <c r="F15" s="1042" t="n">
        <f aca="false">D15-E15</f>
        <v>0</v>
      </c>
      <c r="G15" s="1041"/>
      <c r="H15" s="1041"/>
      <c r="I15" s="1041"/>
      <c r="J15" s="1041"/>
      <c r="K15" s="1041"/>
      <c r="L15" s="1041"/>
      <c r="M15" s="1043" t="n">
        <f aca="false">SUM(G15:L15)</f>
        <v>0</v>
      </c>
      <c r="N15" s="1041"/>
      <c r="O15" s="1042" t="n">
        <f aca="false">M15-N15</f>
        <v>0</v>
      </c>
      <c r="P15" s="1044"/>
    </row>
    <row r="16" customFormat="false" ht="18" hidden="false" customHeight="true" outlineLevel="0" collapsed="false">
      <c r="A16" s="1030"/>
      <c r="B16" s="1035" t="s">
        <v>1225</v>
      </c>
      <c r="C16" s="1035"/>
      <c r="D16" s="1041"/>
      <c r="E16" s="1041"/>
      <c r="F16" s="1042" t="n">
        <f aca="false">D16-E16</f>
        <v>0</v>
      </c>
      <c r="G16" s="1041"/>
      <c r="H16" s="1041"/>
      <c r="I16" s="1041"/>
      <c r="J16" s="1041"/>
      <c r="K16" s="1041"/>
      <c r="L16" s="1041"/>
      <c r="M16" s="1043" t="n">
        <f aca="false">SUM(G16:L16)</f>
        <v>0</v>
      </c>
      <c r="N16" s="1041"/>
      <c r="O16" s="1042" t="n">
        <f aca="false">M16-N16</f>
        <v>0</v>
      </c>
      <c r="P16" s="1044"/>
    </row>
    <row r="17" customFormat="false" ht="18" hidden="false" customHeight="true" outlineLevel="0" collapsed="false">
      <c r="A17" s="1030"/>
      <c r="B17" s="1035" t="s">
        <v>1226</v>
      </c>
      <c r="C17" s="1035"/>
      <c r="D17" s="1041"/>
      <c r="E17" s="1041"/>
      <c r="F17" s="1042" t="n">
        <f aca="false">D17-E17</f>
        <v>0</v>
      </c>
      <c r="G17" s="1041"/>
      <c r="H17" s="1041"/>
      <c r="I17" s="1041"/>
      <c r="J17" s="1041"/>
      <c r="K17" s="1041"/>
      <c r="L17" s="1041"/>
      <c r="M17" s="1043" t="n">
        <f aca="false">SUM(G17:L17)</f>
        <v>0</v>
      </c>
      <c r="N17" s="1041"/>
      <c r="O17" s="1042" t="n">
        <f aca="false">M17-N17</f>
        <v>0</v>
      </c>
      <c r="P17" s="1044"/>
    </row>
    <row r="18" customFormat="false" ht="11.25" hidden="false" customHeight="true" outlineLevel="0" collapsed="false">
      <c r="B18" s="1045"/>
      <c r="C18" s="1045"/>
      <c r="D18" s="1045"/>
      <c r="E18" s="1045"/>
      <c r="F18" s="1045"/>
      <c r="G18" s="1045"/>
      <c r="H18" s="1045"/>
      <c r="I18" s="1045"/>
      <c r="J18" s="1045"/>
      <c r="K18" s="1045"/>
      <c r="L18" s="1045"/>
      <c r="M18" s="1045"/>
      <c r="N18" s="1045"/>
      <c r="O18" s="1045"/>
      <c r="P18" s="1045"/>
    </row>
    <row r="19" customFormat="false" ht="18.75" hidden="false" customHeight="true" outlineLevel="0" collapsed="false">
      <c r="A19" s="1030"/>
      <c r="B19" s="1046" t="s">
        <v>496</v>
      </c>
      <c r="C19" s="1046"/>
      <c r="D19" s="1047" t="n">
        <f aca="false">SUM(D6:D17)</f>
        <v>0</v>
      </c>
      <c r="E19" s="1047" t="n">
        <f aca="false">SUM(E6:E17)</f>
        <v>0</v>
      </c>
      <c r="F19" s="1047" t="n">
        <f aca="false">SUM(F6:F17)</f>
        <v>0</v>
      </c>
      <c r="G19" s="1047" t="n">
        <f aca="false">SUM(G6:G17)</f>
        <v>0</v>
      </c>
      <c r="H19" s="1047" t="n">
        <f aca="false">SUM(H6:H17)</f>
        <v>0</v>
      </c>
      <c r="I19" s="1047" t="n">
        <f aca="false">SUM(I6:I17)</f>
        <v>0</v>
      </c>
      <c r="J19" s="1047" t="n">
        <f aca="false">SUM(J6:J17)</f>
        <v>0</v>
      </c>
      <c r="K19" s="1047" t="n">
        <f aca="false">SUM(K6:K17)</f>
        <v>0</v>
      </c>
      <c r="L19" s="1047" t="n">
        <f aca="false">SUM(L6:L17)</f>
        <v>0</v>
      </c>
      <c r="M19" s="1047" t="n">
        <f aca="false">SUM(M6:M17)</f>
        <v>0</v>
      </c>
      <c r="N19" s="1047" t="n">
        <f aca="false">SUM(N6:N17)</f>
        <v>0</v>
      </c>
      <c r="O19" s="1047" t="n">
        <f aca="false">SUM(O6:O17)</f>
        <v>0</v>
      </c>
      <c r="P19" s="1048" t="n">
        <f aca="false">SUM(P6:P17)</f>
        <v>0</v>
      </c>
    </row>
    <row r="20" customFormat="false" ht="9.75" hidden="false" customHeight="true" outlineLevel="0" collapsed="false">
      <c r="D20" s="1049"/>
      <c r="E20" s="1049"/>
      <c r="F20" s="1049"/>
      <c r="G20" s="1049"/>
      <c r="H20" s="1049"/>
      <c r="I20" s="1049"/>
      <c r="J20" s="1049"/>
      <c r="K20" s="1049"/>
      <c r="L20" s="1049"/>
      <c r="M20" s="1049"/>
      <c r="N20" s="1049"/>
      <c r="O20" s="1049"/>
      <c r="P20" s="1049"/>
    </row>
    <row r="21" customFormat="false" ht="11.25" hidden="false" customHeight="true" outlineLevel="0" collapsed="false"/>
    <row r="23" s="469" customFormat="true" ht="18.75" hidden="false" customHeight="true" outlineLevel="0" collapsed="false">
      <c r="A23" s="765"/>
      <c r="B23" s="1050" t="s">
        <v>1227</v>
      </c>
      <c r="C23" s="1050"/>
      <c r="D23" s="1050"/>
      <c r="E23" s="1050"/>
      <c r="F23" s="1050"/>
      <c r="G23" s="765"/>
      <c r="H23" s="1051" t="n">
        <f aca="false">E19</f>
        <v>0</v>
      </c>
      <c r="I23" s="1052"/>
      <c r="J23" s="765"/>
      <c r="K23" s="765"/>
      <c r="L23" s="765"/>
      <c r="M23" s="765"/>
      <c r="N23" s="765"/>
    </row>
    <row r="24" s="469" customFormat="true" ht="18.75" hidden="false" customHeight="true" outlineLevel="0" collapsed="false">
      <c r="A24" s="765"/>
      <c r="B24" s="765"/>
      <c r="C24" s="765"/>
      <c r="D24" s="765"/>
      <c r="E24" s="765"/>
      <c r="F24" s="765"/>
      <c r="G24" s="765"/>
      <c r="H24" s="538"/>
      <c r="I24" s="765"/>
      <c r="J24" s="765"/>
      <c r="K24" s="765"/>
      <c r="L24" s="765"/>
      <c r="M24" s="765"/>
      <c r="N24" s="765"/>
    </row>
    <row r="25" s="469" customFormat="true" ht="22.5" hidden="false" customHeight="true" outlineLevel="0" collapsed="false">
      <c r="A25" s="765"/>
      <c r="B25" s="520" t="s">
        <v>1228</v>
      </c>
      <c r="C25" s="520"/>
      <c r="D25" s="520"/>
      <c r="E25" s="520"/>
      <c r="F25" s="520"/>
      <c r="G25" s="1053"/>
      <c r="H25" s="810"/>
      <c r="I25" s="810"/>
      <c r="J25" s="810"/>
      <c r="K25" s="810"/>
      <c r="L25" s="810"/>
      <c r="M25" s="810"/>
      <c r="N25" s="810"/>
      <c r="P25" s="1054"/>
    </row>
    <row r="26" s="469" customFormat="true" ht="18.75" hidden="false" customHeight="true" outlineLevel="0" collapsed="false">
      <c r="A26" s="765"/>
      <c r="B26" s="1055"/>
      <c r="C26" s="1055"/>
      <c r="D26" s="1055"/>
      <c r="E26" s="1055"/>
      <c r="F26" s="1055"/>
      <c r="G26" s="1056"/>
      <c r="H26" s="765"/>
      <c r="I26" s="765"/>
      <c r="J26" s="765"/>
      <c r="K26" s="765"/>
      <c r="L26" s="765"/>
      <c r="M26" s="765"/>
      <c r="N26" s="765"/>
      <c r="P26" s="1054"/>
    </row>
    <row r="27" s="469" customFormat="true" ht="18.75" hidden="false" customHeight="true" outlineLevel="0" collapsed="false">
      <c r="A27" s="765"/>
      <c r="B27" s="1057"/>
      <c r="C27" s="1057"/>
      <c r="D27" s="1057"/>
      <c r="E27" s="1057"/>
      <c r="F27" s="1057"/>
      <c r="G27" s="1058"/>
      <c r="H27" s="765"/>
      <c r="I27" s="765"/>
      <c r="J27" s="765"/>
      <c r="K27" s="765"/>
      <c r="L27" s="765"/>
      <c r="M27" s="765"/>
      <c r="N27" s="765"/>
      <c r="P27" s="1054"/>
    </row>
    <row r="28" s="469" customFormat="true" ht="18.75" hidden="false" customHeight="true" outlineLevel="0" collapsed="false">
      <c r="A28" s="765"/>
      <c r="B28" s="1057"/>
      <c r="C28" s="1057"/>
      <c r="D28" s="1057"/>
      <c r="E28" s="1057"/>
      <c r="F28" s="1057"/>
      <c r="G28" s="1059"/>
      <c r="I28" s="765"/>
      <c r="J28" s="765"/>
      <c r="K28" s="765"/>
      <c r="L28" s="765"/>
      <c r="M28" s="765"/>
      <c r="N28" s="765"/>
      <c r="P28" s="1054"/>
    </row>
    <row r="29" s="469" customFormat="true" ht="14.25" hidden="false" customHeight="true" outlineLevel="0" collapsed="false">
      <c r="A29" s="765"/>
      <c r="B29" s="1057"/>
      <c r="C29" s="1057"/>
      <c r="D29" s="1057"/>
      <c r="E29" s="1057"/>
      <c r="F29" s="1057"/>
      <c r="G29" s="1059"/>
      <c r="I29" s="765"/>
      <c r="J29" s="765"/>
      <c r="K29" s="765"/>
      <c r="L29" s="765"/>
      <c r="M29" s="765"/>
      <c r="N29" s="765"/>
      <c r="P29" s="1054"/>
    </row>
    <row r="30" s="469" customFormat="true" ht="18.75" hidden="false" customHeight="true" outlineLevel="0" collapsed="false">
      <c r="A30" s="765"/>
      <c r="B30" s="538"/>
      <c r="C30" s="538"/>
      <c r="D30" s="538"/>
      <c r="E30" s="1060"/>
      <c r="F30" s="538"/>
      <c r="G30" s="538"/>
      <c r="H30" s="527" t="n">
        <f aca="false">SUM(G26:G29)</f>
        <v>0</v>
      </c>
      <c r="I30" s="765"/>
      <c r="J30" s="765"/>
      <c r="K30" s="765"/>
      <c r="L30" s="765"/>
      <c r="M30" s="765"/>
      <c r="N30" s="765"/>
      <c r="P30" s="1054"/>
    </row>
    <row r="31" s="469" customFormat="true" ht="22.5" hidden="false" customHeight="true" outlineLevel="0" collapsed="false">
      <c r="A31" s="765"/>
      <c r="B31" s="520" t="s">
        <v>1229</v>
      </c>
      <c r="C31" s="520"/>
      <c r="D31" s="520"/>
      <c r="E31" s="520"/>
      <c r="F31" s="520"/>
      <c r="G31" s="1053"/>
      <c r="H31" s="810"/>
      <c r="I31" s="810"/>
      <c r="J31" s="810"/>
      <c r="K31" s="810"/>
      <c r="L31" s="810"/>
      <c r="M31" s="810"/>
      <c r="N31" s="810"/>
      <c r="P31" s="1054"/>
    </row>
    <row r="32" s="469" customFormat="true" ht="18.75" hidden="false" customHeight="true" outlineLevel="0" collapsed="false">
      <c r="A32" s="765"/>
      <c r="B32" s="1061" t="s">
        <v>1230</v>
      </c>
      <c r="C32" s="1061"/>
      <c r="D32" s="1061"/>
      <c r="E32" s="1061"/>
      <c r="F32" s="1061"/>
      <c r="G32" s="1062" t="n">
        <f aca="false">I19+J19</f>
        <v>0</v>
      </c>
      <c r="H32" s="765"/>
      <c r="I32" s="765"/>
      <c r="J32" s="765"/>
      <c r="K32" s="765"/>
      <c r="L32" s="765"/>
      <c r="M32" s="765"/>
      <c r="N32" s="765"/>
      <c r="P32" s="1054"/>
    </row>
    <row r="33" s="469" customFormat="true" ht="18.75" hidden="false" customHeight="true" outlineLevel="0" collapsed="false">
      <c r="A33" s="765"/>
      <c r="B33" s="1063" t="s">
        <v>1231</v>
      </c>
      <c r="C33" s="1063"/>
      <c r="D33" s="1063"/>
      <c r="E33" s="1063"/>
      <c r="F33" s="1063"/>
      <c r="G33" s="1058"/>
      <c r="H33" s="765"/>
      <c r="I33" s="765"/>
      <c r="J33" s="765"/>
      <c r="K33" s="765"/>
      <c r="L33" s="765"/>
      <c r="M33" s="765"/>
      <c r="N33" s="765"/>
      <c r="P33" s="1054"/>
    </row>
    <row r="34" s="469" customFormat="true" ht="18.75" hidden="false" customHeight="true" outlineLevel="0" collapsed="false">
      <c r="A34" s="765"/>
      <c r="B34" s="1063" t="s">
        <v>1232</v>
      </c>
      <c r="C34" s="1063"/>
      <c r="D34" s="1063"/>
      <c r="E34" s="1063"/>
      <c r="F34" s="1063"/>
      <c r="G34" s="1058"/>
      <c r="I34" s="765"/>
      <c r="J34" s="765"/>
      <c r="K34" s="765"/>
      <c r="L34" s="765"/>
      <c r="M34" s="765"/>
      <c r="N34" s="765"/>
      <c r="P34" s="1054"/>
    </row>
    <row r="35" s="469" customFormat="true" ht="18.75" hidden="false" customHeight="true" outlineLevel="0" collapsed="false">
      <c r="A35" s="765"/>
      <c r="B35" s="1064"/>
      <c r="C35" s="1064"/>
      <c r="D35" s="1064"/>
      <c r="E35" s="1064"/>
      <c r="F35" s="1064"/>
      <c r="G35" s="1059"/>
      <c r="I35" s="765"/>
      <c r="J35" s="765"/>
      <c r="K35" s="765"/>
      <c r="L35" s="765"/>
      <c r="M35" s="765"/>
      <c r="N35" s="765"/>
      <c r="P35" s="1054"/>
    </row>
    <row r="36" s="469" customFormat="true" ht="14.25" hidden="false" customHeight="true" outlineLevel="0" collapsed="false">
      <c r="A36" s="765"/>
      <c r="B36" s="1064"/>
      <c r="C36" s="1064"/>
      <c r="D36" s="1064"/>
      <c r="E36" s="1064"/>
      <c r="F36" s="1064"/>
      <c r="G36" s="1059"/>
      <c r="I36" s="765"/>
      <c r="J36" s="765"/>
      <c r="K36" s="765"/>
      <c r="L36" s="765"/>
      <c r="M36" s="765"/>
      <c r="N36" s="765"/>
      <c r="P36" s="1054"/>
    </row>
    <row r="37" s="469" customFormat="true" ht="18.75" hidden="false" customHeight="true" outlineLevel="0" collapsed="false">
      <c r="A37" s="765"/>
      <c r="B37" s="477"/>
      <c r="C37" s="477"/>
      <c r="D37" s="477"/>
      <c r="E37" s="477"/>
      <c r="F37" s="477"/>
      <c r="G37" s="477"/>
      <c r="H37" s="491" t="n">
        <f aca="false">SUM(G32:G36)</f>
        <v>0</v>
      </c>
      <c r="I37" s="765"/>
      <c r="J37" s="765"/>
      <c r="K37" s="765"/>
      <c r="L37" s="765"/>
      <c r="M37" s="765"/>
      <c r="N37" s="765"/>
      <c r="P37" s="1054"/>
    </row>
    <row r="38" s="469" customFormat="true" ht="18.75" hidden="false" customHeight="true" outlineLevel="0" collapsed="false">
      <c r="A38" s="765"/>
      <c r="B38" s="765"/>
      <c r="C38" s="765"/>
      <c r="D38" s="765"/>
      <c r="E38" s="765"/>
      <c r="F38" s="765"/>
      <c r="G38" s="765"/>
      <c r="H38" s="1065"/>
      <c r="I38" s="765"/>
      <c r="J38" s="810"/>
      <c r="K38" s="765"/>
      <c r="L38" s="810"/>
      <c r="M38" s="810"/>
      <c r="N38" s="810"/>
      <c r="P38" s="1054"/>
    </row>
    <row r="39" s="469" customFormat="true" ht="18.75" hidden="false" customHeight="true" outlineLevel="0" collapsed="false">
      <c r="A39" s="765"/>
      <c r="B39" s="1066" t="s">
        <v>1233</v>
      </c>
      <c r="C39" s="1066"/>
      <c r="D39" s="1066"/>
      <c r="E39" s="1066"/>
      <c r="F39" s="1066"/>
      <c r="G39" s="1066"/>
      <c r="H39" s="491" t="n">
        <f aca="false">H23+H30+H37</f>
        <v>0</v>
      </c>
      <c r="I39" s="765"/>
      <c r="J39" s="765"/>
      <c r="K39" s="765"/>
      <c r="L39" s="765"/>
      <c r="M39" s="765"/>
      <c r="N39" s="765"/>
      <c r="P39" s="1054"/>
    </row>
    <row r="40" s="469" customFormat="true" ht="18.75" hidden="false" customHeight="true" outlineLevel="0" collapsed="false">
      <c r="A40" s="765"/>
      <c r="B40" s="1067"/>
      <c r="C40" s="1067"/>
      <c r="D40" s="1067"/>
      <c r="E40" s="1067"/>
      <c r="F40" s="1067"/>
      <c r="G40" s="1067"/>
      <c r="H40" s="492"/>
      <c r="I40" s="765"/>
      <c r="J40" s="765"/>
      <c r="K40" s="765"/>
      <c r="L40" s="765"/>
      <c r="M40" s="765"/>
      <c r="N40" s="765"/>
      <c r="P40" s="1054"/>
    </row>
    <row r="41" s="469" customFormat="true" ht="18.75" hidden="false" customHeight="true" outlineLevel="0" collapsed="false">
      <c r="A41" s="765"/>
      <c r="B41" s="1067"/>
      <c r="C41" s="1067"/>
      <c r="D41" s="1067"/>
      <c r="E41" s="1067"/>
      <c r="F41" s="1068" t="s">
        <v>660</v>
      </c>
      <c r="G41" s="1069"/>
      <c r="H41" s="1070" t="n">
        <f aca="false">DSH!E90</f>
        <v>0</v>
      </c>
      <c r="I41" s="1071"/>
      <c r="J41" s="765"/>
      <c r="K41" s="765"/>
      <c r="L41" s="765"/>
      <c r="M41" s="765"/>
      <c r="N41" s="765"/>
      <c r="P41" s="1054"/>
    </row>
    <row r="42" s="469" customFormat="true" ht="18.75" hidden="false" customHeight="true" outlineLevel="0" collapsed="false">
      <c r="A42" s="765"/>
      <c r="B42" s="765"/>
      <c r="C42" s="1067"/>
      <c r="D42" s="1067"/>
      <c r="E42" s="1067"/>
      <c r="F42" s="1072" t="s">
        <v>591</v>
      </c>
      <c r="G42" s="1072"/>
      <c r="H42" s="1073" t="n">
        <f aca="false">H39-H41</f>
        <v>0</v>
      </c>
      <c r="I42" s="1071"/>
      <c r="J42" s="765"/>
      <c r="K42" s="765"/>
      <c r="L42" s="765"/>
      <c r="M42" s="765"/>
      <c r="N42" s="765"/>
      <c r="P42" s="1054"/>
    </row>
    <row r="43" s="469" customFormat="true" ht="18.75" hidden="false" customHeight="true" outlineLevel="0" collapsed="false">
      <c r="A43" s="765"/>
      <c r="B43" s="1066" t="s">
        <v>1234</v>
      </c>
      <c r="C43" s="1066"/>
      <c r="D43" s="1066"/>
      <c r="E43" s="1066"/>
      <c r="F43" s="1066"/>
      <c r="G43" s="1066"/>
      <c r="H43" s="1074" t="str">
        <f aca="false">IF(H23&gt;0,+H42/H39,"")</f>
        <v/>
      </c>
      <c r="I43" s="1075"/>
      <c r="J43" s="881"/>
      <c r="K43" s="881"/>
      <c r="L43" s="881"/>
      <c r="M43" s="881"/>
      <c r="N43" s="881"/>
      <c r="P43" s="1054"/>
    </row>
    <row r="167" customFormat="false" ht="18.75" hidden="false" customHeight="true" outlineLevel="0" collapsed="false">
      <c r="H167" s="1076" t="s">
        <v>1235</v>
      </c>
    </row>
  </sheetData>
  <mergeCells count="29">
    <mergeCell ref="D4:F4"/>
    <mergeCell ref="G4:P4"/>
    <mergeCell ref="B6:C6"/>
    <mergeCell ref="B7:C7"/>
    <mergeCell ref="B8:C8"/>
    <mergeCell ref="B9:C9"/>
    <mergeCell ref="B10:C10"/>
    <mergeCell ref="B11:C11"/>
    <mergeCell ref="B12:C12"/>
    <mergeCell ref="B13:C13"/>
    <mergeCell ref="B14:C14"/>
    <mergeCell ref="B15:C15"/>
    <mergeCell ref="B16:C16"/>
    <mergeCell ref="B17:C17"/>
    <mergeCell ref="B19:C19"/>
    <mergeCell ref="B25:F25"/>
    <mergeCell ref="B26:F26"/>
    <mergeCell ref="B27:F27"/>
    <mergeCell ref="B28:F28"/>
    <mergeCell ref="B29:F29"/>
    <mergeCell ref="B31:F31"/>
    <mergeCell ref="B32:F32"/>
    <mergeCell ref="B33:F33"/>
    <mergeCell ref="B34:F34"/>
    <mergeCell ref="B35:F35"/>
    <mergeCell ref="B36:F36"/>
    <mergeCell ref="B39:G39"/>
    <mergeCell ref="F42:G42"/>
    <mergeCell ref="B43:G43"/>
  </mergeCells>
  <conditionalFormatting sqref="H167">
    <cfRule type="expression" priority="2" aboveAverage="0" equalAverage="0" bottom="0" percent="0" rank="0" text="" dxfId="34">
      <formula>#ref!="R"</formula>
    </cfRule>
  </conditionalFormatting>
  <hyperlinks>
    <hyperlink ref="H167" location="Hidden!A1" display="R"/>
  </hyperlinks>
  <printOptions headings="false" gridLines="false" gridLinesSet="true" horizontalCentered="false" verticalCentered="false"/>
  <pageMargins left="0.590277777777778" right="0.590277777777778" top="0.590277777777778" bottom="0.59027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&amp;L&amp;8 CCH Business Fitness NZ&amp;R&amp;8 &amp;P of &amp;N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4.25" zeroHeight="false" outlineLevelRow="0" outlineLevelCol="0"/>
  <cols>
    <col collapsed="false" customWidth="true" hidden="false" outlineLevel="0" max="1" min="1" style="1" width="17.86"/>
    <col collapsed="false" customWidth="true" hidden="false" outlineLevel="0" max="2" min="2" style="1" width="32.57"/>
    <col collapsed="false" customWidth="true" hidden="false" outlineLevel="0" max="3" min="3" style="1" width="12"/>
    <col collapsed="false" customWidth="true" hidden="false" outlineLevel="0" max="4" min="4" style="1" width="14.86"/>
    <col collapsed="false" customWidth="true" hidden="false" outlineLevel="0" max="5" min="5" style="1" width="13.86"/>
    <col collapsed="false" customWidth="true" hidden="false" outlineLevel="0" max="6" min="6" style="1" width="14.86"/>
    <col collapsed="false" customWidth="false" hidden="false" outlineLevel="0" max="7" min="7" style="8" width="9.14"/>
    <col collapsed="false" customWidth="true" hidden="false" outlineLevel="0" max="8" min="8" style="1" width="9.86"/>
    <col collapsed="false" customWidth="false" hidden="false" outlineLevel="0" max="16384" min="9" style="1" width="9.14"/>
  </cols>
  <sheetData>
    <row r="1" s="6" customFormat="true" ht="20.25" hidden="false" customHeight="true" outlineLevel="0" collapsed="false">
      <c r="A1" s="120"/>
      <c r="B1" s="120"/>
      <c r="G1" s="26"/>
    </row>
    <row r="2" s="6" customFormat="true" ht="20.25" hidden="false" customHeight="true" outlineLevel="0" collapsed="false">
      <c r="B2" s="218"/>
      <c r="C2" s="218" t="s">
        <v>573</v>
      </c>
      <c r="D2" s="218"/>
      <c r="E2" s="218"/>
      <c r="F2" s="218"/>
      <c r="G2" s="26"/>
    </row>
    <row r="4" customFormat="false" ht="15.75" hidden="false" customHeight="true" outlineLevel="0" collapsed="false">
      <c r="A4" s="1077" t="s">
        <v>1236</v>
      </c>
      <c r="B4" s="1077"/>
      <c r="C4" s="1077"/>
      <c r="D4" s="1077"/>
      <c r="E4" s="1077"/>
      <c r="F4" s="1077"/>
    </row>
    <row r="5" customFormat="false" ht="15" hidden="false" customHeight="true" outlineLevel="0" collapsed="false">
      <c r="A5" s="1078"/>
      <c r="B5" s="1079"/>
      <c r="C5" s="1079"/>
      <c r="D5" s="1079"/>
      <c r="E5" s="1079"/>
      <c r="F5" s="1080"/>
    </row>
    <row r="6" s="50" customFormat="true" ht="39.55" hidden="false" customHeight="true" outlineLevel="0" collapsed="false">
      <c r="A6" s="1081" t="s">
        <v>1237</v>
      </c>
      <c r="B6" s="1081"/>
      <c r="C6" s="220" t="s">
        <v>1238</v>
      </c>
      <c r="D6" s="890" t="s">
        <v>667</v>
      </c>
      <c r="E6" s="1082" t="s">
        <v>668</v>
      </c>
      <c r="F6" s="201" t="s">
        <v>2</v>
      </c>
      <c r="G6" s="173"/>
      <c r="H6" s="126" t="s">
        <v>628</v>
      </c>
    </row>
    <row r="7" customFormat="false" ht="15" hidden="false" customHeight="true" outlineLevel="0" collapsed="false">
      <c r="A7" s="1083"/>
      <c r="B7" s="1083"/>
      <c r="C7" s="1084"/>
      <c r="D7" s="1085"/>
      <c r="E7" s="1086" t="n">
        <f aca="false">IF(C7="N",D7,D7/1.15)</f>
        <v>0</v>
      </c>
      <c r="F7" s="1086" t="n">
        <f aca="false">IF(D7=E7,0,E7*0.15)</f>
        <v>0</v>
      </c>
    </row>
    <row r="8" customFormat="false" ht="15" hidden="false" customHeight="true" outlineLevel="0" collapsed="false">
      <c r="A8" s="1087"/>
      <c r="B8" s="1087"/>
      <c r="C8" s="1084"/>
      <c r="D8" s="1088"/>
      <c r="E8" s="1089" t="n">
        <f aca="false">IF(C8="N",D8,D8/1.15)</f>
        <v>0</v>
      </c>
      <c r="F8" s="1089" t="n">
        <f aca="false">IF(D8=E8,0,E8*0.15)</f>
        <v>0</v>
      </c>
    </row>
    <row r="9" customFormat="false" ht="15" hidden="false" customHeight="true" outlineLevel="0" collapsed="false">
      <c r="A9" s="1087"/>
      <c r="B9" s="1087"/>
      <c r="C9" s="1084"/>
      <c r="D9" s="1088"/>
      <c r="E9" s="1089" t="n">
        <f aca="false">IF(C9="N",D9,D9/1.15)</f>
        <v>0</v>
      </c>
      <c r="F9" s="1089" t="n">
        <f aca="false">IF(D9=E9,0,E9*0.15)</f>
        <v>0</v>
      </c>
    </row>
    <row r="10" customFormat="false" ht="15" hidden="false" customHeight="true" outlineLevel="0" collapsed="false">
      <c r="A10" s="1090"/>
      <c r="B10" s="1090"/>
      <c r="C10" s="1091"/>
      <c r="D10" s="1092"/>
      <c r="E10" s="1093" t="n">
        <f aca="false">IF(C10="N",D10,D10/1.15)</f>
        <v>0</v>
      </c>
      <c r="F10" s="1093" t="n">
        <f aca="false">IF(D10=E10,0,E10*0.15)</f>
        <v>0</v>
      </c>
    </row>
    <row r="11" customFormat="false" ht="15" hidden="false" customHeight="true" outlineLevel="0" collapsed="false">
      <c r="A11" s="1094" t="s">
        <v>1239</v>
      </c>
      <c r="B11" s="1094"/>
      <c r="C11" s="1094"/>
      <c r="D11" s="1095" t="n">
        <f aca="false">D7+D8+D9-D10</f>
        <v>0</v>
      </c>
      <c r="E11" s="1095" t="n">
        <f aca="false">E7+E8+E9-E10</f>
        <v>0</v>
      </c>
      <c r="F11" s="1095" t="n">
        <f aca="false">F7+F8+F9-F10</f>
        <v>0</v>
      </c>
    </row>
    <row r="12" customFormat="false" ht="14.25" hidden="false" customHeight="false" outlineLevel="0" collapsed="false">
      <c r="A12" s="1094"/>
      <c r="B12" s="1094"/>
      <c r="C12" s="1094"/>
      <c r="D12" s="1096"/>
      <c r="E12" s="1096"/>
      <c r="F12" s="1096"/>
    </row>
    <row r="13" customFormat="false" ht="14.25" hidden="false" customHeight="false" outlineLevel="0" collapsed="false">
      <c r="A13" s="1094"/>
      <c r="B13" s="1094"/>
      <c r="C13" s="1094"/>
      <c r="D13" s="207" t="s">
        <v>659</v>
      </c>
      <c r="E13" s="208"/>
      <c r="F13" s="209" t="n">
        <f aca="false">E11</f>
        <v>0</v>
      </c>
    </row>
    <row r="14" customFormat="false" ht="14.25" hidden="false" customHeight="false" outlineLevel="0" collapsed="false">
      <c r="A14" s="1094"/>
      <c r="B14" s="1094"/>
      <c r="C14" s="1094"/>
      <c r="D14" s="210" t="s">
        <v>660</v>
      </c>
      <c r="E14" s="211"/>
      <c r="F14" s="566" t="n">
        <f aca="false">DSH!E91</f>
        <v>0</v>
      </c>
    </row>
    <row r="15" customFormat="false" ht="14.25" hidden="false" customHeight="false" outlineLevel="0" collapsed="false">
      <c r="A15" s="1094"/>
      <c r="B15" s="1094"/>
      <c r="C15" s="1094"/>
      <c r="D15" s="213" t="s">
        <v>591</v>
      </c>
      <c r="E15" s="214"/>
      <c r="F15" s="215" t="n">
        <f aca="false">IFERROR(VALUE(F13) - VALUE(F14), 0)</f>
        <v>0</v>
      </c>
    </row>
    <row r="16" customFormat="false" ht="14.25" hidden="false" customHeight="false" outlineLevel="0" collapsed="false">
      <c r="A16" s="1094"/>
      <c r="B16" s="1094"/>
      <c r="C16" s="1094"/>
      <c r="D16" s="1096"/>
      <c r="E16" s="1096"/>
      <c r="F16" s="1096"/>
    </row>
    <row r="18" customFormat="false" ht="39.55" hidden="false" customHeight="true" outlineLevel="0" collapsed="false">
      <c r="A18" s="1081" t="s">
        <v>1240</v>
      </c>
      <c r="B18" s="1081"/>
      <c r="C18" s="188" t="s">
        <v>1241</v>
      </c>
      <c r="D18" s="890" t="s">
        <v>667</v>
      </c>
      <c r="E18" s="1082" t="s">
        <v>668</v>
      </c>
      <c r="F18" s="201" t="s">
        <v>2</v>
      </c>
      <c r="H18" s="126" t="s">
        <v>628</v>
      </c>
    </row>
    <row r="19" customFormat="false" ht="15" hidden="false" customHeight="true" outlineLevel="0" collapsed="false">
      <c r="A19" s="1083"/>
      <c r="B19" s="1083"/>
      <c r="C19" s="1084"/>
      <c r="D19" s="1088"/>
      <c r="E19" s="1089" t="n">
        <f aca="false">IF(C19="N",D19,D19/1.15)</f>
        <v>0</v>
      </c>
      <c r="F19" s="1089" t="n">
        <f aca="false">IF(D19=E19,0,E19*0.15)</f>
        <v>0</v>
      </c>
      <c r="H19" s="10"/>
      <c r="K19" s="10"/>
    </row>
    <row r="20" customFormat="false" ht="15" hidden="false" customHeight="true" outlineLevel="0" collapsed="false">
      <c r="A20" s="1087"/>
      <c r="B20" s="1087"/>
      <c r="C20" s="1084"/>
      <c r="D20" s="1088"/>
      <c r="E20" s="1089" t="n">
        <f aca="false">IF(C20="N",D20,D20/1.15)</f>
        <v>0</v>
      </c>
      <c r="F20" s="1089" t="n">
        <f aca="false">IF(D20=E20,0,E20*0.15)</f>
        <v>0</v>
      </c>
    </row>
    <row r="21" customFormat="false" ht="15" hidden="false" customHeight="true" outlineLevel="0" collapsed="false">
      <c r="A21" s="1087"/>
      <c r="B21" s="1087"/>
      <c r="C21" s="1084"/>
      <c r="D21" s="1088"/>
      <c r="E21" s="1089" t="n">
        <f aca="false">IF(C21="N",D21,D21/1.15)</f>
        <v>0</v>
      </c>
      <c r="F21" s="1089" t="n">
        <f aca="false">IF(D21=E21,0,E21*0.15)</f>
        <v>0</v>
      </c>
    </row>
    <row r="22" customFormat="false" ht="15" hidden="false" customHeight="true" outlineLevel="0" collapsed="false">
      <c r="A22" s="1090"/>
      <c r="B22" s="1090"/>
      <c r="C22" s="1091"/>
      <c r="D22" s="1092"/>
      <c r="E22" s="1093" t="n">
        <f aca="false">IF(C22="N",D22,D22/1.15)</f>
        <v>0</v>
      </c>
      <c r="F22" s="1093" t="n">
        <f aca="false">IF(D22=E22,0,E22*0.15)</f>
        <v>0</v>
      </c>
    </row>
    <row r="23" customFormat="false" ht="15" hidden="false" customHeight="true" outlineLevel="0" collapsed="false">
      <c r="A23" s="1094" t="s">
        <v>1239</v>
      </c>
      <c r="B23" s="1094"/>
      <c r="C23" s="1094"/>
      <c r="D23" s="1095" t="n">
        <f aca="false">SUM(D19:D22)</f>
        <v>0</v>
      </c>
      <c r="E23" s="1095" t="n">
        <f aca="false">SUM(E19:E22)</f>
        <v>0</v>
      </c>
      <c r="F23" s="1095" t="n">
        <f aca="false">SUM(F19:F22)</f>
        <v>0</v>
      </c>
    </row>
    <row r="24" customFormat="false" ht="14.25" hidden="false" customHeight="false" outlineLevel="0" collapsed="false">
      <c r="A24" s="1094"/>
      <c r="B24" s="1094"/>
      <c r="C24" s="1094"/>
      <c r="D24" s="1096"/>
      <c r="E24" s="1096"/>
      <c r="F24" s="1096"/>
    </row>
    <row r="25" customFormat="false" ht="14.25" hidden="false" customHeight="false" outlineLevel="0" collapsed="false">
      <c r="A25" s="1094"/>
      <c r="B25" s="1094"/>
      <c r="C25" s="1094"/>
      <c r="D25" s="207" t="s">
        <v>659</v>
      </c>
      <c r="E25" s="208"/>
      <c r="F25" s="209" t="n">
        <f aca="false">E23</f>
        <v>0</v>
      </c>
    </row>
    <row r="26" customFormat="false" ht="14.25" hidden="false" customHeight="false" outlineLevel="0" collapsed="false">
      <c r="A26" s="1094"/>
      <c r="B26" s="1094"/>
      <c r="C26" s="1094"/>
      <c r="D26" s="210" t="s">
        <v>660</v>
      </c>
      <c r="E26" s="211"/>
      <c r="F26" s="566" t="n">
        <f aca="false">DSH!E92</f>
        <v>0</v>
      </c>
      <c r="H26" s="10"/>
      <c r="K26" s="1097"/>
    </row>
    <row r="27" customFormat="false" ht="14.25" hidden="false" customHeight="false" outlineLevel="0" collapsed="false">
      <c r="A27" s="1094"/>
      <c r="B27" s="1094"/>
      <c r="C27" s="1094"/>
      <c r="D27" s="213" t="s">
        <v>591</v>
      </c>
      <c r="E27" s="214"/>
      <c r="F27" s="215" t="n">
        <f aca="false">IFERROR(VALUE(F25) - VALUE(F26), 0)</f>
        <v>0</v>
      </c>
    </row>
    <row r="30" customFormat="false" ht="13.5" hidden="false" customHeight="true" outlineLevel="0" collapsed="false">
      <c r="A30" s="1081" t="s">
        <v>1242</v>
      </c>
      <c r="B30" s="1081"/>
      <c r="C30" s="1081"/>
      <c r="D30" s="1081"/>
      <c r="E30" s="1081"/>
      <c r="F30" s="890" t="s">
        <v>655</v>
      </c>
      <c r="H30" s="126" t="s">
        <v>628</v>
      </c>
    </row>
    <row r="31" customFormat="false" ht="15" hidden="false" customHeight="true" outlineLevel="0" collapsed="false">
      <c r="A31" s="1098"/>
      <c r="B31" s="1098"/>
      <c r="C31" s="1098"/>
      <c r="D31" s="1098"/>
      <c r="E31" s="1098"/>
      <c r="F31" s="1085"/>
    </row>
    <row r="32" customFormat="false" ht="15" hidden="false" customHeight="true" outlineLevel="0" collapsed="false">
      <c r="A32" s="1099"/>
      <c r="B32" s="1099"/>
      <c r="C32" s="1099"/>
      <c r="D32" s="1099"/>
      <c r="E32" s="1099"/>
      <c r="F32" s="1088"/>
    </row>
    <row r="33" customFormat="false" ht="15" hidden="false" customHeight="true" outlineLevel="0" collapsed="false">
      <c r="A33" s="1099"/>
      <c r="B33" s="1099"/>
      <c r="C33" s="1099"/>
      <c r="D33" s="1099"/>
      <c r="E33" s="1099"/>
      <c r="F33" s="1088"/>
    </row>
    <row r="34" customFormat="false" ht="15" hidden="false" customHeight="true" outlineLevel="0" collapsed="false">
      <c r="A34" s="1100"/>
      <c r="B34" s="1100"/>
      <c r="C34" s="1100"/>
      <c r="D34" s="1100"/>
      <c r="E34" s="1100"/>
      <c r="F34" s="1092"/>
    </row>
    <row r="35" customFormat="false" ht="14.25" hidden="false" customHeight="false" outlineLevel="0" collapsed="false">
      <c r="A35" s="1094" t="s">
        <v>1239</v>
      </c>
      <c r="B35" s="1094"/>
      <c r="C35" s="1094"/>
      <c r="D35" s="1094"/>
      <c r="E35" s="1094"/>
      <c r="F35" s="1101" t="n">
        <f aca="false">SUM(F31:F34)</f>
        <v>0</v>
      </c>
    </row>
    <row r="36" customFormat="false" ht="14.25" hidden="false" customHeight="false" outlineLevel="0" collapsed="false">
      <c r="A36" s="1094"/>
      <c r="B36" s="1094"/>
      <c r="C36" s="1094"/>
      <c r="D36" s="1096"/>
      <c r="E36" s="1096"/>
      <c r="F36" s="1096"/>
    </row>
    <row r="37" customFormat="false" ht="14.25" hidden="false" customHeight="false" outlineLevel="0" collapsed="false">
      <c r="A37" s="1094"/>
      <c r="B37" s="1094"/>
      <c r="C37" s="1094"/>
      <c r="D37" s="207" t="s">
        <v>659</v>
      </c>
      <c r="E37" s="208"/>
      <c r="F37" s="209" t="n">
        <f aca="false">+F35</f>
        <v>0</v>
      </c>
    </row>
    <row r="38" customFormat="false" ht="14.25" hidden="false" customHeight="false" outlineLevel="0" collapsed="false">
      <c r="A38" s="1094"/>
      <c r="B38" s="1094"/>
      <c r="C38" s="1094"/>
      <c r="D38" s="210" t="s">
        <v>660</v>
      </c>
      <c r="E38" s="211"/>
      <c r="F38" s="566" t="n">
        <f aca="false">DSH!E93</f>
        <v>0</v>
      </c>
    </row>
    <row r="39" customFormat="false" ht="14.25" hidden="false" customHeight="false" outlineLevel="0" collapsed="false">
      <c r="A39" s="1094"/>
      <c r="B39" s="1094"/>
      <c r="C39" s="1094"/>
      <c r="D39" s="213" t="s">
        <v>591</v>
      </c>
      <c r="E39" s="214"/>
      <c r="F39" s="215" t="n">
        <f aca="false">IFERROR(VALUE(F37) - VALUE(F38), 0)</f>
        <v>0</v>
      </c>
    </row>
    <row r="42" customFormat="false" ht="39.55" hidden="false" customHeight="true" outlineLevel="0" collapsed="false">
      <c r="A42" s="1081" t="s">
        <v>1243</v>
      </c>
      <c r="B42" s="1081"/>
      <c r="C42" s="188" t="s">
        <v>1241</v>
      </c>
      <c r="D42" s="890" t="s">
        <v>667</v>
      </c>
      <c r="E42" s="1082" t="s">
        <v>668</v>
      </c>
      <c r="F42" s="201" t="s">
        <v>2</v>
      </c>
      <c r="H42" s="126" t="s">
        <v>628</v>
      </c>
    </row>
    <row r="43" customFormat="false" ht="15" hidden="false" customHeight="true" outlineLevel="0" collapsed="false">
      <c r="A43" s="1083"/>
      <c r="B43" s="1083"/>
      <c r="C43" s="1084"/>
      <c r="D43" s="1088"/>
      <c r="E43" s="1089" t="n">
        <f aca="false">IF(C43="N",D43,D43/1.15)</f>
        <v>0</v>
      </c>
      <c r="F43" s="1089" t="n">
        <f aca="false">IF(D43=E43,0,E43*0.15)</f>
        <v>0</v>
      </c>
      <c r="H43" s="10"/>
      <c r="K43" s="1097"/>
    </row>
    <row r="44" customFormat="false" ht="15" hidden="false" customHeight="true" outlineLevel="0" collapsed="false">
      <c r="A44" s="1087"/>
      <c r="B44" s="1087"/>
      <c r="C44" s="1084"/>
      <c r="D44" s="1088"/>
      <c r="E44" s="1089" t="n">
        <f aca="false">IF(C44="N",D44,D44/1.15)</f>
        <v>0</v>
      </c>
      <c r="F44" s="1089" t="n">
        <f aca="false">IF(D44=E44,0,E44*0.15)</f>
        <v>0</v>
      </c>
    </row>
    <row r="45" customFormat="false" ht="15" hidden="false" customHeight="true" outlineLevel="0" collapsed="false">
      <c r="A45" s="1087"/>
      <c r="B45" s="1087"/>
      <c r="C45" s="1084"/>
      <c r="D45" s="1088"/>
      <c r="E45" s="1089" t="n">
        <f aca="false">IF(C45="N",D45,D45/1.15)</f>
        <v>0</v>
      </c>
      <c r="F45" s="1089" t="n">
        <f aca="false">IF(D45=E45,0,E45*0.15)</f>
        <v>0</v>
      </c>
    </row>
    <row r="46" customFormat="false" ht="15" hidden="false" customHeight="true" outlineLevel="0" collapsed="false">
      <c r="A46" s="1090"/>
      <c r="B46" s="1090"/>
      <c r="C46" s="1091"/>
      <c r="D46" s="1092"/>
      <c r="E46" s="1093" t="n">
        <f aca="false">IF(C46="N",D46,D46/1.15)</f>
        <v>0</v>
      </c>
      <c r="F46" s="1093" t="n">
        <f aca="false">IF(D46=E46,0,E46*0.15)</f>
        <v>0</v>
      </c>
    </row>
    <row r="47" customFormat="false" ht="15" hidden="false" customHeight="true" outlineLevel="0" collapsed="false">
      <c r="A47" s="1094" t="s">
        <v>1239</v>
      </c>
      <c r="B47" s="1094"/>
      <c r="C47" s="1094"/>
      <c r="D47" s="1095" t="n">
        <f aca="false">SUM(D43:D46)</f>
        <v>0</v>
      </c>
      <c r="E47" s="1095" t="n">
        <f aca="false">SUM(E43:E46)</f>
        <v>0</v>
      </c>
      <c r="F47" s="1095" t="n">
        <f aca="false">SUM(F43:F46)</f>
        <v>0</v>
      </c>
    </row>
    <row r="48" customFormat="false" ht="14.25" hidden="false" customHeight="false" outlineLevel="0" collapsed="false">
      <c r="A48" s="1094"/>
      <c r="B48" s="1094"/>
      <c r="C48" s="1094"/>
      <c r="D48" s="1096"/>
      <c r="E48" s="1096"/>
      <c r="F48" s="1096"/>
    </row>
    <row r="49" customFormat="false" ht="14.25" hidden="false" customHeight="false" outlineLevel="0" collapsed="false">
      <c r="A49" s="1094"/>
      <c r="B49" s="1094"/>
      <c r="C49" s="1094"/>
      <c r="D49" s="207" t="s">
        <v>659</v>
      </c>
      <c r="E49" s="208"/>
      <c r="F49" s="209" t="n">
        <f aca="false">E47</f>
        <v>0</v>
      </c>
    </row>
    <row r="50" customFormat="false" ht="14.25" hidden="false" customHeight="false" outlineLevel="0" collapsed="false">
      <c r="A50" s="1094"/>
      <c r="B50" s="1094"/>
      <c r="C50" s="1094"/>
      <c r="D50" s="210" t="s">
        <v>660</v>
      </c>
      <c r="E50" s="211"/>
      <c r="F50" s="566" t="n">
        <f aca="false">DSH!E94</f>
        <v>0</v>
      </c>
      <c r="H50" s="10"/>
      <c r="K50" s="1097"/>
    </row>
    <row r="51" customFormat="false" ht="14.25" hidden="false" customHeight="false" outlineLevel="0" collapsed="false">
      <c r="A51" s="1094"/>
      <c r="B51" s="1094"/>
      <c r="C51" s="1094"/>
      <c r="D51" s="213" t="s">
        <v>591</v>
      </c>
      <c r="E51" s="214"/>
      <c r="F51" s="215" t="n">
        <f aca="false">IFERROR(VALUE(F49) - VALUE(F50), 0)</f>
        <v>0</v>
      </c>
    </row>
    <row r="54" customFormat="false" ht="39.55" hidden="false" customHeight="true" outlineLevel="0" collapsed="false">
      <c r="A54" s="1081" t="s">
        <v>1244</v>
      </c>
      <c r="B54" s="1081"/>
      <c r="C54" s="188" t="s">
        <v>1241</v>
      </c>
      <c r="D54" s="890" t="s">
        <v>667</v>
      </c>
      <c r="E54" s="1082" t="s">
        <v>668</v>
      </c>
      <c r="F54" s="201" t="s">
        <v>2</v>
      </c>
      <c r="H54" s="126" t="s">
        <v>628</v>
      </c>
    </row>
    <row r="55" customFormat="false" ht="15" hidden="false" customHeight="true" outlineLevel="0" collapsed="false">
      <c r="A55" s="1083"/>
      <c r="B55" s="1083"/>
      <c r="C55" s="1084"/>
      <c r="D55" s="1085"/>
      <c r="E55" s="1086" t="n">
        <f aca="false">IF(C55="N",D55,D55/1.15)</f>
        <v>0</v>
      </c>
      <c r="F55" s="1086" t="n">
        <f aca="false">IF(D55=E55,0,E55*0.15)</f>
        <v>0</v>
      </c>
    </row>
    <row r="56" customFormat="false" ht="15" hidden="false" customHeight="true" outlineLevel="0" collapsed="false">
      <c r="A56" s="1087"/>
      <c r="B56" s="1087"/>
      <c r="C56" s="1084"/>
      <c r="D56" s="1088"/>
      <c r="E56" s="1089" t="n">
        <f aca="false">IF(C56="N",D56,D56/1.15)</f>
        <v>0</v>
      </c>
      <c r="F56" s="1089" t="n">
        <f aca="false">IF(D56=E56,0,E56*0.15)</f>
        <v>0</v>
      </c>
    </row>
    <row r="57" customFormat="false" ht="15" hidden="false" customHeight="true" outlineLevel="0" collapsed="false">
      <c r="A57" s="1087"/>
      <c r="B57" s="1087"/>
      <c r="C57" s="1084"/>
      <c r="D57" s="1088"/>
      <c r="E57" s="1089" t="n">
        <f aca="false">IF(C57="N",D57,D57/1.15)</f>
        <v>0</v>
      </c>
      <c r="F57" s="1089" t="n">
        <f aca="false">IF(D57=E57,0,E57*0.15)</f>
        <v>0</v>
      </c>
    </row>
    <row r="58" customFormat="false" ht="15" hidden="false" customHeight="true" outlineLevel="0" collapsed="false">
      <c r="A58" s="1090"/>
      <c r="B58" s="1090"/>
      <c r="C58" s="1091"/>
      <c r="D58" s="1092"/>
      <c r="E58" s="1093" t="n">
        <f aca="false">IF(C58="N",D58,D58/1.15)</f>
        <v>0</v>
      </c>
      <c r="F58" s="1093" t="n">
        <f aca="false">IF(D58=E58,0,E58*0.15)</f>
        <v>0</v>
      </c>
    </row>
    <row r="59" customFormat="false" ht="15" hidden="false" customHeight="true" outlineLevel="0" collapsed="false">
      <c r="A59" s="1094" t="s">
        <v>1239</v>
      </c>
      <c r="B59" s="1094"/>
      <c r="C59" s="1094"/>
      <c r="D59" s="1095" t="n">
        <f aca="false">SUM(D55:D58)</f>
        <v>0</v>
      </c>
      <c r="E59" s="1095" t="n">
        <f aca="false">SUM(E55:E58)</f>
        <v>0</v>
      </c>
      <c r="F59" s="1095" t="n">
        <f aca="false">SUM(F55:F58)</f>
        <v>0</v>
      </c>
    </row>
    <row r="60" customFormat="false" ht="14.25" hidden="false" customHeight="false" outlineLevel="0" collapsed="false">
      <c r="A60" s="1094"/>
      <c r="B60" s="1094"/>
      <c r="C60" s="1094"/>
      <c r="D60" s="1096"/>
      <c r="E60" s="1096"/>
      <c r="F60" s="1096"/>
    </row>
    <row r="61" customFormat="false" ht="14.25" hidden="false" customHeight="false" outlineLevel="0" collapsed="false">
      <c r="A61" s="1094"/>
      <c r="B61" s="1094"/>
      <c r="C61" s="1094"/>
      <c r="D61" s="207" t="s">
        <v>659</v>
      </c>
      <c r="E61" s="208"/>
      <c r="F61" s="209" t="n">
        <f aca="false">E59</f>
        <v>0</v>
      </c>
    </row>
    <row r="62" customFormat="false" ht="14.25" hidden="false" customHeight="false" outlineLevel="0" collapsed="false">
      <c r="A62" s="1094"/>
      <c r="B62" s="1094"/>
      <c r="C62" s="1094"/>
      <c r="D62" s="210" t="s">
        <v>660</v>
      </c>
      <c r="E62" s="211"/>
      <c r="F62" s="566" t="n">
        <f aca="false">DSH!E95</f>
        <v>0</v>
      </c>
    </row>
    <row r="63" customFormat="false" ht="14.25" hidden="false" customHeight="false" outlineLevel="0" collapsed="false">
      <c r="A63" s="1094"/>
      <c r="B63" s="1094"/>
      <c r="C63" s="1094"/>
      <c r="D63" s="213" t="s">
        <v>591</v>
      </c>
      <c r="E63" s="214"/>
      <c r="F63" s="215" t="n">
        <f aca="false">IFERROR(VALUE(F61) - VALUE(F62), 0)</f>
        <v>0</v>
      </c>
    </row>
    <row r="66" customFormat="false" ht="39.55" hidden="false" customHeight="true" outlineLevel="0" collapsed="false">
      <c r="A66" s="1081" t="s">
        <v>122</v>
      </c>
      <c r="B66" s="1081"/>
      <c r="C66" s="188" t="s">
        <v>1241</v>
      </c>
      <c r="D66" s="890" t="s">
        <v>667</v>
      </c>
      <c r="E66" s="1082" t="s">
        <v>668</v>
      </c>
      <c r="F66" s="201" t="s">
        <v>2</v>
      </c>
      <c r="H66" s="126" t="s">
        <v>628</v>
      </c>
    </row>
    <row r="67" customFormat="false" ht="15" hidden="false" customHeight="true" outlineLevel="0" collapsed="false">
      <c r="A67" s="1083"/>
      <c r="B67" s="1083"/>
      <c r="C67" s="1084"/>
      <c r="D67" s="1088"/>
      <c r="E67" s="1089" t="n">
        <f aca="false">IF(C67="N",D67,D67/1.15)</f>
        <v>0</v>
      </c>
      <c r="F67" s="1089" t="n">
        <f aca="false">IF(D67=E67,0,E67*0.15)</f>
        <v>0</v>
      </c>
      <c r="H67" s="10"/>
      <c r="K67" s="1097"/>
    </row>
    <row r="68" customFormat="false" ht="15" hidden="false" customHeight="true" outlineLevel="0" collapsed="false">
      <c r="A68" s="1087"/>
      <c r="B68" s="1087"/>
      <c r="C68" s="1084"/>
      <c r="D68" s="1088"/>
      <c r="E68" s="1089" t="n">
        <f aca="false">IF(C68="N",D68,D68/1.15)</f>
        <v>0</v>
      </c>
      <c r="F68" s="1089" t="n">
        <f aca="false">IF(D68=E68,0,E68*0.15)</f>
        <v>0</v>
      </c>
    </row>
    <row r="69" customFormat="false" ht="15" hidden="false" customHeight="true" outlineLevel="0" collapsed="false">
      <c r="A69" s="1087"/>
      <c r="B69" s="1087"/>
      <c r="C69" s="1084"/>
      <c r="D69" s="1088"/>
      <c r="E69" s="1089" t="n">
        <f aca="false">IF(C69="N",D69,D69/1.15)</f>
        <v>0</v>
      </c>
      <c r="F69" s="1089" t="n">
        <f aca="false">IF(D69=E69,0,E69*0.15)</f>
        <v>0</v>
      </c>
    </row>
    <row r="70" customFormat="false" ht="15" hidden="false" customHeight="true" outlineLevel="0" collapsed="false">
      <c r="A70" s="1090"/>
      <c r="B70" s="1090"/>
      <c r="C70" s="1091"/>
      <c r="D70" s="1092"/>
      <c r="E70" s="1093" t="n">
        <f aca="false">IF(C70="N",D70,D70/1.15)</f>
        <v>0</v>
      </c>
      <c r="F70" s="1093" t="n">
        <f aca="false">IF(D70=E70,0,E70*0.15)</f>
        <v>0</v>
      </c>
    </row>
    <row r="71" customFormat="false" ht="15" hidden="false" customHeight="true" outlineLevel="0" collapsed="false">
      <c r="A71" s="1094" t="s">
        <v>1239</v>
      </c>
      <c r="B71" s="1094"/>
      <c r="C71" s="1094"/>
      <c r="D71" s="1095" t="n">
        <f aca="false">SUM(D67:D70)</f>
        <v>0</v>
      </c>
      <c r="E71" s="1095" t="n">
        <f aca="false">SUM(E67:E70)</f>
        <v>0</v>
      </c>
      <c r="F71" s="1095" t="n">
        <f aca="false">SUM(F67:F70)</f>
        <v>0</v>
      </c>
    </row>
    <row r="72" customFormat="false" ht="14.25" hidden="false" customHeight="false" outlineLevel="0" collapsed="false">
      <c r="A72" s="1094"/>
      <c r="B72" s="1094"/>
      <c r="C72" s="1094"/>
      <c r="D72" s="1096"/>
      <c r="E72" s="1096"/>
      <c r="F72" s="1096"/>
    </row>
    <row r="73" customFormat="false" ht="14.25" hidden="false" customHeight="false" outlineLevel="0" collapsed="false">
      <c r="A73" s="1094"/>
      <c r="B73" s="1094"/>
      <c r="C73" s="1094"/>
      <c r="D73" s="207" t="s">
        <v>659</v>
      </c>
      <c r="E73" s="208"/>
      <c r="F73" s="209" t="n">
        <f aca="false">E71</f>
        <v>0</v>
      </c>
    </row>
    <row r="74" customFormat="false" ht="14.25" hidden="false" customHeight="false" outlineLevel="0" collapsed="false">
      <c r="A74" s="1094"/>
      <c r="B74" s="1094"/>
      <c r="C74" s="1094"/>
      <c r="D74" s="210" t="s">
        <v>660</v>
      </c>
      <c r="E74" s="211"/>
      <c r="F74" s="566" t="n">
        <f aca="false">DSH!E96</f>
        <v>0</v>
      </c>
      <c r="H74" s="10"/>
      <c r="K74" s="1097"/>
    </row>
    <row r="75" customFormat="false" ht="14.25" hidden="false" customHeight="false" outlineLevel="0" collapsed="false">
      <c r="A75" s="1094"/>
      <c r="B75" s="1094"/>
      <c r="C75" s="1094"/>
      <c r="D75" s="213" t="s">
        <v>591</v>
      </c>
      <c r="E75" s="214"/>
      <c r="F75" s="215" t="n">
        <f aca="false">IFERROR(VALUE(F73) - VALUE(F74), 0)</f>
        <v>0</v>
      </c>
    </row>
    <row r="78" customFormat="false" ht="39.55" hidden="false" customHeight="true" outlineLevel="0" collapsed="false">
      <c r="A78" s="1081" t="s">
        <v>1245</v>
      </c>
      <c r="B78" s="1081"/>
      <c r="C78" s="188" t="s">
        <v>1241</v>
      </c>
      <c r="D78" s="890" t="s">
        <v>667</v>
      </c>
      <c r="E78" s="1082" t="s">
        <v>668</v>
      </c>
      <c r="F78" s="201" t="s">
        <v>2</v>
      </c>
      <c r="H78" s="126" t="s">
        <v>628</v>
      </c>
    </row>
    <row r="79" customFormat="false" ht="15" hidden="false" customHeight="true" outlineLevel="0" collapsed="false">
      <c r="A79" s="1083"/>
      <c r="B79" s="1083"/>
      <c r="C79" s="1084"/>
      <c r="D79" s="1088"/>
      <c r="E79" s="1089" t="n">
        <f aca="false">IF(C79="N",D79,D79/1.15)</f>
        <v>0</v>
      </c>
      <c r="F79" s="1089" t="n">
        <f aca="false">IF(D79=E79,0,E79*0.15)</f>
        <v>0</v>
      </c>
      <c r="H79" s="10"/>
    </row>
    <row r="80" customFormat="false" ht="15" hidden="false" customHeight="true" outlineLevel="0" collapsed="false">
      <c r="A80" s="1087"/>
      <c r="B80" s="1087"/>
      <c r="C80" s="1084"/>
      <c r="D80" s="1088"/>
      <c r="E80" s="1089" t="n">
        <f aca="false">IF(C80="N",D80,D80/1.15)</f>
        <v>0</v>
      </c>
      <c r="F80" s="1089" t="n">
        <f aca="false">IF(D80=E80,0,E80*0.15)</f>
        <v>0</v>
      </c>
    </row>
    <row r="81" customFormat="false" ht="15" hidden="false" customHeight="true" outlineLevel="0" collapsed="false">
      <c r="A81" s="1087"/>
      <c r="B81" s="1087"/>
      <c r="C81" s="1084"/>
      <c r="D81" s="1088"/>
      <c r="E81" s="1089" t="n">
        <f aca="false">IF(C81="N",D81,D81/1.15)</f>
        <v>0</v>
      </c>
      <c r="F81" s="1089" t="n">
        <f aca="false">IF(D81=E81,0,E81*0.15)</f>
        <v>0</v>
      </c>
    </row>
    <row r="82" customFormat="false" ht="15" hidden="false" customHeight="true" outlineLevel="0" collapsed="false">
      <c r="A82" s="1090"/>
      <c r="B82" s="1090"/>
      <c r="C82" s="1091"/>
      <c r="D82" s="1092"/>
      <c r="E82" s="1093" t="n">
        <f aca="false">IF(C82="N",D82,D82/1.15)</f>
        <v>0</v>
      </c>
      <c r="F82" s="1093" t="n">
        <f aca="false">IF(D82=E82,0,E82*0.15)</f>
        <v>0</v>
      </c>
    </row>
    <row r="83" customFormat="false" ht="15" hidden="false" customHeight="true" outlineLevel="0" collapsed="false">
      <c r="A83" s="1094" t="s">
        <v>1239</v>
      </c>
      <c r="B83" s="1094"/>
      <c r="C83" s="1094"/>
      <c r="D83" s="1095" t="n">
        <f aca="false">SUM(D79:D82)</f>
        <v>0</v>
      </c>
      <c r="E83" s="1095" t="n">
        <f aca="false">SUM(E79:E82)</f>
        <v>0</v>
      </c>
      <c r="F83" s="1095" t="n">
        <f aca="false">SUM(F79:F82)</f>
        <v>0</v>
      </c>
    </row>
    <row r="84" customFormat="false" ht="14.25" hidden="false" customHeight="false" outlineLevel="0" collapsed="false">
      <c r="A84" s="1094"/>
      <c r="B84" s="1094"/>
      <c r="C84" s="1094"/>
      <c r="D84" s="1096"/>
      <c r="E84" s="1096"/>
      <c r="F84" s="1096"/>
    </row>
    <row r="85" customFormat="false" ht="14.25" hidden="false" customHeight="false" outlineLevel="0" collapsed="false">
      <c r="A85" s="1094"/>
      <c r="B85" s="1094"/>
      <c r="C85" s="1094"/>
      <c r="D85" s="207" t="s">
        <v>659</v>
      </c>
      <c r="E85" s="208"/>
      <c r="F85" s="209" t="n">
        <f aca="false">E83</f>
        <v>0</v>
      </c>
    </row>
    <row r="86" customFormat="false" ht="14.25" hidden="false" customHeight="false" outlineLevel="0" collapsed="false">
      <c r="A86" s="1094"/>
      <c r="B86" s="1094"/>
      <c r="C86" s="1094"/>
      <c r="D86" s="210" t="s">
        <v>660</v>
      </c>
      <c r="E86" s="211"/>
      <c r="F86" s="566" t="n">
        <f aca="false">DSH!E97</f>
        <v>0</v>
      </c>
      <c r="H86" s="10"/>
      <c r="K86" s="1097"/>
    </row>
    <row r="87" customFormat="false" ht="14.25" hidden="false" customHeight="false" outlineLevel="0" collapsed="false">
      <c r="A87" s="1094"/>
      <c r="B87" s="1094"/>
      <c r="C87" s="1094"/>
      <c r="D87" s="213" t="s">
        <v>591</v>
      </c>
      <c r="E87" s="214"/>
      <c r="F87" s="215" t="n">
        <f aca="false">IFERROR(VALUE(F85) - VALUE(F86), 0)</f>
        <v>0</v>
      </c>
    </row>
    <row r="90" customFormat="false" ht="39.55" hidden="false" customHeight="true" outlineLevel="0" collapsed="false">
      <c r="A90" s="1081" t="s">
        <v>1246</v>
      </c>
      <c r="B90" s="1081"/>
      <c r="C90" s="188" t="s">
        <v>1241</v>
      </c>
      <c r="D90" s="890" t="s">
        <v>667</v>
      </c>
      <c r="E90" s="1082" t="s">
        <v>668</v>
      </c>
      <c r="F90" s="201" t="s">
        <v>2</v>
      </c>
      <c r="H90" s="126" t="s">
        <v>628</v>
      </c>
    </row>
    <row r="91" customFormat="false" ht="15" hidden="false" customHeight="true" outlineLevel="0" collapsed="false">
      <c r="A91" s="1083"/>
      <c r="B91" s="1083"/>
      <c r="C91" s="1084"/>
      <c r="D91" s="1088"/>
      <c r="E91" s="1089" t="n">
        <f aca="false">IF(C91="N",D91,D91/1.15)</f>
        <v>0</v>
      </c>
      <c r="F91" s="1089" t="n">
        <f aca="false">IF(D91=E91,0,E91*0.15)</f>
        <v>0</v>
      </c>
      <c r="H91" s="10"/>
    </row>
    <row r="92" customFormat="false" ht="15" hidden="false" customHeight="true" outlineLevel="0" collapsed="false">
      <c r="A92" s="1087"/>
      <c r="B92" s="1087"/>
      <c r="C92" s="1084"/>
      <c r="D92" s="1088"/>
      <c r="E92" s="1089" t="n">
        <f aca="false">IF(C92="N",D92,D92/1.15)</f>
        <v>0</v>
      </c>
      <c r="F92" s="1089" t="n">
        <f aca="false">IF(D92=E92,0,E92*0.15)</f>
        <v>0</v>
      </c>
    </row>
    <row r="93" customFormat="false" ht="15" hidden="false" customHeight="true" outlineLevel="0" collapsed="false">
      <c r="A93" s="1087"/>
      <c r="B93" s="1087"/>
      <c r="C93" s="1084"/>
      <c r="D93" s="1088"/>
      <c r="E93" s="1089" t="n">
        <f aca="false">IF(C93="N",D93,D93/1.15)</f>
        <v>0</v>
      </c>
      <c r="F93" s="1089" t="n">
        <f aca="false">IF(D93=E93,0,E93*0.15)</f>
        <v>0</v>
      </c>
    </row>
    <row r="94" customFormat="false" ht="15" hidden="false" customHeight="true" outlineLevel="0" collapsed="false">
      <c r="A94" s="1090"/>
      <c r="B94" s="1090"/>
      <c r="C94" s="1091"/>
      <c r="D94" s="1092"/>
      <c r="E94" s="1093" t="n">
        <f aca="false">IF(C94="N",D94,D94/1.15)</f>
        <v>0</v>
      </c>
      <c r="F94" s="1093" t="n">
        <f aca="false">IF(D94=E94,0,E94*0.15)</f>
        <v>0</v>
      </c>
    </row>
    <row r="95" customFormat="false" ht="15" hidden="false" customHeight="true" outlineLevel="0" collapsed="false">
      <c r="A95" s="1094" t="s">
        <v>1239</v>
      </c>
      <c r="B95" s="1094"/>
      <c r="C95" s="1094"/>
      <c r="D95" s="1095" t="n">
        <f aca="false">SUM(D91:D94)</f>
        <v>0</v>
      </c>
      <c r="E95" s="1095" t="n">
        <f aca="false">SUM(E91:E94)</f>
        <v>0</v>
      </c>
      <c r="F95" s="1095" t="n">
        <f aca="false">SUM(F91:F94)</f>
        <v>0</v>
      </c>
    </row>
    <row r="96" customFormat="false" ht="14.25" hidden="false" customHeight="false" outlineLevel="0" collapsed="false">
      <c r="A96" s="1094"/>
      <c r="B96" s="1094"/>
      <c r="C96" s="1094"/>
      <c r="D96" s="1096"/>
      <c r="E96" s="1096"/>
      <c r="F96" s="1096"/>
    </row>
    <row r="97" customFormat="false" ht="14.25" hidden="false" customHeight="false" outlineLevel="0" collapsed="false">
      <c r="A97" s="1094"/>
      <c r="B97" s="1094"/>
      <c r="C97" s="1094"/>
      <c r="D97" s="207" t="s">
        <v>659</v>
      </c>
      <c r="E97" s="208"/>
      <c r="F97" s="209" t="n">
        <f aca="false">E95</f>
        <v>0</v>
      </c>
    </row>
    <row r="98" customFormat="false" ht="14.25" hidden="false" customHeight="false" outlineLevel="0" collapsed="false">
      <c r="A98" s="1094"/>
      <c r="B98" s="1094"/>
      <c r="C98" s="1094"/>
      <c r="D98" s="210" t="s">
        <v>660</v>
      </c>
      <c r="E98" s="211"/>
      <c r="F98" s="566" t="n">
        <f aca="false">DSH!E98</f>
        <v>0</v>
      </c>
      <c r="H98" s="10"/>
      <c r="K98" s="1097"/>
    </row>
    <row r="99" customFormat="false" ht="14.25" hidden="false" customHeight="false" outlineLevel="0" collapsed="false">
      <c r="A99" s="1094"/>
      <c r="B99" s="1094"/>
      <c r="C99" s="1094"/>
      <c r="D99" s="213" t="s">
        <v>591</v>
      </c>
      <c r="E99" s="214"/>
      <c r="F99" s="215" t="n">
        <f aca="false">IFERROR(VALUE(F97) - VALUE(F98), 0)</f>
        <v>0</v>
      </c>
    </row>
    <row r="102" customFormat="false" ht="39.55" hidden="false" customHeight="true" outlineLevel="0" collapsed="false">
      <c r="A102" s="1081" t="s">
        <v>408</v>
      </c>
      <c r="B102" s="1081"/>
      <c r="C102" s="188" t="s">
        <v>1241</v>
      </c>
      <c r="D102" s="890" t="s">
        <v>667</v>
      </c>
      <c r="E102" s="1082" t="s">
        <v>668</v>
      </c>
      <c r="F102" s="201" t="s">
        <v>2</v>
      </c>
      <c r="H102" s="126" t="s">
        <v>628</v>
      </c>
    </row>
    <row r="103" customFormat="false" ht="15" hidden="false" customHeight="true" outlineLevel="0" collapsed="false">
      <c r="A103" s="1083"/>
      <c r="B103" s="1083"/>
      <c r="C103" s="1084"/>
      <c r="D103" s="1085"/>
      <c r="E103" s="1086" t="n">
        <f aca="false">IF(C103="N",D103,D103/1.15)</f>
        <v>0</v>
      </c>
      <c r="F103" s="1086" t="n">
        <f aca="false">IF(D103=E103,0,E103*0.15)</f>
        <v>0</v>
      </c>
    </row>
    <row r="104" customFormat="false" ht="15" hidden="false" customHeight="true" outlineLevel="0" collapsed="false">
      <c r="A104" s="1087"/>
      <c r="B104" s="1087"/>
      <c r="C104" s="1084"/>
      <c r="D104" s="1088"/>
      <c r="E104" s="1086" t="n">
        <f aca="false">IF(C104="N",D104,D104/1.15)</f>
        <v>0</v>
      </c>
      <c r="F104" s="1086" t="n">
        <f aca="false">IF(D104=E104,0,E104*0.15)</f>
        <v>0</v>
      </c>
    </row>
    <row r="105" customFormat="false" ht="15" hidden="false" customHeight="true" outlineLevel="0" collapsed="false">
      <c r="A105" s="1087"/>
      <c r="B105" s="1087"/>
      <c r="C105" s="1084"/>
      <c r="D105" s="1088"/>
      <c r="E105" s="1089" t="n">
        <f aca="false">IF(C105="N",D105,D105/1.15)</f>
        <v>0</v>
      </c>
      <c r="F105" s="1089" t="n">
        <f aca="false">IF(D105=E105,0,E105*0.15)</f>
        <v>0</v>
      </c>
    </row>
    <row r="106" customFormat="false" ht="15" hidden="false" customHeight="true" outlineLevel="0" collapsed="false">
      <c r="A106" s="1090"/>
      <c r="B106" s="1090"/>
      <c r="C106" s="1091"/>
      <c r="D106" s="1092"/>
      <c r="E106" s="1093" t="n">
        <f aca="false">IF(C106="N",D106,D106/1.15)</f>
        <v>0</v>
      </c>
      <c r="F106" s="1093" t="n">
        <f aca="false">IF(D106=E106,0,E106*0.15)</f>
        <v>0</v>
      </c>
    </row>
    <row r="107" customFormat="false" ht="15" hidden="false" customHeight="true" outlineLevel="0" collapsed="false">
      <c r="A107" s="1094" t="s">
        <v>1239</v>
      </c>
      <c r="B107" s="1094"/>
      <c r="C107" s="1094"/>
      <c r="D107" s="1095" t="n">
        <f aca="false">SUM(D103:D106)</f>
        <v>0</v>
      </c>
      <c r="E107" s="1095" t="n">
        <f aca="false">SUM(E103:E106)</f>
        <v>0</v>
      </c>
      <c r="F107" s="1095" t="n">
        <f aca="false">SUM(F103:F106)</f>
        <v>0</v>
      </c>
    </row>
    <row r="108" customFormat="false" ht="14.25" hidden="false" customHeight="false" outlineLevel="0" collapsed="false">
      <c r="A108" s="1094"/>
      <c r="B108" s="1094"/>
      <c r="C108" s="1094"/>
      <c r="D108" s="1096"/>
      <c r="E108" s="1096"/>
      <c r="F108" s="1096"/>
    </row>
    <row r="109" customFormat="false" ht="14.25" hidden="false" customHeight="false" outlineLevel="0" collapsed="false">
      <c r="A109" s="1094"/>
      <c r="B109" s="1094"/>
      <c r="C109" s="1094"/>
      <c r="D109" s="207" t="s">
        <v>659</v>
      </c>
      <c r="E109" s="208"/>
      <c r="F109" s="209" t="n">
        <f aca="false">E107</f>
        <v>0</v>
      </c>
    </row>
    <row r="110" customFormat="false" ht="14.25" hidden="false" customHeight="false" outlineLevel="0" collapsed="false">
      <c r="A110" s="1094"/>
      <c r="B110" s="1094"/>
      <c r="C110" s="1094"/>
      <c r="D110" s="210" t="s">
        <v>660</v>
      </c>
      <c r="E110" s="211"/>
      <c r="F110" s="566" t="n">
        <f aca="false">DSH!E99</f>
        <v>0</v>
      </c>
    </row>
    <row r="111" customFormat="false" ht="14.25" hidden="false" customHeight="false" outlineLevel="0" collapsed="false">
      <c r="A111" s="1094"/>
      <c r="B111" s="1094"/>
      <c r="C111" s="1094"/>
      <c r="D111" s="213" t="s">
        <v>591</v>
      </c>
      <c r="E111" s="214"/>
      <c r="F111" s="215" t="n">
        <f aca="false">IFERROR(VALUE(F109) - VALUE(F110), 0)</f>
        <v>0</v>
      </c>
    </row>
    <row r="114" customFormat="false" ht="39.55" hidden="false" customHeight="true" outlineLevel="0" collapsed="false">
      <c r="A114" s="1081" t="s">
        <v>408</v>
      </c>
      <c r="B114" s="1081"/>
      <c r="C114" s="188" t="s">
        <v>1241</v>
      </c>
      <c r="D114" s="890" t="s">
        <v>667</v>
      </c>
      <c r="E114" s="1082" t="s">
        <v>668</v>
      </c>
      <c r="F114" s="201" t="s">
        <v>2</v>
      </c>
      <c r="H114" s="126" t="s">
        <v>628</v>
      </c>
    </row>
    <row r="115" customFormat="false" ht="15" hidden="false" customHeight="true" outlineLevel="0" collapsed="false">
      <c r="A115" s="1083"/>
      <c r="B115" s="1083"/>
      <c r="C115" s="1084"/>
      <c r="D115" s="1085"/>
      <c r="E115" s="1086" t="n">
        <f aca="false">IF(C115="N",D115,D115/1.15)</f>
        <v>0</v>
      </c>
      <c r="F115" s="1086" t="n">
        <f aca="false">IF(D115=E115,0,E115*0.15)</f>
        <v>0</v>
      </c>
    </row>
    <row r="116" customFormat="false" ht="15" hidden="false" customHeight="true" outlineLevel="0" collapsed="false">
      <c r="A116" s="1087"/>
      <c r="B116" s="1087"/>
      <c r="C116" s="1084"/>
      <c r="D116" s="1088"/>
      <c r="E116" s="1086" t="n">
        <f aca="false">IF(C116="N",D116,D116/1.15)</f>
        <v>0</v>
      </c>
      <c r="F116" s="1086" t="n">
        <f aca="false">IF(D116=E116,0,E116*0.15)</f>
        <v>0</v>
      </c>
    </row>
    <row r="117" customFormat="false" ht="15" hidden="false" customHeight="true" outlineLevel="0" collapsed="false">
      <c r="A117" s="1087"/>
      <c r="B117" s="1087"/>
      <c r="C117" s="1084"/>
      <c r="D117" s="1088"/>
      <c r="E117" s="1089" t="n">
        <f aca="false">IF(C117="N",D117,D117/1.15)</f>
        <v>0</v>
      </c>
      <c r="F117" s="1089" t="n">
        <f aca="false">IF(D117=E117,0,E117*0.15)</f>
        <v>0</v>
      </c>
    </row>
    <row r="118" customFormat="false" ht="15" hidden="false" customHeight="true" outlineLevel="0" collapsed="false">
      <c r="A118" s="1090"/>
      <c r="B118" s="1090"/>
      <c r="C118" s="1091"/>
      <c r="D118" s="1092"/>
      <c r="E118" s="1093" t="n">
        <f aca="false">IF(C118="N",D118,D118/1.15)</f>
        <v>0</v>
      </c>
      <c r="F118" s="1093" t="n">
        <f aca="false">IF(D118=E118,0,E118*0.15)</f>
        <v>0</v>
      </c>
    </row>
    <row r="119" customFormat="false" ht="15" hidden="false" customHeight="true" outlineLevel="0" collapsed="false">
      <c r="A119" s="1094" t="s">
        <v>1239</v>
      </c>
      <c r="B119" s="1094"/>
      <c r="C119" s="1094"/>
      <c r="D119" s="1095" t="n">
        <f aca="false">SUM(D115:D118)</f>
        <v>0</v>
      </c>
      <c r="E119" s="1095" t="n">
        <f aca="false">SUM(E115:E118)</f>
        <v>0</v>
      </c>
      <c r="F119" s="1095" t="n">
        <f aca="false">SUM(F115:F118)</f>
        <v>0</v>
      </c>
    </row>
    <row r="120" customFormat="false" ht="14.25" hidden="false" customHeight="false" outlineLevel="0" collapsed="false">
      <c r="A120" s="1094"/>
      <c r="B120" s="1094"/>
      <c r="C120" s="1094"/>
      <c r="D120" s="1096"/>
      <c r="E120" s="1096"/>
      <c r="F120" s="1096"/>
    </row>
    <row r="121" customFormat="false" ht="14.25" hidden="false" customHeight="false" outlineLevel="0" collapsed="false">
      <c r="A121" s="1094"/>
      <c r="B121" s="1094"/>
      <c r="C121" s="1094"/>
      <c r="D121" s="207" t="s">
        <v>659</v>
      </c>
      <c r="E121" s="208"/>
      <c r="F121" s="1102" t="n">
        <f aca="false">E119</f>
        <v>0</v>
      </c>
    </row>
    <row r="122" customFormat="false" ht="14.25" hidden="false" customHeight="false" outlineLevel="0" collapsed="false">
      <c r="A122" s="1094"/>
      <c r="B122" s="1094"/>
      <c r="C122" s="1094"/>
      <c r="D122" s="210" t="s">
        <v>660</v>
      </c>
      <c r="E122" s="211"/>
      <c r="F122" s="566" t="n">
        <f aca="false">DSH!E100</f>
        <v>0</v>
      </c>
    </row>
    <row r="123" customFormat="false" ht="14.25" hidden="false" customHeight="false" outlineLevel="0" collapsed="false">
      <c r="A123" s="1094"/>
      <c r="B123" s="1094"/>
      <c r="C123" s="1094"/>
      <c r="D123" s="213" t="s">
        <v>591</v>
      </c>
      <c r="E123" s="214"/>
      <c r="F123" s="1103" t="n">
        <f aca="false">IFERROR(VALUE(F121) - VALUE(F122), 0)</f>
        <v>0</v>
      </c>
    </row>
    <row r="126" customFormat="false" ht="39.55" hidden="false" customHeight="true" outlineLevel="0" collapsed="false">
      <c r="A126" s="1081" t="s">
        <v>408</v>
      </c>
      <c r="B126" s="1081"/>
      <c r="C126" s="188" t="s">
        <v>1241</v>
      </c>
      <c r="D126" s="890" t="s">
        <v>667</v>
      </c>
      <c r="E126" s="1082" t="s">
        <v>668</v>
      </c>
      <c r="F126" s="201" t="s">
        <v>2</v>
      </c>
      <c r="H126" s="126" t="s">
        <v>628</v>
      </c>
    </row>
    <row r="127" customFormat="false" ht="15" hidden="false" customHeight="true" outlineLevel="0" collapsed="false">
      <c r="A127" s="1083"/>
      <c r="B127" s="1083"/>
      <c r="C127" s="1084"/>
      <c r="D127" s="1085"/>
      <c r="E127" s="1086" t="n">
        <f aca="false">IF(C127="N",D127,D127/1.15)</f>
        <v>0</v>
      </c>
      <c r="F127" s="1086" t="n">
        <f aca="false">IF(D127=E127,0,E127*0.15)</f>
        <v>0</v>
      </c>
    </row>
    <row r="128" customFormat="false" ht="15" hidden="false" customHeight="true" outlineLevel="0" collapsed="false">
      <c r="A128" s="1087"/>
      <c r="B128" s="1087"/>
      <c r="C128" s="1084"/>
      <c r="D128" s="1088"/>
      <c r="E128" s="1086" t="n">
        <f aca="false">IF(C128="N",D128,D128/1.15)</f>
        <v>0</v>
      </c>
      <c r="F128" s="1086" t="n">
        <f aca="false">IF(D128=E128,0,E128*0.15)</f>
        <v>0</v>
      </c>
    </row>
    <row r="129" customFormat="false" ht="15" hidden="false" customHeight="true" outlineLevel="0" collapsed="false">
      <c r="A129" s="1087"/>
      <c r="B129" s="1087"/>
      <c r="C129" s="1084"/>
      <c r="D129" s="1088"/>
      <c r="E129" s="1089" t="n">
        <f aca="false">IF(C129="N",D129,D129/1.15)</f>
        <v>0</v>
      </c>
      <c r="F129" s="1089" t="n">
        <f aca="false">IF(D129=E129,0,E129*0.15)</f>
        <v>0</v>
      </c>
    </row>
    <row r="130" customFormat="false" ht="15" hidden="false" customHeight="true" outlineLevel="0" collapsed="false">
      <c r="A130" s="1090"/>
      <c r="B130" s="1090"/>
      <c r="C130" s="1091"/>
      <c r="D130" s="1092"/>
      <c r="E130" s="1093" t="n">
        <f aca="false">IF(C130="N",D130,D130/1.15)</f>
        <v>0</v>
      </c>
      <c r="F130" s="1093" t="n">
        <f aca="false">IF(D130=E130,0,E130*0.15)</f>
        <v>0</v>
      </c>
    </row>
    <row r="131" customFormat="false" ht="15" hidden="false" customHeight="true" outlineLevel="0" collapsed="false">
      <c r="A131" s="1094" t="s">
        <v>1239</v>
      </c>
      <c r="B131" s="1094"/>
      <c r="C131" s="1094"/>
      <c r="D131" s="1095" t="n">
        <f aca="false">SUM(D127:D130)</f>
        <v>0</v>
      </c>
      <c r="E131" s="1095" t="n">
        <f aca="false">SUM(E127:E130)</f>
        <v>0</v>
      </c>
      <c r="F131" s="1095" t="n">
        <f aca="false">SUM(F127:F130)</f>
        <v>0</v>
      </c>
    </row>
    <row r="132" customFormat="false" ht="14.25" hidden="false" customHeight="false" outlineLevel="0" collapsed="false">
      <c r="A132" s="1094"/>
      <c r="B132" s="1094"/>
      <c r="C132" s="1094"/>
      <c r="D132" s="1096"/>
      <c r="E132" s="1096"/>
      <c r="F132" s="1096"/>
    </row>
    <row r="133" customFormat="false" ht="14.25" hidden="false" customHeight="false" outlineLevel="0" collapsed="false">
      <c r="A133" s="1094"/>
      <c r="B133" s="1094"/>
      <c r="C133" s="1094"/>
      <c r="D133" s="207" t="s">
        <v>659</v>
      </c>
      <c r="E133" s="208"/>
      <c r="F133" s="1102" t="n">
        <f aca="false">E131</f>
        <v>0</v>
      </c>
    </row>
    <row r="134" customFormat="false" ht="14.25" hidden="false" customHeight="false" outlineLevel="0" collapsed="false">
      <c r="A134" s="1094"/>
      <c r="B134" s="1094"/>
      <c r="C134" s="1094"/>
      <c r="D134" s="210" t="s">
        <v>660</v>
      </c>
      <c r="E134" s="211"/>
      <c r="F134" s="566" t="n">
        <f aca="false">DSH!E101</f>
        <v>0</v>
      </c>
    </row>
    <row r="135" customFormat="false" ht="14.25" hidden="false" customHeight="false" outlineLevel="0" collapsed="false">
      <c r="A135" s="1094"/>
      <c r="B135" s="1094"/>
      <c r="C135" s="1094"/>
      <c r="D135" s="213" t="s">
        <v>591</v>
      </c>
      <c r="E135" s="214"/>
      <c r="F135" s="1103" t="n">
        <f aca="false">IFERROR(VALUE(F133) - VALUE(F134), 0)</f>
        <v>0</v>
      </c>
    </row>
    <row r="138" customFormat="false" ht="39.55" hidden="false" customHeight="true" outlineLevel="0" collapsed="false">
      <c r="A138" s="1081" t="s">
        <v>408</v>
      </c>
      <c r="B138" s="1081"/>
      <c r="C138" s="188" t="s">
        <v>1241</v>
      </c>
      <c r="D138" s="890" t="s">
        <v>667</v>
      </c>
      <c r="E138" s="1082" t="s">
        <v>668</v>
      </c>
      <c r="F138" s="201" t="s">
        <v>2</v>
      </c>
      <c r="H138" s="126" t="s">
        <v>628</v>
      </c>
    </row>
    <row r="139" customFormat="false" ht="15" hidden="false" customHeight="true" outlineLevel="0" collapsed="false">
      <c r="A139" s="1083"/>
      <c r="B139" s="1083"/>
      <c r="C139" s="1084"/>
      <c r="D139" s="1085"/>
      <c r="E139" s="1086" t="n">
        <f aca="false">IF(C139="N",D139,D139/1.15)</f>
        <v>0</v>
      </c>
      <c r="F139" s="1086" t="n">
        <f aca="false">IF(D139=E139,0,E139*0.15)</f>
        <v>0</v>
      </c>
    </row>
    <row r="140" customFormat="false" ht="15" hidden="false" customHeight="true" outlineLevel="0" collapsed="false">
      <c r="A140" s="1087"/>
      <c r="B140" s="1087"/>
      <c r="C140" s="1084"/>
      <c r="D140" s="1088"/>
      <c r="E140" s="1086" t="n">
        <f aca="false">IF(C140="N",D140,D140/1.15)</f>
        <v>0</v>
      </c>
      <c r="F140" s="1086" t="n">
        <f aca="false">IF(D140=E140,0,E140*0.15)</f>
        <v>0</v>
      </c>
    </row>
    <row r="141" customFormat="false" ht="15" hidden="false" customHeight="true" outlineLevel="0" collapsed="false">
      <c r="A141" s="1087"/>
      <c r="B141" s="1087"/>
      <c r="C141" s="1084"/>
      <c r="D141" s="1088"/>
      <c r="E141" s="1089" t="n">
        <f aca="false">IF(C141="N",D141,D141/1.15)</f>
        <v>0</v>
      </c>
      <c r="F141" s="1089" t="n">
        <f aca="false">IF(D141=E141,0,E141*0.15)</f>
        <v>0</v>
      </c>
    </row>
    <row r="142" customFormat="false" ht="15" hidden="false" customHeight="true" outlineLevel="0" collapsed="false">
      <c r="A142" s="1090"/>
      <c r="B142" s="1090"/>
      <c r="C142" s="1091"/>
      <c r="D142" s="1092"/>
      <c r="E142" s="1093" t="n">
        <f aca="false">IF(C142="N",D142,D142/1.15)</f>
        <v>0</v>
      </c>
      <c r="F142" s="1093" t="n">
        <f aca="false">IF(D142=E142,0,E142*0.15)</f>
        <v>0</v>
      </c>
    </row>
    <row r="143" customFormat="false" ht="15" hidden="false" customHeight="true" outlineLevel="0" collapsed="false">
      <c r="A143" s="1094" t="s">
        <v>1239</v>
      </c>
      <c r="B143" s="1094"/>
      <c r="C143" s="1094"/>
      <c r="D143" s="1095" t="n">
        <f aca="false">SUM(D139:D142)</f>
        <v>0</v>
      </c>
      <c r="E143" s="1095" t="n">
        <f aca="false">SUM(E139:E142)</f>
        <v>0</v>
      </c>
      <c r="F143" s="1095" t="n">
        <f aca="false">SUM(F139:F142)</f>
        <v>0</v>
      </c>
    </row>
    <row r="144" customFormat="false" ht="14.25" hidden="false" customHeight="false" outlineLevel="0" collapsed="false">
      <c r="A144" s="1094"/>
      <c r="B144" s="1094"/>
      <c r="C144" s="1094"/>
      <c r="D144" s="1096"/>
      <c r="E144" s="1096"/>
      <c r="F144" s="1096"/>
    </row>
    <row r="145" customFormat="false" ht="14.25" hidden="false" customHeight="false" outlineLevel="0" collapsed="false">
      <c r="A145" s="1094"/>
      <c r="B145" s="1094"/>
      <c r="C145" s="1094"/>
      <c r="D145" s="207" t="s">
        <v>659</v>
      </c>
      <c r="E145" s="208"/>
      <c r="F145" s="209" t="n">
        <f aca="false">E143</f>
        <v>0</v>
      </c>
    </row>
    <row r="146" customFormat="false" ht="14.25" hidden="false" customHeight="false" outlineLevel="0" collapsed="false">
      <c r="A146" s="1094"/>
      <c r="B146" s="1094"/>
      <c r="C146" s="1094"/>
      <c r="D146" s="210" t="s">
        <v>660</v>
      </c>
      <c r="E146" s="211"/>
      <c r="F146" s="566" t="n">
        <f aca="false">DSH!E102</f>
        <v>0</v>
      </c>
    </row>
    <row r="147" customFormat="false" ht="14.25" hidden="false" customHeight="false" outlineLevel="0" collapsed="false">
      <c r="A147" s="1094"/>
      <c r="B147" s="1094"/>
      <c r="C147" s="1094"/>
      <c r="D147" s="213" t="s">
        <v>591</v>
      </c>
      <c r="E147" s="214"/>
      <c r="F147" s="215" t="n">
        <f aca="false">IFERROR(VALUE(F145) - VALUE(F146), 0)</f>
        <v>0</v>
      </c>
    </row>
    <row r="150" customFormat="false" ht="39.55" hidden="false" customHeight="true" outlineLevel="0" collapsed="false">
      <c r="A150" s="1081" t="s">
        <v>408</v>
      </c>
      <c r="B150" s="1081"/>
      <c r="C150" s="188" t="s">
        <v>1241</v>
      </c>
      <c r="D150" s="890" t="s">
        <v>667</v>
      </c>
      <c r="E150" s="1082" t="s">
        <v>668</v>
      </c>
      <c r="F150" s="201" t="s">
        <v>2</v>
      </c>
      <c r="H150" s="126" t="s">
        <v>628</v>
      </c>
    </row>
    <row r="151" customFormat="false" ht="15" hidden="false" customHeight="true" outlineLevel="0" collapsed="false">
      <c r="A151" s="1083"/>
      <c r="B151" s="1083"/>
      <c r="C151" s="1084"/>
      <c r="D151" s="1085"/>
      <c r="E151" s="1086" t="n">
        <f aca="false">IF(C151="N",D151,D151/1.15)</f>
        <v>0</v>
      </c>
      <c r="F151" s="1086" t="n">
        <f aca="false">IF(D151=E151,0,E151*0.15)</f>
        <v>0</v>
      </c>
    </row>
    <row r="152" customFormat="false" ht="15" hidden="false" customHeight="true" outlineLevel="0" collapsed="false">
      <c r="A152" s="1087"/>
      <c r="B152" s="1087"/>
      <c r="C152" s="1084"/>
      <c r="D152" s="1088"/>
      <c r="E152" s="1089" t="n">
        <f aca="false">IF(C152="N",D152,D152/1.15)</f>
        <v>0</v>
      </c>
      <c r="F152" s="1089" t="n">
        <f aca="false">IF(D152=E152,0,E152*0.15)</f>
        <v>0</v>
      </c>
    </row>
    <row r="153" customFormat="false" ht="15" hidden="false" customHeight="true" outlineLevel="0" collapsed="false">
      <c r="A153" s="1087"/>
      <c r="B153" s="1087"/>
      <c r="C153" s="1084"/>
      <c r="D153" s="1088"/>
      <c r="E153" s="1089" t="n">
        <f aca="false">IF(C153="N",D153,D153/1.15)</f>
        <v>0</v>
      </c>
      <c r="F153" s="1089" t="n">
        <f aca="false">IF(D153=E153,0,E153*0.15)</f>
        <v>0</v>
      </c>
    </row>
    <row r="154" customFormat="false" ht="15" hidden="false" customHeight="true" outlineLevel="0" collapsed="false">
      <c r="A154" s="1090"/>
      <c r="B154" s="1090"/>
      <c r="C154" s="1091"/>
      <c r="D154" s="1092"/>
      <c r="E154" s="1093" t="n">
        <f aca="false">IF(C154="N",D154,D154/1.15)</f>
        <v>0</v>
      </c>
      <c r="F154" s="1093" t="n">
        <f aca="false">IF(D154=E154,0,E154*0.15)</f>
        <v>0</v>
      </c>
    </row>
    <row r="155" customFormat="false" ht="15" hidden="false" customHeight="true" outlineLevel="0" collapsed="false">
      <c r="A155" s="1094" t="s">
        <v>1239</v>
      </c>
      <c r="B155" s="1094"/>
      <c r="C155" s="1094"/>
      <c r="D155" s="1095" t="n">
        <f aca="false">SUM(D151:D154)</f>
        <v>0</v>
      </c>
      <c r="E155" s="1095" t="n">
        <f aca="false">SUM(E151:E154)</f>
        <v>0</v>
      </c>
      <c r="F155" s="1095" t="n">
        <f aca="false">SUM(F151:F154)</f>
        <v>0</v>
      </c>
    </row>
    <row r="156" customFormat="false" ht="14.25" hidden="false" customHeight="false" outlineLevel="0" collapsed="false">
      <c r="A156" s="1094"/>
      <c r="B156" s="1094"/>
      <c r="C156" s="1094"/>
      <c r="D156" s="1096"/>
      <c r="E156" s="1096"/>
      <c r="F156" s="1096"/>
    </row>
    <row r="157" customFormat="false" ht="14.25" hidden="false" customHeight="false" outlineLevel="0" collapsed="false">
      <c r="A157" s="1094"/>
      <c r="B157" s="1094"/>
      <c r="C157" s="1094"/>
      <c r="D157" s="207" t="s">
        <v>659</v>
      </c>
      <c r="E157" s="208"/>
      <c r="F157" s="209" t="n">
        <f aca="false">E155</f>
        <v>0</v>
      </c>
    </row>
    <row r="158" customFormat="false" ht="14.25" hidden="false" customHeight="false" outlineLevel="0" collapsed="false">
      <c r="A158" s="1094"/>
      <c r="B158" s="1094"/>
      <c r="C158" s="1094"/>
      <c r="D158" s="210" t="s">
        <v>660</v>
      </c>
      <c r="E158" s="211"/>
      <c r="F158" s="566" t="n">
        <f aca="false">DSH!E103</f>
        <v>0</v>
      </c>
    </row>
    <row r="159" customFormat="false" ht="14.25" hidden="false" customHeight="false" outlineLevel="0" collapsed="false">
      <c r="A159" s="1094"/>
      <c r="B159" s="1094"/>
      <c r="C159" s="1094"/>
      <c r="D159" s="213" t="s">
        <v>591</v>
      </c>
      <c r="E159" s="214"/>
      <c r="F159" s="215" t="n">
        <f aca="false">IFERROR(VALUE(F157) - VALUE(F158), 0)</f>
        <v>0</v>
      </c>
    </row>
  </sheetData>
  <mergeCells count="66">
    <mergeCell ref="A4:F4"/>
    <mergeCell ref="A6:B6"/>
    <mergeCell ref="A7:B7"/>
    <mergeCell ref="A8:B8"/>
    <mergeCell ref="A9:B9"/>
    <mergeCell ref="A10:B10"/>
    <mergeCell ref="A18:B18"/>
    <mergeCell ref="A19:B19"/>
    <mergeCell ref="A20:B20"/>
    <mergeCell ref="A21:B21"/>
    <mergeCell ref="A22:B22"/>
    <mergeCell ref="A30:E30"/>
    <mergeCell ref="A31:E31"/>
    <mergeCell ref="A32:E32"/>
    <mergeCell ref="A33:E33"/>
    <mergeCell ref="A34:E34"/>
    <mergeCell ref="A42:B42"/>
    <mergeCell ref="A43:B43"/>
    <mergeCell ref="A44:B44"/>
    <mergeCell ref="A45:B45"/>
    <mergeCell ref="A46:B46"/>
    <mergeCell ref="A54:B54"/>
    <mergeCell ref="A55:B55"/>
    <mergeCell ref="A56:B56"/>
    <mergeCell ref="A57:B57"/>
    <mergeCell ref="A58:B58"/>
    <mergeCell ref="A66:B66"/>
    <mergeCell ref="A67:B67"/>
    <mergeCell ref="A68:B68"/>
    <mergeCell ref="A69:B69"/>
    <mergeCell ref="A70:B70"/>
    <mergeCell ref="A78:B78"/>
    <mergeCell ref="A79:B79"/>
    <mergeCell ref="A80:B80"/>
    <mergeCell ref="A81:B81"/>
    <mergeCell ref="A82:B82"/>
    <mergeCell ref="A90:B90"/>
    <mergeCell ref="A91:B91"/>
    <mergeCell ref="A92:B92"/>
    <mergeCell ref="A93:B93"/>
    <mergeCell ref="A94:B94"/>
    <mergeCell ref="A102:B102"/>
    <mergeCell ref="A103:B103"/>
    <mergeCell ref="A104:B104"/>
    <mergeCell ref="A105:B105"/>
    <mergeCell ref="A106:B106"/>
    <mergeCell ref="A114:B114"/>
    <mergeCell ref="A115:B115"/>
    <mergeCell ref="A116:B116"/>
    <mergeCell ref="A117:B117"/>
    <mergeCell ref="A118:B118"/>
    <mergeCell ref="A126:B126"/>
    <mergeCell ref="A127:B127"/>
    <mergeCell ref="A128:B128"/>
    <mergeCell ref="A129:B129"/>
    <mergeCell ref="A130:B130"/>
    <mergeCell ref="A138:B138"/>
    <mergeCell ref="A139:B139"/>
    <mergeCell ref="A140:B140"/>
    <mergeCell ref="A141:B141"/>
    <mergeCell ref="A142:B142"/>
    <mergeCell ref="A150:B150"/>
    <mergeCell ref="A151:B151"/>
    <mergeCell ref="A152:B152"/>
    <mergeCell ref="A153:B153"/>
    <mergeCell ref="A154:B15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7"/>
  <sheetViews>
    <sheetView showFormulas="false" showGridLines="false" showRowColHeaders="true" showZeros="true" rightToLeft="false" tabSelected="false" showOutlineSymbols="true" defaultGridColor="true" view="normal" topLeftCell="A18" colorId="64" zoomScale="100" zoomScaleNormal="100" zoomScalePageLayoutView="100" workbookViewId="0">
      <selection pane="topLeft" activeCell="A7" activeCellId="0" sqref="A7"/>
    </sheetView>
  </sheetViews>
  <sheetFormatPr defaultColWidth="8.859375" defaultRowHeight="15" zeroHeight="false" outlineLevelRow="0" outlineLevelCol="0"/>
  <cols>
    <col collapsed="false" customWidth="true" hidden="false" outlineLevel="0" max="1" min="1" style="242" width="19.15"/>
    <col collapsed="false" customWidth="true" hidden="false" outlineLevel="0" max="2" min="2" style="242" width="49.43"/>
    <col collapsed="false" customWidth="true" hidden="false" outlineLevel="0" max="3" min="3" style="242" width="27.57"/>
    <col collapsed="false" customWidth="true" hidden="false" outlineLevel="0" max="4" min="4" style="242" width="14.14"/>
    <col collapsed="false" customWidth="true" hidden="false" outlineLevel="0" max="5" min="5" style="242" width="17"/>
    <col collapsed="false" customWidth="false" hidden="false" outlineLevel="0" max="6" min="6" style="243" width="8.86"/>
    <col collapsed="false" customWidth="true" hidden="false" outlineLevel="0" max="7" min="7" style="242" width="10.57"/>
    <col collapsed="false" customWidth="false" hidden="false" outlineLevel="0" max="9" min="8" style="242" width="8.86"/>
    <col collapsed="false" customWidth="true" hidden="false" outlineLevel="0" max="10" min="10" style="242" width="27.86"/>
    <col collapsed="false" customWidth="true" hidden="false" outlineLevel="0" max="11" min="11" style="242" width="14"/>
    <col collapsed="false" customWidth="false" hidden="false" outlineLevel="0" max="16384" min="12" style="242" width="8.86"/>
  </cols>
  <sheetData>
    <row r="1" s="6" customFormat="true" ht="20.25" hidden="false" customHeight="true" outlineLevel="0" collapsed="false">
      <c r="A1" s="120"/>
      <c r="B1" s="120"/>
      <c r="F1" s="26"/>
      <c r="I1" s="1"/>
      <c r="J1" s="1"/>
      <c r="K1" s="1"/>
    </row>
    <row r="2" s="6" customFormat="true" ht="20.25" hidden="false" customHeight="true" outlineLevel="0" collapsed="false">
      <c r="A2" s="24" t="s">
        <v>84</v>
      </c>
      <c r="B2" s="24"/>
      <c r="C2" s="24"/>
      <c r="D2" s="24"/>
      <c r="E2" s="24"/>
      <c r="F2" s="26"/>
      <c r="I2" s="1"/>
      <c r="J2" s="1"/>
      <c r="K2" s="1"/>
    </row>
    <row r="4" customFormat="false" ht="15.75" hidden="false" customHeight="true" outlineLevel="0" collapsed="false">
      <c r="A4" s="1104"/>
      <c r="B4" s="1104"/>
      <c r="C4" s="1105"/>
      <c r="D4" s="1106" t="s">
        <v>655</v>
      </c>
      <c r="E4" s="1107"/>
      <c r="G4" s="126" t="s">
        <v>628</v>
      </c>
    </row>
    <row r="5" customFormat="false" ht="15.75" hidden="false" customHeight="true" outlineLevel="0" collapsed="false">
      <c r="A5" s="1108" t="s">
        <v>1247</v>
      </c>
      <c r="B5" s="1108"/>
      <c r="C5" s="1109"/>
      <c r="D5" s="1110"/>
      <c r="E5" s="1111"/>
      <c r="I5" s="10"/>
    </row>
    <row r="6" customFormat="false" ht="15.75" hidden="false" customHeight="true" outlineLevel="0" collapsed="false">
      <c r="A6" s="1108"/>
      <c r="B6" s="1108"/>
      <c r="C6" s="1109"/>
      <c r="D6" s="1112"/>
      <c r="E6" s="1111"/>
    </row>
    <row r="7" customFormat="false" ht="15.75" hidden="false" customHeight="true" outlineLevel="0" collapsed="false">
      <c r="A7" s="1108" t="s">
        <v>1248</v>
      </c>
      <c r="B7" s="1108"/>
      <c r="C7" s="1109"/>
      <c r="D7" s="1110"/>
      <c r="E7" s="1113"/>
    </row>
    <row r="8" customFormat="false" ht="15.75" hidden="false" customHeight="true" outlineLevel="0" collapsed="false">
      <c r="A8" s="1108"/>
      <c r="B8" s="1108"/>
      <c r="C8" s="1109"/>
      <c r="D8" s="1112"/>
      <c r="E8" s="1111"/>
    </row>
    <row r="9" customFormat="false" ht="15.75" hidden="false" customHeight="true" outlineLevel="0" collapsed="false">
      <c r="A9" s="1108" t="s">
        <v>1249</v>
      </c>
      <c r="B9" s="1108"/>
      <c r="C9" s="1114"/>
      <c r="D9" s="1115" t="n">
        <f aca="false">+D5-D7</f>
        <v>0</v>
      </c>
      <c r="E9" s="1113"/>
    </row>
    <row r="10" customFormat="false" ht="15.75" hidden="false" customHeight="true" outlineLevel="0" collapsed="false">
      <c r="A10" s="1108"/>
      <c r="B10" s="1108"/>
      <c r="C10" s="1116" t="n">
        <v>0.5</v>
      </c>
      <c r="D10" s="1115" t="n">
        <f aca="false">+D9*0.5</f>
        <v>0</v>
      </c>
      <c r="E10" s="1113"/>
    </row>
    <row r="11" customFormat="false" ht="15.75" hidden="false" customHeight="true" outlineLevel="0" collapsed="false">
      <c r="A11" s="1108"/>
      <c r="B11" s="1108"/>
      <c r="C11" s="1117"/>
      <c r="D11" s="1114"/>
      <c r="E11" s="1118"/>
    </row>
    <row r="12" customFormat="false" ht="15.75" hidden="false" customHeight="true" outlineLevel="0" collapsed="false">
      <c r="A12" s="1108" t="s">
        <v>1250</v>
      </c>
      <c r="B12" s="1108"/>
      <c r="C12" s="1114"/>
      <c r="D12" s="1115" t="n">
        <f aca="false">D10+D7</f>
        <v>0</v>
      </c>
      <c r="E12" s="1113"/>
    </row>
    <row r="13" customFormat="false" ht="15.75" hidden="false" customHeight="true" outlineLevel="0" collapsed="false">
      <c r="A13" s="1108"/>
      <c r="B13" s="1108"/>
      <c r="C13" s="1114"/>
      <c r="D13" s="1114"/>
      <c r="E13" s="1113"/>
    </row>
    <row r="14" customFormat="false" ht="15.75" hidden="false" customHeight="true" outlineLevel="0" collapsed="false">
      <c r="A14" s="1108" t="s">
        <v>1251</v>
      </c>
      <c r="B14" s="1108"/>
      <c r="C14" s="1114"/>
      <c r="D14" s="1115" t="n">
        <f aca="false">+D10</f>
        <v>0</v>
      </c>
      <c r="E14" s="1113"/>
    </row>
    <row r="15" customFormat="false" ht="15.75" hidden="false" customHeight="true" outlineLevel="0" collapsed="false">
      <c r="A15" s="1108" t="s">
        <v>1252</v>
      </c>
      <c r="B15" s="1108"/>
      <c r="C15" s="1114"/>
      <c r="D15" s="1115" t="n">
        <f aca="false">IF(Index!C5="Yes",D14*0.15,0)</f>
        <v>0</v>
      </c>
      <c r="E15" s="1113"/>
    </row>
    <row r="16" customFormat="false" ht="15.75" hidden="false" customHeight="true" outlineLevel="0" collapsed="false">
      <c r="A16" s="1108" t="s">
        <v>1253</v>
      </c>
      <c r="B16" s="1108"/>
      <c r="C16" s="1114"/>
      <c r="D16" s="1115" t="n">
        <f aca="false">SUM(D14:D15)</f>
        <v>0</v>
      </c>
      <c r="E16" s="1119"/>
    </row>
    <row r="17" customFormat="false" ht="15.75" hidden="false" customHeight="true" outlineLevel="0" collapsed="false">
      <c r="A17" s="1108"/>
      <c r="B17" s="1108"/>
      <c r="C17" s="1114"/>
      <c r="D17" s="1114"/>
      <c r="E17" s="1119"/>
    </row>
    <row r="18" customFormat="false" ht="15.75" hidden="false" customHeight="true" outlineLevel="0" collapsed="false">
      <c r="A18" s="1108"/>
      <c r="B18" s="1108"/>
      <c r="C18" s="1114"/>
      <c r="D18" s="1114"/>
      <c r="E18" s="1119"/>
    </row>
    <row r="19" customFormat="false" ht="15.75" hidden="false" customHeight="true" outlineLevel="0" collapsed="false">
      <c r="A19" s="1108" t="s">
        <v>1254</v>
      </c>
      <c r="B19" s="1108"/>
      <c r="C19" s="1114"/>
      <c r="D19" s="1120" t="s">
        <v>706</v>
      </c>
      <c r="E19" s="1113" t="s">
        <v>707</v>
      </c>
    </row>
    <row r="20" customFormat="false" ht="15.75" hidden="false" customHeight="true" outlineLevel="0" collapsed="false">
      <c r="A20" s="1108" t="s">
        <v>1255</v>
      </c>
      <c r="B20" s="1108"/>
      <c r="C20" s="1121"/>
      <c r="D20" s="1115" t="n">
        <f aca="false">+E21+E22</f>
        <v>0</v>
      </c>
      <c r="E20" s="1119"/>
    </row>
    <row r="21" customFormat="false" ht="15.75" hidden="false" customHeight="true" outlineLevel="0" collapsed="false">
      <c r="A21" s="1108" t="s">
        <v>1256</v>
      </c>
      <c r="B21" s="1108"/>
      <c r="C21" s="1121"/>
      <c r="D21" s="1109"/>
      <c r="E21" s="1122" t="n">
        <f aca="false">+D15</f>
        <v>0</v>
      </c>
    </row>
    <row r="22" customFormat="false" ht="15.75" hidden="false" customHeight="true" outlineLevel="0" collapsed="false">
      <c r="A22" s="1108" t="s">
        <v>1257</v>
      </c>
      <c r="B22" s="1108"/>
      <c r="C22" s="1121"/>
      <c r="D22" s="1109"/>
      <c r="E22" s="1122" t="n">
        <f aca="false">+D14</f>
        <v>0</v>
      </c>
    </row>
    <row r="23" customFormat="false" ht="16.5" hidden="false" customHeight="true" outlineLevel="0" collapsed="false">
      <c r="A23" s="1123"/>
      <c r="B23" s="1123"/>
      <c r="C23" s="1124"/>
      <c r="D23" s="1124"/>
      <c r="E23" s="1125"/>
    </row>
    <row r="25" customFormat="false" ht="15" hidden="false" customHeight="false" outlineLevel="0" collapsed="false">
      <c r="C25" s="1126" t="s">
        <v>659</v>
      </c>
      <c r="D25" s="1127"/>
      <c r="E25" s="1128" t="n">
        <f aca="false">D12</f>
        <v>0</v>
      </c>
    </row>
    <row r="26" customFormat="false" ht="15" hidden="false" customHeight="false" outlineLevel="0" collapsed="false">
      <c r="C26" s="1129" t="s">
        <v>660</v>
      </c>
      <c r="D26" s="1130"/>
      <c r="E26" s="1131" t="n">
        <f aca="false">DSH!E104</f>
        <v>0</v>
      </c>
      <c r="F26" s="8"/>
      <c r="G26" s="10"/>
      <c r="J26" s="1097"/>
    </row>
    <row r="27" customFormat="false" ht="15" hidden="false" customHeight="false" outlineLevel="0" collapsed="false">
      <c r="C27" s="1132" t="s">
        <v>591</v>
      </c>
      <c r="D27" s="1133"/>
      <c r="E27" s="215" t="n">
        <f aca="false">IFERROR(VALUE(E25) - VALUE(E26), 0)</f>
        <v>0</v>
      </c>
    </row>
  </sheetData>
  <mergeCells count="21">
    <mergeCell ref="A2:E2"/>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4.25" zeroHeight="false" outlineLevelRow="0" outlineLevelCol="0"/>
  <cols>
    <col collapsed="false" customWidth="true" hidden="false" outlineLevel="0" max="1" min="1" style="264" width="19.15"/>
    <col collapsed="false" customWidth="true" hidden="false" outlineLevel="0" max="2" min="2" style="264" width="21.14"/>
    <col collapsed="false" customWidth="true" hidden="false" outlineLevel="0" max="3" min="3" style="264" width="12.43"/>
    <col collapsed="false" customWidth="true" hidden="false" outlineLevel="0" max="5" min="4" style="264" width="10.43"/>
    <col collapsed="false" customWidth="true" hidden="false" outlineLevel="0" max="6" min="6" style="264" width="13.57"/>
    <col collapsed="false" customWidth="true" hidden="false" outlineLevel="0" max="7" min="7" style="264" width="16.57"/>
    <col collapsed="false" customWidth="true" hidden="false" outlineLevel="0" max="8" min="8" style="264" width="15.86"/>
    <col collapsed="false" customWidth="true" hidden="false" outlineLevel="0" max="9" min="9" style="264" width="10"/>
    <col collapsed="false" customWidth="true" hidden="false" outlineLevel="0" max="10" min="10" style="264" width="32"/>
    <col collapsed="false" customWidth="false" hidden="false" outlineLevel="0" max="16384" min="11" style="264" width="9.14"/>
  </cols>
  <sheetData>
    <row r="1" s="23" customFormat="true" ht="20.25" hidden="false" customHeight="true" outlineLevel="0" collapsed="false">
      <c r="A1" s="54"/>
    </row>
    <row r="2" s="23" customFormat="true" ht="20.25" hidden="false" customHeight="true" outlineLevel="0" collapsed="false">
      <c r="A2" s="24" t="s">
        <v>576</v>
      </c>
      <c r="B2" s="24"/>
      <c r="C2" s="24"/>
      <c r="D2" s="24"/>
      <c r="E2" s="24"/>
      <c r="F2" s="24"/>
      <c r="G2" s="24"/>
      <c r="H2" s="24"/>
    </row>
    <row r="4" customFormat="false" ht="15" hidden="false" customHeight="true" outlineLevel="0" collapsed="false">
      <c r="A4" s="1134" t="s">
        <v>1258</v>
      </c>
      <c r="B4" s="1134"/>
      <c r="C4" s="1134"/>
      <c r="D4" s="1134"/>
      <c r="E4" s="1134"/>
      <c r="F4" s="1134"/>
      <c r="G4" s="1134"/>
      <c r="H4" s="1135"/>
      <c r="J4" s="161" t="s">
        <v>628</v>
      </c>
    </row>
    <row r="5" customFormat="false" ht="15" hidden="false" customHeight="true" outlineLevel="0" collapsed="false">
      <c r="A5" s="1136" t="s">
        <v>1259</v>
      </c>
      <c r="B5" s="1136"/>
      <c r="C5" s="1136"/>
      <c r="D5" s="1136"/>
      <c r="E5" s="1136"/>
      <c r="F5" s="1136"/>
      <c r="G5" s="1136"/>
      <c r="H5" s="1137"/>
    </row>
    <row r="6" customFormat="false" ht="15" hidden="false" customHeight="true" outlineLevel="0" collapsed="false">
      <c r="A6" s="1138" t="s">
        <v>1260</v>
      </c>
      <c r="B6" s="1138"/>
      <c r="C6" s="1138"/>
      <c r="D6" s="1138"/>
      <c r="E6" s="1138"/>
      <c r="F6" s="1138"/>
      <c r="G6" s="1138"/>
      <c r="H6" s="1139" t="n">
        <f aca="false">IF(ISERROR(H5/H4),0,H5/H4)</f>
        <v>0</v>
      </c>
    </row>
    <row r="7" customFormat="false" ht="14.25" hidden="false" customHeight="false" outlineLevel="0" collapsed="false">
      <c r="A7" s="51"/>
      <c r="B7" s="51"/>
      <c r="C7" s="51"/>
      <c r="D7" s="51"/>
      <c r="E7" s="51"/>
      <c r="F7" s="51"/>
      <c r="G7" s="51"/>
      <c r="H7" s="51"/>
    </row>
    <row r="8" customFormat="false" ht="15" hidden="false" customHeight="true" outlineLevel="0" collapsed="false">
      <c r="A8" s="1140"/>
      <c r="B8" s="1140"/>
      <c r="C8" s="1140"/>
      <c r="D8" s="1140"/>
      <c r="E8" s="1140"/>
      <c r="F8" s="1140"/>
      <c r="G8" s="1140"/>
      <c r="H8" s="1140"/>
    </row>
    <row r="9" s="1" customFormat="true" ht="15" hidden="false" customHeight="true" outlineLevel="0" collapsed="false">
      <c r="A9" s="1141"/>
      <c r="B9" s="50"/>
      <c r="C9" s="50"/>
      <c r="D9" s="50"/>
      <c r="E9" s="50"/>
      <c r="F9" s="50"/>
      <c r="G9" s="1142" t="s">
        <v>1261</v>
      </c>
      <c r="H9" s="1142" t="s">
        <v>1262</v>
      </c>
    </row>
    <row r="10" customFormat="false" ht="18" hidden="false" customHeight="true" outlineLevel="0" collapsed="false">
      <c r="A10" s="1143" t="s">
        <v>1263</v>
      </c>
      <c r="B10" s="1143"/>
      <c r="C10" s="1143"/>
      <c r="D10" s="1144" t="s">
        <v>1264</v>
      </c>
      <c r="E10" s="1144" t="s">
        <v>654</v>
      </c>
      <c r="F10" s="1145" t="s">
        <v>1265</v>
      </c>
      <c r="G10" s="1145" t="s">
        <v>1266</v>
      </c>
      <c r="H10" s="1145" t="s">
        <v>1266</v>
      </c>
    </row>
    <row r="11" customFormat="false" ht="15" hidden="false" customHeight="true" outlineLevel="0" collapsed="false">
      <c r="A11" s="1146" t="s">
        <v>1267</v>
      </c>
      <c r="B11" s="1146"/>
      <c r="C11" s="1146"/>
      <c r="D11" s="1147" t="n">
        <f aca="false">$H$6</f>
        <v>0</v>
      </c>
      <c r="E11" s="1148"/>
      <c r="F11" s="1149"/>
      <c r="G11" s="1150" t="n">
        <f aca="false">IF(ISERROR(F11*D11),0,ROUND(F11*D11,2))</f>
        <v>0</v>
      </c>
      <c r="H11" s="1151"/>
    </row>
    <row r="12" customFormat="false" ht="15" hidden="false" customHeight="true" outlineLevel="0" collapsed="false">
      <c r="A12" s="1152" t="s">
        <v>1268</v>
      </c>
      <c r="B12" s="1152"/>
      <c r="C12" s="1152"/>
      <c r="D12" s="1153" t="n">
        <f aca="false">$H$6</f>
        <v>0</v>
      </c>
      <c r="E12" s="1154"/>
      <c r="F12" s="1155"/>
      <c r="G12" s="1156" t="n">
        <f aca="false">IF(ISERROR(F12*D12),0,ROUND(F12*D12,2))</f>
        <v>0</v>
      </c>
      <c r="H12" s="1157"/>
    </row>
    <row r="13" customFormat="false" ht="15" hidden="false" customHeight="true" outlineLevel="0" collapsed="false">
      <c r="A13" s="1152" t="s">
        <v>1269</v>
      </c>
      <c r="B13" s="1152"/>
      <c r="C13" s="1152"/>
      <c r="D13" s="1153" t="n">
        <f aca="false">$H$6</f>
        <v>0</v>
      </c>
      <c r="E13" s="1154"/>
      <c r="F13" s="1155"/>
      <c r="G13" s="1156" t="n">
        <f aca="false">IF(ISERROR(F13*D13),0,ROUND(F13*D13,2))</f>
        <v>0</v>
      </c>
      <c r="H13" s="1157"/>
    </row>
    <row r="14" customFormat="false" ht="15" hidden="false" customHeight="true" outlineLevel="0" collapsed="false">
      <c r="A14" s="1152" t="s">
        <v>1146</v>
      </c>
      <c r="B14" s="1152"/>
      <c r="C14" s="1152"/>
      <c r="D14" s="1153" t="n">
        <f aca="false">$H$6</f>
        <v>0</v>
      </c>
      <c r="E14" s="1154"/>
      <c r="F14" s="1155"/>
      <c r="G14" s="1156" t="n">
        <f aca="false">IF(ISERROR(F14*D14),0,ROUND(F14*D14,2))</f>
        <v>0</v>
      </c>
      <c r="H14" s="1157"/>
    </row>
    <row r="15" customFormat="false" ht="15" hidden="false" customHeight="true" outlineLevel="0" collapsed="false">
      <c r="A15" s="1152" t="s">
        <v>122</v>
      </c>
      <c r="B15" s="1152"/>
      <c r="C15" s="1152"/>
      <c r="D15" s="1153" t="n">
        <f aca="false">$H$6</f>
        <v>0</v>
      </c>
      <c r="E15" s="1154"/>
      <c r="F15" s="1155"/>
      <c r="G15" s="1156" t="n">
        <f aca="false">IF(ISERROR(F15*D15),0,ROUND(F15*D15,2))</f>
        <v>0</v>
      </c>
      <c r="H15" s="1158" t="n">
        <f aca="false">+G15</f>
        <v>0</v>
      </c>
    </row>
    <row r="16" customFormat="false" ht="15" hidden="false" customHeight="true" outlineLevel="0" collapsed="false">
      <c r="A16" s="1152" t="s">
        <v>1147</v>
      </c>
      <c r="B16" s="1152"/>
      <c r="C16" s="1152"/>
      <c r="D16" s="1153" t="n">
        <f aca="false">$H$6</f>
        <v>0</v>
      </c>
      <c r="E16" s="1154"/>
      <c r="F16" s="1155"/>
      <c r="G16" s="1156" t="n">
        <f aca="false">IF(ISERROR(F16*D16),0,ROUND(F16*D16,2))</f>
        <v>0</v>
      </c>
      <c r="H16" s="1158" t="n">
        <f aca="false">+G16</f>
        <v>0</v>
      </c>
    </row>
    <row r="17" customFormat="false" ht="15" hidden="false" customHeight="true" outlineLevel="0" collapsed="false">
      <c r="A17" s="1152" t="s">
        <v>1270</v>
      </c>
      <c r="B17" s="1152"/>
      <c r="C17" s="1152"/>
      <c r="D17" s="1159" t="n">
        <v>0.5</v>
      </c>
      <c r="E17" s="1154"/>
      <c r="F17" s="1155"/>
      <c r="G17" s="1156" t="n">
        <f aca="false">IF(ISERROR(F17*D17),0,ROUND(F17*D17,2))</f>
        <v>0</v>
      </c>
      <c r="H17" s="1157"/>
    </row>
    <row r="18" customFormat="false" ht="15" hidden="false" customHeight="true" outlineLevel="0" collapsed="false">
      <c r="A18" s="1160"/>
      <c r="B18" s="1160"/>
      <c r="C18" s="1160"/>
      <c r="D18" s="1153" t="n">
        <f aca="false">$H$6</f>
        <v>0</v>
      </c>
      <c r="E18" s="1154"/>
      <c r="F18" s="1155"/>
      <c r="G18" s="1156" t="n">
        <f aca="false">IF(ISERROR(F18*D18),0,ROUND(F18*D18,2))</f>
        <v>0</v>
      </c>
      <c r="H18" s="1157"/>
    </row>
    <row r="19" customFormat="false" ht="15" hidden="false" customHeight="true" outlineLevel="0" collapsed="false">
      <c r="A19" s="1161"/>
      <c r="B19" s="1161"/>
      <c r="C19" s="1161"/>
      <c r="D19" s="1153" t="n">
        <f aca="false">$H$6</f>
        <v>0</v>
      </c>
      <c r="E19" s="1154"/>
      <c r="F19" s="1155"/>
      <c r="G19" s="1156" t="n">
        <f aca="false">IF(ISERROR(F19*D19),0,ROUND(F19*D19,2))</f>
        <v>0</v>
      </c>
      <c r="H19" s="1157"/>
    </row>
    <row r="20" customFormat="false" ht="15" hidden="false" customHeight="true" outlineLevel="0" collapsed="false">
      <c r="A20" s="1161"/>
      <c r="B20" s="1161"/>
      <c r="C20" s="1161"/>
      <c r="D20" s="1153" t="n">
        <f aca="false">$H$6</f>
        <v>0</v>
      </c>
      <c r="E20" s="1154"/>
      <c r="F20" s="1155"/>
      <c r="G20" s="1156" t="n">
        <f aca="false">IF(ISERROR(F20*D20),0,ROUND(F20*D20,2))</f>
        <v>0</v>
      </c>
      <c r="H20" s="1157"/>
    </row>
    <row r="21" customFormat="false" ht="15" hidden="false" customHeight="true" outlineLevel="0" collapsed="false">
      <c r="A21" s="1162"/>
      <c r="B21" s="1162"/>
      <c r="C21" s="1162"/>
      <c r="D21" s="1163" t="n">
        <f aca="false">$H$6</f>
        <v>0</v>
      </c>
      <c r="E21" s="1164"/>
      <c r="F21" s="1165"/>
      <c r="G21" s="1166" t="n">
        <f aca="false">IF(ISERROR(F21*D21),0,ROUND(F21*D21,2))</f>
        <v>0</v>
      </c>
      <c r="H21" s="1167"/>
    </row>
    <row r="22" customFormat="false" ht="14.25" hidden="false" customHeight="false" outlineLevel="0" collapsed="false">
      <c r="A22" s="51"/>
      <c r="B22" s="51"/>
      <c r="C22" s="51"/>
      <c r="D22" s="51"/>
      <c r="E22" s="51"/>
      <c r="F22" s="51"/>
      <c r="G22" s="1168" t="n">
        <f aca="false">SUM(G11:G21)</f>
        <v>0</v>
      </c>
      <c r="H22" s="1168" t="n">
        <f aca="false">SUM(H11:H21)</f>
        <v>0</v>
      </c>
    </row>
    <row r="23" customFormat="false" ht="14.25" hidden="false" customHeight="false" outlineLevel="0" collapsed="false">
      <c r="A23" s="51"/>
      <c r="B23" s="51"/>
      <c r="C23" s="51"/>
      <c r="D23" s="51"/>
      <c r="E23" s="51"/>
      <c r="F23" s="51"/>
      <c r="G23" s="51"/>
      <c r="H23" s="51"/>
    </row>
    <row r="24" customFormat="false" ht="18" hidden="false" customHeight="true" outlineLevel="0" collapsed="false">
      <c r="A24" s="1143" t="s">
        <v>1271</v>
      </c>
      <c r="B24" s="1143"/>
      <c r="C24" s="1143"/>
      <c r="D24" s="1144"/>
      <c r="E24" s="1144" t="s">
        <v>1272</v>
      </c>
      <c r="F24" s="1144" t="s">
        <v>1273</v>
      </c>
      <c r="G24" s="1144"/>
      <c r="H24" s="1144" t="s">
        <v>1266</v>
      </c>
    </row>
    <row r="25" customFormat="false" ht="15" hidden="false" customHeight="true" outlineLevel="0" collapsed="false">
      <c r="A25" s="1169"/>
      <c r="B25" s="1169"/>
      <c r="C25" s="1169"/>
      <c r="D25" s="1170"/>
      <c r="E25" s="1171"/>
      <c r="F25" s="1172" t="n">
        <f aca="false">H5</f>
        <v>0</v>
      </c>
      <c r="G25" s="1144"/>
      <c r="H25" s="1173" t="n">
        <f aca="false">+E25*F25</f>
        <v>0</v>
      </c>
    </row>
    <row r="26" customFormat="false" ht="14.25" hidden="false" customHeight="false" outlineLevel="0" collapsed="false">
      <c r="A26" s="51"/>
      <c r="B26" s="51"/>
      <c r="C26" s="51"/>
      <c r="D26" s="51"/>
      <c r="E26" s="51"/>
      <c r="F26" s="51"/>
      <c r="G26" s="51"/>
      <c r="H26" s="51"/>
    </row>
    <row r="27" customFormat="false" ht="18" hidden="false" customHeight="true" outlineLevel="0" collapsed="false">
      <c r="A27" s="1174" t="s">
        <v>1274</v>
      </c>
      <c r="B27" s="1174"/>
      <c r="C27" s="1174"/>
      <c r="D27" s="1175" t="s">
        <v>1275</v>
      </c>
      <c r="E27" s="1175" t="s">
        <v>654</v>
      </c>
      <c r="F27" s="1175" t="s">
        <v>1265</v>
      </c>
      <c r="G27" s="1176" t="s">
        <v>1266</v>
      </c>
      <c r="H27" s="1177" t="s">
        <v>1266</v>
      </c>
    </row>
    <row r="28" customFormat="false" ht="15.75" hidden="false" customHeight="true" outlineLevel="0" collapsed="false">
      <c r="A28" s="1178" t="s">
        <v>1145</v>
      </c>
      <c r="B28" s="1178"/>
      <c r="C28" s="1178"/>
      <c r="D28" s="1179" t="n">
        <f aca="false">$H$6</f>
        <v>0</v>
      </c>
      <c r="E28" s="1180"/>
      <c r="F28" s="1181"/>
      <c r="G28" s="1182" t="n">
        <f aca="false">IF(ISERROR(F28*D28),0,ROUND(F28*D28,2))</f>
        <v>0</v>
      </c>
      <c r="H28" s="1183" t="n">
        <f aca="false">+G28</f>
        <v>0</v>
      </c>
    </row>
    <row r="29" customFormat="false" ht="15.75" hidden="false" customHeight="true" outlineLevel="0" collapsed="false">
      <c r="A29" s="1152" t="s">
        <v>124</v>
      </c>
      <c r="B29" s="1152"/>
      <c r="C29" s="1152"/>
      <c r="D29" s="1153" t="n">
        <f aca="false">$H$6</f>
        <v>0</v>
      </c>
      <c r="E29" s="1154"/>
      <c r="F29" s="1155"/>
      <c r="G29" s="1156" t="n">
        <f aca="false">IF(ISERROR(F29*D29),0,ROUND(F29*D29,2))</f>
        <v>0</v>
      </c>
      <c r="H29" s="1183" t="n">
        <f aca="false">+G29</f>
        <v>0</v>
      </c>
    </row>
    <row r="30" customFormat="false" ht="15.75" hidden="false" customHeight="true" outlineLevel="0" collapsed="false">
      <c r="A30" s="1161"/>
      <c r="B30" s="1161"/>
      <c r="C30" s="1161"/>
      <c r="D30" s="1153" t="n">
        <f aca="false">$H$6</f>
        <v>0</v>
      </c>
      <c r="E30" s="1154"/>
      <c r="F30" s="1155"/>
      <c r="G30" s="1156" t="n">
        <f aca="false">IF(ISERROR(F30*D30),0,ROUND(F30*D30,2))</f>
        <v>0</v>
      </c>
      <c r="H30" s="1157"/>
    </row>
    <row r="31" customFormat="false" ht="15" hidden="false" customHeight="true" outlineLevel="0" collapsed="false">
      <c r="A31" s="1162"/>
      <c r="B31" s="1162"/>
      <c r="C31" s="1162"/>
      <c r="D31" s="1163" t="n">
        <f aca="false">$H$6</f>
        <v>0</v>
      </c>
      <c r="E31" s="1164"/>
      <c r="F31" s="1165"/>
      <c r="G31" s="1166" t="n">
        <f aca="false">IF(ISERROR(F31*D31),0,ROUND(F31*D31,2))</f>
        <v>0</v>
      </c>
      <c r="H31" s="1184"/>
    </row>
    <row r="32" customFormat="false" ht="15" hidden="false" customHeight="true" outlineLevel="0" collapsed="false">
      <c r="A32" s="397"/>
      <c r="B32" s="397"/>
      <c r="C32" s="397"/>
      <c r="D32" s="51"/>
      <c r="E32" s="51"/>
      <c r="F32" s="1185"/>
      <c r="G32" s="1168" t="n">
        <f aca="false">SUM(G28:G31)</f>
        <v>0</v>
      </c>
      <c r="H32" s="1168" t="n">
        <f aca="false">SUM(H28:H31)</f>
        <v>0</v>
      </c>
    </row>
    <row r="33" customFormat="false" ht="14.25" hidden="false" customHeight="false" outlineLevel="0" collapsed="false">
      <c r="A33" s="51"/>
      <c r="B33" s="51"/>
      <c r="C33" s="51"/>
      <c r="D33" s="51"/>
      <c r="E33" s="51"/>
      <c r="F33" s="1185"/>
      <c r="G33" s="51"/>
      <c r="H33" s="51"/>
    </row>
    <row r="34" customFormat="false" ht="14.25" hidden="false" customHeight="false" outlineLevel="0" collapsed="false">
      <c r="A34" s="51"/>
      <c r="B34" s="51"/>
      <c r="C34" s="51"/>
      <c r="D34" s="51"/>
      <c r="E34" s="51"/>
      <c r="F34" s="1185"/>
      <c r="G34" s="51"/>
      <c r="H34" s="51"/>
    </row>
    <row r="35" customFormat="false" ht="14.25" hidden="false" customHeight="false" outlineLevel="0" collapsed="false">
      <c r="A35" s="1046" t="s">
        <v>496</v>
      </c>
      <c r="B35" s="1046"/>
      <c r="C35" s="1046"/>
      <c r="D35" s="1046"/>
      <c r="E35" s="1046"/>
      <c r="F35" s="1046"/>
      <c r="G35" s="1186" t="n">
        <f aca="false">+G22+G32</f>
        <v>0</v>
      </c>
      <c r="H35" s="1186" t="n">
        <f aca="false">+H22+H32+H25</f>
        <v>0</v>
      </c>
    </row>
    <row r="36" customFormat="false" ht="14.25" hidden="false" customHeight="false" outlineLevel="0" collapsed="false">
      <c r="A36" s="1187"/>
      <c r="B36" s="1187"/>
      <c r="C36" s="1187"/>
      <c r="D36" s="1187"/>
      <c r="E36" s="1187"/>
      <c r="F36" s="1187"/>
      <c r="G36" s="1188"/>
      <c r="H36" s="51"/>
    </row>
    <row r="37" customFormat="false" ht="15" hidden="false" customHeight="true" outlineLevel="0" collapsed="false">
      <c r="A37" s="1189"/>
      <c r="B37" s="1189"/>
      <c r="C37" s="51"/>
      <c r="D37" s="51"/>
      <c r="E37" s="51"/>
      <c r="F37" s="1187" t="s">
        <v>2</v>
      </c>
      <c r="G37" s="1186" t="n">
        <f aca="false">G22*15/115</f>
        <v>0</v>
      </c>
      <c r="H37" s="1186" t="n">
        <f aca="false">+H22*0.130434782608696</f>
        <v>0</v>
      </c>
    </row>
    <row r="38" customFormat="false" ht="14.25" hidden="false" customHeight="false" outlineLevel="0" collapsed="false">
      <c r="A38" s="51"/>
      <c r="B38" s="51"/>
      <c r="C38" s="51"/>
      <c r="D38" s="51"/>
      <c r="E38" s="51"/>
      <c r="F38" s="51"/>
      <c r="G38" s="1190"/>
      <c r="H38" s="51"/>
    </row>
    <row r="39" customFormat="false" ht="14.25" hidden="false" customHeight="false" outlineLevel="0" collapsed="false">
      <c r="A39" s="1046" t="s">
        <v>1276</v>
      </c>
      <c r="B39" s="1046"/>
      <c r="C39" s="1046"/>
      <c r="D39" s="1046"/>
      <c r="E39" s="1046"/>
      <c r="F39" s="1046"/>
      <c r="G39" s="1186" t="n">
        <f aca="false">G35-G37</f>
        <v>0</v>
      </c>
      <c r="H39" s="1186" t="n">
        <f aca="false">H35-H37</f>
        <v>0</v>
      </c>
    </row>
    <row r="40" customFormat="false" ht="14.25" hidden="false" customHeight="false" outlineLevel="0" collapsed="false">
      <c r="A40" s="397"/>
      <c r="B40" s="397"/>
      <c r="C40" s="397"/>
      <c r="D40" s="51"/>
      <c r="E40" s="51"/>
      <c r="F40" s="51"/>
      <c r="G40" s="51"/>
      <c r="H40" s="51"/>
    </row>
    <row r="44" s="1" customFormat="true" ht="14.25" hidden="false" customHeight="false" outlineLevel="0" collapsed="false">
      <c r="B44" s="173"/>
      <c r="C44" s="50"/>
      <c r="D44" s="50"/>
      <c r="E44" s="50"/>
      <c r="F44" s="50"/>
    </row>
    <row r="45" customFormat="false" ht="14.25" hidden="false" customHeight="false" outlineLevel="0" collapsed="false">
      <c r="B45" s="1191" t="s">
        <v>1277</v>
      </c>
      <c r="C45" s="408"/>
      <c r="D45" s="1192" t="s">
        <v>1278</v>
      </c>
      <c r="E45" s="1193" t="s">
        <v>1279</v>
      </c>
    </row>
    <row r="46" customFormat="false" ht="14.25" hidden="false" customHeight="false" outlineLevel="0" collapsed="false">
      <c r="B46" s="1194" t="s">
        <v>1280</v>
      </c>
      <c r="C46" s="51"/>
      <c r="D46" s="1195" t="n">
        <f aca="false">+G35</f>
        <v>0</v>
      </c>
      <c r="E46" s="1196"/>
    </row>
    <row r="47" customFormat="false" ht="14.25" hidden="false" customHeight="false" outlineLevel="0" collapsed="false">
      <c r="B47" s="1194" t="s">
        <v>1281</v>
      </c>
      <c r="C47" s="51"/>
      <c r="D47" s="51"/>
      <c r="E47" s="1197" t="n">
        <f aca="false">+D46</f>
        <v>0</v>
      </c>
    </row>
    <row r="48" customFormat="false" ht="14.25" hidden="false" customHeight="false" outlineLevel="0" collapsed="false">
      <c r="B48" s="1198" t="s">
        <v>1282</v>
      </c>
      <c r="C48" s="1199"/>
      <c r="D48" s="1199"/>
      <c r="E48" s="1200"/>
    </row>
    <row r="49" customFormat="false" ht="14.25" hidden="false" customHeight="false" outlineLevel="0" collapsed="false">
      <c r="B49" s="51"/>
      <c r="C49" s="51"/>
      <c r="D49" s="1201"/>
      <c r="E49" s="1201"/>
    </row>
    <row r="50" customFormat="false" ht="14.25" hidden="false" customHeight="false" outlineLevel="0" collapsed="false">
      <c r="B50" s="1191" t="s">
        <v>1277</v>
      </c>
      <c r="C50" s="408"/>
      <c r="D50" s="1192" t="s">
        <v>1278</v>
      </c>
      <c r="E50" s="1193" t="s">
        <v>1279</v>
      </c>
    </row>
    <row r="51" customFormat="false" ht="14.25" hidden="false" customHeight="false" outlineLevel="0" collapsed="false">
      <c r="B51" s="1194" t="s">
        <v>1280</v>
      </c>
      <c r="C51" s="51"/>
      <c r="D51" s="1195" t="n">
        <f aca="false">+H35</f>
        <v>0</v>
      </c>
      <c r="E51" s="1196"/>
    </row>
    <row r="52" customFormat="false" ht="14.25" hidden="false" customHeight="false" outlineLevel="0" collapsed="false">
      <c r="B52" s="1194" t="s">
        <v>1281</v>
      </c>
      <c r="C52" s="51"/>
      <c r="D52" s="51"/>
      <c r="E52" s="1197" t="n">
        <f aca="false">+D51</f>
        <v>0</v>
      </c>
    </row>
    <row r="53" customFormat="false" ht="14.25" hidden="false" customHeight="false" outlineLevel="0" collapsed="false">
      <c r="B53" s="1198" t="s">
        <v>1282</v>
      </c>
      <c r="C53" s="1199"/>
      <c r="D53" s="1199"/>
      <c r="E53" s="1200"/>
    </row>
    <row r="54" customFormat="false" ht="14.25" hidden="false" customHeight="false" outlineLevel="0" collapsed="false">
      <c r="B54" s="51"/>
      <c r="C54" s="51"/>
      <c r="D54" s="51"/>
      <c r="E54" s="51"/>
    </row>
    <row r="55" s="1" customFormat="true" ht="14.25" hidden="false" customHeight="false" outlineLevel="0" collapsed="false">
      <c r="B55" s="173"/>
    </row>
    <row r="56" customFormat="false" ht="14.25" hidden="false" customHeight="false" outlineLevel="0" collapsed="false">
      <c r="B56" s="1191" t="s">
        <v>1277</v>
      </c>
      <c r="C56" s="408"/>
      <c r="D56" s="1192" t="s">
        <v>1278</v>
      </c>
      <c r="E56" s="1193" t="s">
        <v>1279</v>
      </c>
    </row>
    <row r="57" customFormat="false" ht="14.25" hidden="false" customHeight="false" outlineLevel="0" collapsed="false">
      <c r="B57" s="1194" t="s">
        <v>1280</v>
      </c>
      <c r="C57" s="51"/>
      <c r="D57" s="1195" t="n">
        <f aca="false">G39</f>
        <v>0</v>
      </c>
      <c r="E57" s="1196"/>
    </row>
    <row r="58" customFormat="false" ht="14.25" hidden="false" customHeight="false" outlineLevel="0" collapsed="false">
      <c r="B58" s="1194" t="s">
        <v>2</v>
      </c>
      <c r="C58" s="51"/>
      <c r="D58" s="1195" t="n">
        <f aca="false">G37</f>
        <v>0</v>
      </c>
      <c r="E58" s="1196"/>
    </row>
    <row r="59" customFormat="false" ht="14.25" hidden="false" customHeight="false" outlineLevel="0" collapsed="false">
      <c r="B59" s="1194" t="s">
        <v>1281</v>
      </c>
      <c r="C59" s="51"/>
      <c r="D59" s="51"/>
      <c r="E59" s="1197" t="n">
        <f aca="false">D57+D58</f>
        <v>0</v>
      </c>
    </row>
    <row r="60" customFormat="false" ht="14.25" hidden="false" customHeight="false" outlineLevel="0" collapsed="false">
      <c r="B60" s="1198" t="s">
        <v>1282</v>
      </c>
      <c r="C60" s="1199"/>
      <c r="D60" s="1199"/>
      <c r="E60" s="1200"/>
    </row>
    <row r="61" customFormat="false" ht="14.25" hidden="false" customHeight="false" outlineLevel="0" collapsed="false">
      <c r="B61" s="51"/>
      <c r="C61" s="51"/>
      <c r="D61" s="51"/>
      <c r="E61" s="51"/>
    </row>
    <row r="62" customFormat="false" ht="14.25" hidden="false" customHeight="false" outlineLevel="0" collapsed="false">
      <c r="B62" s="1191" t="s">
        <v>1277</v>
      </c>
      <c r="C62" s="408"/>
      <c r="D62" s="1192" t="s">
        <v>1278</v>
      </c>
      <c r="E62" s="1193" t="s">
        <v>1279</v>
      </c>
    </row>
    <row r="63" customFormat="false" ht="14.25" hidden="false" customHeight="false" outlineLevel="0" collapsed="false">
      <c r="B63" s="1194" t="s">
        <v>1280</v>
      </c>
      <c r="C63" s="51"/>
      <c r="D63" s="1195" t="n">
        <f aca="false">H39</f>
        <v>0</v>
      </c>
      <c r="E63" s="1196"/>
    </row>
    <row r="64" customFormat="false" ht="14.25" hidden="false" customHeight="false" outlineLevel="0" collapsed="false">
      <c r="B64" s="1194" t="s">
        <v>2</v>
      </c>
      <c r="C64" s="51"/>
      <c r="D64" s="1195" t="n">
        <f aca="false">H37</f>
        <v>0</v>
      </c>
      <c r="E64" s="1196"/>
    </row>
    <row r="65" customFormat="false" ht="14.25" hidden="false" customHeight="false" outlineLevel="0" collapsed="false">
      <c r="B65" s="1194" t="s">
        <v>1281</v>
      </c>
      <c r="C65" s="51"/>
      <c r="D65" s="51"/>
      <c r="E65" s="1197" t="n">
        <f aca="false">+D63+D64</f>
        <v>0</v>
      </c>
    </row>
    <row r="66" customFormat="false" ht="14.25" hidden="false" customHeight="false" outlineLevel="0" collapsed="false">
      <c r="B66" s="1198" t="s">
        <v>1282</v>
      </c>
      <c r="C66" s="1199"/>
      <c r="D66" s="1199"/>
      <c r="E66" s="1200"/>
    </row>
  </sheetData>
  <mergeCells count="29">
    <mergeCell ref="A2:H2"/>
    <mergeCell ref="A4:G4"/>
    <mergeCell ref="A5:G5"/>
    <mergeCell ref="A6:G6"/>
    <mergeCell ref="A8:H8"/>
    <mergeCell ref="A10:C10"/>
    <mergeCell ref="A11:C11"/>
    <mergeCell ref="A12:C12"/>
    <mergeCell ref="A13:C13"/>
    <mergeCell ref="A14:C14"/>
    <mergeCell ref="A15:C15"/>
    <mergeCell ref="A16:C16"/>
    <mergeCell ref="A17:C17"/>
    <mergeCell ref="A18:C18"/>
    <mergeCell ref="A19:C19"/>
    <mergeCell ref="A20:C20"/>
    <mergeCell ref="A21:C21"/>
    <mergeCell ref="A24:C24"/>
    <mergeCell ref="A25:C25"/>
    <mergeCell ref="A27:C27"/>
    <mergeCell ref="A28:C28"/>
    <mergeCell ref="A29:C29"/>
    <mergeCell ref="A30:C30"/>
    <mergeCell ref="A31:C31"/>
    <mergeCell ref="A32:C32"/>
    <mergeCell ref="A35:F35"/>
    <mergeCell ref="A37:B37"/>
    <mergeCell ref="A39:F39"/>
    <mergeCell ref="A40:C40"/>
  </mergeCells>
  <dataValidations count="1">
    <dataValidation allowBlank="true" errorStyle="stop" operator="between" prompt="This cell contains a formula. Enter a % if the area details are not supplied or available from last year's workpapers." showDropDown="false" showErrorMessage="true" showInputMessage="false" sqref="G6:H6" type="none">
      <formula1>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true"/>
  </sheetPr>
  <dimension ref="A1:V2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R25" activeCellId="0" sqref="R25"/>
    </sheetView>
  </sheetViews>
  <sheetFormatPr defaultColWidth="9.14453125" defaultRowHeight="12.75" zeroHeight="false" outlineLevelRow="0" outlineLevelCol="0"/>
  <cols>
    <col collapsed="false" customWidth="true" hidden="false" outlineLevel="0" max="1" min="1" style="469" width="3.15"/>
    <col collapsed="false" customWidth="false" hidden="false" outlineLevel="0" max="2" min="2" style="469" width="9.14"/>
    <col collapsed="false" customWidth="true" hidden="false" outlineLevel="0" max="10" min="3" style="469" width="13.86"/>
    <col collapsed="false" customWidth="true" hidden="false" outlineLevel="0" max="12" min="11" style="469" width="11.86"/>
    <col collapsed="false" customWidth="true" hidden="false" outlineLevel="0" max="15" min="13" style="469" width="13.86"/>
    <col collapsed="false" customWidth="true" hidden="false" outlineLevel="0" max="16" min="16" style="469" width="3.57"/>
    <col collapsed="false" customWidth="false" hidden="false" outlineLevel="0" max="17" min="17" style="469" width="9.14"/>
    <col collapsed="false" customWidth="true" hidden="false" outlineLevel="0" max="18" min="18" style="469" width="9.86"/>
    <col collapsed="false" customWidth="false" hidden="false" outlineLevel="0" max="16384" min="19" style="469" width="9.14"/>
  </cols>
  <sheetData>
    <row r="1" s="6" customFormat="true" ht="20.25" hidden="false" customHeight="true" outlineLevel="0" collapsed="false">
      <c r="A1" s="120"/>
    </row>
    <row r="2" s="6" customFormat="true" ht="20.25" hidden="false" customHeight="true" outlineLevel="0" collapsed="false">
      <c r="A2" s="24" t="s">
        <v>578</v>
      </c>
      <c r="B2" s="24"/>
      <c r="C2" s="24"/>
      <c r="D2" s="24"/>
      <c r="E2" s="24"/>
      <c r="F2" s="24"/>
      <c r="G2" s="24"/>
      <c r="H2" s="24"/>
      <c r="I2" s="24"/>
      <c r="J2" s="24"/>
      <c r="K2" s="24"/>
      <c r="L2" s="24"/>
      <c r="M2" s="24"/>
      <c r="N2" s="24"/>
      <c r="O2" s="24"/>
    </row>
    <row r="3" customFormat="false" ht="15" hidden="false" customHeight="true" outlineLevel="0" collapsed="false"/>
    <row r="4" customFormat="false" ht="15" hidden="false" customHeight="true" outlineLevel="0" collapsed="false">
      <c r="B4" s="1202" t="s">
        <v>898</v>
      </c>
      <c r="C4" s="1202"/>
      <c r="D4" s="1203" t="str">
        <f aca="false">+CAC!C4</f>
        <v>Enter Shareholder Name</v>
      </c>
      <c r="E4" s="1203"/>
      <c r="F4" s="1203"/>
      <c r="G4" s="1203"/>
      <c r="H4" s="1204" t="s">
        <v>764</v>
      </c>
      <c r="I4" s="1204"/>
      <c r="J4" s="772" t="n">
        <f aca="false">CAC!H7</f>
        <v>-510985.97</v>
      </c>
    </row>
    <row r="5" customFormat="false" ht="15" hidden="false" customHeight="true" outlineLevel="0" collapsed="false">
      <c r="B5" s="1205" t="s">
        <v>1283</v>
      </c>
      <c r="C5" s="1205"/>
      <c r="D5" s="1206"/>
      <c r="E5" s="1207" t="s">
        <v>1284</v>
      </c>
      <c r="F5" s="1208"/>
      <c r="I5" s="519"/>
      <c r="J5" s="519"/>
      <c r="K5" s="519"/>
      <c r="L5" s="519"/>
      <c r="M5" s="519"/>
      <c r="Q5" s="770"/>
      <c r="R5" s="770"/>
      <c r="S5" s="770"/>
      <c r="T5" s="770"/>
    </row>
    <row r="6" customFormat="false" ht="15" hidden="false" customHeight="true" outlineLevel="0" collapsed="false">
      <c r="B6" s="1209"/>
      <c r="C6" s="470"/>
      <c r="D6" s="470"/>
      <c r="I6" s="519"/>
      <c r="J6" s="469" t="s">
        <v>1285</v>
      </c>
      <c r="K6" s="519"/>
      <c r="L6" s="519"/>
      <c r="M6" s="519"/>
      <c r="O6" s="1210"/>
      <c r="Q6" s="770"/>
      <c r="R6" s="770"/>
      <c r="S6" s="770"/>
      <c r="T6" s="770"/>
    </row>
    <row r="7" customFormat="false" ht="15" hidden="false" customHeight="true" outlineLevel="0" collapsed="false">
      <c r="Q7" s="770"/>
      <c r="R7" s="770"/>
      <c r="S7" s="770"/>
      <c r="T7" s="770"/>
    </row>
    <row r="8" customFormat="false" ht="15" hidden="false" customHeight="true" outlineLevel="0" collapsed="false">
      <c r="C8" s="1207" t="s">
        <v>925</v>
      </c>
      <c r="D8" s="1207"/>
      <c r="E8" s="1207"/>
      <c r="F8" s="1207"/>
      <c r="G8" s="1207" t="s">
        <v>936</v>
      </c>
      <c r="H8" s="1207"/>
      <c r="I8" s="1207"/>
      <c r="J8" s="1207" t="s">
        <v>1286</v>
      </c>
      <c r="K8" s="1207"/>
      <c r="L8" s="1207"/>
      <c r="M8" s="1207"/>
      <c r="N8" s="1207"/>
      <c r="O8" s="1207"/>
      <c r="Q8" s="770"/>
      <c r="R8" s="770"/>
      <c r="S8" s="770"/>
      <c r="T8" s="770"/>
    </row>
    <row r="9" customFormat="false" ht="30" hidden="false" customHeight="true" outlineLevel="0" collapsed="false">
      <c r="B9" s="1211" t="s">
        <v>1287</v>
      </c>
      <c r="C9" s="1212" t="s">
        <v>218</v>
      </c>
      <c r="D9" s="1212" t="s">
        <v>1288</v>
      </c>
      <c r="E9" s="1212" t="s">
        <v>408</v>
      </c>
      <c r="F9" s="1212" t="s">
        <v>1289</v>
      </c>
      <c r="G9" s="1213" t="s">
        <v>1290</v>
      </c>
      <c r="H9" s="1212" t="s">
        <v>408</v>
      </c>
      <c r="I9" s="1212" t="s">
        <v>1289</v>
      </c>
      <c r="J9" s="1213" t="s">
        <v>1291</v>
      </c>
      <c r="K9" s="1212" t="s">
        <v>1292</v>
      </c>
      <c r="L9" s="1212" t="s">
        <v>1293</v>
      </c>
      <c r="M9" s="1212" t="s">
        <v>1294</v>
      </c>
      <c r="N9" s="1212" t="s">
        <v>1295</v>
      </c>
      <c r="O9" s="1212" t="s">
        <v>778</v>
      </c>
      <c r="R9" s="126" t="s">
        <v>628</v>
      </c>
    </row>
    <row r="10" customFormat="false" ht="14.25" hidden="false" customHeight="true" outlineLevel="0" collapsed="false">
      <c r="B10" s="1214" t="s">
        <v>1296</v>
      </c>
      <c r="O10" s="787" t="n">
        <f aca="false">J4-IF(G39="",G33,G39)</f>
        <v>-510985.97</v>
      </c>
    </row>
    <row r="11" customFormat="false" ht="15" hidden="false" customHeight="true" outlineLevel="0" collapsed="false">
      <c r="B11" s="1215" t="n">
        <f aca="false">DATE(YEAR(B12),MONTH(B12) - 1, 1)</f>
        <v>45017</v>
      </c>
      <c r="C11" s="1216" t="n">
        <v>4000</v>
      </c>
      <c r="D11" s="1216"/>
      <c r="E11" s="1216"/>
      <c r="F11" s="1217" t="n">
        <f aca="false">$F$25/12</f>
        <v>0</v>
      </c>
      <c r="G11" s="1216"/>
      <c r="H11" s="1216"/>
      <c r="I11" s="1217" t="n">
        <f aca="false">-$I$25/12</f>
        <v>-0</v>
      </c>
      <c r="J11" s="1217" t="n">
        <f aca="false">SUM(C11:F11) - SUM(G11:H11) + I11</f>
        <v>4000</v>
      </c>
      <c r="K11" s="1218" t="n">
        <f aca="false">+VLOOKUP(B11,$B$85:$C$231,2,0)</f>
        <v>0.0789</v>
      </c>
      <c r="L11" s="1216"/>
      <c r="M11" s="1217" t="n">
        <f aca="false">ROUND(IF(((O10+O10+J11)/2)&lt;0,(((O10+O10+J11)/2)*L11)/12,(((O10+O10+J11)/2)*K11)/12),2)</f>
        <v>-0</v>
      </c>
      <c r="N11" s="1219"/>
      <c r="O11" s="775" t="n">
        <f aca="false">IF(O6="Y",O10+J11+N11,O10+J11)</f>
        <v>-506985.97</v>
      </c>
    </row>
    <row r="12" customFormat="false" ht="15" hidden="false" customHeight="true" outlineLevel="0" collapsed="false">
      <c r="B12" s="1220" t="n">
        <f aca="false">DATE(YEAR(B13),MONTH(B13) - 1, 1)</f>
        <v>45047</v>
      </c>
      <c r="C12" s="1221" t="n">
        <v>72.27</v>
      </c>
      <c r="D12" s="1221"/>
      <c r="E12" s="1221"/>
      <c r="F12" s="1222" t="n">
        <f aca="false">$F$25/12</f>
        <v>0</v>
      </c>
      <c r="G12" s="1221"/>
      <c r="H12" s="1221"/>
      <c r="I12" s="1222" t="n">
        <f aca="false">-$I$25/12</f>
        <v>-0</v>
      </c>
      <c r="J12" s="1222" t="n">
        <f aca="false">SUM(C12:F12) - SUM(G12:H12) + I12</f>
        <v>72.27</v>
      </c>
      <c r="K12" s="1223" t="n">
        <f aca="false">+VLOOKUP(B12,$B$85:$C$231,2,0)</f>
        <v>0.0789</v>
      </c>
      <c r="L12" s="1221"/>
      <c r="M12" s="1222" t="n">
        <f aca="false">ROUND(IF(((O11+O11+J12)/2)&lt;0,(((O11+O11+J12)/2)*L12)/12,(((O11+O11+J12)/2)*K12)/12),2)</f>
        <v>-0</v>
      </c>
      <c r="N12" s="1224"/>
      <c r="O12" s="779" t="n">
        <f aca="false">O11+J12</f>
        <v>-506913.7</v>
      </c>
    </row>
    <row r="13" customFormat="false" ht="15" hidden="false" customHeight="true" outlineLevel="0" collapsed="false">
      <c r="B13" s="1220" t="n">
        <f aca="false">DATE(YEAR(B14),MONTH(B14) - 1, 1)</f>
        <v>45078</v>
      </c>
      <c r="C13" s="1221" t="n">
        <v>403000</v>
      </c>
      <c r="D13" s="1221"/>
      <c r="E13" s="1221"/>
      <c r="F13" s="1222" t="n">
        <f aca="false">$F$25/12</f>
        <v>0</v>
      </c>
      <c r="G13" s="1221"/>
      <c r="H13" s="1221"/>
      <c r="I13" s="1222" t="n">
        <f aca="false">-$I$25/12</f>
        <v>-0</v>
      </c>
      <c r="J13" s="1222" t="n">
        <f aca="false">SUM(C13:F13) - SUM(G13:H13) + I13</f>
        <v>403000</v>
      </c>
      <c r="K13" s="1223" t="n">
        <f aca="false">+VLOOKUP(B13,$B$85:$C$231,2,0)</f>
        <v>0.0789</v>
      </c>
      <c r="L13" s="1221"/>
      <c r="M13" s="1222" t="n">
        <f aca="false">ROUND(IF(((O12+O12+J13)/2)&lt;0,(((O12+O12+J13)/2)*L13)/12,(((O12+O12+J13)/2)*K13)/12),2)</f>
        <v>-0</v>
      </c>
      <c r="N13" s="1222" t="n">
        <f aca="false">SUM(M11:M13)</f>
        <v>0</v>
      </c>
      <c r="O13" s="779" t="n">
        <f aca="false">O12+J13+N13</f>
        <v>-103913.7</v>
      </c>
    </row>
    <row r="14" customFormat="false" ht="15" hidden="false" customHeight="true" outlineLevel="0" collapsed="false">
      <c r="B14" s="1220" t="n">
        <f aca="false">DATE(YEAR(B15),MONTH(B15) - 1, 1)</f>
        <v>45108</v>
      </c>
      <c r="C14" s="1221" t="n">
        <v>3055.46</v>
      </c>
      <c r="D14" s="1221"/>
      <c r="E14" s="1221"/>
      <c r="F14" s="1222" t="n">
        <f aca="false">$F$25/12</f>
        <v>0</v>
      </c>
      <c r="G14" s="1221"/>
      <c r="H14" s="1221"/>
      <c r="I14" s="1222" t="n">
        <f aca="false">-$I$25/12</f>
        <v>-0</v>
      </c>
      <c r="J14" s="1222" t="n">
        <f aca="false">SUM(C14:F14) - SUM(G14:H14) + I14</f>
        <v>3055.46</v>
      </c>
      <c r="K14" s="1223" t="n">
        <f aca="false">+VLOOKUP(B14,$B$85:$C$231,2,0)</f>
        <v>0.0789</v>
      </c>
      <c r="L14" s="1221"/>
      <c r="M14" s="1222" t="n">
        <f aca="false">ROUND(IF(((O13+O13+J14)/2)&lt;0,(((O13+O13+J14)/2)*L14)/12,(((O13+O13+J14)/2)*K14)/12),2)</f>
        <v>-0</v>
      </c>
      <c r="N14" s="1224"/>
      <c r="O14" s="779" t="n">
        <f aca="false">O13+J14</f>
        <v>-100858.24</v>
      </c>
    </row>
    <row r="15" customFormat="false" ht="15" hidden="false" customHeight="true" outlineLevel="0" collapsed="false">
      <c r="B15" s="1220" t="n">
        <f aca="false">DATE(YEAR(B16),MONTH(B16) - 1, 1)</f>
        <v>45139</v>
      </c>
      <c r="C15" s="1221" t="n">
        <v>0</v>
      </c>
      <c r="D15" s="1221"/>
      <c r="E15" s="1221"/>
      <c r="F15" s="1222" t="n">
        <f aca="false">$F$25/12</f>
        <v>0</v>
      </c>
      <c r="G15" s="1221"/>
      <c r="H15" s="1221"/>
      <c r="I15" s="1222" t="n">
        <f aca="false">-$I$25/12</f>
        <v>-0</v>
      </c>
      <c r="J15" s="1222" t="n">
        <f aca="false">SUM(C15:F15) - SUM(G15:H15) + I15</f>
        <v>0</v>
      </c>
      <c r="K15" s="1223" t="n">
        <f aca="false">+VLOOKUP(B15,$B$85:$C$231,2,0)</f>
        <v>0.0789</v>
      </c>
      <c r="L15" s="1221"/>
      <c r="M15" s="1222" t="n">
        <f aca="false">ROUND(IF(((O14+O14+J15)/2)&lt;0,(((O14+O14+J15)/2)*L15)/12,(((O14+O14+J15)/2)*K15)/12),2)</f>
        <v>-0</v>
      </c>
      <c r="N15" s="1224"/>
      <c r="O15" s="779" t="n">
        <f aca="false">O14+J15</f>
        <v>-100858.24</v>
      </c>
      <c r="V15" s="498"/>
    </row>
    <row r="16" customFormat="false" ht="15" hidden="false" customHeight="true" outlineLevel="0" collapsed="false">
      <c r="B16" s="1220" t="n">
        <f aca="false">DATE(YEAR(B17),MONTH(B17) - 1, 1)</f>
        <v>45170</v>
      </c>
      <c r="C16" s="1221" t="n">
        <v>183177.98</v>
      </c>
      <c r="D16" s="1221"/>
      <c r="E16" s="1221"/>
      <c r="F16" s="1222" t="n">
        <f aca="false">$F$25/12</f>
        <v>0</v>
      </c>
      <c r="G16" s="1221"/>
      <c r="H16" s="1221"/>
      <c r="I16" s="1222" t="n">
        <f aca="false">-$I$25/12</f>
        <v>-0</v>
      </c>
      <c r="J16" s="1222" t="n">
        <f aca="false">SUM(C16:F16) - SUM(G16:H16) + I16</f>
        <v>183177.98</v>
      </c>
      <c r="K16" s="1223" t="n">
        <f aca="false">+VLOOKUP(B16,$B$85:$C$231,2,0)</f>
        <v>0.0789</v>
      </c>
      <c r="L16" s="1221"/>
      <c r="M16" s="1222" t="n">
        <f aca="false">ROUND(IF(((O15+O15+J16)/2)&lt;0,(((O15+O15+J16)/2)*L16)/12,(((O15+O15+J16)/2)*K16)/12),2)</f>
        <v>-0</v>
      </c>
      <c r="N16" s="1222" t="n">
        <f aca="false">SUM(M14:M16)</f>
        <v>0</v>
      </c>
      <c r="O16" s="779" t="n">
        <f aca="false">O15+J16+N16</f>
        <v>82319.7400000001</v>
      </c>
      <c r="V16" s="498"/>
    </row>
    <row r="17" customFormat="false" ht="15" hidden="false" customHeight="true" outlineLevel="0" collapsed="false">
      <c r="B17" s="1220" t="n">
        <f aca="false">DATE(YEAR(B18),MONTH(B18) - 1, 1)</f>
        <v>45200</v>
      </c>
      <c r="C17" s="1221" t="n">
        <v>5.8</v>
      </c>
      <c r="D17" s="1221"/>
      <c r="E17" s="1221"/>
      <c r="F17" s="1222" t="n">
        <f aca="false">$F$25/12</f>
        <v>0</v>
      </c>
      <c r="G17" s="1221"/>
      <c r="H17" s="1221"/>
      <c r="I17" s="1222" t="n">
        <f aca="false">-$I$25/12</f>
        <v>-0</v>
      </c>
      <c r="J17" s="1222" t="n">
        <f aca="false">SUM(C17:F17) - SUM(G17:H17) + I17</f>
        <v>5.8</v>
      </c>
      <c r="K17" s="1223" t="n">
        <f aca="false">+VLOOKUP(B17,$B$85:$C$231,2,0)</f>
        <v>0.0841</v>
      </c>
      <c r="L17" s="1221"/>
      <c r="M17" s="1222" t="n">
        <f aca="false">ROUND(IF(((O16+O16+J17)/2)&lt;0,(((O16+O16+J17)/2)*L17)/12,(((O16+O16+J17)/2)*K17)/12),2)</f>
        <v>576.94</v>
      </c>
      <c r="N17" s="1224"/>
      <c r="O17" s="779" t="n">
        <f aca="false">O16+J17</f>
        <v>82325.5400000001</v>
      </c>
    </row>
    <row r="18" customFormat="false" ht="15" hidden="false" customHeight="true" outlineLevel="0" collapsed="false">
      <c r="B18" s="1220" t="n">
        <f aca="false">DATE(YEAR(B19),MONTH(B19) - 1, 1)</f>
        <v>45231</v>
      </c>
      <c r="C18" s="1221" t="n">
        <v>3011.6</v>
      </c>
      <c r="D18" s="1221"/>
      <c r="E18" s="1221"/>
      <c r="F18" s="1222" t="n">
        <f aca="false">$F$25/12</f>
        <v>0</v>
      </c>
      <c r="G18" s="1221" t="n">
        <v>100000</v>
      </c>
      <c r="H18" s="1221"/>
      <c r="I18" s="1222" t="n">
        <f aca="false">-$I$25/12</f>
        <v>-0</v>
      </c>
      <c r="J18" s="1222" t="n">
        <f aca="false">SUM(C18:F18) - SUM(G18:H18) + I18</f>
        <v>-96988.4</v>
      </c>
      <c r="K18" s="1223" t="n">
        <f aca="false">+VLOOKUP(B18,$B$85:$C$231,2,0)</f>
        <v>0.0841</v>
      </c>
      <c r="L18" s="1221"/>
      <c r="M18" s="1222" t="n">
        <f aca="false">ROUND(IF(((O17+O17+J18)/2)&lt;0,(((O17+O17+J18)/2)*L18)/12,(((O17+O17+J18)/2)*K18)/12),2)</f>
        <v>237.1</v>
      </c>
      <c r="N18" s="1224"/>
      <c r="O18" s="779" t="n">
        <f aca="false">O17+J18</f>
        <v>-14662.8599999999</v>
      </c>
    </row>
    <row r="19" customFormat="false" ht="15" hidden="false" customHeight="true" outlineLevel="0" collapsed="false">
      <c r="B19" s="1220" t="n">
        <f aca="false">DATE(YEAR(B20),MONTH(B20) - 1, 1)</f>
        <v>45261</v>
      </c>
      <c r="C19" s="1221" t="n">
        <v>75.4</v>
      </c>
      <c r="D19" s="1221"/>
      <c r="E19" s="1221"/>
      <c r="F19" s="1222" t="n">
        <f aca="false">$F$25/12</f>
        <v>0</v>
      </c>
      <c r="G19" s="1221" t="n">
        <v>317.77</v>
      </c>
      <c r="H19" s="1221"/>
      <c r="I19" s="1222" t="n">
        <f aca="false">-$I$25/12</f>
        <v>-0</v>
      </c>
      <c r="J19" s="1222" t="n">
        <f aca="false">SUM(C19:F19) - SUM(G19:H19) + I19</f>
        <v>-242.37</v>
      </c>
      <c r="K19" s="1223" t="n">
        <f aca="false">+VLOOKUP(B19,$B$85:$C$231,2,0)</f>
        <v>0.0841</v>
      </c>
      <c r="L19" s="1221"/>
      <c r="M19" s="1222" t="n">
        <f aca="false">ROUND(IF(((O18+O18+J19)/2)&lt;0,(((O18+O18+J19)/2)*L19)/12,(((O18+O18+J19)/2)*K19)/12),2)</f>
        <v>-0</v>
      </c>
      <c r="N19" s="1222" t="n">
        <f aca="false">SUM(M17:M19)</f>
        <v>814.04</v>
      </c>
      <c r="O19" s="779" t="n">
        <f aca="false">O18+J19+N19</f>
        <v>-14091.1899999999</v>
      </c>
    </row>
    <row r="20" customFormat="false" ht="15" hidden="false" customHeight="true" outlineLevel="0" collapsed="false">
      <c r="B20" s="1220" t="n">
        <f aca="false">DATE(YEAR(B21),MONTH(B21) - 1, 1)</f>
        <v>45292</v>
      </c>
      <c r="C20" s="1221" t="n">
        <v>103120.8</v>
      </c>
      <c r="D20" s="1221"/>
      <c r="E20" s="1221"/>
      <c r="F20" s="1222" t="n">
        <f aca="false">$F$25/12</f>
        <v>0</v>
      </c>
      <c r="G20" s="1221"/>
      <c r="H20" s="1221"/>
      <c r="I20" s="1222" t="n">
        <f aca="false">-$I$25/12</f>
        <v>-0</v>
      </c>
      <c r="J20" s="1222" t="n">
        <f aca="false">SUM(C20:F20) - SUM(G20:H20) + I20</f>
        <v>103120.8</v>
      </c>
      <c r="K20" s="1223" t="n">
        <f aca="false">+VLOOKUP(B20,$B$85:$C$231,2,0)</f>
        <v>0.0841</v>
      </c>
      <c r="L20" s="1221"/>
      <c r="M20" s="1222" t="n">
        <f aca="false">ROUND(IF(((O19+O19+J20)/2)&lt;0,(((O19+O19+J20)/2)*L20)/12,(((O19+O19+J20)/2)*K20)/12),2)</f>
        <v>262.6</v>
      </c>
      <c r="N20" s="1224"/>
      <c r="O20" s="779" t="n">
        <f aca="false">O19+J20</f>
        <v>89029.6100000001</v>
      </c>
    </row>
    <row r="21" customFormat="false" ht="15" hidden="false" customHeight="true" outlineLevel="0" collapsed="false">
      <c r="B21" s="1220" t="n">
        <f aca="false">DATE(YEAR(B22),MONTH(B22) - 1, 1)</f>
        <v>45323</v>
      </c>
      <c r="C21" s="1221" t="n">
        <v>148005.8</v>
      </c>
      <c r="D21" s="1221"/>
      <c r="E21" s="1221"/>
      <c r="F21" s="1222" t="n">
        <f aca="false">$F$25/12</f>
        <v>0</v>
      </c>
      <c r="G21" s="1221"/>
      <c r="H21" s="1221"/>
      <c r="I21" s="1222" t="n">
        <f aca="false">-$I$25/12</f>
        <v>-0</v>
      </c>
      <c r="J21" s="1222" t="n">
        <f aca="false">SUM(C21:F21) - SUM(G21:H21) + I21</f>
        <v>148005.8</v>
      </c>
      <c r="K21" s="1223" t="n">
        <f aca="false">+VLOOKUP(B21,$B$85:$C$231,2,0)</f>
        <v>0.0841</v>
      </c>
      <c r="L21" s="1221"/>
      <c r="M21" s="1222" t="n">
        <f aca="false">ROUND(IF(((O20+O20+J21)/2)&lt;0,(((O20+O20+J21)/2)*L21)/12,(((O20+O20+J21)/2)*K21)/12),2)</f>
        <v>1142.59</v>
      </c>
      <c r="N21" s="1224"/>
      <c r="O21" s="779" t="n">
        <f aca="false">O20+J21</f>
        <v>237035.41</v>
      </c>
    </row>
    <row r="22" customFormat="false" ht="15" hidden="false" customHeight="true" outlineLevel="0" collapsed="false">
      <c r="B22" s="1220" t="n">
        <v>45352</v>
      </c>
      <c r="C22" s="1221" t="n">
        <v>80.64</v>
      </c>
      <c r="D22" s="1221" t="n">
        <v>15000</v>
      </c>
      <c r="E22" s="1221"/>
      <c r="F22" s="1222" t="n">
        <f aca="false">$F$25/12</f>
        <v>0</v>
      </c>
      <c r="G22" s="1221"/>
      <c r="H22" s="1221"/>
      <c r="I22" s="1222" t="n">
        <f aca="false">-$I$25/12</f>
        <v>-0</v>
      </c>
      <c r="J22" s="1222" t="n">
        <f aca="false">SUM(C22:F22) - SUM(G22:H22) + I22</f>
        <v>15080.64</v>
      </c>
      <c r="K22" s="1223" t="n">
        <f aca="false">+VLOOKUP(B22,$B$85:$C$231,2,0)</f>
        <v>0.0841</v>
      </c>
      <c r="L22" s="1221"/>
      <c r="M22" s="1222" t="n">
        <f aca="false">ROUND(IF(((O21+O21+J22)/2)&lt;0,(((O21+O21+J22)/2)*L22)/12,(((O21+O21+J22)/2)*K22)/12),2)</f>
        <v>1714.07</v>
      </c>
      <c r="N22" s="1222" t="n">
        <f aca="false">SUM(M20:M22)</f>
        <v>3119.26</v>
      </c>
      <c r="O22" s="779" t="n">
        <f aca="false">IF(O6="Y",O21+J22,O21+J22+N22)</f>
        <v>255235.31</v>
      </c>
    </row>
    <row r="23" customFormat="false" ht="15" hidden="false" customHeight="true" outlineLevel="0" collapsed="false">
      <c r="B23" s="783"/>
      <c r="C23" s="1225" t="n">
        <f aca="false">SUM(C11:C22)</f>
        <v>847605.75</v>
      </c>
      <c r="D23" s="1225" t="n">
        <f aca="false">SUM(D11:D22)</f>
        <v>15000</v>
      </c>
      <c r="E23" s="1225" t="n">
        <f aca="false">SUM(E11:E22)</f>
        <v>0</v>
      </c>
      <c r="F23" s="1226" t="n">
        <f aca="false">SUM(F11:F22)</f>
        <v>0</v>
      </c>
      <c r="G23" s="1225" t="n">
        <f aca="false">-SUM(G11:G22)</f>
        <v>-100317.77</v>
      </c>
      <c r="H23" s="1225" t="n">
        <f aca="false">-SUM(H11:H22)</f>
        <v>0</v>
      </c>
      <c r="I23" s="1226" t="n">
        <f aca="false">SUM(I11:I22)</f>
        <v>0</v>
      </c>
      <c r="J23" s="1226" t="n">
        <f aca="false">SUM(J11:J22)</f>
        <v>762287.98</v>
      </c>
      <c r="K23" s="1225"/>
      <c r="L23" s="1225"/>
      <c r="M23" s="1226" t="n">
        <f aca="false">SUM(M11:M22)</f>
        <v>3933.3</v>
      </c>
      <c r="N23" s="1226" t="n">
        <f aca="false">IF(O6="y",SUM(N11:N19),SUM(N13:N22))</f>
        <v>3933.3</v>
      </c>
      <c r="O23" s="1227"/>
    </row>
    <row r="24" customFormat="false" ht="15" hidden="false" customHeight="true" outlineLevel="0" collapsed="false"/>
    <row r="25" customFormat="false" ht="15" hidden="false" customHeight="true" outlineLevel="0" collapsed="false">
      <c r="C25" s="469" t="s">
        <v>1297</v>
      </c>
      <c r="E25" s="469" t="s">
        <v>1298</v>
      </c>
      <c r="F25" s="1228"/>
      <c r="H25" s="469" t="s">
        <v>1299</v>
      </c>
      <c r="I25" s="1228"/>
    </row>
    <row r="26" customFormat="false" ht="15" hidden="false" customHeight="true" outlineLevel="0" collapsed="false"/>
    <row r="27" customFormat="false" ht="15" hidden="false" customHeight="true" outlineLevel="0" collapsed="false">
      <c r="B27" s="1067" t="s">
        <v>1300</v>
      </c>
      <c r="I27" s="1229" t="s">
        <v>1301</v>
      </c>
      <c r="J27" s="1229"/>
    </row>
    <row r="28" customFormat="false" ht="15" hidden="false" customHeight="true" outlineLevel="0" collapsed="false"/>
    <row r="29" customFormat="false" ht="15" hidden="false" customHeight="true" outlineLevel="0" collapsed="false">
      <c r="B29" s="1230" t="s">
        <v>1302</v>
      </c>
      <c r="C29" s="1230"/>
      <c r="D29" s="1230"/>
      <c r="E29" s="1230"/>
      <c r="F29" s="1230"/>
      <c r="G29" s="1228"/>
      <c r="I29" s="765" t="s">
        <v>764</v>
      </c>
      <c r="J29" s="765"/>
      <c r="M29" s="1231" t="n">
        <f aca="false">J4</f>
        <v>-510985.97</v>
      </c>
    </row>
    <row r="30" customFormat="false" ht="15" hidden="false" customHeight="true" outlineLevel="0" collapsed="false">
      <c r="B30" s="765" t="s">
        <v>1303</v>
      </c>
      <c r="G30" s="1231" t="n">
        <v>0</v>
      </c>
      <c r="I30" s="765"/>
      <c r="J30" s="765"/>
      <c r="M30" s="1232"/>
    </row>
    <row r="31" customFormat="false" ht="15" hidden="false" customHeight="true" outlineLevel="0" collapsed="false">
      <c r="B31" s="765" t="s">
        <v>1304</v>
      </c>
      <c r="G31" s="1231" t="n">
        <f aca="false">G30-N23</f>
        <v>-3933.3</v>
      </c>
      <c r="I31" s="1067" t="s">
        <v>1305</v>
      </c>
      <c r="J31" s="765" t="s">
        <v>1306</v>
      </c>
      <c r="M31" s="1231" t="n">
        <f aca="false">-SUM(G23:I23)</f>
        <v>100317.77</v>
      </c>
    </row>
    <row r="32" customFormat="false" ht="15" hidden="false" customHeight="true" outlineLevel="0" collapsed="false">
      <c r="I32" s="765"/>
      <c r="J32" s="765" t="s">
        <v>1307</v>
      </c>
      <c r="M32" s="1231" t="n">
        <f aca="false">IF(G39="",G33,G39)</f>
        <v>0</v>
      </c>
    </row>
    <row r="33" customFormat="false" ht="15" hidden="false" customHeight="true" outlineLevel="0" collapsed="false">
      <c r="B33" s="765" t="s">
        <v>1307</v>
      </c>
      <c r="G33" s="1231" t="n">
        <f aca="false">IF(G39="",SUM(G29:G30),0)</f>
        <v>0</v>
      </c>
      <c r="I33" s="765"/>
      <c r="J33" s="765" t="s">
        <v>1308</v>
      </c>
      <c r="M33" s="1231" t="n">
        <f aca="false">IF($M$46&lt;0,-$M$46,0)</f>
        <v>0</v>
      </c>
    </row>
    <row r="34" customFormat="false" ht="15" hidden="false" customHeight="true" outlineLevel="0" collapsed="false">
      <c r="B34" s="765" t="s">
        <v>1309</v>
      </c>
      <c r="G34" s="1231" t="n">
        <f aca="false">N23</f>
        <v>3933.3</v>
      </c>
      <c r="I34" s="765"/>
      <c r="J34" s="765"/>
      <c r="M34" s="1233" t="n">
        <f aca="false">SUM(M31:M33)</f>
        <v>100317.77</v>
      </c>
    </row>
    <row r="35" customFormat="false" ht="15" hidden="false" customHeight="true" outlineLevel="0" collapsed="false">
      <c r="B35" s="765" t="s">
        <v>1310</v>
      </c>
      <c r="G35" s="1231" t="n">
        <f aca="false">G31</f>
        <v>-3933.3</v>
      </c>
      <c r="I35" s="765"/>
      <c r="J35" s="765"/>
      <c r="M35" s="1232"/>
    </row>
    <row r="36" customFormat="false" ht="15" hidden="false" customHeight="true" outlineLevel="0" collapsed="false">
      <c r="I36" s="1067" t="s">
        <v>1311</v>
      </c>
      <c r="J36" s="765" t="s">
        <v>1312</v>
      </c>
      <c r="M36" s="1231" t="n">
        <f aca="false">SUM(C23:F23)</f>
        <v>862605.75</v>
      </c>
    </row>
    <row r="37" customFormat="false" ht="15" hidden="false" customHeight="true" outlineLevel="0" collapsed="false">
      <c r="B37" s="1067" t="s">
        <v>1313</v>
      </c>
      <c r="J37" s="765" t="s">
        <v>1314</v>
      </c>
      <c r="M37" s="1231" t="n">
        <f aca="false">IF($M$46&gt;0,$M$46,0)</f>
        <v>3933.3</v>
      </c>
    </row>
    <row r="38" customFormat="false" ht="15" hidden="false" customHeight="true" outlineLevel="0" collapsed="false">
      <c r="E38" s="498"/>
      <c r="H38" s="1234"/>
      <c r="I38" s="765"/>
      <c r="J38" s="765"/>
      <c r="M38" s="1233" t="n">
        <f aca="false">SUM(M36:M37)</f>
        <v>866539.05</v>
      </c>
    </row>
    <row r="39" customFormat="false" ht="15" hidden="false" customHeight="true" outlineLevel="0" collapsed="false">
      <c r="B39" s="765" t="s">
        <v>1307</v>
      </c>
      <c r="G39" s="1228"/>
      <c r="I39" s="765"/>
      <c r="J39" s="765"/>
      <c r="M39" s="1232"/>
    </row>
    <row r="40" customFormat="false" ht="15" hidden="false" customHeight="true" outlineLevel="0" collapsed="false">
      <c r="B40" s="1067"/>
      <c r="I40" s="765" t="s">
        <v>1315</v>
      </c>
      <c r="J40" s="765"/>
      <c r="M40" s="787" t="n">
        <f aca="false">M29-M34+M38</f>
        <v>255235.31</v>
      </c>
    </row>
    <row r="41" customFormat="false" ht="15" hidden="false" customHeight="true" outlineLevel="0" collapsed="false">
      <c r="B41" s="1067"/>
      <c r="I41" s="765"/>
      <c r="J41" s="765"/>
      <c r="M41" s="1232"/>
    </row>
    <row r="42" customFormat="false" ht="15" hidden="false" customHeight="true" outlineLevel="0" collapsed="false">
      <c r="I42" s="765" t="s">
        <v>591</v>
      </c>
      <c r="J42" s="765"/>
      <c r="M42" s="1231" t="n">
        <f aca="false">M40-O22</f>
        <v>0</v>
      </c>
    </row>
    <row r="43" customFormat="false" ht="15" hidden="false" customHeight="true" outlineLevel="0" collapsed="false">
      <c r="I43" s="765"/>
      <c r="J43" s="765"/>
      <c r="M43" s="1232"/>
    </row>
    <row r="44" customFormat="false" ht="15" hidden="false" customHeight="true" outlineLevel="0" collapsed="false">
      <c r="B44" s="1067"/>
      <c r="I44" s="1067" t="s">
        <v>1316</v>
      </c>
      <c r="J44" s="765"/>
      <c r="M44" s="1232"/>
    </row>
    <row r="45" customFormat="false" ht="15" hidden="false" customHeight="true" outlineLevel="0" collapsed="false">
      <c r="I45" s="765"/>
      <c r="J45" s="765"/>
      <c r="M45" s="1232"/>
    </row>
    <row r="46" customFormat="false" ht="15" hidden="false" customHeight="true" outlineLevel="0" collapsed="false">
      <c r="I46" s="765" t="s">
        <v>1317</v>
      </c>
      <c r="J46" s="765"/>
      <c r="M46" s="1231" t="n">
        <f aca="false">N23</f>
        <v>3933.3</v>
      </c>
    </row>
    <row r="47" customFormat="false" ht="15" hidden="false" customHeight="true" outlineLevel="0" collapsed="false">
      <c r="I47" s="765" t="s">
        <v>1070</v>
      </c>
      <c r="J47" s="765"/>
      <c r="M47" s="1231" t="n">
        <f aca="false">IF($D$5="Yes",IF($M$46&lt;=5000,IF($M$46&lt;-5000,ROUND($M$46 * $F$5,2),),ROUND($M$46 * $F$5,2)),0)</f>
        <v>0</v>
      </c>
    </row>
    <row r="48" customFormat="false" ht="15" hidden="false" customHeight="true" outlineLevel="0" collapsed="false">
      <c r="I48" s="765"/>
      <c r="J48" s="765"/>
      <c r="M48" s="1232"/>
    </row>
    <row r="49" customFormat="false" ht="15" hidden="false" customHeight="true" outlineLevel="0" collapsed="false">
      <c r="I49" s="765" t="s">
        <v>1318</v>
      </c>
      <c r="J49" s="765"/>
      <c r="M49" s="1231" t="n">
        <f aca="false">M46-M47</f>
        <v>3933.3</v>
      </c>
    </row>
    <row r="50" customFormat="false" ht="15" hidden="false" customHeight="true" outlineLevel="0" collapsed="false"/>
    <row r="51" customFormat="false" ht="15" hidden="false" customHeight="true" outlineLevel="0" collapsed="false"/>
    <row r="52" customFormat="false" ht="15" hidden="false" customHeight="true" outlineLevel="0" collapsed="false">
      <c r="I52" s="1067" t="s">
        <v>1319</v>
      </c>
    </row>
    <row r="53" customFormat="false" ht="15" hidden="false" customHeight="true" outlineLevel="0" collapsed="false"/>
    <row r="54" customFormat="false" ht="15" hidden="false" customHeight="true" outlineLevel="0" collapsed="false">
      <c r="I54" s="1067" t="s">
        <v>586</v>
      </c>
    </row>
    <row r="55" customFormat="false" ht="15" hidden="false" customHeight="true" outlineLevel="0" collapsed="false">
      <c r="I55" s="1235"/>
      <c r="J55" s="765" t="s">
        <v>1320</v>
      </c>
      <c r="N55" s="1236" t="n">
        <f aca="false">M46</f>
        <v>3933.3</v>
      </c>
    </row>
    <row r="56" customFormat="false" ht="15" hidden="false" customHeight="true" outlineLevel="0" collapsed="false">
      <c r="I56" s="1237"/>
      <c r="K56" s="765" t="s">
        <v>1321</v>
      </c>
      <c r="O56" s="1236" t="n">
        <f aca="false">M46</f>
        <v>3933.3</v>
      </c>
    </row>
    <row r="57" customFormat="false" ht="15" hidden="false" customHeight="true" outlineLevel="0" collapsed="false"/>
    <row r="58" customFormat="false" ht="15" hidden="false" customHeight="true" outlineLevel="0" collapsed="false">
      <c r="I58" s="1235"/>
      <c r="J58" s="765" t="s">
        <v>1322</v>
      </c>
      <c r="K58" s="765"/>
      <c r="N58" s="1236" t="n">
        <f aca="false">M47</f>
        <v>0</v>
      </c>
    </row>
    <row r="59" customFormat="false" ht="15" hidden="false" customHeight="true" outlineLevel="0" collapsed="false">
      <c r="I59" s="777"/>
      <c r="J59" s="765"/>
      <c r="K59" s="765" t="s">
        <v>395</v>
      </c>
      <c r="O59" s="1236" t="n">
        <f aca="false">M47</f>
        <v>0</v>
      </c>
    </row>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c r="B82" s="1067" t="s">
        <v>1323</v>
      </c>
    </row>
    <row r="83" customFormat="false" ht="15" hidden="false" customHeight="true" outlineLevel="0" collapsed="false"/>
    <row r="84" customFormat="false" ht="15" hidden="false" customHeight="true" outlineLevel="0" collapsed="false">
      <c r="B84" s="1238" t="s">
        <v>1324</v>
      </c>
      <c r="C84" s="1238" t="s">
        <v>1325</v>
      </c>
    </row>
    <row r="85" customFormat="false" ht="14.25" hidden="false" customHeight="true" outlineLevel="0" collapsed="false">
      <c r="B85" s="1239" t="n">
        <v>40909</v>
      </c>
      <c r="C85" s="1240" t="n">
        <v>0.059</v>
      </c>
    </row>
    <row r="86" customFormat="false" ht="14.25" hidden="false" customHeight="true" outlineLevel="0" collapsed="false">
      <c r="B86" s="1239" t="n">
        <v>40940</v>
      </c>
      <c r="C86" s="1240" t="n">
        <v>0.059</v>
      </c>
    </row>
    <row r="87" customFormat="false" ht="14.25" hidden="false" customHeight="true" outlineLevel="0" collapsed="false">
      <c r="B87" s="1239" t="n">
        <v>40969</v>
      </c>
      <c r="C87" s="1240" t="n">
        <v>0.059</v>
      </c>
    </row>
    <row r="88" customFormat="false" ht="14.25" hidden="false" customHeight="true" outlineLevel="0" collapsed="false">
      <c r="B88" s="1239" t="n">
        <v>41000</v>
      </c>
      <c r="C88" s="1240" t="n">
        <v>0.059</v>
      </c>
    </row>
    <row r="89" customFormat="false" ht="14.25" hidden="false" customHeight="true" outlineLevel="0" collapsed="false">
      <c r="B89" s="1239" t="n">
        <v>41030</v>
      </c>
      <c r="C89" s="1240" t="n">
        <v>0.059</v>
      </c>
    </row>
    <row r="90" customFormat="false" ht="14.25" hidden="false" customHeight="true" outlineLevel="0" collapsed="false">
      <c r="B90" s="1239" t="n">
        <v>41061</v>
      </c>
      <c r="C90" s="1240" t="n">
        <v>0.059</v>
      </c>
    </row>
    <row r="91" customFormat="false" ht="14.25" hidden="false" customHeight="true" outlineLevel="0" collapsed="false">
      <c r="B91" s="1239" t="n">
        <v>41091</v>
      </c>
      <c r="C91" s="1240" t="n">
        <v>0.059</v>
      </c>
    </row>
    <row r="92" customFormat="false" ht="14.25" hidden="false" customHeight="true" outlineLevel="0" collapsed="false">
      <c r="B92" s="1239" t="n">
        <v>41122</v>
      </c>
      <c r="C92" s="1240" t="n">
        <v>0.059</v>
      </c>
    </row>
    <row r="93" customFormat="false" ht="14.25" hidden="false" customHeight="true" outlineLevel="0" collapsed="false">
      <c r="B93" s="1239" t="n">
        <v>41153</v>
      </c>
      <c r="C93" s="1240" t="n">
        <v>0.059</v>
      </c>
    </row>
    <row r="94" customFormat="false" ht="14.25" hidden="false" customHeight="true" outlineLevel="0" collapsed="false">
      <c r="B94" s="1239" t="n">
        <v>41183</v>
      </c>
      <c r="C94" s="1240" t="n">
        <v>0.059</v>
      </c>
    </row>
    <row r="95" customFormat="false" ht="14.25" hidden="false" customHeight="true" outlineLevel="0" collapsed="false">
      <c r="B95" s="1239" t="n">
        <v>41214</v>
      </c>
      <c r="C95" s="1240" t="n">
        <v>0.059</v>
      </c>
    </row>
    <row r="96" customFormat="false" ht="14.25" hidden="false" customHeight="true" outlineLevel="0" collapsed="false">
      <c r="B96" s="1239" t="n">
        <v>41244</v>
      </c>
      <c r="C96" s="1240" t="n">
        <v>0.059</v>
      </c>
    </row>
    <row r="97" customFormat="false" ht="14.25" hidden="false" customHeight="true" outlineLevel="0" collapsed="false">
      <c r="B97" s="1239" t="n">
        <v>41275</v>
      </c>
      <c r="C97" s="1240" t="n">
        <v>0.059</v>
      </c>
    </row>
    <row r="98" customFormat="false" ht="14.25" hidden="false" customHeight="true" outlineLevel="0" collapsed="false">
      <c r="B98" s="1239" t="n">
        <v>41306</v>
      </c>
      <c r="C98" s="1240" t="n">
        <v>0.059</v>
      </c>
    </row>
    <row r="99" customFormat="false" ht="14.25" hidden="false" customHeight="true" outlineLevel="0" collapsed="false">
      <c r="B99" s="1239" t="n">
        <v>41334</v>
      </c>
      <c r="C99" s="1240" t="n">
        <v>0.059</v>
      </c>
    </row>
    <row r="100" customFormat="false" ht="14.25" hidden="false" customHeight="true" outlineLevel="0" collapsed="false">
      <c r="B100" s="1239" t="n">
        <v>41365</v>
      </c>
      <c r="C100" s="1240" t="n">
        <v>0.059</v>
      </c>
    </row>
    <row r="101" customFormat="false" ht="14.25" hidden="false" customHeight="true" outlineLevel="0" collapsed="false">
      <c r="B101" s="1239" t="n">
        <v>41395</v>
      </c>
      <c r="C101" s="1240" t="n">
        <v>0.059</v>
      </c>
    </row>
    <row r="102" customFormat="false" ht="14.25" hidden="false" customHeight="true" outlineLevel="0" collapsed="false">
      <c r="B102" s="1239" t="n">
        <v>41426</v>
      </c>
      <c r="C102" s="1240" t="n">
        <v>0.059</v>
      </c>
    </row>
    <row r="103" customFormat="false" ht="14.25" hidden="false" customHeight="true" outlineLevel="0" collapsed="false">
      <c r="B103" s="1239" t="n">
        <v>41456</v>
      </c>
      <c r="C103" s="1240" t="n">
        <v>0.059</v>
      </c>
    </row>
    <row r="104" customFormat="false" ht="14.25" hidden="false" customHeight="true" outlineLevel="0" collapsed="false">
      <c r="B104" s="1239" t="n">
        <v>41487</v>
      </c>
      <c r="C104" s="1240" t="n">
        <v>0.059</v>
      </c>
    </row>
    <row r="105" customFormat="false" ht="14.25" hidden="false" customHeight="true" outlineLevel="0" collapsed="false">
      <c r="B105" s="1239" t="n">
        <v>41518</v>
      </c>
      <c r="C105" s="1240" t="n">
        <v>0.059</v>
      </c>
    </row>
    <row r="106" customFormat="false" ht="14.25" hidden="false" customHeight="true" outlineLevel="0" collapsed="false">
      <c r="B106" s="1239" t="n">
        <v>41548</v>
      </c>
      <c r="C106" s="1240" t="n">
        <v>0.059</v>
      </c>
    </row>
    <row r="107" customFormat="false" ht="14.25" hidden="false" customHeight="true" outlineLevel="0" collapsed="false">
      <c r="B107" s="1239" t="n">
        <v>41579</v>
      </c>
      <c r="C107" s="1240" t="n">
        <v>0.059</v>
      </c>
    </row>
    <row r="108" customFormat="false" ht="14.25" hidden="false" customHeight="true" outlineLevel="0" collapsed="false">
      <c r="B108" s="1239" t="n">
        <v>41609</v>
      </c>
      <c r="C108" s="1240" t="n">
        <v>0.059</v>
      </c>
    </row>
    <row r="109" customFormat="false" ht="14.25" hidden="false" customHeight="true" outlineLevel="0" collapsed="false">
      <c r="B109" s="1239" t="n">
        <v>41640</v>
      </c>
      <c r="C109" s="1240" t="n">
        <v>0.059</v>
      </c>
    </row>
    <row r="110" customFormat="false" ht="14.25" hidden="false" customHeight="true" outlineLevel="0" collapsed="false">
      <c r="B110" s="1239" t="n">
        <v>41671</v>
      </c>
      <c r="C110" s="1240" t="n">
        <v>0.059</v>
      </c>
    </row>
    <row r="111" customFormat="false" ht="14.25" hidden="false" customHeight="true" outlineLevel="0" collapsed="false">
      <c r="B111" s="1239" t="n">
        <v>41699</v>
      </c>
      <c r="C111" s="1240" t="n">
        <v>0.059</v>
      </c>
    </row>
    <row r="112" customFormat="false" ht="14.25" hidden="false" customHeight="true" outlineLevel="0" collapsed="false">
      <c r="B112" s="1239" t="n">
        <v>41730</v>
      </c>
      <c r="C112" s="1240" t="n">
        <v>0.059</v>
      </c>
    </row>
    <row r="113" customFormat="false" ht="14.25" hidden="false" customHeight="true" outlineLevel="0" collapsed="false">
      <c r="B113" s="1239" t="n">
        <v>41760</v>
      </c>
      <c r="C113" s="1240" t="n">
        <v>0.059</v>
      </c>
    </row>
    <row r="114" customFormat="false" ht="14.25" hidden="false" customHeight="true" outlineLevel="0" collapsed="false">
      <c r="B114" s="1239" t="n">
        <v>41791</v>
      </c>
      <c r="C114" s="1240" t="n">
        <v>0.059</v>
      </c>
    </row>
    <row r="115" customFormat="false" ht="14.25" hidden="false" customHeight="true" outlineLevel="0" collapsed="false">
      <c r="B115" s="1239" t="n">
        <v>41821</v>
      </c>
      <c r="C115" s="1240" t="n">
        <v>0.0613</v>
      </c>
    </row>
    <row r="116" customFormat="false" ht="14.25" hidden="false" customHeight="true" outlineLevel="0" collapsed="false">
      <c r="B116" s="1239" t="n">
        <v>41852</v>
      </c>
      <c r="C116" s="1240" t="n">
        <v>0.0613</v>
      </c>
    </row>
    <row r="117" customFormat="false" ht="14.25" hidden="false" customHeight="true" outlineLevel="0" collapsed="false">
      <c r="B117" s="1239" t="n">
        <v>41883</v>
      </c>
      <c r="C117" s="1240" t="n">
        <v>0.0613</v>
      </c>
    </row>
    <row r="118" customFormat="false" ht="14.25" hidden="false" customHeight="true" outlineLevel="0" collapsed="false">
      <c r="B118" s="1239" t="n">
        <v>41913</v>
      </c>
      <c r="C118" s="1240" t="n">
        <v>0.067</v>
      </c>
    </row>
    <row r="119" customFormat="false" ht="14.25" hidden="false" customHeight="true" outlineLevel="0" collapsed="false">
      <c r="B119" s="1239" t="n">
        <v>41944</v>
      </c>
      <c r="C119" s="1240" t="n">
        <v>0.067</v>
      </c>
    </row>
    <row r="120" customFormat="false" ht="14.25" hidden="false" customHeight="true" outlineLevel="0" collapsed="false">
      <c r="B120" s="1239" t="n">
        <v>41974</v>
      </c>
      <c r="C120" s="1240" t="n">
        <v>0.067</v>
      </c>
    </row>
    <row r="121" customFormat="false" ht="14.25" hidden="false" customHeight="true" outlineLevel="0" collapsed="false">
      <c r="B121" s="1239" t="n">
        <v>42005</v>
      </c>
      <c r="C121" s="1240" t="n">
        <v>0.067</v>
      </c>
    </row>
    <row r="122" customFormat="false" ht="14.25" hidden="false" customHeight="true" outlineLevel="0" collapsed="false">
      <c r="B122" s="1239" t="n">
        <v>42036</v>
      </c>
      <c r="C122" s="1240" t="n">
        <v>0.067</v>
      </c>
    </row>
    <row r="123" customFormat="false" ht="14.25" hidden="false" customHeight="true" outlineLevel="0" collapsed="false">
      <c r="B123" s="1239" t="n">
        <v>42064</v>
      </c>
      <c r="C123" s="1240" t="n">
        <v>0.067</v>
      </c>
    </row>
    <row r="124" customFormat="false" ht="14.25" hidden="false" customHeight="true" outlineLevel="0" collapsed="false">
      <c r="B124" s="1239" t="n">
        <v>42095</v>
      </c>
      <c r="C124" s="1240" t="n">
        <v>0.067</v>
      </c>
    </row>
    <row r="125" customFormat="false" ht="14.25" hidden="false" customHeight="true" outlineLevel="0" collapsed="false">
      <c r="B125" s="1239" t="n">
        <v>42125</v>
      </c>
      <c r="C125" s="1240" t="n">
        <v>0.067</v>
      </c>
    </row>
    <row r="126" customFormat="false" ht="14.25" hidden="false" customHeight="true" outlineLevel="0" collapsed="false">
      <c r="B126" s="1239" t="n">
        <v>42156</v>
      </c>
      <c r="C126" s="1240" t="n">
        <v>0.067</v>
      </c>
    </row>
    <row r="127" customFormat="false" ht="14.25" hidden="false" customHeight="true" outlineLevel="0" collapsed="false">
      <c r="B127" s="1239" t="n">
        <v>42186</v>
      </c>
      <c r="C127" s="1240" t="n">
        <v>0.0622</v>
      </c>
    </row>
    <row r="128" customFormat="false" ht="14.25" hidden="false" customHeight="true" outlineLevel="0" collapsed="false">
      <c r="B128" s="1239" t="n">
        <v>42217</v>
      </c>
      <c r="C128" s="1240" t="n">
        <v>0.0622</v>
      </c>
    </row>
    <row r="129" customFormat="false" ht="14.25" hidden="false" customHeight="true" outlineLevel="0" collapsed="false">
      <c r="B129" s="1239" t="n">
        <v>42248</v>
      </c>
      <c r="C129" s="1240" t="n">
        <v>0.0622</v>
      </c>
    </row>
    <row r="130" customFormat="false" ht="14.25" hidden="false" customHeight="true" outlineLevel="0" collapsed="false">
      <c r="B130" s="1239" t="n">
        <v>42278</v>
      </c>
      <c r="C130" s="1240" t="n">
        <v>0.0599</v>
      </c>
    </row>
    <row r="131" customFormat="false" ht="14.25" hidden="false" customHeight="true" outlineLevel="0" collapsed="false">
      <c r="B131" s="1239" t="n">
        <v>42309</v>
      </c>
      <c r="C131" s="1240" t="n">
        <v>0.0599</v>
      </c>
    </row>
    <row r="132" customFormat="false" ht="14.25" hidden="false" customHeight="true" outlineLevel="0" collapsed="false">
      <c r="B132" s="1239" t="n">
        <v>42339</v>
      </c>
      <c r="C132" s="1240" t="n">
        <v>0.0599</v>
      </c>
    </row>
    <row r="133" customFormat="false" ht="14.25" hidden="false" customHeight="true" outlineLevel="0" collapsed="false">
      <c r="B133" s="1239" t="n">
        <v>42370</v>
      </c>
      <c r="C133" s="1240" t="n">
        <v>0.0577</v>
      </c>
    </row>
    <row r="134" customFormat="false" ht="14.25" hidden="false" customHeight="true" outlineLevel="0" collapsed="false">
      <c r="B134" s="1239" t="n">
        <v>42401</v>
      </c>
      <c r="C134" s="1240" t="n">
        <v>0.0577</v>
      </c>
    </row>
    <row r="135" customFormat="false" ht="14.25" hidden="false" customHeight="true" outlineLevel="0" collapsed="false">
      <c r="B135" s="1239" t="n">
        <v>42430</v>
      </c>
      <c r="C135" s="1240" t="n">
        <v>0.0577</v>
      </c>
    </row>
    <row r="136" customFormat="false" ht="14.25" hidden="false" customHeight="true" outlineLevel="0" collapsed="false">
      <c r="B136" s="1239" t="n">
        <v>42461</v>
      </c>
      <c r="C136" s="1240" t="n">
        <v>0.0577</v>
      </c>
    </row>
    <row r="137" customFormat="false" ht="14.25" hidden="false" customHeight="true" outlineLevel="0" collapsed="false">
      <c r="B137" s="1239" t="n">
        <v>42491</v>
      </c>
      <c r="C137" s="1240" t="n">
        <v>0.0577</v>
      </c>
    </row>
    <row r="138" customFormat="false" ht="14.25" hidden="false" customHeight="true" outlineLevel="0" collapsed="false">
      <c r="B138" s="1239" t="n">
        <v>42522</v>
      </c>
      <c r="C138" s="1240" t="n">
        <v>0.0577</v>
      </c>
    </row>
    <row r="139" customFormat="false" ht="14.25" hidden="false" customHeight="true" outlineLevel="0" collapsed="false">
      <c r="B139" s="1239" t="n">
        <v>42552</v>
      </c>
      <c r="C139" s="1240" t="n">
        <v>0.0577</v>
      </c>
    </row>
    <row r="140" customFormat="false" ht="14.25" hidden="false" customHeight="true" outlineLevel="0" collapsed="false">
      <c r="B140" s="1239" t="n">
        <v>42583</v>
      </c>
      <c r="C140" s="1240" t="n">
        <v>0.0577</v>
      </c>
    </row>
    <row r="141" customFormat="false" ht="14.25" hidden="false" customHeight="true" outlineLevel="0" collapsed="false">
      <c r="B141" s="1239" t="n">
        <v>42614</v>
      </c>
      <c r="C141" s="1240" t="n">
        <v>0.0577</v>
      </c>
    </row>
    <row r="142" customFormat="false" ht="14.25" hidden="false" customHeight="true" outlineLevel="0" collapsed="false">
      <c r="B142" s="1239" t="n">
        <v>42644</v>
      </c>
      <c r="C142" s="1240" t="n">
        <v>0.0577</v>
      </c>
    </row>
    <row r="143" customFormat="false" ht="14.25" hidden="false" customHeight="true" outlineLevel="0" collapsed="false">
      <c r="B143" s="1239" t="n">
        <v>42675</v>
      </c>
      <c r="C143" s="1240" t="n">
        <v>0.0577</v>
      </c>
    </row>
    <row r="144" customFormat="false" ht="14.25" hidden="false" customHeight="true" outlineLevel="0" collapsed="false">
      <c r="B144" s="1239" t="n">
        <v>42705</v>
      </c>
      <c r="C144" s="1240" t="n">
        <v>0.0577</v>
      </c>
    </row>
    <row r="145" customFormat="false" ht="14.25" hidden="false" customHeight="true" outlineLevel="0" collapsed="false">
      <c r="B145" s="1239" t="n">
        <v>42736</v>
      </c>
      <c r="C145" s="1240" t="n">
        <v>0.0577</v>
      </c>
    </row>
    <row r="146" customFormat="false" ht="14.25" hidden="false" customHeight="true" outlineLevel="0" collapsed="false">
      <c r="B146" s="1239" t="n">
        <v>42767</v>
      </c>
      <c r="C146" s="1240" t="n">
        <v>0.0577</v>
      </c>
    </row>
    <row r="147" customFormat="false" ht="14.25" hidden="false" customHeight="true" outlineLevel="0" collapsed="false">
      <c r="B147" s="1239" t="n">
        <v>42795</v>
      </c>
      <c r="C147" s="1240" t="n">
        <v>0.0577</v>
      </c>
    </row>
    <row r="148" customFormat="false" ht="14.25" hidden="false" customHeight="true" outlineLevel="0" collapsed="false">
      <c r="B148" s="1239" t="n">
        <v>42826</v>
      </c>
      <c r="C148" s="1240" t="n">
        <v>0.0577</v>
      </c>
    </row>
    <row r="149" customFormat="false" ht="14.25" hidden="false" customHeight="true" outlineLevel="0" collapsed="false">
      <c r="B149" s="1239" t="n">
        <v>42856</v>
      </c>
      <c r="C149" s="1240" t="n">
        <v>0.0577</v>
      </c>
    </row>
    <row r="150" customFormat="false" ht="14.25" hidden="false" customHeight="true" outlineLevel="0" collapsed="false">
      <c r="B150" s="1239" t="n">
        <v>42887</v>
      </c>
      <c r="C150" s="1240" t="n">
        <v>0.0577</v>
      </c>
    </row>
    <row r="151" customFormat="false" ht="14.25" hidden="false" customHeight="true" outlineLevel="0" collapsed="false">
      <c r="B151" s="1239" t="n">
        <v>42917</v>
      </c>
      <c r="C151" s="1240" t="n">
        <v>0.0577</v>
      </c>
    </row>
    <row r="152" customFormat="false" ht="14.25" hidden="false" customHeight="true" outlineLevel="0" collapsed="false">
      <c r="B152" s="1239" t="n">
        <v>42948</v>
      </c>
      <c r="C152" s="1240" t="n">
        <v>0.0577</v>
      </c>
    </row>
    <row r="153" customFormat="false" ht="14.25" hidden="false" customHeight="true" outlineLevel="0" collapsed="false">
      <c r="B153" s="1239" t="n">
        <v>42979</v>
      </c>
      <c r="C153" s="1240" t="n">
        <v>0.0577</v>
      </c>
    </row>
    <row r="154" customFormat="false" ht="14.25" hidden="false" customHeight="true" outlineLevel="0" collapsed="false">
      <c r="B154" s="1239" t="n">
        <v>43009</v>
      </c>
      <c r="C154" s="1240" t="n">
        <v>0.0577</v>
      </c>
    </row>
    <row r="155" customFormat="false" ht="14.25" hidden="false" customHeight="true" outlineLevel="0" collapsed="false">
      <c r="B155" s="1239" t="n">
        <v>43040</v>
      </c>
      <c r="C155" s="1240" t="n">
        <v>0.0577</v>
      </c>
    </row>
    <row r="156" customFormat="false" ht="14.25" hidden="false" customHeight="true" outlineLevel="0" collapsed="false">
      <c r="B156" s="1239" t="n">
        <v>43070</v>
      </c>
      <c r="C156" s="1240" t="n">
        <v>0.0577</v>
      </c>
    </row>
    <row r="157" customFormat="false" ht="14.25" hidden="false" customHeight="true" outlineLevel="0" collapsed="false">
      <c r="B157" s="1239" t="n">
        <v>43101</v>
      </c>
      <c r="C157" s="1240" t="n">
        <v>0.0577</v>
      </c>
    </row>
    <row r="158" customFormat="false" ht="14.25" hidden="false" customHeight="true" outlineLevel="0" collapsed="false">
      <c r="B158" s="1239" t="n">
        <v>43132</v>
      </c>
      <c r="C158" s="1240" t="n">
        <v>0.0577</v>
      </c>
    </row>
    <row r="159" customFormat="false" ht="14.25" hidden="false" customHeight="true" outlineLevel="0" collapsed="false">
      <c r="B159" s="1239" t="n">
        <v>43160</v>
      </c>
      <c r="C159" s="1240" t="n">
        <v>0.0577</v>
      </c>
    </row>
    <row r="160" customFormat="false" ht="14.25" hidden="false" customHeight="true" outlineLevel="0" collapsed="false">
      <c r="B160" s="1239" t="n">
        <v>43191</v>
      </c>
      <c r="C160" s="1240" t="n">
        <v>0.0577</v>
      </c>
    </row>
    <row r="161" customFormat="false" ht="14.25" hidden="false" customHeight="true" outlineLevel="0" collapsed="false">
      <c r="B161" s="1239" t="n">
        <v>43221</v>
      </c>
      <c r="C161" s="1240" t="n">
        <v>0.0577</v>
      </c>
    </row>
    <row r="162" customFormat="false" ht="14.25" hidden="false" customHeight="true" outlineLevel="0" collapsed="false">
      <c r="B162" s="1239" t="n">
        <v>43252</v>
      </c>
      <c r="C162" s="1240" t="n">
        <v>0.0577</v>
      </c>
    </row>
    <row r="163" customFormat="false" ht="14.25" hidden="false" customHeight="true" outlineLevel="0" collapsed="false">
      <c r="B163" s="1239" t="n">
        <v>43282</v>
      </c>
      <c r="C163" s="1240" t="n">
        <v>0.0577</v>
      </c>
    </row>
    <row r="164" customFormat="false" ht="14.25" hidden="false" customHeight="true" outlineLevel="0" collapsed="false">
      <c r="B164" s="1239" t="n">
        <v>43313</v>
      </c>
      <c r="C164" s="1240" t="n">
        <v>0.0577</v>
      </c>
    </row>
    <row r="165" customFormat="false" ht="14.25" hidden="false" customHeight="true" outlineLevel="0" collapsed="false">
      <c r="B165" s="1239" t="n">
        <v>43344</v>
      </c>
      <c r="C165" s="1240" t="n">
        <v>0.0577</v>
      </c>
    </row>
    <row r="166" customFormat="false" ht="14.25" hidden="false" customHeight="true" outlineLevel="0" collapsed="false">
      <c r="B166" s="1239" t="n">
        <v>43374</v>
      </c>
      <c r="C166" s="1240" t="n">
        <v>0.0577</v>
      </c>
    </row>
    <row r="167" customFormat="false" ht="14.25" hidden="false" customHeight="true" outlineLevel="0" collapsed="false">
      <c r="B167" s="1239" t="n">
        <v>43405</v>
      </c>
      <c r="C167" s="1240" t="n">
        <v>0.0577</v>
      </c>
    </row>
    <row r="168" customFormat="false" ht="14.25" hidden="false" customHeight="true" outlineLevel="0" collapsed="false">
      <c r="B168" s="1239" t="n">
        <v>43435</v>
      </c>
      <c r="C168" s="1240" t="n">
        <v>0.0577</v>
      </c>
    </row>
    <row r="169" customFormat="false" ht="14.25" hidden="false" customHeight="true" outlineLevel="0" collapsed="false">
      <c r="B169" s="1239" t="n">
        <v>43466</v>
      </c>
      <c r="C169" s="1240" t="n">
        <v>0.0577</v>
      </c>
    </row>
    <row r="170" customFormat="false" ht="14.25" hidden="false" customHeight="true" outlineLevel="0" collapsed="false">
      <c r="B170" s="1239" t="n">
        <v>43497</v>
      </c>
      <c r="C170" s="1240" t="n">
        <v>0.0577</v>
      </c>
    </row>
    <row r="171" customFormat="false" ht="14.25" hidden="false" customHeight="true" outlineLevel="0" collapsed="false">
      <c r="B171" s="1239" t="n">
        <v>43525</v>
      </c>
      <c r="C171" s="1240" t="n">
        <v>0.0577</v>
      </c>
    </row>
    <row r="172" customFormat="false" ht="14.25" hidden="false" customHeight="true" outlineLevel="0" collapsed="false">
      <c r="B172" s="1239" t="n">
        <v>43556</v>
      </c>
      <c r="C172" s="1240" t="n">
        <v>0.0577</v>
      </c>
    </row>
    <row r="173" customFormat="false" ht="14.25" hidden="false" customHeight="true" outlineLevel="0" collapsed="false">
      <c r="B173" s="1239" t="n">
        <v>43586</v>
      </c>
      <c r="C173" s="1240" t="n">
        <v>0.0577</v>
      </c>
    </row>
    <row r="174" customFormat="false" ht="14.25" hidden="false" customHeight="true" outlineLevel="0" collapsed="false">
      <c r="B174" s="1239" t="n">
        <v>43617</v>
      </c>
      <c r="C174" s="1240" t="n">
        <v>0.0577</v>
      </c>
    </row>
    <row r="175" customFormat="false" ht="14.25" hidden="false" customHeight="true" outlineLevel="0" collapsed="false">
      <c r="B175" s="1239" t="n">
        <v>43647</v>
      </c>
      <c r="C175" s="1240" t="n">
        <v>0.0577</v>
      </c>
    </row>
    <row r="176" customFormat="false" ht="14.25" hidden="false" customHeight="true" outlineLevel="0" collapsed="false">
      <c r="B176" s="1239" t="n">
        <v>43678</v>
      </c>
      <c r="C176" s="1240" t="n">
        <v>0.0577</v>
      </c>
    </row>
    <row r="177" customFormat="false" ht="14.25" hidden="false" customHeight="true" outlineLevel="0" collapsed="false">
      <c r="B177" s="1239" t="n">
        <v>43709</v>
      </c>
      <c r="C177" s="1240" t="n">
        <v>0.0577</v>
      </c>
    </row>
    <row r="178" customFormat="false" ht="14.25" hidden="false" customHeight="true" outlineLevel="0" collapsed="false">
      <c r="B178" s="1239" t="n">
        <v>43739</v>
      </c>
      <c r="C178" s="1240" t="n">
        <v>0.0526</v>
      </c>
    </row>
    <row r="179" customFormat="false" ht="14.25" hidden="false" customHeight="true" outlineLevel="0" collapsed="false">
      <c r="B179" s="1239" t="n">
        <v>43770</v>
      </c>
      <c r="C179" s="1240" t="n">
        <v>0.0526</v>
      </c>
    </row>
    <row r="180" customFormat="false" ht="14.25" hidden="false" customHeight="true" outlineLevel="0" collapsed="false">
      <c r="B180" s="1239" t="n">
        <v>43800</v>
      </c>
      <c r="C180" s="1240" t="n">
        <v>0.0526</v>
      </c>
    </row>
    <row r="181" customFormat="false" ht="14.25" hidden="false" customHeight="true" outlineLevel="0" collapsed="false">
      <c r="B181" s="1239" t="n">
        <v>43831</v>
      </c>
      <c r="C181" s="1240" t="n">
        <v>0.0526</v>
      </c>
    </row>
    <row r="182" customFormat="false" ht="14.25" hidden="false" customHeight="true" outlineLevel="0" collapsed="false">
      <c r="B182" s="1239" t="n">
        <v>43862</v>
      </c>
      <c r="C182" s="1240" t="n">
        <v>0.0526</v>
      </c>
    </row>
    <row r="183" customFormat="false" ht="14.25" hidden="false" customHeight="true" outlineLevel="0" collapsed="false">
      <c r="B183" s="1239" t="n">
        <v>43891</v>
      </c>
      <c r="C183" s="1240" t="n">
        <v>0.0526</v>
      </c>
    </row>
    <row r="184" customFormat="false" ht="14.25" hidden="false" customHeight="true" outlineLevel="0" collapsed="false">
      <c r="B184" s="1239" t="n">
        <v>43922</v>
      </c>
      <c r="C184" s="1240" t="n">
        <v>0.0526</v>
      </c>
    </row>
    <row r="185" customFormat="false" ht="14.25" hidden="false" customHeight="true" outlineLevel="0" collapsed="false">
      <c r="B185" s="1239" t="n">
        <v>43952</v>
      </c>
      <c r="C185" s="1240" t="n">
        <v>0.0526</v>
      </c>
    </row>
    <row r="186" customFormat="false" ht="14.25" hidden="false" customHeight="true" outlineLevel="0" collapsed="false">
      <c r="B186" s="1239" t="n">
        <v>43983</v>
      </c>
      <c r="C186" s="1240" t="n">
        <v>0.0526</v>
      </c>
    </row>
    <row r="187" customFormat="false" ht="14.25" hidden="false" customHeight="true" outlineLevel="0" collapsed="false">
      <c r="B187" s="1239" t="n">
        <v>44013</v>
      </c>
      <c r="C187" s="1240" t="n">
        <v>0.045</v>
      </c>
    </row>
    <row r="188" customFormat="false" ht="14.25" hidden="false" customHeight="true" outlineLevel="0" collapsed="false">
      <c r="B188" s="1239" t="n">
        <v>44044</v>
      </c>
      <c r="C188" s="1240" t="n">
        <v>0.045</v>
      </c>
    </row>
    <row r="189" customFormat="false" ht="14.25" hidden="false" customHeight="true" outlineLevel="0" collapsed="false">
      <c r="B189" s="1239" t="n">
        <v>44075</v>
      </c>
      <c r="C189" s="1240" t="n">
        <v>0.045</v>
      </c>
    </row>
    <row r="190" customFormat="false" ht="14.25" hidden="false" customHeight="true" outlineLevel="0" collapsed="false">
      <c r="B190" s="1239" t="n">
        <v>44105</v>
      </c>
      <c r="C190" s="1240" t="n">
        <v>0.045</v>
      </c>
    </row>
    <row r="191" customFormat="false" ht="14.25" hidden="false" customHeight="true" outlineLevel="0" collapsed="false">
      <c r="B191" s="1239" t="n">
        <v>44136</v>
      </c>
      <c r="C191" s="1240" t="n">
        <v>0.045</v>
      </c>
    </row>
    <row r="192" customFormat="false" ht="14.25" hidden="false" customHeight="true" outlineLevel="0" collapsed="false">
      <c r="B192" s="1239" t="n">
        <v>44166</v>
      </c>
      <c r="C192" s="1240" t="n">
        <v>0.045</v>
      </c>
    </row>
    <row r="193" customFormat="false" ht="14.25" hidden="false" customHeight="true" outlineLevel="0" collapsed="false">
      <c r="B193" s="1239" t="n">
        <v>44197</v>
      </c>
      <c r="C193" s="1240" t="n">
        <v>0.045</v>
      </c>
    </row>
    <row r="194" customFormat="false" ht="14.25" hidden="false" customHeight="true" outlineLevel="0" collapsed="false">
      <c r="B194" s="1239" t="n">
        <v>44228</v>
      </c>
      <c r="C194" s="1240" t="n">
        <v>0.045</v>
      </c>
    </row>
    <row r="195" customFormat="false" ht="14.25" hidden="false" customHeight="true" outlineLevel="0" collapsed="false">
      <c r="B195" s="1239" t="n">
        <v>44256</v>
      </c>
      <c r="C195" s="1240" t="n">
        <v>0.045</v>
      </c>
    </row>
    <row r="196" customFormat="false" ht="14.25" hidden="false" customHeight="true" outlineLevel="0" collapsed="false">
      <c r="B196" s="1239" t="n">
        <v>44287</v>
      </c>
      <c r="C196" s="1240" t="n">
        <v>0.045</v>
      </c>
    </row>
    <row r="197" customFormat="false" ht="14.25" hidden="false" customHeight="true" outlineLevel="0" collapsed="false">
      <c r="B197" s="1239" t="n">
        <v>44317</v>
      </c>
      <c r="C197" s="1240" t="n">
        <v>0.045</v>
      </c>
    </row>
    <row r="198" customFormat="false" ht="14.25" hidden="false" customHeight="true" outlineLevel="0" collapsed="false">
      <c r="B198" s="1239" t="n">
        <v>44348</v>
      </c>
      <c r="C198" s="1240" t="n">
        <v>0.045</v>
      </c>
    </row>
    <row r="199" customFormat="false" ht="14.25" hidden="false" customHeight="true" outlineLevel="0" collapsed="false">
      <c r="B199" s="1239" t="n">
        <v>44378</v>
      </c>
      <c r="C199" s="1240" t="n">
        <v>0.045</v>
      </c>
    </row>
    <row r="200" customFormat="false" ht="14.25" hidden="false" customHeight="true" outlineLevel="0" collapsed="false">
      <c r="B200" s="1239" t="n">
        <v>44409</v>
      </c>
      <c r="C200" s="1240" t="n">
        <v>0.045</v>
      </c>
    </row>
    <row r="201" customFormat="false" ht="14.25" hidden="false" customHeight="true" outlineLevel="0" collapsed="false">
      <c r="B201" s="1239" t="n">
        <v>44440</v>
      </c>
      <c r="C201" s="1240" t="n">
        <v>0.045</v>
      </c>
    </row>
    <row r="202" customFormat="false" ht="14.25" hidden="false" customHeight="true" outlineLevel="0" collapsed="false">
      <c r="B202" s="1239" t="n">
        <v>44470</v>
      </c>
      <c r="C202" s="1240" t="n">
        <v>0.045</v>
      </c>
    </row>
    <row r="203" customFormat="false" ht="14.25" hidden="false" customHeight="true" outlineLevel="0" collapsed="false">
      <c r="B203" s="1239" t="n">
        <v>44501</v>
      </c>
      <c r="C203" s="1240" t="n">
        <v>0.045</v>
      </c>
    </row>
    <row r="204" customFormat="false" ht="14.25" hidden="false" customHeight="true" outlineLevel="0" collapsed="false">
      <c r="B204" s="1239" t="n">
        <v>44531</v>
      </c>
      <c r="C204" s="1240" t="n">
        <v>0.045</v>
      </c>
    </row>
    <row r="205" customFormat="false" ht="14.25" hidden="false" customHeight="true" outlineLevel="0" collapsed="false">
      <c r="B205" s="1239" t="n">
        <v>44562</v>
      </c>
      <c r="C205" s="1240" t="n">
        <v>0.045</v>
      </c>
    </row>
    <row r="206" customFormat="false" ht="14.25" hidden="false" customHeight="true" outlineLevel="0" collapsed="false">
      <c r="B206" s="1239" t="n">
        <v>44593</v>
      </c>
      <c r="C206" s="1240" t="n">
        <v>0.045</v>
      </c>
    </row>
    <row r="207" customFormat="false" ht="14.25" hidden="false" customHeight="true" outlineLevel="0" collapsed="false">
      <c r="B207" s="1239" t="n">
        <v>44621</v>
      </c>
      <c r="C207" s="1240" t="n">
        <v>0.045</v>
      </c>
    </row>
    <row r="208" customFormat="false" ht="14.25" hidden="false" customHeight="true" outlineLevel="0" collapsed="false">
      <c r="B208" s="1239" t="n">
        <v>44652</v>
      </c>
      <c r="C208" s="1240" t="n">
        <v>0.045</v>
      </c>
    </row>
    <row r="209" customFormat="false" ht="14.25" hidden="false" customHeight="true" outlineLevel="0" collapsed="false">
      <c r="B209" s="1239" t="n">
        <v>44682</v>
      </c>
      <c r="C209" s="1240" t="n">
        <v>0.045</v>
      </c>
    </row>
    <row r="210" customFormat="false" ht="14.25" hidden="false" customHeight="true" outlineLevel="0" collapsed="false">
      <c r="B210" s="1239" t="n">
        <v>44713</v>
      </c>
      <c r="C210" s="1240" t="n">
        <v>0.045</v>
      </c>
    </row>
    <row r="211" customFormat="false" ht="14.25" hidden="false" customHeight="true" outlineLevel="0" collapsed="false">
      <c r="B211" s="1239" t="n">
        <v>44743</v>
      </c>
      <c r="C211" s="1240" t="n">
        <v>0.0478</v>
      </c>
    </row>
    <row r="212" customFormat="false" ht="14.25" hidden="false" customHeight="true" outlineLevel="0" collapsed="false">
      <c r="B212" s="1239" t="n">
        <v>44774</v>
      </c>
      <c r="C212" s="1240" t="n">
        <v>0.0478</v>
      </c>
    </row>
    <row r="213" customFormat="false" ht="14.25" hidden="false" customHeight="true" outlineLevel="0" collapsed="false">
      <c r="B213" s="1239" t="n">
        <v>44805</v>
      </c>
      <c r="C213" s="1240" t="n">
        <v>0.0478</v>
      </c>
    </row>
    <row r="214" customFormat="false" ht="14.25" hidden="false" customHeight="true" outlineLevel="0" collapsed="false">
      <c r="B214" s="1239" t="n">
        <v>44835</v>
      </c>
      <c r="C214" s="1240" t="n">
        <v>0.0478</v>
      </c>
    </row>
    <row r="215" customFormat="false" ht="14.25" hidden="false" customHeight="true" outlineLevel="0" collapsed="false">
      <c r="B215" s="1239" t="n">
        <v>44866</v>
      </c>
      <c r="C215" s="1240" t="n">
        <v>0.0478</v>
      </c>
    </row>
    <row r="216" customFormat="false" ht="14.25" hidden="false" customHeight="true" outlineLevel="0" collapsed="false">
      <c r="B216" s="1239" t="n">
        <v>44896</v>
      </c>
      <c r="C216" s="1240" t="n">
        <v>0.0478</v>
      </c>
    </row>
    <row r="217" customFormat="false" ht="14.25" hidden="false" customHeight="true" outlineLevel="0" collapsed="false">
      <c r="B217" s="1239" t="n">
        <v>44927</v>
      </c>
      <c r="C217" s="1240" t="n">
        <v>0.0671</v>
      </c>
    </row>
    <row r="218" customFormat="false" ht="14.25" hidden="false" customHeight="true" outlineLevel="0" collapsed="false">
      <c r="B218" s="1239" t="n">
        <v>44958</v>
      </c>
      <c r="C218" s="1240" t="n">
        <v>0.0671</v>
      </c>
    </row>
    <row r="219" customFormat="false" ht="14.25" hidden="false" customHeight="true" outlineLevel="0" collapsed="false">
      <c r="B219" s="1239" t="n">
        <v>44986</v>
      </c>
      <c r="C219" s="1240" t="n">
        <v>0.0671</v>
      </c>
    </row>
    <row r="220" customFormat="false" ht="14.25" hidden="false" customHeight="true" outlineLevel="0" collapsed="false">
      <c r="B220" s="1239" t="n">
        <v>45017</v>
      </c>
      <c r="C220" s="1240" t="n">
        <v>0.0789</v>
      </c>
    </row>
    <row r="221" customFormat="false" ht="14.25" hidden="false" customHeight="true" outlineLevel="0" collapsed="false">
      <c r="B221" s="1239" t="n">
        <v>45047</v>
      </c>
      <c r="C221" s="1240" t="n">
        <v>0.0789</v>
      </c>
    </row>
    <row r="222" customFormat="false" ht="14.25" hidden="false" customHeight="true" outlineLevel="0" collapsed="false">
      <c r="B222" s="1239" t="n">
        <v>45078</v>
      </c>
      <c r="C222" s="1240" t="n">
        <v>0.0789</v>
      </c>
    </row>
    <row r="223" customFormat="false" ht="14.25" hidden="false" customHeight="true" outlineLevel="0" collapsed="false">
      <c r="B223" s="1239" t="n">
        <v>45108</v>
      </c>
      <c r="C223" s="1240" t="n">
        <v>0.0789</v>
      </c>
    </row>
    <row r="224" customFormat="false" ht="14.25" hidden="false" customHeight="true" outlineLevel="0" collapsed="false">
      <c r="B224" s="1239" t="n">
        <v>45139</v>
      </c>
      <c r="C224" s="1240" t="n">
        <v>0.0789</v>
      </c>
    </row>
    <row r="225" customFormat="false" ht="14.25" hidden="false" customHeight="true" outlineLevel="0" collapsed="false">
      <c r="B225" s="1239" t="n">
        <v>45170</v>
      </c>
      <c r="C225" s="1240" t="n">
        <v>0.0789</v>
      </c>
    </row>
    <row r="226" customFormat="false" ht="14.25" hidden="false" customHeight="true" outlineLevel="0" collapsed="false">
      <c r="B226" s="1239" t="n">
        <v>45200</v>
      </c>
      <c r="C226" s="1240" t="n">
        <v>0.0841</v>
      </c>
    </row>
    <row r="227" customFormat="false" ht="14.25" hidden="false" customHeight="true" outlineLevel="0" collapsed="false">
      <c r="B227" s="1239" t="n">
        <v>45231</v>
      </c>
      <c r="C227" s="1240" t="n">
        <v>0.0841</v>
      </c>
    </row>
    <row r="228" customFormat="false" ht="14.25" hidden="false" customHeight="true" outlineLevel="0" collapsed="false">
      <c r="B228" s="1239" t="n">
        <v>45261</v>
      </c>
      <c r="C228" s="1240" t="n">
        <v>0.0841</v>
      </c>
    </row>
    <row r="229" customFormat="false" ht="14.25" hidden="false" customHeight="true" outlineLevel="0" collapsed="false">
      <c r="B229" s="1239" t="n">
        <v>45292</v>
      </c>
      <c r="C229" s="1240" t="n">
        <v>0.0841</v>
      </c>
    </row>
    <row r="230" customFormat="false" ht="14.25" hidden="false" customHeight="true" outlineLevel="0" collapsed="false">
      <c r="B230" s="1239" t="n">
        <v>45323</v>
      </c>
      <c r="C230" s="1240" t="n">
        <v>0.0841</v>
      </c>
    </row>
    <row r="231" customFormat="false" ht="14.25" hidden="false" customHeight="true" outlineLevel="0" collapsed="false">
      <c r="B231" s="1239" t="n">
        <v>45352</v>
      </c>
      <c r="C231" s="1240" t="n">
        <v>0.0841</v>
      </c>
    </row>
  </sheetData>
  <mergeCells count="12">
    <mergeCell ref="A2:O2"/>
    <mergeCell ref="B4:C4"/>
    <mergeCell ref="D4:G4"/>
    <mergeCell ref="H4:I4"/>
    <mergeCell ref="B5:C5"/>
    <mergeCell ref="Q5:T6"/>
    <mergeCell ref="Q7:T8"/>
    <mergeCell ref="C8:F8"/>
    <mergeCell ref="G8:I8"/>
    <mergeCell ref="J8:O8"/>
    <mergeCell ref="I27:J27"/>
    <mergeCell ref="B29:F29"/>
  </mergeCells>
  <dataValidations count="1">
    <dataValidation allowBlank="true" errorStyle="stop" operator="between" showDropDown="false" showErrorMessage="true" showInputMessage="true" sqref="D5" type="list">
      <formula1>"Yes,No"</formula1>
      <formula2>0</formula2>
    </dataValidation>
  </dataValidations>
  <printOptions headings="false" gridLines="false" gridLinesSet="true" horizontalCentered="false" verticalCentered="false"/>
  <pageMargins left="0.590277777777778" right="0.590277777777778" top="0.590277777777778" bottom="0.59027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&amp;L&amp;8 CCH Business Fitness NZ&amp;R&amp;8 &amp;P of &amp;N</oddFooter>
  </headerFooter>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4.25" zeroHeight="false" outlineLevelRow="0" outlineLevelCol="0"/>
  <cols>
    <col collapsed="false" customWidth="true" hidden="false" outlineLevel="0" max="2" min="1" style="264" width="21.43"/>
    <col collapsed="false" customWidth="true" hidden="false" outlineLevel="0" max="3" min="3" style="264" width="51.15"/>
    <col collapsed="false" customWidth="true" hidden="false" outlineLevel="0" max="4" min="4" style="264" width="13.57"/>
    <col collapsed="false" customWidth="true" hidden="false" outlineLevel="0" max="5" min="5" style="264" width="14.14"/>
    <col collapsed="false" customWidth="true" hidden="false" outlineLevel="0" max="6" min="6" style="264" width="12.86"/>
    <col collapsed="false" customWidth="true" hidden="false" outlineLevel="0" max="7" min="7" style="264" width="14.86"/>
    <col collapsed="false" customWidth="false" hidden="false" outlineLevel="0" max="8" min="8" style="264" width="9.14"/>
    <col collapsed="false" customWidth="true" hidden="false" outlineLevel="0" max="9" min="9" style="264" width="10.57"/>
    <col collapsed="false" customWidth="false" hidden="false" outlineLevel="0" max="11" min="10" style="264" width="9.14"/>
    <col collapsed="false" customWidth="true" hidden="false" outlineLevel="0" max="12" min="12" style="264" width="20.57"/>
    <col collapsed="false" customWidth="false" hidden="false" outlineLevel="0" max="16384" min="13" style="264" width="9.14"/>
  </cols>
  <sheetData>
    <row r="1" s="23" customFormat="true" ht="20.25" hidden="false" customHeight="true" outlineLevel="0" collapsed="false">
      <c r="A1" s="54"/>
      <c r="B1" s="54"/>
    </row>
    <row r="2" s="23" customFormat="true" ht="20.25" hidden="false" customHeight="true" outlineLevel="0" collapsed="false">
      <c r="A2" s="24" t="s">
        <v>66</v>
      </c>
      <c r="B2" s="24"/>
      <c r="C2" s="24"/>
      <c r="D2" s="24"/>
      <c r="E2" s="24"/>
      <c r="F2" s="24"/>
      <c r="G2" s="24"/>
    </row>
    <row r="5" customFormat="false" ht="15" hidden="false" customHeight="true" outlineLevel="0" collapsed="false">
      <c r="A5" s="1241" t="s">
        <v>1326</v>
      </c>
      <c r="B5" s="1242"/>
      <c r="C5" s="1243"/>
      <c r="D5" s="1243"/>
      <c r="E5" s="1243"/>
      <c r="F5" s="1243"/>
      <c r="G5" s="1244" t="n">
        <f aca="false">DSH!E106</f>
        <v>0</v>
      </c>
      <c r="I5" s="161" t="s">
        <v>628</v>
      </c>
    </row>
    <row r="6" customFormat="false" ht="15" hidden="false" customHeight="true" outlineLevel="0" collapsed="false">
      <c r="A6" s="1245"/>
      <c r="B6" s="1246"/>
      <c r="C6" s="1247"/>
      <c r="D6" s="1114"/>
      <c r="E6" s="1114"/>
      <c r="F6" s="1112"/>
      <c r="G6" s="1248"/>
    </row>
    <row r="7" customFormat="false" ht="15" hidden="false" customHeight="true" outlineLevel="0" collapsed="false">
      <c r="A7" s="1245"/>
      <c r="B7" s="1246"/>
      <c r="C7" s="1247"/>
      <c r="D7" s="1120" t="s">
        <v>667</v>
      </c>
      <c r="E7" s="1120" t="s">
        <v>2</v>
      </c>
      <c r="F7" s="1249" t="s">
        <v>668</v>
      </c>
      <c r="G7" s="1250"/>
    </row>
    <row r="8" customFormat="false" ht="15" hidden="false" customHeight="true" outlineLevel="0" collapsed="false">
      <c r="A8" s="1245"/>
      <c r="B8" s="1246"/>
      <c r="C8" s="1247"/>
      <c r="D8" s="1120" t="s">
        <v>655</v>
      </c>
      <c r="E8" s="1120" t="s">
        <v>655</v>
      </c>
      <c r="F8" s="1120" t="s">
        <v>655</v>
      </c>
      <c r="G8" s="1250"/>
    </row>
    <row r="9" customFormat="false" ht="15" hidden="false" customHeight="true" outlineLevel="0" collapsed="false">
      <c r="A9" s="1245" t="s">
        <v>1327</v>
      </c>
      <c r="B9" s="1246"/>
      <c r="C9" s="166"/>
      <c r="D9" s="1114"/>
      <c r="E9" s="1251"/>
      <c r="F9" s="1114"/>
      <c r="G9" s="1250"/>
    </row>
    <row r="10" customFormat="false" ht="15" hidden="false" customHeight="true" outlineLevel="0" collapsed="false">
      <c r="A10" s="1252" t="s">
        <v>1328</v>
      </c>
      <c r="B10" s="1252"/>
      <c r="C10" s="1252"/>
      <c r="D10" s="1114"/>
      <c r="E10" s="1253" t="n">
        <f aca="false">IF(Index!C5="yes",(D10*3/23),0)</f>
        <v>0</v>
      </c>
      <c r="F10" s="1115" t="n">
        <f aca="false">IF(D10="",0,D10-E10)</f>
        <v>0</v>
      </c>
      <c r="G10" s="1250"/>
    </row>
    <row r="11" customFormat="false" ht="15" hidden="false" customHeight="true" outlineLevel="0" collapsed="false">
      <c r="A11" s="1252"/>
      <c r="B11" s="1252"/>
      <c r="C11" s="1252"/>
      <c r="D11" s="1254"/>
      <c r="E11" s="1253" t="n">
        <f aca="false">IF(Index!C5="yes",(D11*3/23),0)</f>
        <v>0</v>
      </c>
      <c r="F11" s="1115" t="n">
        <f aca="false">IF(D11="",0,D11-E11)</f>
        <v>0</v>
      </c>
      <c r="G11" s="1250"/>
    </row>
    <row r="12" customFormat="false" ht="15" hidden="false" customHeight="true" outlineLevel="0" collapsed="false">
      <c r="A12" s="1252"/>
      <c r="B12" s="1252"/>
      <c r="C12" s="1252"/>
      <c r="D12" s="1254"/>
      <c r="E12" s="1255" t="n">
        <f aca="false">IF(Index!C5="yes",(D12*3/23),0)</f>
        <v>0</v>
      </c>
      <c r="F12" s="1115" t="n">
        <f aca="false">IF(D12="",0,D12-E12)</f>
        <v>0</v>
      </c>
      <c r="G12" s="1250"/>
    </row>
    <row r="13" customFormat="false" ht="15" hidden="false" customHeight="true" outlineLevel="0" collapsed="false">
      <c r="A13" s="1252"/>
      <c r="B13" s="1252"/>
      <c r="C13" s="1252"/>
      <c r="D13" s="1254"/>
      <c r="E13" s="1253" t="n">
        <f aca="false">IF(Index!C5="yes",(D13*3/23),0)</f>
        <v>0</v>
      </c>
      <c r="F13" s="1115" t="n">
        <f aca="false">IF(D13="",0,D13-E13)</f>
        <v>0</v>
      </c>
      <c r="G13" s="1250"/>
    </row>
    <row r="14" customFormat="false" ht="34.5" hidden="false" customHeight="true" outlineLevel="0" collapsed="false">
      <c r="A14" s="1256" t="s">
        <v>1329</v>
      </c>
      <c r="B14" s="1256"/>
      <c r="C14" s="1256"/>
      <c r="D14" s="1256"/>
      <c r="E14" s="1251"/>
      <c r="F14" s="1114"/>
      <c r="G14" s="1250"/>
    </row>
    <row r="15" customFormat="false" ht="15" hidden="false" customHeight="true" outlineLevel="0" collapsed="false">
      <c r="A15" s="1257"/>
      <c r="B15" s="1257"/>
      <c r="C15" s="1257"/>
      <c r="D15" s="1254"/>
      <c r="E15" s="1253" t="n">
        <f aca="false">IF(Index!C5="yes",(D15*3/23),0)</f>
        <v>0</v>
      </c>
      <c r="F15" s="1115" t="n">
        <f aca="false">IF(D15="",0,D15-E15)</f>
        <v>0</v>
      </c>
      <c r="G15" s="1250"/>
      <c r="I15" s="10"/>
    </row>
    <row r="16" customFormat="false" ht="15" hidden="false" customHeight="true" outlineLevel="0" collapsed="false">
      <c r="A16" s="1257"/>
      <c r="B16" s="1257"/>
      <c r="C16" s="1257"/>
      <c r="D16" s="1254"/>
      <c r="E16" s="1253" t="n">
        <f aca="false">IF(Index!C5="yes",(D16*3/23),0)</f>
        <v>0</v>
      </c>
      <c r="F16" s="1115" t="n">
        <f aca="false">IF(D16="",0,D16-E16)</f>
        <v>0</v>
      </c>
      <c r="G16" s="1250"/>
    </row>
    <row r="17" customFormat="false" ht="15" hidden="false" customHeight="true" outlineLevel="0" collapsed="false">
      <c r="A17" s="1252"/>
      <c r="B17" s="1252"/>
      <c r="C17" s="1252"/>
      <c r="D17" s="1254"/>
      <c r="E17" s="1253" t="n">
        <f aca="false">IF(Index!C5="yes",(D17*3/23),0)</f>
        <v>0</v>
      </c>
      <c r="F17" s="1115" t="n">
        <f aca="false">IF(D17="",0,D17-E17)</f>
        <v>0</v>
      </c>
      <c r="G17" s="1250"/>
    </row>
    <row r="18" customFormat="false" ht="15" hidden="false" customHeight="true" outlineLevel="0" collapsed="false">
      <c r="A18" s="1252"/>
      <c r="B18" s="1252"/>
      <c r="C18" s="1252"/>
      <c r="D18" s="1254"/>
      <c r="E18" s="1258" t="n">
        <f aca="false">IF(Index!C5="yes",(D18*3/23),0)</f>
        <v>0</v>
      </c>
      <c r="F18" s="1259" t="n">
        <f aca="false">IF(D18="",0,D18-E18)</f>
        <v>0</v>
      </c>
      <c r="G18" s="1250"/>
    </row>
    <row r="19" customFormat="false" ht="15" hidden="false" customHeight="true" outlineLevel="0" collapsed="false">
      <c r="A19" s="1260" t="s">
        <v>1330</v>
      </c>
      <c r="B19" s="1261"/>
      <c r="C19" s="1247"/>
      <c r="D19" s="1262" t="n">
        <f aca="false">SUM(D9:D18)</f>
        <v>0</v>
      </c>
      <c r="E19" s="1262" t="n">
        <f aca="false">SUM(E9:E18)</f>
        <v>0</v>
      </c>
      <c r="F19" s="1262" t="n">
        <f aca="false">SUM(F9:F18)</f>
        <v>0</v>
      </c>
      <c r="G19" s="1250"/>
    </row>
    <row r="20" customFormat="false" ht="15" hidden="false" customHeight="true" outlineLevel="0" collapsed="false">
      <c r="A20" s="1245"/>
      <c r="B20" s="1246"/>
      <c r="C20" s="1247"/>
      <c r="D20" s="1114"/>
      <c r="E20" s="1114"/>
      <c r="F20" s="1114"/>
      <c r="G20" s="1250"/>
    </row>
    <row r="21" customFormat="false" ht="15" hidden="false" customHeight="true" outlineLevel="0" collapsed="false">
      <c r="A21" s="1263" t="s">
        <v>1331</v>
      </c>
      <c r="B21" s="1264"/>
      <c r="C21" s="1247"/>
      <c r="D21" s="1120" t="s">
        <v>667</v>
      </c>
      <c r="E21" s="1120" t="s">
        <v>2</v>
      </c>
      <c r="F21" s="1120" t="s">
        <v>668</v>
      </c>
      <c r="G21" s="1250"/>
    </row>
    <row r="22" customFormat="false" ht="15" hidden="false" customHeight="true" outlineLevel="0" collapsed="false">
      <c r="A22" s="1252"/>
      <c r="B22" s="1252"/>
      <c r="C22" s="1252"/>
      <c r="D22" s="1254"/>
      <c r="E22" s="1253" t="n">
        <f aca="false">IF(Index!C5="yes",(D22*3/23),0)</f>
        <v>0</v>
      </c>
      <c r="F22" s="1115" t="n">
        <f aca="false">IF(D22="",0,D22-E22)</f>
        <v>0</v>
      </c>
      <c r="G22" s="1250"/>
    </row>
    <row r="23" customFormat="false" ht="15" hidden="false" customHeight="true" outlineLevel="0" collapsed="false">
      <c r="A23" s="1252"/>
      <c r="B23" s="1252"/>
      <c r="C23" s="1252"/>
      <c r="D23" s="1254"/>
      <c r="E23" s="1253" t="n">
        <f aca="false">IF(Index!C5="yes",(D23*3/23),0)</f>
        <v>0</v>
      </c>
      <c r="F23" s="1115" t="n">
        <f aca="false">IF(D23="",0,D23-E23)</f>
        <v>0</v>
      </c>
      <c r="G23" s="1250"/>
    </row>
    <row r="24" customFormat="false" ht="15" hidden="false" customHeight="true" outlineLevel="0" collapsed="false">
      <c r="A24" s="1252"/>
      <c r="B24" s="1252"/>
      <c r="C24" s="1252"/>
      <c r="D24" s="1254"/>
      <c r="E24" s="1253" t="n">
        <f aca="false">IF(Index!C5="yes",(D24*3/23),0)</f>
        <v>0</v>
      </c>
      <c r="F24" s="1115" t="n">
        <f aca="false">IF(D24="",0,D24-E24)</f>
        <v>0</v>
      </c>
      <c r="G24" s="1250"/>
    </row>
    <row r="25" customFormat="false" ht="15" hidden="false" customHeight="true" outlineLevel="0" collapsed="false">
      <c r="A25" s="1252"/>
      <c r="B25" s="1252"/>
      <c r="C25" s="1252"/>
      <c r="D25" s="1254"/>
      <c r="E25" s="1258" t="n">
        <f aca="false">IF(Index!C5="yes",(D25*3/23),0)</f>
        <v>0</v>
      </c>
      <c r="F25" s="1259" t="n">
        <f aca="false">IF(D25="",0,D25-E25)</f>
        <v>0</v>
      </c>
      <c r="G25" s="1250"/>
    </row>
    <row r="26" customFormat="false" ht="15" hidden="false" customHeight="true" outlineLevel="0" collapsed="false">
      <c r="A26" s="1245" t="s">
        <v>1332</v>
      </c>
      <c r="B26" s="1246"/>
      <c r="C26" s="1247"/>
      <c r="D26" s="1262" t="n">
        <f aca="false">SUM(D22:D25)</f>
        <v>0</v>
      </c>
      <c r="E26" s="1262" t="n">
        <f aca="false">SUM(E22:E25)</f>
        <v>0</v>
      </c>
      <c r="F26" s="1262" t="n">
        <f aca="false">SUM(F22:F25)</f>
        <v>0</v>
      </c>
      <c r="G26" s="1250"/>
    </row>
    <row r="27" customFormat="false" ht="15" hidden="false" customHeight="true" outlineLevel="0" collapsed="false">
      <c r="A27" s="1245"/>
      <c r="B27" s="1246"/>
      <c r="C27" s="1247"/>
      <c r="D27" s="1114"/>
      <c r="E27" s="1114"/>
      <c r="F27" s="1114"/>
      <c r="G27" s="1250"/>
    </row>
    <row r="28" customFormat="false" ht="15" hidden="false" customHeight="true" outlineLevel="0" collapsed="false">
      <c r="A28" s="1245" t="s">
        <v>1333</v>
      </c>
      <c r="B28" s="1246"/>
      <c r="C28" s="1247"/>
      <c r="D28" s="1114"/>
      <c r="E28" s="1114"/>
      <c r="F28" s="1114"/>
      <c r="G28" s="1265" t="n">
        <f aca="false">+F26+F19</f>
        <v>0</v>
      </c>
    </row>
    <row r="29" customFormat="false" ht="15" hidden="false" customHeight="true" outlineLevel="0" collapsed="false">
      <c r="A29" s="1245"/>
      <c r="B29" s="1246"/>
      <c r="C29" s="1247"/>
      <c r="D29" s="1114"/>
      <c r="E29" s="1114"/>
      <c r="F29" s="1114"/>
      <c r="G29" s="1250"/>
    </row>
    <row r="30" customFormat="false" ht="15" hidden="false" customHeight="true" outlineLevel="0" collapsed="false">
      <c r="A30" s="1266" t="s">
        <v>591</v>
      </c>
      <c r="B30" s="1267"/>
      <c r="C30" s="1268"/>
      <c r="D30" s="1269"/>
      <c r="E30" s="1269"/>
      <c r="F30" s="1270"/>
      <c r="G30" s="1271" t="n">
        <f aca="false">IFERROR(VALUE(G28) - G5, 0)</f>
        <v>0</v>
      </c>
    </row>
    <row r="107" customFormat="false" ht="14.25" hidden="false" customHeight="false" outlineLevel="0" collapsed="false">
      <c r="I107" s="240"/>
      <c r="J107" s="240"/>
    </row>
    <row r="111" customFormat="false" ht="14.25" hidden="false" customHeight="false" outlineLevel="0" collapsed="false">
      <c r="I111" s="240"/>
      <c r="J111" s="240"/>
    </row>
  </sheetData>
  <mergeCells count="14">
    <mergeCell ref="A2:G2"/>
    <mergeCell ref="A10:C10"/>
    <mergeCell ref="A11:C11"/>
    <mergeCell ref="A12:C12"/>
    <mergeCell ref="A13:C13"/>
    <mergeCell ref="A14:D14"/>
    <mergeCell ref="A15:C15"/>
    <mergeCell ref="A16:C16"/>
    <mergeCell ref="A17:C17"/>
    <mergeCell ref="A18:C18"/>
    <mergeCell ref="A22:C22"/>
    <mergeCell ref="A23:C23"/>
    <mergeCell ref="A24:C24"/>
    <mergeCell ref="A25:C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4.25" zeroHeight="false" outlineLevelRow="0" outlineLevelCol="0"/>
  <cols>
    <col collapsed="false" customWidth="false" hidden="false" outlineLevel="0" max="8" min="1" style="1272" width="9.14"/>
    <col collapsed="false" customWidth="true" hidden="false" outlineLevel="0" max="9" min="9" style="1272" width="11.57"/>
    <col collapsed="false" customWidth="false" hidden="false" outlineLevel="0" max="10" min="10" style="1272" width="9.14"/>
    <col collapsed="false" customWidth="true" hidden="false" outlineLevel="0" max="11" min="11" style="1272" width="9.86"/>
    <col collapsed="false" customWidth="false" hidden="false" outlineLevel="0" max="16384" min="12" style="1272" width="9.14"/>
  </cols>
  <sheetData>
    <row r="1" s="1274" customFormat="true" ht="20.25" hidden="false" customHeight="true" outlineLevel="0" collapsed="false">
      <c r="A1" s="1273"/>
      <c r="B1" s="1273"/>
    </row>
    <row r="2" s="1274" customFormat="true" ht="20.25" hidden="false" customHeight="true" outlineLevel="0" collapsed="false">
      <c r="A2" s="937" t="s">
        <v>581</v>
      </c>
      <c r="B2" s="937"/>
      <c r="C2" s="937"/>
      <c r="D2" s="937"/>
      <c r="E2" s="937"/>
      <c r="F2" s="937"/>
      <c r="G2" s="937"/>
      <c r="H2" s="937"/>
      <c r="I2" s="937"/>
    </row>
    <row r="4" customFormat="false" ht="15" hidden="false" customHeight="true" outlineLevel="0" collapsed="false">
      <c r="A4" s="339" t="s">
        <v>12</v>
      </c>
      <c r="B4" s="339"/>
      <c r="C4" s="339"/>
      <c r="D4" s="339"/>
      <c r="E4" s="339"/>
      <c r="F4" s="339"/>
      <c r="G4" s="339"/>
      <c r="H4" s="339" t="s">
        <v>654</v>
      </c>
      <c r="I4" s="1275" t="s">
        <v>655</v>
      </c>
      <c r="K4" s="126" t="s">
        <v>628</v>
      </c>
    </row>
    <row r="5" customFormat="false" ht="15" hidden="false" customHeight="true" outlineLevel="0" collapsed="false">
      <c r="A5" s="1276"/>
      <c r="B5" s="1276"/>
      <c r="C5" s="1276"/>
      <c r="D5" s="1276"/>
      <c r="E5" s="1276"/>
      <c r="F5" s="1276"/>
      <c r="G5" s="1276"/>
      <c r="H5" s="1277"/>
      <c r="I5" s="1278"/>
    </row>
    <row r="6" customFormat="false" ht="15" hidden="false" customHeight="true" outlineLevel="0" collapsed="false">
      <c r="A6" s="1279"/>
      <c r="B6" s="1279"/>
      <c r="C6" s="1279"/>
      <c r="D6" s="1279"/>
      <c r="E6" s="1279"/>
      <c r="F6" s="1279"/>
      <c r="G6" s="1279"/>
      <c r="H6" s="1280"/>
      <c r="I6" s="1281"/>
    </row>
    <row r="7" customFormat="false" ht="15" hidden="false" customHeight="true" outlineLevel="0" collapsed="false">
      <c r="A7" s="1279"/>
      <c r="B7" s="1279"/>
      <c r="C7" s="1279"/>
      <c r="D7" s="1279"/>
      <c r="E7" s="1279"/>
      <c r="F7" s="1279"/>
      <c r="G7" s="1279"/>
      <c r="H7" s="1280"/>
      <c r="I7" s="1281"/>
    </row>
    <row r="8" customFormat="false" ht="15" hidden="false" customHeight="true" outlineLevel="0" collapsed="false">
      <c r="A8" s="1279"/>
      <c r="B8" s="1279"/>
      <c r="C8" s="1279"/>
      <c r="D8" s="1279"/>
      <c r="E8" s="1279"/>
      <c r="F8" s="1279"/>
      <c r="G8" s="1279"/>
      <c r="H8" s="1280"/>
      <c r="I8" s="1281"/>
    </row>
    <row r="9" customFormat="false" ht="15" hidden="false" customHeight="true" outlineLevel="0" collapsed="false">
      <c r="A9" s="1279"/>
      <c r="B9" s="1279"/>
      <c r="C9" s="1279"/>
      <c r="D9" s="1279"/>
      <c r="E9" s="1279"/>
      <c r="F9" s="1279"/>
      <c r="G9" s="1279"/>
      <c r="H9" s="1280"/>
      <c r="I9" s="1281"/>
    </row>
    <row r="10" customFormat="false" ht="15" hidden="false" customHeight="true" outlineLevel="0" collapsed="false">
      <c r="A10" s="1279"/>
      <c r="B10" s="1279"/>
      <c r="C10" s="1279"/>
      <c r="D10" s="1279"/>
      <c r="E10" s="1279"/>
      <c r="F10" s="1279"/>
      <c r="G10" s="1279"/>
      <c r="H10" s="1280"/>
      <c r="I10" s="1281"/>
    </row>
    <row r="11" customFormat="false" ht="15" hidden="false" customHeight="true" outlineLevel="0" collapsed="false">
      <c r="A11" s="1279"/>
      <c r="B11" s="1279"/>
      <c r="C11" s="1279"/>
      <c r="D11" s="1279"/>
      <c r="E11" s="1279"/>
      <c r="F11" s="1279"/>
      <c r="G11" s="1279"/>
      <c r="H11" s="1280"/>
      <c r="I11" s="1281"/>
    </row>
    <row r="12" customFormat="false" ht="15" hidden="false" customHeight="true" outlineLevel="0" collapsed="false">
      <c r="A12" s="1279"/>
      <c r="B12" s="1279"/>
      <c r="C12" s="1279"/>
      <c r="D12" s="1279"/>
      <c r="E12" s="1279"/>
      <c r="F12" s="1279"/>
      <c r="G12" s="1279"/>
      <c r="H12" s="1280"/>
      <c r="I12" s="1281"/>
    </row>
    <row r="13" customFormat="false" ht="15" hidden="false" customHeight="true" outlineLevel="0" collapsed="false">
      <c r="A13" s="1279"/>
      <c r="B13" s="1279"/>
      <c r="C13" s="1279"/>
      <c r="D13" s="1279"/>
      <c r="E13" s="1279"/>
      <c r="F13" s="1279"/>
      <c r="G13" s="1279"/>
      <c r="H13" s="1280"/>
      <c r="I13" s="1281"/>
    </row>
    <row r="14" customFormat="false" ht="15" hidden="false" customHeight="true" outlineLevel="0" collapsed="false">
      <c r="A14" s="1279"/>
      <c r="B14" s="1279"/>
      <c r="C14" s="1279"/>
      <c r="D14" s="1279"/>
      <c r="E14" s="1279"/>
      <c r="F14" s="1279"/>
      <c r="G14" s="1279"/>
      <c r="H14" s="1280"/>
      <c r="I14" s="1281"/>
    </row>
    <row r="15" customFormat="false" ht="15" hidden="false" customHeight="true" outlineLevel="0" collapsed="false">
      <c r="A15" s="1279"/>
      <c r="B15" s="1279"/>
      <c r="C15" s="1279"/>
      <c r="D15" s="1279"/>
      <c r="E15" s="1279"/>
      <c r="F15" s="1279"/>
      <c r="G15" s="1279"/>
      <c r="H15" s="1280"/>
      <c r="I15" s="1281"/>
      <c r="J15" s="1"/>
    </row>
    <row r="16" customFormat="false" ht="15" hidden="false" customHeight="true" outlineLevel="0" collapsed="false">
      <c r="A16" s="1279"/>
      <c r="B16" s="1279"/>
      <c r="C16" s="1279"/>
      <c r="D16" s="1279"/>
      <c r="E16" s="1279"/>
      <c r="F16" s="1279"/>
      <c r="G16" s="1279"/>
      <c r="H16" s="1280"/>
      <c r="I16" s="1281"/>
    </row>
    <row r="17" customFormat="false" ht="15" hidden="false" customHeight="true" outlineLevel="0" collapsed="false">
      <c r="A17" s="1279"/>
      <c r="B17" s="1279"/>
      <c r="C17" s="1279"/>
      <c r="D17" s="1279"/>
      <c r="E17" s="1279"/>
      <c r="F17" s="1279"/>
      <c r="G17" s="1279"/>
      <c r="H17" s="1280"/>
      <c r="I17" s="1281"/>
    </row>
    <row r="18" customFormat="false" ht="15" hidden="false" customHeight="true" outlineLevel="0" collapsed="false">
      <c r="A18" s="1279"/>
      <c r="B18" s="1279"/>
      <c r="C18" s="1279"/>
      <c r="D18" s="1279"/>
      <c r="E18" s="1279"/>
      <c r="F18" s="1279"/>
      <c r="G18" s="1279"/>
      <c r="H18" s="1280"/>
      <c r="I18" s="1281"/>
    </row>
    <row r="19" customFormat="false" ht="15" hidden="false" customHeight="true" outlineLevel="0" collapsed="false">
      <c r="A19" s="1279"/>
      <c r="B19" s="1279"/>
      <c r="C19" s="1279"/>
      <c r="D19" s="1279"/>
      <c r="E19" s="1279"/>
      <c r="F19" s="1279"/>
      <c r="G19" s="1279"/>
      <c r="H19" s="1280"/>
      <c r="I19" s="1281"/>
    </row>
    <row r="20" customFormat="false" ht="15" hidden="false" customHeight="true" outlineLevel="0" collapsed="false">
      <c r="A20" s="1279"/>
      <c r="B20" s="1279"/>
      <c r="C20" s="1279"/>
      <c r="D20" s="1279"/>
      <c r="E20" s="1279"/>
      <c r="F20" s="1279"/>
      <c r="G20" s="1279"/>
      <c r="H20" s="1280"/>
      <c r="I20" s="1281"/>
    </row>
    <row r="21" customFormat="false" ht="15" hidden="false" customHeight="true" outlineLevel="0" collapsed="false">
      <c r="A21" s="1279"/>
      <c r="B21" s="1279"/>
      <c r="C21" s="1279"/>
      <c r="D21" s="1279"/>
      <c r="E21" s="1279"/>
      <c r="F21" s="1279"/>
      <c r="G21" s="1279"/>
      <c r="H21" s="1280"/>
      <c r="I21" s="1281"/>
    </row>
    <row r="22" customFormat="false" ht="15" hidden="false" customHeight="true" outlineLevel="0" collapsed="false">
      <c r="A22" s="1279"/>
      <c r="B22" s="1279"/>
      <c r="C22" s="1279"/>
      <c r="D22" s="1279"/>
      <c r="E22" s="1279"/>
      <c r="F22" s="1279"/>
      <c r="G22" s="1279"/>
      <c r="H22" s="1280"/>
      <c r="I22" s="1281"/>
    </row>
    <row r="23" customFormat="false" ht="15" hidden="false" customHeight="true" outlineLevel="0" collapsed="false">
      <c r="A23" s="1279"/>
      <c r="B23" s="1279"/>
      <c r="C23" s="1279"/>
      <c r="D23" s="1279"/>
      <c r="E23" s="1279"/>
      <c r="F23" s="1279"/>
      <c r="G23" s="1279"/>
      <c r="H23" s="1280"/>
      <c r="I23" s="1281"/>
    </row>
    <row r="24" customFormat="false" ht="15" hidden="false" customHeight="true" outlineLevel="0" collapsed="false">
      <c r="A24" s="1279"/>
      <c r="B24" s="1279"/>
      <c r="C24" s="1279"/>
      <c r="D24" s="1279"/>
      <c r="E24" s="1279"/>
      <c r="F24" s="1279"/>
      <c r="G24" s="1279"/>
      <c r="H24" s="1280"/>
      <c r="I24" s="1281"/>
    </row>
    <row r="25" customFormat="false" ht="15" hidden="false" customHeight="true" outlineLevel="0" collapsed="false">
      <c r="A25" s="1279"/>
      <c r="B25" s="1279"/>
      <c r="C25" s="1279"/>
      <c r="D25" s="1279"/>
      <c r="E25" s="1279"/>
      <c r="F25" s="1279"/>
      <c r="G25" s="1279"/>
      <c r="H25" s="1280"/>
      <c r="I25" s="1281"/>
    </row>
    <row r="26" customFormat="false" ht="15" hidden="false" customHeight="true" outlineLevel="0" collapsed="false">
      <c r="A26" s="1279"/>
      <c r="B26" s="1279"/>
      <c r="C26" s="1279"/>
      <c r="D26" s="1279"/>
      <c r="E26" s="1279"/>
      <c r="F26" s="1279"/>
      <c r="G26" s="1279"/>
      <c r="H26" s="1280"/>
      <c r="I26" s="1281"/>
    </row>
    <row r="27" customFormat="false" ht="15" hidden="false" customHeight="true" outlineLevel="0" collapsed="false">
      <c r="A27" s="1279"/>
      <c r="B27" s="1279"/>
      <c r="C27" s="1279"/>
      <c r="D27" s="1279"/>
      <c r="E27" s="1279"/>
      <c r="F27" s="1279"/>
      <c r="G27" s="1279"/>
      <c r="H27" s="1280"/>
      <c r="I27" s="1281"/>
    </row>
    <row r="28" customFormat="false" ht="15" hidden="false" customHeight="true" outlineLevel="0" collapsed="false">
      <c r="A28" s="1279"/>
      <c r="B28" s="1279"/>
      <c r="C28" s="1279"/>
      <c r="D28" s="1279"/>
      <c r="E28" s="1279"/>
      <c r="F28" s="1279"/>
      <c r="G28" s="1279"/>
      <c r="H28" s="1280"/>
      <c r="I28" s="1281"/>
    </row>
    <row r="29" customFormat="false" ht="15" hidden="false" customHeight="true" outlineLevel="0" collapsed="false">
      <c r="A29" s="1279"/>
      <c r="B29" s="1279"/>
      <c r="C29" s="1279"/>
      <c r="D29" s="1279"/>
      <c r="E29" s="1279"/>
      <c r="F29" s="1279"/>
      <c r="G29" s="1279"/>
      <c r="H29" s="1280"/>
      <c r="I29" s="1281"/>
    </row>
    <row r="30" customFormat="false" ht="15" hidden="false" customHeight="true" outlineLevel="0" collapsed="false">
      <c r="A30" s="1279"/>
      <c r="B30" s="1279"/>
      <c r="C30" s="1279"/>
      <c r="D30" s="1279"/>
      <c r="E30" s="1279"/>
      <c r="F30" s="1279"/>
      <c r="G30" s="1279"/>
      <c r="H30" s="1280"/>
      <c r="I30" s="1281"/>
    </row>
    <row r="31" customFormat="false" ht="15" hidden="false" customHeight="true" outlineLevel="0" collapsed="false">
      <c r="A31" s="1279"/>
      <c r="B31" s="1279"/>
      <c r="C31" s="1279"/>
      <c r="D31" s="1279"/>
      <c r="E31" s="1279"/>
      <c r="F31" s="1279"/>
      <c r="G31" s="1279"/>
      <c r="H31" s="1280"/>
      <c r="I31" s="1281"/>
    </row>
    <row r="32" customFormat="false" ht="15" hidden="false" customHeight="true" outlineLevel="0" collapsed="false">
      <c r="A32" s="1279"/>
      <c r="B32" s="1279"/>
      <c r="C32" s="1279"/>
      <c r="D32" s="1279"/>
      <c r="E32" s="1279"/>
      <c r="F32" s="1279"/>
      <c r="G32" s="1279"/>
      <c r="H32" s="1280"/>
      <c r="I32" s="1281"/>
    </row>
    <row r="33" customFormat="false" ht="15" hidden="false" customHeight="true" outlineLevel="0" collapsed="false">
      <c r="A33" s="1279"/>
      <c r="B33" s="1279"/>
      <c r="C33" s="1279"/>
      <c r="D33" s="1279"/>
      <c r="E33" s="1279"/>
      <c r="F33" s="1279"/>
      <c r="G33" s="1279"/>
      <c r="H33" s="1280"/>
      <c r="I33" s="1281"/>
    </row>
    <row r="34" customFormat="false" ht="15" hidden="false" customHeight="true" outlineLevel="0" collapsed="false">
      <c r="A34" s="1279"/>
      <c r="B34" s="1279"/>
      <c r="C34" s="1279"/>
      <c r="D34" s="1279"/>
      <c r="E34" s="1279"/>
      <c r="F34" s="1279"/>
      <c r="G34" s="1279"/>
      <c r="H34" s="1280"/>
      <c r="I34" s="1281"/>
    </row>
    <row r="35" customFormat="false" ht="15" hidden="false" customHeight="true" outlineLevel="0" collapsed="false">
      <c r="A35" s="1279"/>
      <c r="B35" s="1279"/>
      <c r="C35" s="1279"/>
      <c r="D35" s="1279"/>
      <c r="E35" s="1279"/>
      <c r="F35" s="1279"/>
      <c r="G35" s="1279"/>
      <c r="H35" s="1280"/>
      <c r="I35" s="1281"/>
    </row>
    <row r="36" customFormat="false" ht="15" hidden="false" customHeight="true" outlineLevel="0" collapsed="false">
      <c r="A36" s="1279"/>
      <c r="B36" s="1279"/>
      <c r="C36" s="1279"/>
      <c r="D36" s="1279"/>
      <c r="E36" s="1279"/>
      <c r="F36" s="1279"/>
      <c r="G36" s="1279"/>
      <c r="H36" s="1280"/>
      <c r="I36" s="1281"/>
    </row>
    <row r="37" customFormat="false" ht="15" hidden="false" customHeight="true" outlineLevel="0" collapsed="false">
      <c r="A37" s="1279"/>
      <c r="B37" s="1279"/>
      <c r="C37" s="1279"/>
      <c r="D37" s="1279"/>
      <c r="E37" s="1279"/>
      <c r="F37" s="1279"/>
      <c r="G37" s="1279"/>
      <c r="H37" s="1280"/>
      <c r="I37" s="1281"/>
    </row>
    <row r="38" customFormat="false" ht="15" hidden="false" customHeight="true" outlineLevel="0" collapsed="false">
      <c r="A38" s="1279"/>
      <c r="B38" s="1279"/>
      <c r="C38" s="1279"/>
      <c r="D38" s="1279"/>
      <c r="E38" s="1279"/>
      <c r="F38" s="1279"/>
      <c r="G38" s="1279"/>
      <c r="H38" s="1280"/>
      <c r="I38" s="1281"/>
    </row>
    <row r="39" customFormat="false" ht="15" hidden="false" customHeight="true" outlineLevel="0" collapsed="false">
      <c r="A39" s="1279"/>
      <c r="B39" s="1279"/>
      <c r="C39" s="1279"/>
      <c r="D39" s="1279"/>
      <c r="E39" s="1279"/>
      <c r="F39" s="1279"/>
      <c r="G39" s="1279"/>
      <c r="H39" s="1280"/>
      <c r="I39" s="1281"/>
    </row>
    <row r="40" customFormat="false" ht="15" hidden="false" customHeight="true" outlineLevel="0" collapsed="false">
      <c r="A40" s="1279"/>
      <c r="B40" s="1279"/>
      <c r="C40" s="1279"/>
      <c r="D40" s="1279"/>
      <c r="E40" s="1279"/>
      <c r="F40" s="1279"/>
      <c r="G40" s="1279"/>
      <c r="H40" s="1280"/>
      <c r="I40" s="1281"/>
    </row>
    <row r="41" customFormat="false" ht="15" hidden="false" customHeight="true" outlineLevel="0" collapsed="false">
      <c r="A41" s="1279"/>
      <c r="B41" s="1279"/>
      <c r="C41" s="1279"/>
      <c r="D41" s="1279"/>
      <c r="E41" s="1279"/>
      <c r="F41" s="1279"/>
      <c r="G41" s="1279"/>
      <c r="H41" s="1280"/>
      <c r="I41" s="1281"/>
    </row>
    <row r="42" customFormat="false" ht="15" hidden="false" customHeight="true" outlineLevel="0" collapsed="false">
      <c r="A42" s="1279"/>
      <c r="B42" s="1279"/>
      <c r="C42" s="1279"/>
      <c r="D42" s="1279"/>
      <c r="E42" s="1279"/>
      <c r="F42" s="1279"/>
      <c r="G42" s="1279"/>
      <c r="H42" s="1280"/>
      <c r="I42" s="1281"/>
    </row>
    <row r="43" customFormat="false" ht="15" hidden="false" customHeight="true" outlineLevel="0" collapsed="false">
      <c r="A43" s="1279"/>
      <c r="B43" s="1279"/>
      <c r="C43" s="1279"/>
      <c r="D43" s="1279"/>
      <c r="E43" s="1279"/>
      <c r="F43" s="1279"/>
      <c r="G43" s="1279"/>
      <c r="H43" s="1280"/>
      <c r="I43" s="1281"/>
    </row>
    <row r="44" customFormat="false" ht="15" hidden="false" customHeight="true" outlineLevel="0" collapsed="false">
      <c r="A44" s="1279"/>
      <c r="B44" s="1279"/>
      <c r="C44" s="1279"/>
      <c r="D44" s="1279"/>
      <c r="E44" s="1279"/>
      <c r="F44" s="1279"/>
      <c r="G44" s="1279"/>
      <c r="H44" s="1280"/>
      <c r="I44" s="1281"/>
    </row>
    <row r="45" customFormat="false" ht="15" hidden="false" customHeight="true" outlineLevel="0" collapsed="false">
      <c r="A45" s="1279"/>
      <c r="B45" s="1279"/>
      <c r="C45" s="1279"/>
      <c r="D45" s="1279"/>
      <c r="E45" s="1279"/>
      <c r="F45" s="1279"/>
      <c r="G45" s="1279"/>
      <c r="H45" s="1280"/>
      <c r="I45" s="1281"/>
    </row>
    <row r="46" customFormat="false" ht="15" hidden="false" customHeight="true" outlineLevel="0" collapsed="false">
      <c r="A46" s="1282"/>
      <c r="B46" s="1282"/>
      <c r="C46" s="1282"/>
      <c r="D46" s="1282"/>
      <c r="E46" s="1282"/>
      <c r="F46" s="1282"/>
      <c r="G46" s="1282"/>
      <c r="H46" s="1283"/>
      <c r="I46" s="1284"/>
    </row>
  </sheetData>
  <mergeCells count="44">
    <mergeCell ref="A2:I2"/>
    <mergeCell ref="A4:G4"/>
    <mergeCell ref="A5:G5"/>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s>
  <conditionalFormatting sqref="A5:G46">
    <cfRule type="cellIs" priority="2" operator="equal" aboveAverage="0" equalAverage="0" bottom="0" percent="0" rank="0" text="" dxfId="35">
      <formula>"""Total"""</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2024-07-13T05:08:49Z</dcterms:created>
  <dc:creator>ConnectBAS</dc:creator>
  <dc:description/>
  <dc:language>en-US</dc:language>
  <cp:lastModifiedBy/>
  <dcterms:modified xsi:type="dcterms:W3CDTF">2025-05-02T15:07:30Z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