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ial Models and Analysis\7. Pepsico Model\Pepsico DCF Valuation 2022\"/>
    </mc:Choice>
  </mc:AlternateContent>
  <xr:revisionPtr revIDLastSave="0" documentId="13_ncr:1_{62B41772-E1B2-406C-95F1-ED3B1D2C51E2}" xr6:coauthVersionLast="47" xr6:coauthVersionMax="47" xr10:uidLastSave="{00000000-0000-0000-0000-000000000000}"/>
  <bookViews>
    <workbookView xWindow="-108" yWindow="-108" windowWidth="23256" windowHeight="13176" tabRatio="669" xr2:uid="{00000000-000D-0000-FFFF-FFFF00000000}"/>
  </bookViews>
  <sheets>
    <sheet name="Cover Page" sheetId="25" r:id="rId1"/>
    <sheet name="DCF" sheetId="2" r:id="rId2"/>
    <sheet name="WACC" sheetId="3" r:id="rId3"/>
    <sheet name="Beta Calculation" sheetId="4" r:id="rId4"/>
    <sheet name="Debt Schedule" sheetId="24" r:id="rId5"/>
    <sheet name="PepsiCo-BS" sheetId="5" r:id="rId6"/>
    <sheet name="PepsiCo-CFS" sheetId="22" r:id="rId7"/>
    <sheet name="Fixed Assets Schedule" sheetId="23" r:id="rId8"/>
    <sheet name="PepsiCo-IS" sheetId="6" r:id="rId9"/>
    <sheet name="Revenue Segments" sheetId="21" r:id="rId10"/>
  </sheets>
  <definedNames>
    <definedName name="CIQWBGuid" hidden="1">"4f2b5917-b635-45e3-be69-c25f578da840"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43721.264212963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5">'PepsiCo-BS'!#REF!</definedName>
    <definedName name="_xlnm.Print_Titles" localSheetId="8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2" l="1"/>
  <c r="A19" i="2"/>
  <c r="J30" i="6"/>
  <c r="K24" i="24"/>
  <c r="L24" i="24"/>
  <c r="M24" i="24"/>
  <c r="N24" i="24"/>
  <c r="J24" i="24"/>
  <c r="J16" i="24"/>
  <c r="K16" i="24"/>
  <c r="L16" i="24"/>
  <c r="M16" i="24"/>
  <c r="N16" i="24"/>
  <c r="J17" i="24"/>
  <c r="K17" i="24"/>
  <c r="L17" i="24"/>
  <c r="M17" i="24"/>
  <c r="N17" i="24"/>
  <c r="J18" i="24"/>
  <c r="K18" i="24"/>
  <c r="L18" i="24"/>
  <c r="M18" i="24"/>
  <c r="N18" i="24"/>
  <c r="J19" i="24"/>
  <c r="K19" i="24"/>
  <c r="L19" i="24"/>
  <c r="M19" i="24"/>
  <c r="N19" i="24"/>
  <c r="J20" i="24"/>
  <c r="K20" i="24"/>
  <c r="L20" i="24"/>
  <c r="M20" i="24"/>
  <c r="N20" i="24"/>
  <c r="J21" i="24"/>
  <c r="K21" i="24"/>
  <c r="L21" i="24"/>
  <c r="M21" i="24"/>
  <c r="N21" i="24"/>
  <c r="J22" i="24"/>
  <c r="K22" i="24"/>
  <c r="L22" i="24"/>
  <c r="M22" i="24"/>
  <c r="N22" i="24"/>
  <c r="J23" i="24"/>
  <c r="K23" i="24"/>
  <c r="L23" i="24"/>
  <c r="M23" i="24"/>
  <c r="N23" i="24"/>
  <c r="K15" i="24"/>
  <c r="L15" i="24"/>
  <c r="M15" i="24"/>
  <c r="N15" i="24"/>
  <c r="J15" i="24"/>
  <c r="K29" i="2" l="1"/>
  <c r="L29" i="2" s="1"/>
  <c r="M29" i="2" s="1"/>
  <c r="N29" i="2" s="1"/>
  <c r="O29" i="2" s="1"/>
  <c r="P29" i="2" s="1"/>
  <c r="Q29" i="2" s="1"/>
  <c r="R29" i="2" s="1"/>
  <c r="D40" i="2"/>
  <c r="D38" i="2"/>
  <c r="D37" i="2"/>
  <c r="D35" i="2"/>
  <c r="D34" i="2"/>
  <c r="D9" i="2"/>
  <c r="E9" i="2" s="1"/>
  <c r="F9" i="2" s="1"/>
  <c r="G9" i="2" s="1"/>
  <c r="H25" i="3"/>
  <c r="N6" i="3"/>
  <c r="L7" i="3"/>
  <c r="L6" i="3"/>
  <c r="G20" i="3"/>
  <c r="H8" i="3"/>
  <c r="H6" i="3"/>
  <c r="H7" i="3"/>
  <c r="G25" i="3" l="1"/>
  <c r="F25" i="3"/>
  <c r="E25" i="3"/>
  <c r="D25" i="3"/>
  <c r="C25" i="3"/>
  <c r="F24" i="3"/>
  <c r="E24" i="3"/>
  <c r="D24" i="3"/>
  <c r="G24" i="3"/>
  <c r="H24" i="3" s="1"/>
  <c r="D7" i="3" s="1"/>
  <c r="D10" i="3" s="1"/>
  <c r="N7" i="3" s="1"/>
  <c r="N8" i="3" s="1"/>
  <c r="I18" i="3"/>
  <c r="I17" i="3"/>
  <c r="C18" i="3"/>
  <c r="C17" i="3"/>
  <c r="C16" i="3"/>
  <c r="G16" i="3" s="1"/>
  <c r="I16" i="3"/>
  <c r="G17" i="3"/>
  <c r="G18" i="3"/>
  <c r="F18" i="3"/>
  <c r="F17" i="3"/>
  <c r="F16" i="3"/>
  <c r="E17" i="3"/>
  <c r="E18" i="3"/>
  <c r="D18" i="3"/>
  <c r="D17" i="3"/>
  <c r="D16" i="3"/>
  <c r="E16" i="3" s="1"/>
  <c r="D8" i="3"/>
  <c r="Q16" i="3" l="1"/>
  <c r="P16" i="3"/>
  <c r="O16" i="3"/>
  <c r="H12" i="4"/>
  <c r="H11" i="4"/>
  <c r="H9" i="4"/>
  <c r="H8" i="4"/>
  <c r="H7" i="4"/>
  <c r="H6" i="4"/>
  <c r="H5" i="4"/>
  <c r="H4" i="4"/>
  <c r="G12" i="4"/>
  <c r="G11" i="4"/>
  <c r="G9" i="4"/>
  <c r="G8" i="4"/>
  <c r="G7" i="4" l="1"/>
  <c r="G6" i="4"/>
  <c r="G5" i="4"/>
  <c r="G4" i="4"/>
  <c r="J9" i="4"/>
  <c r="G8" i="24"/>
  <c r="F42" i="24" s="1"/>
  <c r="H24" i="5"/>
  <c r="I24" i="5"/>
  <c r="J24" i="5"/>
  <c r="G24" i="5"/>
  <c r="C42" i="24"/>
  <c r="D42" i="24"/>
  <c r="E42" i="24"/>
  <c r="B42" i="24"/>
  <c r="B37" i="22"/>
  <c r="B38" i="24"/>
  <c r="E25" i="24"/>
  <c r="B31" i="24"/>
  <c r="C8" i="24"/>
  <c r="D8" i="24"/>
  <c r="E8" i="24"/>
  <c r="F8" i="24"/>
  <c r="B8" i="24"/>
  <c r="F24" i="24"/>
  <c r="E23" i="24"/>
  <c r="E22" i="24"/>
  <c r="F27" i="24"/>
  <c r="E21" i="24"/>
  <c r="E20" i="24"/>
  <c r="E19" i="24"/>
  <c r="E18" i="24"/>
  <c r="E17" i="24"/>
  <c r="E16" i="24"/>
  <c r="E15" i="24"/>
  <c r="K24" i="5" l="1"/>
  <c r="B26" i="22"/>
  <c r="H30" i="5"/>
  <c r="I30" i="5"/>
  <c r="J30" i="5" s="1"/>
  <c r="K30" i="5" s="1"/>
  <c r="H31" i="5"/>
  <c r="I31" i="5"/>
  <c r="J31" i="5" s="1"/>
  <c r="K31" i="5" s="1"/>
  <c r="G31" i="5"/>
  <c r="G30" i="5"/>
  <c r="H73" i="5"/>
  <c r="I73" i="5"/>
  <c r="J73" i="5"/>
  <c r="K73" i="5"/>
  <c r="G73" i="5"/>
  <c r="G87" i="5"/>
  <c r="G81" i="5"/>
  <c r="H40" i="5"/>
  <c r="I40" i="5" s="1"/>
  <c r="J40" i="5" s="1"/>
  <c r="K40" i="5" s="1"/>
  <c r="H41" i="5"/>
  <c r="I41" i="5" s="1"/>
  <c r="J41" i="5" s="1"/>
  <c r="K41" i="5" s="1"/>
  <c r="G41" i="5"/>
  <c r="G40" i="5"/>
  <c r="H37" i="5"/>
  <c r="I37" i="5"/>
  <c r="J37" i="5"/>
  <c r="K37" i="5"/>
  <c r="G37" i="5"/>
  <c r="H26" i="5"/>
  <c r="I26" i="5"/>
  <c r="J26" i="5" s="1"/>
  <c r="K26" i="5" s="1"/>
  <c r="G26" i="5"/>
  <c r="H15" i="5"/>
  <c r="I15" i="5"/>
  <c r="J15" i="5"/>
  <c r="K15" i="5"/>
  <c r="G15" i="5"/>
  <c r="H16" i="5"/>
  <c r="I16" i="5" s="1"/>
  <c r="J16" i="5" s="1"/>
  <c r="K16" i="5" s="1"/>
  <c r="H17" i="5"/>
  <c r="I17" i="5" s="1"/>
  <c r="J17" i="5" s="1"/>
  <c r="K17" i="5" s="1"/>
  <c r="H18" i="5"/>
  <c r="I18" i="5" s="1"/>
  <c r="J18" i="5" s="1"/>
  <c r="K18" i="5" s="1"/>
  <c r="H19" i="5"/>
  <c r="I19" i="5" s="1"/>
  <c r="J19" i="5" s="1"/>
  <c r="K19" i="5" s="1"/>
  <c r="H20" i="5"/>
  <c r="I20" i="5" s="1"/>
  <c r="J20" i="5" s="1"/>
  <c r="K20" i="5" s="1"/>
  <c r="G17" i="5"/>
  <c r="G18" i="5"/>
  <c r="G19" i="5"/>
  <c r="G20" i="5"/>
  <c r="G16" i="5"/>
  <c r="H11" i="5"/>
  <c r="I11" i="5"/>
  <c r="J11" i="5" s="1"/>
  <c r="K11" i="5" s="1"/>
  <c r="G11" i="5"/>
  <c r="H7" i="5"/>
  <c r="I7" i="5" s="1"/>
  <c r="J7" i="5" s="1"/>
  <c r="K7" i="5" s="1"/>
  <c r="G7" i="5"/>
  <c r="H6" i="5"/>
  <c r="I6" i="5"/>
  <c r="J6" i="5" s="1"/>
  <c r="K6" i="5" s="1"/>
  <c r="G6" i="5"/>
  <c r="K48" i="6"/>
  <c r="L48" i="6"/>
  <c r="M48" i="6"/>
  <c r="N48" i="6"/>
  <c r="J48" i="6"/>
  <c r="K20" i="6"/>
  <c r="L20" i="6"/>
  <c r="M20" i="6"/>
  <c r="N20" i="6"/>
  <c r="J20" i="6"/>
  <c r="H27" i="23"/>
  <c r="G27" i="23"/>
  <c r="H28" i="23"/>
  <c r="I24" i="23" s="1"/>
  <c r="I26" i="23" s="1"/>
  <c r="I27" i="23" s="1"/>
  <c r="G28" i="23"/>
  <c r="H24" i="23" s="1"/>
  <c r="H26" i="23" s="1"/>
  <c r="G26" i="23"/>
  <c r="G24" i="23"/>
  <c r="G31" i="23"/>
  <c r="C31" i="23"/>
  <c r="D31" i="23"/>
  <c r="E31" i="23"/>
  <c r="F31" i="23"/>
  <c r="B31" i="23"/>
  <c r="L19" i="23"/>
  <c r="L18" i="23"/>
  <c r="I28" i="23" l="1"/>
  <c r="J24" i="23" s="1"/>
  <c r="J26" i="23" s="1"/>
  <c r="J27" i="23" s="1"/>
  <c r="C21" i="23"/>
  <c r="D21" i="23"/>
  <c r="E21" i="23"/>
  <c r="F21" i="23"/>
  <c r="B21" i="23"/>
  <c r="J28" i="23" l="1"/>
  <c r="K24" i="23" s="1"/>
  <c r="K26" i="23" s="1"/>
  <c r="K27" i="23" s="1"/>
  <c r="K66" i="6"/>
  <c r="L66" i="6" s="1"/>
  <c r="M66" i="6" s="1"/>
  <c r="N66" i="6" s="1"/>
  <c r="J66" i="6"/>
  <c r="P66" i="6"/>
  <c r="O66" i="6"/>
  <c r="H43" i="21"/>
  <c r="H41" i="21" s="1"/>
  <c r="I41" i="21" s="1"/>
  <c r="J41" i="21" s="1"/>
  <c r="K41" i="21" s="1"/>
  <c r="L41" i="21" s="1"/>
  <c r="H37" i="21"/>
  <c r="H35" i="21" s="1"/>
  <c r="I35" i="21" s="1"/>
  <c r="J35" i="21" s="1"/>
  <c r="K35" i="21" s="1"/>
  <c r="L35" i="21" s="1"/>
  <c r="H31" i="21"/>
  <c r="H29" i="21" s="1"/>
  <c r="I29" i="21" s="1"/>
  <c r="J29" i="21" s="1"/>
  <c r="K29" i="21" s="1"/>
  <c r="L29" i="21" s="1"/>
  <c r="H25" i="21"/>
  <c r="H23" i="21" s="1"/>
  <c r="I23" i="21" s="1"/>
  <c r="J23" i="21" s="1"/>
  <c r="K23" i="21" s="1"/>
  <c r="L23" i="21" s="1"/>
  <c r="H13" i="21"/>
  <c r="H11" i="21" s="1"/>
  <c r="I11" i="21" s="1"/>
  <c r="J11" i="21" s="1"/>
  <c r="K11" i="21" s="1"/>
  <c r="L11" i="21" s="1"/>
  <c r="D24" i="2" l="1"/>
  <c r="C24" i="2"/>
  <c r="G23" i="2"/>
  <c r="E24" i="2"/>
  <c r="D23" i="2"/>
  <c r="C23" i="2"/>
  <c r="F24" i="2"/>
  <c r="E23" i="2"/>
  <c r="G24" i="2"/>
  <c r="F23" i="2"/>
  <c r="K28" i="23"/>
  <c r="C22" i="3"/>
  <c r="H22" i="3"/>
  <c r="B18" i="3"/>
  <c r="B17" i="3"/>
  <c r="B16" i="3"/>
  <c r="C19" i="21" l="1"/>
  <c r="H19" i="21" s="1"/>
  <c r="H17" i="21" s="1"/>
  <c r="I17" i="21" s="1"/>
  <c r="J17" i="21" s="1"/>
  <c r="K17" i="21" s="1"/>
  <c r="L17" i="21" s="1"/>
  <c r="C60" i="3"/>
  <c r="E58" i="3"/>
  <c r="F58" i="3" s="1"/>
  <c r="E59" i="3"/>
  <c r="F59" i="3" s="1"/>
  <c r="E57" i="3"/>
  <c r="F57" i="3" s="1"/>
  <c r="C35" i="3"/>
  <c r="C34" i="3"/>
  <c r="C33" i="3"/>
  <c r="E34" i="3"/>
  <c r="F34" i="3" s="1"/>
  <c r="E35" i="3"/>
  <c r="F35" i="3" s="1"/>
  <c r="E33" i="3"/>
  <c r="F33" i="3" s="1"/>
  <c r="C47" i="3"/>
  <c r="C46" i="3"/>
  <c r="C45" i="3"/>
  <c r="C48" i="3" s="1"/>
  <c r="E45" i="3"/>
  <c r="F45" i="3" s="1"/>
  <c r="E46" i="3"/>
  <c r="F46" i="3" s="1"/>
  <c r="E47" i="3"/>
  <c r="F47" i="3" s="1"/>
  <c r="C53" i="3"/>
  <c r="C52" i="3"/>
  <c r="C51" i="3"/>
  <c r="E51" i="3"/>
  <c r="F51" i="3" s="1"/>
  <c r="E52" i="3"/>
  <c r="F52" i="3" s="1"/>
  <c r="E53" i="3"/>
  <c r="F53" i="3" s="1"/>
  <c r="C41" i="3"/>
  <c r="C40" i="3"/>
  <c r="E40" i="3"/>
  <c r="F40" i="3" s="1"/>
  <c r="E41" i="3"/>
  <c r="F41" i="3" s="1"/>
  <c r="C39" i="3"/>
  <c r="E39" i="3"/>
  <c r="F39" i="3" s="1"/>
  <c r="E64" i="3"/>
  <c r="F64" i="3" s="1"/>
  <c r="E65" i="3"/>
  <c r="F65" i="3" s="1"/>
  <c r="E63" i="3"/>
  <c r="F63" i="3" s="1"/>
  <c r="C65" i="3"/>
  <c r="C64" i="3"/>
  <c r="C63" i="3"/>
  <c r="G36" i="3"/>
  <c r="G42" i="3"/>
  <c r="G48" i="3"/>
  <c r="G54" i="3"/>
  <c r="G60" i="3"/>
  <c r="G66" i="3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F9" i="23"/>
  <c r="G5" i="23" s="1"/>
  <c r="D9" i="23"/>
  <c r="C9" i="23"/>
  <c r="B9" i="23"/>
  <c r="F19" i="23"/>
  <c r="F18" i="23"/>
  <c r="F27" i="23"/>
  <c r="F28" i="23"/>
  <c r="F82" i="5"/>
  <c r="F80" i="5"/>
  <c r="F78" i="5"/>
  <c r="F73" i="5"/>
  <c r="F72" i="5"/>
  <c r="F86" i="5" s="1"/>
  <c r="F67" i="5"/>
  <c r="F27" i="5"/>
  <c r="F32" i="5" s="1"/>
  <c r="F42" i="5"/>
  <c r="F44" i="5" s="1"/>
  <c r="F12" i="5"/>
  <c r="F21" i="5" s="1"/>
  <c r="K3" i="23"/>
  <c r="K22" i="23" s="1"/>
  <c r="J3" i="23"/>
  <c r="J22" i="23" s="1"/>
  <c r="I3" i="23"/>
  <c r="I22" i="23" s="1"/>
  <c r="H3" i="23"/>
  <c r="H22" i="23" s="1"/>
  <c r="G3" i="23"/>
  <c r="G22" i="23" s="1"/>
  <c r="F3" i="23"/>
  <c r="F22" i="23" s="1"/>
  <c r="I11" i="6"/>
  <c r="I44" i="6"/>
  <c r="H37" i="6"/>
  <c r="H38" i="6" s="1"/>
  <c r="I37" i="6"/>
  <c r="I38" i="6" s="1"/>
  <c r="I30" i="6"/>
  <c r="H30" i="6"/>
  <c r="H26" i="6"/>
  <c r="I25" i="6"/>
  <c r="I26" i="6" s="1"/>
  <c r="H17" i="6"/>
  <c r="I16" i="6"/>
  <c r="I17" i="6" s="1"/>
  <c r="I18" i="6" s="1"/>
  <c r="H9" i="6"/>
  <c r="I8" i="6"/>
  <c r="I9" i="6" s="1"/>
  <c r="G42" i="21"/>
  <c r="G36" i="21"/>
  <c r="G30" i="21"/>
  <c r="G24" i="21"/>
  <c r="G18" i="21"/>
  <c r="G12" i="21"/>
  <c r="G6" i="21"/>
  <c r="G48" i="21"/>
  <c r="I6" i="6" s="1"/>
  <c r="L3" i="21"/>
  <c r="K3" i="21"/>
  <c r="J3" i="21"/>
  <c r="I3" i="21"/>
  <c r="H3" i="21"/>
  <c r="G3" i="21"/>
  <c r="F20" i="23" l="1"/>
  <c r="I80" i="6"/>
  <c r="F79" i="5"/>
  <c r="F83" i="5"/>
  <c r="C36" i="3"/>
  <c r="C54" i="3"/>
  <c r="F26" i="23"/>
  <c r="F66" i="3"/>
  <c r="C42" i="3"/>
  <c r="C66" i="3"/>
  <c r="F54" i="3"/>
  <c r="F36" i="3"/>
  <c r="F48" i="3"/>
  <c r="F60" i="3"/>
  <c r="F42" i="3"/>
  <c r="F46" i="5"/>
  <c r="F47" i="5" s="1"/>
  <c r="I64" i="6"/>
  <c r="I66" i="6"/>
  <c r="I13" i="6"/>
  <c r="I57" i="6" s="1"/>
  <c r="I10" i="6"/>
  <c r="E27" i="5"/>
  <c r="E32" i="5" s="1"/>
  <c r="E42" i="5"/>
  <c r="E44" i="5" s="1"/>
  <c r="E15" i="5"/>
  <c r="I63" i="6" l="1"/>
  <c r="F81" i="5"/>
  <c r="F87" i="5"/>
  <c r="I22" i="6"/>
  <c r="E46" i="5"/>
  <c r="E73" i="5"/>
  <c r="E72" i="5"/>
  <c r="E86" i="5" s="1"/>
  <c r="E12" i="5"/>
  <c r="E67" i="5"/>
  <c r="E82" i="5"/>
  <c r="D82" i="5"/>
  <c r="C82" i="5"/>
  <c r="B82" i="5"/>
  <c r="E80" i="5"/>
  <c r="D80" i="5"/>
  <c r="C80" i="5"/>
  <c r="B80" i="5"/>
  <c r="E78" i="5"/>
  <c r="D78" i="5"/>
  <c r="C78" i="5"/>
  <c r="B78" i="5"/>
  <c r="F24" i="23"/>
  <c r="E27" i="23"/>
  <c r="E19" i="23"/>
  <c r="E18" i="23"/>
  <c r="H18" i="6"/>
  <c r="H66" i="6" s="1"/>
  <c r="H44" i="6"/>
  <c r="F42" i="21"/>
  <c r="F36" i="21"/>
  <c r="F30" i="21"/>
  <c r="F24" i="21"/>
  <c r="F18" i="21"/>
  <c r="F12" i="21"/>
  <c r="F6" i="21"/>
  <c r="F48" i="21"/>
  <c r="G49" i="21" s="1"/>
  <c r="A80" i="5"/>
  <c r="A82" i="5"/>
  <c r="I34" i="6" l="1"/>
  <c r="I59" i="6"/>
  <c r="I58" i="6"/>
  <c r="E20" i="23"/>
  <c r="E8" i="23" s="1"/>
  <c r="H6" i="6"/>
  <c r="H80" i="6" s="1"/>
  <c r="E79" i="5"/>
  <c r="E26" i="23"/>
  <c r="H64" i="6" l="1"/>
  <c r="I56" i="6"/>
  <c r="I40" i="6"/>
  <c r="I68" i="6"/>
  <c r="E83" i="5"/>
  <c r="E3" i="23"/>
  <c r="E22" i="23" s="1"/>
  <c r="E4" i="23"/>
  <c r="E23" i="23" s="1"/>
  <c r="D4" i="23"/>
  <c r="C4" i="23"/>
  <c r="E3" i="5"/>
  <c r="F3" i="22"/>
  <c r="E3" i="24" s="1"/>
  <c r="M13" i="24" s="1"/>
  <c r="E3" i="22"/>
  <c r="D3" i="24" s="1"/>
  <c r="L13" i="24" s="1"/>
  <c r="D3" i="22"/>
  <c r="C3" i="24" s="1"/>
  <c r="K13" i="24" s="1"/>
  <c r="C3" i="22"/>
  <c r="B3" i="24" s="1"/>
  <c r="J13" i="24" s="1"/>
  <c r="I4" i="6"/>
  <c r="F4" i="21"/>
  <c r="F3" i="21"/>
  <c r="C3" i="21"/>
  <c r="D3" i="21"/>
  <c r="E3" i="21"/>
  <c r="C4" i="21"/>
  <c r="D4" i="21"/>
  <c r="E4" i="21"/>
  <c r="D6" i="21"/>
  <c r="D9" i="21" s="1"/>
  <c r="E6" i="21"/>
  <c r="E7" i="21" s="1"/>
  <c r="H7" i="21" s="1"/>
  <c r="H5" i="21" s="1"/>
  <c r="C9" i="21"/>
  <c r="D12" i="21"/>
  <c r="E12" i="21"/>
  <c r="E15" i="21" s="1"/>
  <c r="C15" i="21"/>
  <c r="D18" i="21"/>
  <c r="E18" i="21"/>
  <c r="E21" i="21"/>
  <c r="C24" i="21"/>
  <c r="D24" i="21"/>
  <c r="E24" i="21"/>
  <c r="D27" i="21"/>
  <c r="E27" i="21"/>
  <c r="D30" i="21"/>
  <c r="E30" i="21"/>
  <c r="D33" i="21"/>
  <c r="E33" i="21"/>
  <c r="D36" i="21"/>
  <c r="E36" i="21"/>
  <c r="D39" i="21"/>
  <c r="E39" i="21"/>
  <c r="D42" i="21"/>
  <c r="E42" i="21"/>
  <c r="D45" i="21"/>
  <c r="E45" i="21"/>
  <c r="C48" i="21"/>
  <c r="D48" i="21"/>
  <c r="E48" i="21"/>
  <c r="F49" i="21" s="1"/>
  <c r="I5" i="21" l="1"/>
  <c r="H48" i="21"/>
  <c r="J6" i="6" s="1"/>
  <c r="G4" i="21"/>
  <c r="F4" i="23"/>
  <c r="F23" i="23" s="1"/>
  <c r="I46" i="6"/>
  <c r="I50" i="6" s="1"/>
  <c r="I74" i="6" s="1"/>
  <c r="I60" i="6"/>
  <c r="I70" i="6"/>
  <c r="J4" i="6"/>
  <c r="F3" i="5"/>
  <c r="F3" i="24"/>
  <c r="B29" i="24"/>
  <c r="C29" i="24"/>
  <c r="D29" i="24"/>
  <c r="E29" i="24"/>
  <c r="D49" i="21"/>
  <c r="E49" i="21"/>
  <c r="D15" i="21"/>
  <c r="E9" i="21"/>
  <c r="D21" i="21"/>
  <c r="B27" i="22" l="1"/>
  <c r="J56" i="6"/>
  <c r="J5" i="21"/>
  <c r="I48" i="21"/>
  <c r="K6" i="6" s="1"/>
  <c r="G4" i="23"/>
  <c r="G23" i="23" s="1"/>
  <c r="G3" i="5"/>
  <c r="N13" i="24"/>
  <c r="F29" i="24"/>
  <c r="C4" i="22"/>
  <c r="B4" i="24" s="1"/>
  <c r="J14" i="24" s="1"/>
  <c r="K4" i="6"/>
  <c r="H4" i="21"/>
  <c r="C8" i="2"/>
  <c r="B2" i="2"/>
  <c r="B2" i="3"/>
  <c r="A2" i="5"/>
  <c r="A2" i="24"/>
  <c r="A2" i="22"/>
  <c r="A2" i="23"/>
  <c r="A2" i="21"/>
  <c r="C28" i="23"/>
  <c r="D28" i="23"/>
  <c r="E24" i="23" s="1"/>
  <c r="E25" i="23" s="1"/>
  <c r="B28" i="23"/>
  <c r="D5" i="23"/>
  <c r="E5" i="23"/>
  <c r="C5" i="23"/>
  <c r="C27" i="22" l="1"/>
  <c r="K56" i="6"/>
  <c r="K5" i="21"/>
  <c r="J48" i="21"/>
  <c r="L6" i="6" s="1"/>
  <c r="D8" i="2"/>
  <c r="H3" i="5"/>
  <c r="H4" i="23"/>
  <c r="H23" i="23" s="1"/>
  <c r="B30" i="24"/>
  <c r="D4" i="22"/>
  <c r="C4" i="24" s="1"/>
  <c r="K14" i="24" s="1"/>
  <c r="L4" i="6"/>
  <c r="I4" i="21"/>
  <c r="D27" i="22" l="1"/>
  <c r="L56" i="6"/>
  <c r="L5" i="21"/>
  <c r="L48" i="21" s="1"/>
  <c r="N6" i="6" s="1"/>
  <c r="K48" i="21"/>
  <c r="M6" i="6" s="1"/>
  <c r="E4" i="22"/>
  <c r="D4" i="24" s="1"/>
  <c r="D30" i="24" s="1"/>
  <c r="I3" i="5"/>
  <c r="I4" i="23"/>
  <c r="I23" i="23" s="1"/>
  <c r="E8" i="2"/>
  <c r="C30" i="24"/>
  <c r="M4" i="6"/>
  <c r="J4" i="21"/>
  <c r="L14" i="24"/>
  <c r="C23" i="23"/>
  <c r="D23" i="23"/>
  <c r="B4" i="23"/>
  <c r="B23" i="23" s="1"/>
  <c r="C3" i="23"/>
  <c r="C22" i="23" s="1"/>
  <c r="D3" i="23"/>
  <c r="D22" i="23" s="1"/>
  <c r="B3" i="23"/>
  <c r="B22" i="23" s="1"/>
  <c r="B4" i="22"/>
  <c r="B3" i="22"/>
  <c r="C3" i="5"/>
  <c r="D3" i="5"/>
  <c r="B3" i="5"/>
  <c r="E27" i="22" l="1"/>
  <c r="M56" i="6"/>
  <c r="F27" i="22"/>
  <c r="N56" i="6"/>
  <c r="J4" i="23"/>
  <c r="J23" i="23" s="1"/>
  <c r="F8" i="2"/>
  <c r="J3" i="5"/>
  <c r="F4" i="22"/>
  <c r="E4" i="24" s="1"/>
  <c r="E30" i="24" s="1"/>
  <c r="N4" i="6"/>
  <c r="K4" i="21"/>
  <c r="F4" i="24" l="1"/>
  <c r="L4" i="21"/>
  <c r="K4" i="23"/>
  <c r="K23" i="23" s="1"/>
  <c r="K3" i="5"/>
  <c r="G8" i="2"/>
  <c r="M14" i="24"/>
  <c r="N14" i="24"/>
  <c r="F30" i="24"/>
  <c r="B27" i="23"/>
  <c r="C27" i="23"/>
  <c r="D27" i="23"/>
  <c r="C24" i="23"/>
  <c r="D24" i="23"/>
  <c r="B26" i="23" l="1"/>
  <c r="D26" i="23"/>
  <c r="D25" i="23" s="1"/>
  <c r="C26" i="23"/>
  <c r="C25" i="23" s="1"/>
  <c r="B25" i="23" l="1"/>
  <c r="B67" i="5"/>
  <c r="C67" i="5"/>
  <c r="D67" i="5"/>
  <c r="D72" i="5" s="1"/>
  <c r="D86" i="5" s="1"/>
  <c r="A86" i="5"/>
  <c r="E44" i="6"/>
  <c r="E7" i="6"/>
  <c r="E9" i="6" s="1"/>
  <c r="E16" i="6"/>
  <c r="E17" i="6" s="1"/>
  <c r="E18" i="6" s="1"/>
  <c r="E26" i="6"/>
  <c r="E37" i="6"/>
  <c r="E38" i="6" s="1"/>
  <c r="F44" i="6"/>
  <c r="F8" i="6"/>
  <c r="F9" i="6" s="1"/>
  <c r="F10" i="6" s="1"/>
  <c r="F16" i="6"/>
  <c r="F17" i="6" s="1"/>
  <c r="F18" i="6" s="1"/>
  <c r="F26" i="6"/>
  <c r="F30" i="6"/>
  <c r="F37" i="6"/>
  <c r="F38" i="6" s="1"/>
  <c r="G44" i="6"/>
  <c r="G8" i="6"/>
  <c r="G9" i="6" s="1"/>
  <c r="G10" i="6" s="1"/>
  <c r="G16" i="6"/>
  <c r="G17" i="6" s="1"/>
  <c r="G18" i="6" s="1"/>
  <c r="G25" i="6"/>
  <c r="G26" i="6" s="1"/>
  <c r="G30" i="6"/>
  <c r="G37" i="6"/>
  <c r="G38" i="6" s="1"/>
  <c r="B18" i="23"/>
  <c r="B19" i="23"/>
  <c r="C18" i="23"/>
  <c r="C19" i="23"/>
  <c r="D18" i="23"/>
  <c r="D19" i="23"/>
  <c r="A78" i="5"/>
  <c r="B62" i="5"/>
  <c r="B56" i="5"/>
  <c r="B59" i="5"/>
  <c r="C59" i="5"/>
  <c r="D59" i="5"/>
  <c r="C50" i="5"/>
  <c r="D50" i="5"/>
  <c r="B50" i="5"/>
  <c r="C62" i="5"/>
  <c r="B27" i="5"/>
  <c r="B32" i="5" s="1"/>
  <c r="B42" i="5"/>
  <c r="B44" i="5" s="1"/>
  <c r="B12" i="5"/>
  <c r="B21" i="5" s="1"/>
  <c r="D62" i="5"/>
  <c r="D56" i="5"/>
  <c r="C56" i="5"/>
  <c r="D27" i="5"/>
  <c r="D32" i="5" s="1"/>
  <c r="D42" i="5"/>
  <c r="D44" i="5" s="1"/>
  <c r="C27" i="5"/>
  <c r="C32" i="5" s="1"/>
  <c r="C42" i="5"/>
  <c r="C44" i="5" s="1"/>
  <c r="D12" i="5"/>
  <c r="D21" i="5" s="1"/>
  <c r="C12" i="5"/>
  <c r="C21" i="5" s="1"/>
  <c r="E30" i="6"/>
  <c r="B34" i="6"/>
  <c r="C34" i="6"/>
  <c r="D34" i="6"/>
  <c r="C13" i="6"/>
  <c r="D6" i="6"/>
  <c r="E6" i="6"/>
  <c r="E80" i="6" s="1"/>
  <c r="F6" i="6"/>
  <c r="F80" i="6" s="1"/>
  <c r="G6" i="6"/>
  <c r="H56" i="6" l="1"/>
  <c r="G80" i="6"/>
  <c r="J80" i="6" s="1"/>
  <c r="F66" i="6"/>
  <c r="G66" i="6"/>
  <c r="C81" i="5"/>
  <c r="D81" i="5"/>
  <c r="D87" i="5"/>
  <c r="E66" i="6"/>
  <c r="D83" i="5"/>
  <c r="G63" i="6"/>
  <c r="D79" i="5"/>
  <c r="G64" i="6"/>
  <c r="C83" i="5"/>
  <c r="F63" i="6"/>
  <c r="F64" i="6"/>
  <c r="C79" i="5"/>
  <c r="B83" i="5"/>
  <c r="G83" i="5" s="1"/>
  <c r="E64" i="6"/>
  <c r="B79" i="5"/>
  <c r="B64" i="5"/>
  <c r="D64" i="5"/>
  <c r="B46" i="5"/>
  <c r="B47" i="5" s="1"/>
  <c r="D46" i="5"/>
  <c r="D47" i="5" s="1"/>
  <c r="D73" i="5"/>
  <c r="C64" i="5"/>
  <c r="C46" i="5"/>
  <c r="C47" i="5" s="1"/>
  <c r="B72" i="5"/>
  <c r="B86" i="5" s="1"/>
  <c r="C72" i="5"/>
  <c r="C86" i="5" s="1"/>
  <c r="C87" i="5" s="1"/>
  <c r="C20" i="23"/>
  <c r="C8" i="23" s="1"/>
  <c r="E56" i="6"/>
  <c r="G56" i="6"/>
  <c r="F56" i="6"/>
  <c r="E10" i="6"/>
  <c r="E13" i="6"/>
  <c r="B20" i="23"/>
  <c r="B8" i="23" s="1"/>
  <c r="F13" i="6"/>
  <c r="F57" i="6" s="1"/>
  <c r="D13" i="6"/>
  <c r="G13" i="6"/>
  <c r="D20" i="23"/>
  <c r="D8" i="23" s="1"/>
  <c r="K80" i="6" l="1"/>
  <c r="J79" i="6"/>
  <c r="B9" i="22" s="1"/>
  <c r="G38" i="5" s="1"/>
  <c r="H82" i="5"/>
  <c r="H10" i="5" s="1"/>
  <c r="D14" i="22" s="1"/>
  <c r="G82" i="5"/>
  <c r="G10" i="5" s="1"/>
  <c r="I82" i="5"/>
  <c r="I10" i="5" s="1"/>
  <c r="J82" i="5"/>
  <c r="J10" i="5" s="1"/>
  <c r="K82" i="5"/>
  <c r="K10" i="5" s="1"/>
  <c r="G79" i="5"/>
  <c r="O64" i="6"/>
  <c r="P64" i="6" s="1"/>
  <c r="J64" i="6" s="1"/>
  <c r="D7" i="23"/>
  <c r="D13" i="23" s="1"/>
  <c r="B87" i="5"/>
  <c r="B81" i="5"/>
  <c r="E63" i="6"/>
  <c r="C7" i="23"/>
  <c r="C13" i="23" s="1"/>
  <c r="B7" i="23"/>
  <c r="B13" i="23" s="1"/>
  <c r="C73" i="5"/>
  <c r="B73" i="5"/>
  <c r="G22" i="6"/>
  <c r="G57" i="6"/>
  <c r="F22" i="6"/>
  <c r="E57" i="6"/>
  <c r="E22" i="6"/>
  <c r="E59" i="6" s="1"/>
  <c r="J78" i="5" l="1"/>
  <c r="J8" i="5" s="1"/>
  <c r="K78" i="5"/>
  <c r="K8" i="5" s="1"/>
  <c r="H78" i="5"/>
  <c r="H8" i="5" s="1"/>
  <c r="G78" i="5"/>
  <c r="G8" i="5" s="1"/>
  <c r="I78" i="5"/>
  <c r="I8" i="5" s="1"/>
  <c r="E12" i="22" s="1"/>
  <c r="C14" i="22"/>
  <c r="B14" i="22"/>
  <c r="F14" i="22"/>
  <c r="K64" i="6"/>
  <c r="J18" i="6"/>
  <c r="E14" i="22"/>
  <c r="L80" i="6"/>
  <c r="K79" i="6"/>
  <c r="C9" i="22" s="1"/>
  <c r="H38" i="5" s="1"/>
  <c r="C15" i="23"/>
  <c r="D15" i="23"/>
  <c r="B15" i="23"/>
  <c r="C6" i="23"/>
  <c r="B6" i="23"/>
  <c r="D6" i="23"/>
  <c r="F34" i="6"/>
  <c r="F59" i="6"/>
  <c r="F58" i="6"/>
  <c r="E34" i="6"/>
  <c r="E58" i="6"/>
  <c r="G34" i="6"/>
  <c r="G68" i="6" s="1"/>
  <c r="G59" i="6"/>
  <c r="G58" i="6"/>
  <c r="D12" i="22" l="1"/>
  <c r="L64" i="6"/>
  <c r="K18" i="6"/>
  <c r="C12" i="22"/>
  <c r="B12" i="22"/>
  <c r="M80" i="6"/>
  <c r="L79" i="6"/>
  <c r="D9" i="22" s="1"/>
  <c r="I38" i="5" s="1"/>
  <c r="J26" i="6"/>
  <c r="F12" i="22"/>
  <c r="E40" i="6"/>
  <c r="E70" i="6" s="1"/>
  <c r="E68" i="6"/>
  <c r="F40" i="6"/>
  <c r="F70" i="6" s="1"/>
  <c r="F68" i="6"/>
  <c r="G40" i="6"/>
  <c r="G70" i="6" s="1"/>
  <c r="K26" i="6" l="1"/>
  <c r="N80" i="6"/>
  <c r="N79" i="6" s="1"/>
  <c r="F9" i="22" s="1"/>
  <c r="M79" i="6"/>
  <c r="E9" i="22" s="1"/>
  <c r="J38" i="5" s="1"/>
  <c r="M64" i="6"/>
  <c r="L18" i="6"/>
  <c r="F60" i="6"/>
  <c r="E46" i="6"/>
  <c r="E50" i="6" s="1"/>
  <c r="E74" i="6" s="1"/>
  <c r="E60" i="6"/>
  <c r="F46" i="6"/>
  <c r="F50" i="6" s="1"/>
  <c r="F74" i="6" s="1"/>
  <c r="G60" i="6"/>
  <c r="G46" i="6"/>
  <c r="G50" i="6" s="1"/>
  <c r="G74" i="6" s="1"/>
  <c r="K38" i="5" l="1"/>
  <c r="L26" i="6"/>
  <c r="N64" i="6"/>
  <c r="N18" i="6" s="1"/>
  <c r="M18" i="6"/>
  <c r="H10" i="6"/>
  <c r="E87" i="5" s="1"/>
  <c r="H13" i="6"/>
  <c r="H22" i="6" s="1"/>
  <c r="N26" i="6" l="1"/>
  <c r="M26" i="6"/>
  <c r="H57" i="6"/>
  <c r="H34" i="6"/>
  <c r="H58" i="6"/>
  <c r="H59" i="6"/>
  <c r="E81" i="5"/>
  <c r="H63" i="6"/>
  <c r="O63" i="6" s="1"/>
  <c r="P63" i="6" s="1"/>
  <c r="J63" i="6" s="1"/>
  <c r="K63" i="6" l="1"/>
  <c r="J10" i="6"/>
  <c r="H40" i="6"/>
  <c r="H68" i="6"/>
  <c r="O68" i="6" s="1"/>
  <c r="P68" i="6" s="1"/>
  <c r="J68" i="6" s="1"/>
  <c r="K68" i="6" l="1"/>
  <c r="L68" i="6" s="1"/>
  <c r="M68" i="6" s="1"/>
  <c r="N68" i="6" s="1"/>
  <c r="C11" i="2"/>
  <c r="D11" i="2" s="1"/>
  <c r="E11" i="2" s="1"/>
  <c r="F11" i="2" s="1"/>
  <c r="G11" i="2" s="1"/>
  <c r="G80" i="5"/>
  <c r="G9" i="5" s="1"/>
  <c r="G86" i="5"/>
  <c r="G72" i="5" s="1"/>
  <c r="G67" i="5" s="1"/>
  <c r="G25" i="5" s="1"/>
  <c r="L63" i="6"/>
  <c r="K10" i="6"/>
  <c r="H70" i="6"/>
  <c r="O70" i="6" s="1"/>
  <c r="P70" i="6" s="1"/>
  <c r="J70" i="6" s="1"/>
  <c r="K70" i="6" s="1"/>
  <c r="L70" i="6" s="1"/>
  <c r="M70" i="6" s="1"/>
  <c r="N70" i="6" s="1"/>
  <c r="H46" i="6"/>
  <c r="H50" i="6" s="1"/>
  <c r="H74" i="6" s="1"/>
  <c r="O74" i="6" s="1"/>
  <c r="P74" i="6" s="1"/>
  <c r="J74" i="6" s="1"/>
  <c r="K74" i="6" s="1"/>
  <c r="L74" i="6" s="1"/>
  <c r="M74" i="6" s="1"/>
  <c r="N74" i="6" s="1"/>
  <c r="H60" i="6"/>
  <c r="M63" i="6" l="1"/>
  <c r="L10" i="6"/>
  <c r="B15" i="22"/>
  <c r="G27" i="5"/>
  <c r="H80" i="5"/>
  <c r="H9" i="5" s="1"/>
  <c r="C13" i="22" s="1"/>
  <c r="H86" i="5"/>
  <c r="H72" i="5" s="1"/>
  <c r="H67" i="5" s="1"/>
  <c r="H25" i="5" s="1"/>
  <c r="B13" i="22"/>
  <c r="F8" i="23"/>
  <c r="E21" i="5"/>
  <c r="E47" i="5" s="1"/>
  <c r="E9" i="23"/>
  <c r="E7" i="23" s="1"/>
  <c r="C15" i="22" l="1"/>
  <c r="D15" i="2" s="1"/>
  <c r="H27" i="5"/>
  <c r="I86" i="5"/>
  <c r="I72" i="5" s="1"/>
  <c r="I67" i="5" s="1"/>
  <c r="I25" i="5" s="1"/>
  <c r="I80" i="5"/>
  <c r="I9" i="5" s="1"/>
  <c r="D13" i="22" s="1"/>
  <c r="C15" i="2"/>
  <c r="N63" i="6"/>
  <c r="N10" i="6" s="1"/>
  <c r="M10" i="6"/>
  <c r="E13" i="23"/>
  <c r="E15" i="23"/>
  <c r="F15" i="23"/>
  <c r="E6" i="23"/>
  <c r="F7" i="23"/>
  <c r="F13" i="23" s="1"/>
  <c r="F5" i="23"/>
  <c r="F6" i="23" s="1"/>
  <c r="D15" i="22" l="1"/>
  <c r="E15" i="2" s="1"/>
  <c r="I27" i="5"/>
  <c r="J86" i="5"/>
  <c r="J72" i="5" s="1"/>
  <c r="J67" i="5" s="1"/>
  <c r="J25" i="5" s="1"/>
  <c r="J80" i="5"/>
  <c r="J9" i="5" s="1"/>
  <c r="K80" i="5"/>
  <c r="K9" i="5" s="1"/>
  <c r="K86" i="5"/>
  <c r="K72" i="5" s="1"/>
  <c r="K67" i="5" s="1"/>
  <c r="K25" i="5" s="1"/>
  <c r="G15" i="23"/>
  <c r="G13" i="23"/>
  <c r="F13" i="22" l="1"/>
  <c r="J27" i="5"/>
  <c r="E15" i="22"/>
  <c r="H7" i="23"/>
  <c r="G7" i="23"/>
  <c r="K7" i="23"/>
  <c r="J7" i="23"/>
  <c r="I7" i="23"/>
  <c r="E13" i="22"/>
  <c r="F15" i="2" s="1"/>
  <c r="K27" i="5"/>
  <c r="F15" i="22"/>
  <c r="G15" i="2"/>
  <c r="G8" i="23" l="1"/>
  <c r="G20" i="23" s="1"/>
  <c r="G6" i="23"/>
  <c r="B20" i="22" s="1"/>
  <c r="I8" i="23"/>
  <c r="I20" i="23" s="1"/>
  <c r="H8" i="23"/>
  <c r="H20" i="23" s="1"/>
  <c r="J8" i="23"/>
  <c r="J20" i="23" s="1"/>
  <c r="K8" i="23"/>
  <c r="K20" i="23" s="1"/>
  <c r="K9" i="23" l="1"/>
  <c r="K14" i="5" s="1"/>
  <c r="G9" i="23"/>
  <c r="H5" i="23" s="1"/>
  <c r="H6" i="23" s="1"/>
  <c r="C20" i="22" s="1"/>
  <c r="H9" i="23"/>
  <c r="H14" i="5" s="1"/>
  <c r="J19" i="23"/>
  <c r="M19" i="6" s="1"/>
  <c r="M17" i="6" s="1"/>
  <c r="J18" i="23"/>
  <c r="M11" i="6" s="1"/>
  <c r="G14" i="5"/>
  <c r="I5" i="23"/>
  <c r="I6" i="23" s="1"/>
  <c r="D20" i="22" s="1"/>
  <c r="K19" i="23"/>
  <c r="N19" i="6" s="1"/>
  <c r="N17" i="6" s="1"/>
  <c r="K18" i="23"/>
  <c r="N11" i="6" s="1"/>
  <c r="H18" i="23"/>
  <c r="K11" i="6" s="1"/>
  <c r="H19" i="23"/>
  <c r="K19" i="6" s="1"/>
  <c r="K17" i="6" s="1"/>
  <c r="C16" i="2"/>
  <c r="B22" i="22"/>
  <c r="I19" i="23"/>
  <c r="L19" i="6" s="1"/>
  <c r="L17" i="6" s="1"/>
  <c r="I18" i="23"/>
  <c r="L11" i="6" s="1"/>
  <c r="J9" i="23"/>
  <c r="J14" i="5" s="1"/>
  <c r="I9" i="23"/>
  <c r="I14" i="5" s="1"/>
  <c r="G18" i="23"/>
  <c r="J11" i="6" s="1"/>
  <c r="G19" i="23"/>
  <c r="J19" i="6" s="1"/>
  <c r="J17" i="6" s="1"/>
  <c r="J5" i="23" l="1"/>
  <c r="B8" i="22"/>
  <c r="C14" i="2" s="1"/>
  <c r="J9" i="6"/>
  <c r="J13" i="6" s="1"/>
  <c r="C8" i="22"/>
  <c r="D14" i="2" s="1"/>
  <c r="K9" i="6"/>
  <c r="K13" i="6" s="1"/>
  <c r="F8" i="22"/>
  <c r="G14" i="2" s="1"/>
  <c r="N9" i="6"/>
  <c r="N13" i="6" s="1"/>
  <c r="E8" i="22"/>
  <c r="F14" i="2" s="1"/>
  <c r="M9" i="6"/>
  <c r="M13" i="6" s="1"/>
  <c r="D16" i="2"/>
  <c r="C22" i="22"/>
  <c r="E16" i="2"/>
  <c r="D22" i="22"/>
  <c r="D8" i="22"/>
  <c r="E14" i="2" s="1"/>
  <c r="L9" i="6"/>
  <c r="L13" i="6" s="1"/>
  <c r="K5" i="23"/>
  <c r="K6" i="23" s="1"/>
  <c r="F20" i="22" s="1"/>
  <c r="J6" i="23"/>
  <c r="E20" i="22" s="1"/>
  <c r="K57" i="6" l="1"/>
  <c r="K22" i="6"/>
  <c r="F16" i="2"/>
  <c r="E22" i="22"/>
  <c r="L22" i="6"/>
  <c r="L57" i="6"/>
  <c r="N57" i="6"/>
  <c r="N22" i="6"/>
  <c r="J57" i="6"/>
  <c r="J22" i="6"/>
  <c r="M22" i="6"/>
  <c r="M57" i="6"/>
  <c r="G16" i="2"/>
  <c r="F22" i="22"/>
  <c r="G10" i="2" l="1"/>
  <c r="N58" i="6"/>
  <c r="N59" i="6"/>
  <c r="F10" i="2"/>
  <c r="F12" i="2" s="1"/>
  <c r="F13" i="2" s="1"/>
  <c r="F17" i="2" s="1"/>
  <c r="F25" i="2" s="1"/>
  <c r="M59" i="6"/>
  <c r="M58" i="6"/>
  <c r="C10" i="2"/>
  <c r="J58" i="6"/>
  <c r="J34" i="6"/>
  <c r="J38" i="6" s="1"/>
  <c r="J40" i="6" s="1"/>
  <c r="J59" i="6"/>
  <c r="D10" i="2"/>
  <c r="D12" i="2" s="1"/>
  <c r="D13" i="2" s="1"/>
  <c r="D17" i="2" s="1"/>
  <c r="D25" i="2" s="1"/>
  <c r="K59" i="6"/>
  <c r="K58" i="6"/>
  <c r="E10" i="2"/>
  <c r="E12" i="2" s="1"/>
  <c r="E13" i="2" s="1"/>
  <c r="E17" i="2" s="1"/>
  <c r="E25" i="2" s="1"/>
  <c r="L59" i="6"/>
  <c r="L58" i="6"/>
  <c r="C12" i="2" l="1"/>
  <c r="C13" i="2" s="1"/>
  <c r="C17" i="2" s="1"/>
  <c r="C25" i="2" s="1"/>
  <c r="J44" i="6"/>
  <c r="G43" i="5" s="1"/>
  <c r="B7" i="22"/>
  <c r="B17" i="22" s="1"/>
  <c r="B25" i="22" s="1"/>
  <c r="B28" i="22" s="1"/>
  <c r="B6" i="24" s="1"/>
  <c r="J60" i="6"/>
  <c r="G12" i="2"/>
  <c r="G13" i="2" s="1"/>
  <c r="G17" i="2" s="1"/>
  <c r="J46" i="6" l="1"/>
  <c r="D31" i="2"/>
  <c r="D32" i="2" s="1"/>
  <c r="G25" i="2"/>
  <c r="C27" i="2" s="1"/>
  <c r="D33" i="2" l="1"/>
  <c r="D36" i="2" s="1"/>
  <c r="D39" i="2" s="1"/>
  <c r="D41" i="2" s="1"/>
  <c r="J50" i="6"/>
  <c r="J73" i="6" s="1"/>
  <c r="J76" i="6" s="1"/>
  <c r="B7" i="24" s="1"/>
  <c r="G39" i="5"/>
  <c r="B33" i="22" l="1"/>
  <c r="B9" i="24"/>
  <c r="G42" i="5"/>
  <c r="G44" i="5" s="1"/>
  <c r="B33" i="24" l="1"/>
  <c r="B32" i="22" s="1"/>
  <c r="B32" i="24"/>
  <c r="B31" i="22" l="1"/>
  <c r="B34" i="22" s="1"/>
  <c r="B36" i="22" s="1"/>
  <c r="B38" i="22" s="1"/>
  <c r="G5" i="5" s="1"/>
  <c r="B34" i="24"/>
  <c r="C37" i="22" l="1"/>
  <c r="C26" i="22"/>
  <c r="G12" i="5"/>
  <c r="G21" i="5" s="1"/>
  <c r="C31" i="24"/>
  <c r="B40" i="24"/>
  <c r="B41" i="24" s="1"/>
  <c r="G29" i="5" s="1"/>
  <c r="G32" i="5" s="1"/>
  <c r="G46" i="5" s="1"/>
  <c r="C38" i="24" l="1"/>
  <c r="K30" i="6" s="1"/>
  <c r="K34" i="6" s="1"/>
  <c r="K38" i="6" s="1"/>
  <c r="K40" i="6" s="1"/>
  <c r="G47" i="5"/>
  <c r="C7" i="22" l="1"/>
  <c r="C17" i="22" s="1"/>
  <c r="C25" i="22" s="1"/>
  <c r="C28" i="22" s="1"/>
  <c r="C6" i="24" s="1"/>
  <c r="K60" i="6"/>
  <c r="K44" i="6"/>
  <c r="H43" i="5" s="1"/>
  <c r="K46" i="6" l="1"/>
  <c r="K50" i="6" l="1"/>
  <c r="K73" i="6" s="1"/>
  <c r="K76" i="6" s="1"/>
  <c r="C7" i="24" s="1"/>
  <c r="H39" i="5" l="1"/>
  <c r="C33" i="22"/>
  <c r="C9" i="24"/>
  <c r="C33" i="24" l="1"/>
  <c r="C32" i="22" s="1"/>
  <c r="C32" i="24"/>
  <c r="H42" i="5"/>
  <c r="H44" i="5" s="1"/>
  <c r="C31" i="22" l="1"/>
  <c r="C34" i="22" s="1"/>
  <c r="C36" i="22" s="1"/>
  <c r="C38" i="22" s="1"/>
  <c r="H5" i="5" s="1"/>
  <c r="C34" i="24"/>
  <c r="D26" i="22" l="1"/>
  <c r="D37" i="22"/>
  <c r="H12" i="5"/>
  <c r="H21" i="5" s="1"/>
  <c r="D31" i="24"/>
  <c r="C40" i="24"/>
  <c r="C41" i="24" s="1"/>
  <c r="H29" i="5" s="1"/>
  <c r="H32" i="5" s="1"/>
  <c r="H46" i="5" s="1"/>
  <c r="H47" i="5" l="1"/>
  <c r="D38" i="24"/>
  <c r="L30" i="6" s="1"/>
  <c r="L34" i="6" s="1"/>
  <c r="L38" i="6" s="1"/>
  <c r="L40" i="6" s="1"/>
  <c r="L60" i="6" l="1"/>
  <c r="L44" i="6"/>
  <c r="I43" i="5" s="1"/>
  <c r="D7" i="22"/>
  <c r="D17" i="22" s="1"/>
  <c r="D25" i="22" s="1"/>
  <c r="D28" i="22" s="1"/>
  <c r="D6" i="24" s="1"/>
  <c r="L46" i="6" l="1"/>
  <c r="L50" i="6" l="1"/>
  <c r="L73" i="6" s="1"/>
  <c r="L76" i="6" s="1"/>
  <c r="D7" i="24" s="1"/>
  <c r="D33" i="22" l="1"/>
  <c r="D9" i="24"/>
  <c r="I39" i="5"/>
  <c r="I42" i="5" l="1"/>
  <c r="I44" i="5" s="1"/>
  <c r="D33" i="24"/>
  <c r="D32" i="22" s="1"/>
  <c r="D32" i="24"/>
  <c r="D31" i="22" l="1"/>
  <c r="D34" i="22" s="1"/>
  <c r="D36" i="22" s="1"/>
  <c r="D38" i="22" s="1"/>
  <c r="I5" i="5" s="1"/>
  <c r="D34" i="24"/>
  <c r="E26" i="22" l="1"/>
  <c r="I12" i="5"/>
  <c r="I21" i="5" s="1"/>
  <c r="E37" i="22"/>
  <c r="D40" i="24"/>
  <c r="D41" i="24" s="1"/>
  <c r="I29" i="5" s="1"/>
  <c r="I32" i="5" s="1"/>
  <c r="I46" i="5" s="1"/>
  <c r="E31" i="24"/>
  <c r="I47" i="5" l="1"/>
  <c r="E38" i="24"/>
  <c r="M30" i="6" s="1"/>
  <c r="M34" i="6" s="1"/>
  <c r="M38" i="6" s="1"/>
  <c r="M40" i="6" s="1"/>
  <c r="M44" i="6" l="1"/>
  <c r="J43" i="5" s="1"/>
  <c r="E7" i="22"/>
  <c r="E17" i="22" s="1"/>
  <c r="E25" i="22" s="1"/>
  <c r="E28" i="22" s="1"/>
  <c r="E6" i="24" s="1"/>
  <c r="M60" i="6"/>
  <c r="M46" i="6" l="1"/>
  <c r="M50" i="6" s="1"/>
  <c r="M73" i="6" s="1"/>
  <c r="M76" i="6" s="1"/>
  <c r="E7" i="24" s="1"/>
  <c r="E33" i="22" s="1"/>
  <c r="E9" i="24" l="1"/>
  <c r="J39" i="5"/>
  <c r="J42" i="5" l="1"/>
  <c r="J44" i="5" s="1"/>
  <c r="E32" i="24"/>
  <c r="E33" i="24"/>
  <c r="E32" i="22" s="1"/>
  <c r="E31" i="22" l="1"/>
  <c r="E34" i="22" s="1"/>
  <c r="E36" i="22" s="1"/>
  <c r="E38" i="22" s="1"/>
  <c r="J5" i="5" s="1"/>
  <c r="E34" i="24"/>
  <c r="F31" i="24" l="1"/>
  <c r="E40" i="24"/>
  <c r="E41" i="24" s="1"/>
  <c r="J29" i="5" s="1"/>
  <c r="J32" i="5" s="1"/>
  <c r="J46" i="5" s="1"/>
  <c r="F26" i="22"/>
  <c r="J12" i="5"/>
  <c r="J21" i="5" s="1"/>
  <c r="F37" i="22"/>
  <c r="J47" i="5" l="1"/>
  <c r="F38" i="24"/>
  <c r="N30" i="6" s="1"/>
  <c r="N34" i="6" s="1"/>
  <c r="N38" i="6" s="1"/>
  <c r="N40" i="6" s="1"/>
  <c r="F7" i="22" l="1"/>
  <c r="F17" i="22" s="1"/>
  <c r="F25" i="22" s="1"/>
  <c r="F28" i="22" s="1"/>
  <c r="F6" i="24" s="1"/>
  <c r="N60" i="6"/>
  <c r="N44" i="6"/>
  <c r="K43" i="5" s="1"/>
  <c r="N46" i="6"/>
  <c r="N50" i="6" l="1"/>
  <c r="N73" i="6" s="1"/>
  <c r="N76" i="6" s="1"/>
  <c r="F7" i="24" s="1"/>
  <c r="F33" i="22" s="1"/>
  <c r="F9" i="24" l="1"/>
  <c r="K39" i="5"/>
  <c r="K42" i="5" s="1"/>
  <c r="K44" i="5" s="1"/>
  <c r="F32" i="24" l="1"/>
  <c r="F33" i="24"/>
  <c r="F32" i="22" s="1"/>
  <c r="F31" i="22" l="1"/>
  <c r="F34" i="22" s="1"/>
  <c r="F36" i="22" s="1"/>
  <c r="F38" i="22" s="1"/>
  <c r="K5" i="5" s="1"/>
  <c r="K12" i="5" s="1"/>
  <c r="K21" i="5" s="1"/>
  <c r="F34" i="24"/>
  <c r="F40" i="24" s="1"/>
  <c r="F41" i="24" s="1"/>
  <c r="K29" i="5" s="1"/>
  <c r="K32" i="5" s="1"/>
  <c r="K46" i="5" s="1"/>
  <c r="K4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1" authorId="0" shapeId="0" xr:uid="{FCB87890-7BD1-4116-81A0-8A3FA4C055A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cummulated debt do not give breakup we do not need to predict as our projection is 2026
just taken random average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 Wall Street School</author>
  </authors>
  <commentList>
    <comment ref="B51" authorId="0" shapeId="0" xr:uid="{3F442E0C-AABF-4D50-BF34-70261C440853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127</t>
        </r>
      </text>
    </comment>
    <comment ref="C51" authorId="0" shapeId="0" xr:uid="{94A09FFE-B629-4FCC-9B7D-2FF3BDB16D7C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D51" authorId="0" shapeId="0" xr:uid="{3FEBCD42-D5B2-4E67-8E43-92CC31C91643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B52" authorId="0" shapeId="0" xr:uid="{9E324812-F803-48BE-8131-DD46BE9EF691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127</t>
        </r>
      </text>
    </comment>
    <comment ref="C52" authorId="0" shapeId="0" xr:uid="{725FEFA5-0BA8-44E5-A11B-4E38EFE07018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D52" authorId="0" shapeId="0" xr:uid="{3FD72EEF-035D-44A2-8AEA-594C1A85BC30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B53" authorId="0" shapeId="0" xr:uid="{CCD8B1C9-C54E-4F0C-B8EF-D2C557B33951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127</t>
        </r>
      </text>
    </comment>
    <comment ref="C53" authorId="0" shapeId="0" xr:uid="{5C0135A4-9929-488B-86CD-F0665ACE3F98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D53" authorId="0" shapeId="0" xr:uid="{D89EE37D-F3EF-4D5C-9941-67A40B311E56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B54" authorId="0" shapeId="0" xr:uid="{A8C0C1BB-9D72-498B-896E-54C6779027CC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127</t>
        </r>
      </text>
    </comment>
    <comment ref="C54" authorId="0" shapeId="0" xr:uid="{316DB4FF-607B-4805-BAC9-2FBF5DCEA041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D54" authorId="0" shapeId="0" xr:uid="{FC1DCD8C-7DF0-4A46-B4F0-E206669387E9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B55" authorId="0" shapeId="0" xr:uid="{E175E866-E584-4189-A686-E30FD7D1D9B5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127</t>
        </r>
      </text>
    </comment>
    <comment ref="C55" authorId="0" shapeId="0" xr:uid="{763E1977-D6C5-4E7B-9712-56C7145EA74B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D55" authorId="0" shapeId="0" xr:uid="{272D89A7-38A2-4E94-9D6C-4F60E1E215C4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125</t>
        </r>
      </text>
    </comment>
    <comment ref="B60" authorId="0" shapeId="0" xr:uid="{BE5F2DD7-4201-4D98-AFFB-80EB7031FCB9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2017, Pg 105</t>
        </r>
      </text>
    </comment>
    <comment ref="C60" authorId="0" shapeId="0" xr:uid="{46E09F13-346F-45F5-AB72-5B77D11F9A7D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104</t>
        </r>
      </text>
    </comment>
    <comment ref="D60" authorId="0" shapeId="0" xr:uid="{E554BA8D-A57C-4986-BCC7-5AF11552C2AB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101</t>
        </r>
      </text>
    </comment>
    <comment ref="B61" authorId="0" shapeId="0" xr:uid="{06F9A1C4-8923-4279-8233-BE45B777675C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2017, Pg 105</t>
        </r>
      </text>
    </comment>
    <comment ref="C61" authorId="0" shapeId="0" xr:uid="{2EA01066-AAB3-4240-82D7-B34B8FA98C3E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101</t>
        </r>
      </text>
    </comment>
    <comment ref="D61" authorId="0" shapeId="0" xr:uid="{4EAE4077-BFAA-4313-B52A-69FD5C7ED45B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101</t>
        </r>
      </text>
    </comment>
    <comment ref="B62" authorId="0" shapeId="0" xr:uid="{05D2CCEB-E15D-44DB-8A44-D7F6E92B8603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2018, Pg 110</t>
        </r>
      </text>
    </comment>
    <comment ref="C62" authorId="0" shapeId="0" xr:uid="{51F995C8-F717-4EBC-BEBC-1C3914227CEB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107</t>
        </r>
      </text>
    </comment>
    <comment ref="D62" authorId="0" shapeId="0" xr:uid="{97A3A46E-9A6B-4ACD-85E2-95532BBA3156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107</t>
        </r>
      </text>
    </comment>
    <comment ref="D63" authorId="0" shapeId="0" xr:uid="{A17F1B6A-B970-45B3-A8B2-0D679D06695C}">
      <text>
        <r>
          <rPr>
            <b/>
            <sz val="9"/>
            <color indexed="81"/>
            <rFont val="Tahoma"/>
            <family val="2"/>
          </rPr>
          <t>The Wall Street School:</t>
        </r>
        <r>
          <rPr>
            <sz val="9"/>
            <color indexed="81"/>
            <rFont val="Tahoma"/>
            <family val="2"/>
          </rPr>
          <t xml:space="preserve">
10K Dec 2019, Pg 122</t>
        </r>
      </text>
    </comment>
  </commentList>
</comments>
</file>

<file path=xl/sharedStrings.xml><?xml version="1.0" encoding="utf-8"?>
<sst xmlns="http://schemas.openxmlformats.org/spreadsheetml/2006/main" count="450" uniqueCount="329">
  <si>
    <t>Date of cash flows</t>
  </si>
  <si>
    <t>EBIT</t>
  </si>
  <si>
    <t>Tax expense</t>
  </si>
  <si>
    <t>NOPAT</t>
  </si>
  <si>
    <t>Add: Depreciation and amortisation</t>
  </si>
  <si>
    <t>Add/Less: (Increase)/ Decrease in net working capital</t>
  </si>
  <si>
    <t>Less: Capital expenditure</t>
  </si>
  <si>
    <t>Discount rate (%)</t>
  </si>
  <si>
    <t>Terminal value</t>
  </si>
  <si>
    <t>Gordon growth</t>
  </si>
  <si>
    <t>Present value for explicit period</t>
  </si>
  <si>
    <t>Total Value of Firm</t>
  </si>
  <si>
    <t>Less: Gross Debt &amp; Debt Equivalents</t>
  </si>
  <si>
    <t>Add: Cash</t>
  </si>
  <si>
    <t>Less: Non Controling Interest</t>
  </si>
  <si>
    <t>DCF value of Common Equity</t>
  </si>
  <si>
    <t>DCF value per share</t>
  </si>
  <si>
    <t>Present Value of TV</t>
  </si>
  <si>
    <t xml:space="preserve">Cost of equity </t>
  </si>
  <si>
    <t xml:space="preserve">Cost of debt </t>
  </si>
  <si>
    <t>Weighted average cost of capital</t>
  </si>
  <si>
    <t>Particulars</t>
  </si>
  <si>
    <t>Notes</t>
  </si>
  <si>
    <t>Value</t>
  </si>
  <si>
    <t>Weight</t>
  </si>
  <si>
    <t xml:space="preserve">Risk-free rate (%) </t>
  </si>
  <si>
    <t>Debt borrowing rate (%)</t>
  </si>
  <si>
    <t>Debt (%)</t>
  </si>
  <si>
    <t>Cost of debt (%)</t>
  </si>
  <si>
    <t>Beta</t>
  </si>
  <si>
    <t>Expected income tax rate (%)</t>
  </si>
  <si>
    <t>Equity (%)</t>
  </si>
  <si>
    <t>Cost of equity (%)</t>
  </si>
  <si>
    <t xml:space="preserve">Equity market risk premium (%) </t>
  </si>
  <si>
    <t>After-tax cost of debt (%)</t>
  </si>
  <si>
    <t>WACC</t>
  </si>
  <si>
    <t>Additional risk premium (%)</t>
  </si>
  <si>
    <t>Cost of equity capital (%)</t>
  </si>
  <si>
    <t>Calculation of beta</t>
  </si>
  <si>
    <t>Tax rate (%)</t>
  </si>
  <si>
    <t>Relevered beta</t>
  </si>
  <si>
    <t>R sq</t>
  </si>
  <si>
    <t>Bottom-up</t>
  </si>
  <si>
    <t>Regression beta</t>
  </si>
  <si>
    <t>Date</t>
  </si>
  <si>
    <t>Price</t>
  </si>
  <si>
    <t>%</t>
  </si>
  <si>
    <t xml:space="preserve">Balance Sheet as of:
</t>
  </si>
  <si>
    <t>ASSETS</t>
  </si>
  <si>
    <t>Cash And Equivalents</t>
  </si>
  <si>
    <t>Short Term Investments</t>
  </si>
  <si>
    <t>Goodwill</t>
  </si>
  <si>
    <t>Total Assets</t>
  </si>
  <si>
    <t>LIABILITIES</t>
  </si>
  <si>
    <t xml:space="preserve">  Total Current Liabilities</t>
  </si>
  <si>
    <t>Total Liabilities</t>
  </si>
  <si>
    <t>Common Stock</t>
  </si>
  <si>
    <t>Retained Earnings</t>
  </si>
  <si>
    <t>Total Equity</t>
  </si>
  <si>
    <t>Total Liabilities And Equity</t>
  </si>
  <si>
    <t>Share Price</t>
  </si>
  <si>
    <t>Income Statement</t>
  </si>
  <si>
    <t xml:space="preserve"> </t>
  </si>
  <si>
    <t>Profitability ratios</t>
  </si>
  <si>
    <t>Sales growth (%)</t>
  </si>
  <si>
    <t>Cost as % of sales</t>
  </si>
  <si>
    <t>Capital Expenditure</t>
  </si>
  <si>
    <t>FLNA</t>
  </si>
  <si>
    <t>QFNA</t>
  </si>
  <si>
    <t>PBNA</t>
  </si>
  <si>
    <t>LatAm</t>
  </si>
  <si>
    <t>Europe</t>
  </si>
  <si>
    <t>AMESA</t>
  </si>
  <si>
    <t>APAC</t>
  </si>
  <si>
    <t>Total Division</t>
  </si>
  <si>
    <t>Growth%</t>
  </si>
  <si>
    <t>Volume</t>
  </si>
  <si>
    <t>Organic Growth %</t>
  </si>
  <si>
    <t>Net Revenue</t>
  </si>
  <si>
    <t>Cost of Sales (Other than Depreciation Exp)</t>
  </si>
  <si>
    <t>Depreciation Exp</t>
  </si>
  <si>
    <t>Selling, General &amp; Admin Exp. (Excluding Amortisation Exp)</t>
  </si>
  <si>
    <t>Other pension and retiree medical benefits (expense)/income</t>
  </si>
  <si>
    <t>Interest Income and Other</t>
  </si>
  <si>
    <t>Impact of Special Items</t>
  </si>
  <si>
    <t>Gross Profit-Normalised</t>
  </si>
  <si>
    <t>Gross profit margins (%)-Normalised</t>
  </si>
  <si>
    <t>EBITDA margins (%)-Normalised</t>
  </si>
  <si>
    <t>EBIT margins (%)-Normalised</t>
  </si>
  <si>
    <t>Corporate Depreciation and Amort</t>
  </si>
  <si>
    <t>Amortisation of Intangible Assets</t>
  </si>
  <si>
    <t>Share of noncontrolling interests (%age of Net Income)</t>
  </si>
  <si>
    <t>Net Income margins (%)-Normalised</t>
  </si>
  <si>
    <t>Restricted Cash</t>
  </si>
  <si>
    <t>Inventories</t>
  </si>
  <si>
    <t>Prepaid expenses and other current assets</t>
  </si>
  <si>
    <t xml:space="preserve">Total Current Assets </t>
  </si>
  <si>
    <t>Net Property, Plant &amp; Equipment</t>
  </si>
  <si>
    <t>Amortizable Intangible Assets, net</t>
  </si>
  <si>
    <t>Other indefinite-lived intangible assets</t>
  </si>
  <si>
    <t>Investments in Noncontrolled Affiliates</t>
  </si>
  <si>
    <t>Deferred Income Taxes</t>
  </si>
  <si>
    <t>Other Assets</t>
  </si>
  <si>
    <t>Short-term debt obligations</t>
  </si>
  <si>
    <t xml:space="preserve">Accounts payable and other current liabilities </t>
  </si>
  <si>
    <t>Long-Term Debt Obligations</t>
  </si>
  <si>
    <t xml:space="preserve">Other Liabilities </t>
  </si>
  <si>
    <t>Accumulated other comprehensive loss</t>
  </si>
  <si>
    <t>Repurchased common stock, in excess of par value</t>
  </si>
  <si>
    <t>Noncontrolling interests</t>
  </si>
  <si>
    <t xml:space="preserve">Total PepsiCo Common Shareholders’ Equity </t>
  </si>
  <si>
    <t>Accounts and Notes Receivable</t>
  </si>
  <si>
    <t>Reserve for Income Taxes</t>
  </si>
  <si>
    <t>Accrue interest related to reserves for income taxes</t>
  </si>
  <si>
    <t xml:space="preserve">Right-of-use assets </t>
  </si>
  <si>
    <t>Overfunded Plan Assets</t>
  </si>
  <si>
    <t>Operating Lease Liab-Non Current</t>
  </si>
  <si>
    <t>Current lease liabilities</t>
  </si>
  <si>
    <t>Unfunded Pension and Other Benefit Liabilities-Non Current</t>
  </si>
  <si>
    <t>Notes and Accounts Receivable-Non Current</t>
  </si>
  <si>
    <t>Other</t>
  </si>
  <si>
    <t>Deferred marketplace spending</t>
  </si>
  <si>
    <t>Dividends payable</t>
  </si>
  <si>
    <t>SodaStream consideration payable</t>
  </si>
  <si>
    <t>Other-Balance</t>
  </si>
  <si>
    <t>Preferred Stock, no par value</t>
  </si>
  <si>
    <t>Repurchased Preferred Stock</t>
  </si>
  <si>
    <t>Working Capital</t>
  </si>
  <si>
    <t>Operating Current Liabilities</t>
  </si>
  <si>
    <t>Operating Current Assets</t>
  </si>
  <si>
    <t>Cash Flow Statement</t>
  </si>
  <si>
    <t>Cash From Operating Activities</t>
  </si>
  <si>
    <t>Net Income</t>
  </si>
  <si>
    <t>Accounts and notes receivable</t>
  </si>
  <si>
    <t>Accounts payable and other current liabilities</t>
  </si>
  <si>
    <t>Net Cash Provided by Operating Activities</t>
  </si>
  <si>
    <t>Cash From Investing Activities</t>
  </si>
  <si>
    <t>Net Cash Used for Investing Activities</t>
  </si>
  <si>
    <t>Cash From Financing Activities</t>
  </si>
  <si>
    <t>Debt Raised</t>
  </si>
  <si>
    <t>Debt Repaid</t>
  </si>
  <si>
    <t>Cash and Cash Equivalents, End of Period</t>
  </si>
  <si>
    <t>Property, Plant &amp; Equipment</t>
  </si>
  <si>
    <t>Less: Depreciation during the year</t>
  </si>
  <si>
    <t>Total Depreciable Assets During the Year</t>
  </si>
  <si>
    <t>Opening Balance-WDV</t>
  </si>
  <si>
    <t>Closing Balance-WDV</t>
  </si>
  <si>
    <t>Depreciation Rate</t>
  </si>
  <si>
    <t>Less: Non Operating Items</t>
  </si>
  <si>
    <t>Accounts payable and other current liabilities-Operating</t>
  </si>
  <si>
    <t>Accounts payable and other current liabilities-Non Operating</t>
  </si>
  <si>
    <t>Add: Net Addition during the Period</t>
  </si>
  <si>
    <t xml:space="preserve">Cost of Sales-Reported </t>
  </si>
  <si>
    <t xml:space="preserve">Cost of Sales-Normalised </t>
  </si>
  <si>
    <t>Selling, General &amp; Admin Exp.-Reported</t>
  </si>
  <si>
    <t xml:space="preserve">Selling, General &amp; Admin Exp.-Normalised </t>
  </si>
  <si>
    <t xml:space="preserve">Operating Income / EBIT-Normalised </t>
  </si>
  <si>
    <t xml:space="preserve">Other pension and retiree medical benefits (expense)/income-Normalised </t>
  </si>
  <si>
    <t xml:space="preserve">Other pension and retiree medical benefits (expense)/income-Reported </t>
  </si>
  <si>
    <t>Interest Expense-Reported</t>
  </si>
  <si>
    <t>Interest Expense-Normalised</t>
  </si>
  <si>
    <t xml:space="preserve">Income before Income Taxes-Normalised </t>
  </si>
  <si>
    <t>Income Tax Expense-Normalised</t>
  </si>
  <si>
    <t xml:space="preserve">Net Income-Normalised </t>
  </si>
  <si>
    <t xml:space="preserve">Share of noncontrolling interests-Reported </t>
  </si>
  <si>
    <t xml:space="preserve">Share of noncontrolling interests-Normalised </t>
  </si>
  <si>
    <t xml:space="preserve">Net Income attributable to PepsiCo-Normalised </t>
  </si>
  <si>
    <t>Tax Rate-Normalised (%age of PBT)</t>
  </si>
  <si>
    <t>Total Amortizable Assets During the Year</t>
  </si>
  <si>
    <t>Less: Amortisation during the year</t>
  </si>
  <si>
    <t>Dividend Per Share</t>
  </si>
  <si>
    <t>Weighted Average Common Shares Outstanding-Diluted</t>
  </si>
  <si>
    <t>Earning Per Share-Diluted</t>
  </si>
  <si>
    <t>Dividend Payout Ratio</t>
  </si>
  <si>
    <t>Debt Schedule</t>
  </si>
  <si>
    <t>Less: Mandatory Debt Repayments</t>
  </si>
  <si>
    <t>Interest Rate</t>
  </si>
  <si>
    <t>Repayment Date</t>
  </si>
  <si>
    <t>Mandatory Debt</t>
  </si>
  <si>
    <t>Discretionary Debt Schedule</t>
  </si>
  <si>
    <t>Opening Balance</t>
  </si>
  <si>
    <t>Add: Debt Raised</t>
  </si>
  <si>
    <t>Less: Debt Repaid</t>
  </si>
  <si>
    <t>Closing Balance</t>
  </si>
  <si>
    <t>Interest Expenses</t>
  </si>
  <si>
    <t>Average Rate</t>
  </si>
  <si>
    <t>PepsiCo Inc.</t>
  </si>
  <si>
    <t>Coca Cola</t>
  </si>
  <si>
    <t>Keurig Dr Pepper</t>
  </si>
  <si>
    <t>Private</t>
  </si>
  <si>
    <t xml:space="preserve"> Red Bull GmbH</t>
  </si>
  <si>
    <t xml:space="preserve"> Nestlé S.A. </t>
  </si>
  <si>
    <t>USA</t>
  </si>
  <si>
    <t>Mondelēz International</t>
  </si>
  <si>
    <t>Link Snacks, Inc</t>
  </si>
  <si>
    <t>The Kraft Heinz Company</t>
  </si>
  <si>
    <t>Kellogg Company</t>
  </si>
  <si>
    <t>Conagra Brands</t>
  </si>
  <si>
    <t>Campbell Soup Company</t>
  </si>
  <si>
    <t>The Coca-Cola Company</t>
  </si>
  <si>
    <t>Geography</t>
  </si>
  <si>
    <t>Comeptitor Name</t>
  </si>
  <si>
    <t>Competitors List as per PepsiCo Filing</t>
  </si>
  <si>
    <t>Campbell</t>
  </si>
  <si>
    <t>Conagra</t>
  </si>
  <si>
    <t>Kellogg</t>
  </si>
  <si>
    <t>Kraft Heinz</t>
  </si>
  <si>
    <t>Mondelez</t>
  </si>
  <si>
    <t>PepsiCo</t>
  </si>
  <si>
    <t>Calculation of Capital Structure of Peer Group Companies</t>
  </si>
  <si>
    <t>Debt</t>
  </si>
  <si>
    <t>Equity</t>
  </si>
  <si>
    <t>Shares O/S</t>
  </si>
  <si>
    <t>M.Cap</t>
  </si>
  <si>
    <t>Monster Beverage Corporation</t>
  </si>
  <si>
    <t>Monster Beverage</t>
  </si>
  <si>
    <t>Tax Rate</t>
  </si>
  <si>
    <t>D/(D+E) 
(last three years)</t>
  </si>
  <si>
    <t>E/(D+E) 
(last three years)</t>
  </si>
  <si>
    <t>Beta Calculation for Target Co</t>
  </si>
  <si>
    <t>Industry Average</t>
  </si>
  <si>
    <t>Bottoms Up beta</t>
  </si>
  <si>
    <t>Valuation Date</t>
  </si>
  <si>
    <t xml:space="preserve">Present value debt free cash flow </t>
  </si>
  <si>
    <t>Choose Discounting</t>
  </si>
  <si>
    <t>Mid Year Discounting</t>
  </si>
  <si>
    <t>Year End Discounting</t>
  </si>
  <si>
    <t>Long Term Growth Rate</t>
  </si>
  <si>
    <t>Add: Non Operating Assets</t>
  </si>
  <si>
    <t>No. of shares o/s-Diluted</t>
  </si>
  <si>
    <t>LTGR</t>
  </si>
  <si>
    <t>PepsiCo DCF Valuation</t>
  </si>
  <si>
    <t>Source</t>
  </si>
  <si>
    <t>from FA Schedule</t>
  </si>
  <si>
    <t>From Revenue Segment</t>
  </si>
  <si>
    <t xml:space="preserve">10K Dec'19, Pg 75, 61 and 62
</t>
  </si>
  <si>
    <t>10K Dec'19, Pg 39</t>
  </si>
  <si>
    <t>Segment Information</t>
  </si>
  <si>
    <t>10K Dec'17, Pg 84</t>
  </si>
  <si>
    <t>10K Dec'19, Pg 79</t>
  </si>
  <si>
    <t>PepsiCo WACC Calculation</t>
  </si>
  <si>
    <t>Source: Calculations</t>
  </si>
  <si>
    <t>Total Mandatory Debt</t>
  </si>
  <si>
    <t>Discretionary Debt (Balance)</t>
  </si>
  <si>
    <t>Check</t>
  </si>
  <si>
    <t>(in USD million except per Share Data)</t>
  </si>
  <si>
    <t>10K Dec'18, Pg 127</t>
  </si>
  <si>
    <t>10K Dec'19, Pg 125</t>
  </si>
  <si>
    <t>Public/ Private</t>
  </si>
  <si>
    <t>Public</t>
  </si>
  <si>
    <t>Years</t>
  </si>
  <si>
    <t xml:space="preserve">Income Tax Expense-Reported </t>
  </si>
  <si>
    <t>PPE Turnover Ratio (Sales/FA)</t>
  </si>
  <si>
    <t>Depreciation Exp (COS)</t>
  </si>
  <si>
    <t>Corporate Depreciation and Amort (SG&amp;A)</t>
  </si>
  <si>
    <t>Cost as % of SG&amp;A (Other than depreciation &amp; amortization)</t>
  </si>
  <si>
    <t>Add: Depreciation and amortization</t>
  </si>
  <si>
    <t>Change in current  assets and  current liabilities:</t>
  </si>
  <si>
    <t>Receivable turnover</t>
  </si>
  <si>
    <t>Inventory turnover</t>
  </si>
  <si>
    <t>Payable turnover</t>
  </si>
  <si>
    <t>%age of revenue</t>
  </si>
  <si>
    <t>Total cash available for debt and dividend payments</t>
  </si>
  <si>
    <t>Dividends paid</t>
  </si>
  <si>
    <t>Cash generated during year</t>
  </si>
  <si>
    <t>Add: Opening balance of cash</t>
  </si>
  <si>
    <t>Total</t>
  </si>
  <si>
    <t>Less : Minimum cash balance required</t>
  </si>
  <si>
    <t>Notes due 2021</t>
  </si>
  <si>
    <t>Notes due 2022</t>
  </si>
  <si>
    <t>Notes due 2023</t>
  </si>
  <si>
    <t>Notes due 2024</t>
  </si>
  <si>
    <t>Notes due 2025</t>
  </si>
  <si>
    <t xml:space="preserve">Cash Available for Discretionery Sweep </t>
  </si>
  <si>
    <t>Capital in excess of par value  (Share premium)</t>
  </si>
  <si>
    <t>Total debt</t>
  </si>
  <si>
    <t>Long term debt</t>
  </si>
  <si>
    <t>Short term debt</t>
  </si>
  <si>
    <t>NYSE</t>
  </si>
  <si>
    <t>Coca-Cola</t>
  </si>
  <si>
    <t>Keurig Dr. Pepper</t>
  </si>
  <si>
    <t>Monster beverages</t>
  </si>
  <si>
    <t>Regression Beta</t>
  </si>
  <si>
    <t>Unlevered beta (Business risk beta)</t>
  </si>
  <si>
    <t>Present value factor-  year end  discounting</t>
  </si>
  <si>
    <t>Present value factor- mid end discounting</t>
  </si>
  <si>
    <t>Growth rate</t>
  </si>
  <si>
    <t>Terminal Value (Value at end of Year 5)</t>
  </si>
  <si>
    <t>10 K  Dec 2021 page 84,69,95</t>
  </si>
  <si>
    <t>Page 90  10K 2021</t>
  </si>
  <si>
    <t>Asset held for sale</t>
  </si>
  <si>
    <t>Liability held for sale</t>
  </si>
  <si>
    <t>10 K Dec2021 Page 143</t>
  </si>
  <si>
    <t>Notes due 2026</t>
  </si>
  <si>
    <t>Notes due 2027-2060</t>
  </si>
  <si>
    <t>Notes due 2021-2027</t>
  </si>
  <si>
    <t>RSQ</t>
  </si>
  <si>
    <t>Source: 10K Dec 2021, Pg 12</t>
  </si>
  <si>
    <t>Average</t>
  </si>
  <si>
    <t>Balance As on 31 Dec 2021</t>
  </si>
  <si>
    <t>Rsquare</t>
  </si>
  <si>
    <t>Target Debt</t>
  </si>
  <si>
    <t>Target Equity</t>
  </si>
  <si>
    <t>Unlevered Beta</t>
  </si>
  <si>
    <t>ERP</t>
  </si>
  <si>
    <t>ERP Calculation</t>
  </si>
  <si>
    <t>Aeverage MR</t>
  </si>
  <si>
    <t>Damodaran ERP</t>
  </si>
  <si>
    <t>Start Date</t>
  </si>
  <si>
    <t>End Date</t>
  </si>
  <si>
    <t>Methods</t>
  </si>
  <si>
    <t>Rmarket Return (NYSE)</t>
  </si>
  <si>
    <t>Weighted Cost</t>
  </si>
  <si>
    <t>Share Based Comp Expenses</t>
  </si>
  <si>
    <t>%age of Sales</t>
  </si>
  <si>
    <t>Add: Share Based Comp Exp</t>
  </si>
  <si>
    <t>Less: Dividend Paid</t>
  </si>
  <si>
    <t>Cash Available for Debt &amp; Dividend Payment</t>
  </si>
  <si>
    <t>Net Cash from Financing Activities</t>
  </si>
  <si>
    <t xml:space="preserve">Net Increase in Cash and Cash Equivalents </t>
  </si>
  <si>
    <t>Add: Opening Cash Balance</t>
  </si>
  <si>
    <t>Depn Expense as a %age of Total</t>
  </si>
  <si>
    <t>Amortization Rate</t>
  </si>
  <si>
    <t>Total Dividend Piad</t>
  </si>
  <si>
    <t>Marginal Tax Rate</t>
  </si>
  <si>
    <t>Rating based A+</t>
  </si>
  <si>
    <t>Free Cash Flows to Firm</t>
  </si>
  <si>
    <t>Present Value of Operating Cashlows</t>
  </si>
  <si>
    <t>Pepsico Company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</si>
</sst>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%"/>
    <numFmt numFmtId="167" formatCode="_(* #,##0.0000_);_(* \(#,##0.0000\);_(* &quot;-&quot;??_);_(@_)"/>
    <numFmt numFmtId="168" formatCode="_(* #,##0.0_);_(* \(#,##0.0\);_(* &quot;-&quot;??_);_(@_)"/>
    <numFmt numFmtId="169" formatCode="_-* #,##0_-;\-* #,##0_-;_-* &quot;-&quot;_-;_-@_-"/>
    <numFmt numFmtId="170" formatCode="#,##0;\(#,##0\);&quot;-&quot;"/>
    <numFmt numFmtId="171" formatCode="\ #,##0.0_);\(#,##0.0\);&quot; - &quot;_);@_)"/>
    <numFmt numFmtId="172" formatCode="mmm\-dd\-yyyy"/>
    <numFmt numFmtId="173" formatCode="0.0"/>
    <numFmt numFmtId="174" formatCode="_ * #,##0_ ;_ * \-#,##0_ ;_ * &quot;-&quot;??_ ;_ @_ "/>
    <numFmt numFmtId="175" formatCode="0&quot; Months&quot;"/>
    <numFmt numFmtId="176" formatCode="[$-14009]dd\ mmmm\ yyyy;@"/>
    <numFmt numFmtId="177" formatCode="[$-409]d\-mmm\-yyyy;@"/>
    <numFmt numFmtId="178" formatCode="_(* #,##0.000_);_(* \(#,##0.000\);_(* &quot;-&quot;??_);_(@_)"/>
    <numFmt numFmtId="179" formatCode="0.0&quot;x&quot;"/>
    <numFmt numFmtId="180" formatCode="0.0000"/>
    <numFmt numFmtId="181" formatCode="_ * #,##0.0_ ;_ * \-#,##0.0_ ;_ * &quot;-&quot;??_ ;_ @_ "/>
    <numFmt numFmtId="182" formatCode="_-[$$-409]* #,##0.00_ ;_-[$$-409]* \-#,##0.00\ ;_-[$$-409]* &quot;-&quot;??_ ;_-@_ "/>
    <numFmt numFmtId="183" formatCode="_-[$$-409]* #,##0_ ;_-[$$-409]* \-#,##0\ ;_-[$$-409]* &quot;-&quot;??_ ;_-@_ "/>
  </numFmts>
  <fonts count="46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indexed="25"/>
      <name val="Arial Narrow"/>
      <family val="2"/>
    </font>
    <font>
      <b/>
      <sz val="10"/>
      <color indexed="25"/>
      <name val="Calibri"/>
      <family val="2"/>
      <scheme val="minor"/>
    </font>
    <font>
      <sz val="10"/>
      <name val="Arial Narrow"/>
      <family val="2"/>
    </font>
    <font>
      <sz val="10"/>
      <color indexed="25"/>
      <name val="Arial Narrow"/>
      <family val="2"/>
    </font>
    <font>
      <i/>
      <sz val="10"/>
      <name val="Calibri"/>
      <family val="2"/>
      <scheme val="minor"/>
    </font>
    <font>
      <sz val="8"/>
      <color indexed="25"/>
      <name val="Arial Narrow"/>
      <family val="2"/>
    </font>
    <font>
      <sz val="10"/>
      <color indexed="25"/>
      <name val="Calibri"/>
      <family val="2"/>
      <scheme val="minor"/>
    </font>
    <font>
      <sz val="1"/>
      <color indexed="9"/>
      <name val="Symbol"/>
      <family val="1"/>
      <charset val="2"/>
    </font>
    <font>
      <sz val="10"/>
      <color indexed="9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u val="double"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indexed="8"/>
      <name val="Calibri"/>
      <family val="2"/>
      <scheme val="minor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 val="singleAccounting"/>
      <sz val="10"/>
      <color indexed="8"/>
      <name val="Calibri"/>
      <family val="2"/>
      <scheme val="minor"/>
    </font>
    <font>
      <u val="singleAccounting"/>
      <sz val="10"/>
      <color indexed="8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 val="singleAccounting"/>
      <sz val="10"/>
      <name val="Calibri"/>
      <family val="2"/>
      <scheme val="minor"/>
    </font>
    <font>
      <i/>
      <sz val="10"/>
      <color indexed="25"/>
      <name val="Calibri"/>
      <family val="2"/>
      <scheme val="minor"/>
    </font>
    <font>
      <sz val="10"/>
      <color rgb="FF993366"/>
      <name val="Calibri"/>
      <family val="2"/>
      <scheme val="minor"/>
    </font>
    <font>
      <i/>
      <sz val="10"/>
      <color rgb="FF993366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0070C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FF0000"/>
      <name val="Calibri"/>
      <family val="2"/>
    </font>
    <font>
      <i/>
      <sz val="10"/>
      <color rgb="FF000000"/>
      <name val="Calibri"/>
      <family val="2"/>
    </font>
    <font>
      <b/>
      <sz val="40"/>
      <color theme="1" tint="4.9989318521683403E-2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FFFF00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n">
        <color indexed="25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993366"/>
      </top>
      <bottom style="thin">
        <color rgb="FF993366"/>
      </bottom>
      <diagonal/>
    </border>
    <border>
      <left/>
      <right/>
      <top/>
      <bottom style="thin">
        <color rgb="FF993366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3">
      <alignment horizontal="right" wrapText="1"/>
    </xf>
    <xf numFmtId="169" fontId="8" fillId="0" borderId="3" applyFill="0" applyBorder="0" applyProtection="0">
      <alignment horizontal="right" vertical="top"/>
    </xf>
    <xf numFmtId="170" fontId="9" fillId="0" borderId="3">
      <alignment horizontal="center"/>
    </xf>
    <xf numFmtId="0" fontId="8" fillId="0" borderId="0" applyFill="0" applyBorder="0">
      <alignment horizontal="left" vertical="top" wrapText="1"/>
    </xf>
    <xf numFmtId="170" fontId="8" fillId="0" borderId="0">
      <alignment horizontal="center"/>
    </xf>
    <xf numFmtId="171" fontId="8" fillId="0" borderId="0" applyFill="0" applyBorder="0">
      <alignment horizontal="right" vertical="top"/>
    </xf>
    <xf numFmtId="170" fontId="11" fillId="0" borderId="0">
      <alignment horizontal="left" vertical="top"/>
    </xf>
    <xf numFmtId="0" fontId="13" fillId="0" borderId="0" applyAlignment="0"/>
    <xf numFmtId="0" fontId="1" fillId="0" borderId="0">
      <alignment vertical="top"/>
    </xf>
  </cellStyleXfs>
  <cellXfs count="487">
    <xf numFmtId="0" fontId="0" fillId="0" borderId="0" xfId="0"/>
    <xf numFmtId="0" fontId="2" fillId="0" borderId="0" xfId="0" applyFont="1"/>
    <xf numFmtId="0" fontId="4" fillId="0" borderId="0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right" vertical="top" wrapText="1"/>
    </xf>
    <xf numFmtId="49" fontId="2" fillId="0" borderId="0" xfId="4" applyNumberFormat="1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4" fillId="0" borderId="0" xfId="3" applyFont="1" applyBorder="1" applyAlignment="1">
      <alignment horizontal="left" vertical="top"/>
    </xf>
    <xf numFmtId="0" fontId="4" fillId="0" borderId="3" xfId="3" applyFont="1" applyAlignment="1">
      <alignment horizontal="left" vertical="top" wrapText="1"/>
    </xf>
    <xf numFmtId="170" fontId="2" fillId="0" borderId="3" xfId="5" applyFont="1" applyAlignment="1">
      <alignment horizontal="center" vertical="top"/>
    </xf>
    <xf numFmtId="0" fontId="4" fillId="0" borderId="3" xfId="3" applyFont="1" applyAlignment="1">
      <alignment horizontal="right" vertical="top" wrapText="1"/>
    </xf>
    <xf numFmtId="170" fontId="2" fillId="0" borderId="0" xfId="6" applyNumberFormat="1" applyFont="1">
      <alignment horizontal="left" vertical="top" wrapText="1"/>
    </xf>
    <xf numFmtId="170" fontId="2" fillId="0" borderId="0" xfId="7" applyFont="1" applyAlignment="1">
      <alignment horizontal="center" vertical="top" wrapText="1"/>
    </xf>
    <xf numFmtId="170" fontId="2" fillId="0" borderId="0" xfId="6" applyNumberFormat="1" applyFont="1" applyAlignment="1">
      <alignment horizontal="left" vertical="top"/>
    </xf>
    <xf numFmtId="0" fontId="2" fillId="0" borderId="0" xfId="6" applyFont="1" applyAlignment="1">
      <alignment horizontal="center" vertical="top" wrapText="1"/>
    </xf>
    <xf numFmtId="166" fontId="10" fillId="0" borderId="0" xfId="2" applyNumberFormat="1" applyFont="1" applyAlignment="1">
      <alignment horizontal="right" vertical="top"/>
    </xf>
    <xf numFmtId="0" fontId="2" fillId="0" borderId="0" xfId="6" applyFont="1" applyAlignment="1">
      <alignment horizontal="left" vertical="top"/>
    </xf>
    <xf numFmtId="43" fontId="2" fillId="0" borderId="0" xfId="1" applyFont="1" applyAlignment="1">
      <alignment vertical="top"/>
    </xf>
    <xf numFmtId="170" fontId="2" fillId="0" borderId="4" xfId="6" applyNumberFormat="1" applyFont="1" applyBorder="1">
      <alignment horizontal="left" vertical="top" wrapText="1"/>
    </xf>
    <xf numFmtId="166" fontId="10" fillId="0" borderId="4" xfId="2" applyNumberFormat="1" applyFont="1" applyBorder="1" applyAlignment="1">
      <alignment horizontal="right" vertical="top"/>
    </xf>
    <xf numFmtId="170" fontId="2" fillId="0" borderId="4" xfId="6" applyNumberFormat="1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171" fontId="10" fillId="0" borderId="0" xfId="8" applyFont="1">
      <alignment horizontal="right" vertical="top"/>
    </xf>
    <xf numFmtId="170" fontId="12" fillId="0" borderId="0" xfId="9" applyFont="1">
      <alignment horizontal="left" vertical="top"/>
    </xf>
    <xf numFmtId="0" fontId="3" fillId="0" borderId="0" xfId="6" applyFont="1">
      <alignment horizontal="left" vertical="top" wrapText="1"/>
    </xf>
    <xf numFmtId="0" fontId="2" fillId="0" borderId="0" xfId="0" applyFont="1" applyAlignment="1">
      <alignment horizontal="left" vertical="top"/>
    </xf>
    <xf numFmtId="9" fontId="2" fillId="0" borderId="0" xfId="2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66" fontId="2" fillId="0" borderId="0" xfId="2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14" fillId="0" borderId="0" xfId="10" applyFont="1" applyAlignment="1">
      <alignment vertical="top"/>
    </xf>
    <xf numFmtId="0" fontId="2" fillId="3" borderId="0" xfId="0" applyFont="1" applyFill="1" applyAlignment="1">
      <alignment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165" fontId="16" fillId="0" borderId="0" xfId="1" applyNumberFormat="1" applyFont="1" applyAlignment="1">
      <alignment horizontal="right" vertical="top" wrapText="1"/>
    </xf>
    <xf numFmtId="165" fontId="15" fillId="0" borderId="5" xfId="1" applyNumberFormat="1" applyFont="1" applyBorder="1" applyAlignment="1">
      <alignment horizontal="right" vertical="top" wrapText="1"/>
    </xf>
    <xf numFmtId="165" fontId="16" fillId="0" borderId="0" xfId="1" applyNumberFormat="1" applyFont="1" applyAlignment="1">
      <alignment horizontal="left" vertical="top"/>
    </xf>
    <xf numFmtId="165" fontId="2" fillId="0" borderId="0" xfId="1" applyNumberFormat="1" applyFont="1" applyAlignment="1">
      <alignment vertical="top"/>
    </xf>
    <xf numFmtId="0" fontId="5" fillId="0" borderId="0" xfId="0" applyFont="1" applyAlignment="1">
      <alignment vertical="top"/>
    </xf>
    <xf numFmtId="166" fontId="10" fillId="0" borderId="0" xfId="2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43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5" fontId="2" fillId="0" borderId="0" xfId="0" applyNumberFormat="1" applyFont="1" applyAlignment="1">
      <alignment vertical="top"/>
    </xf>
    <xf numFmtId="165" fontId="2" fillId="0" borderId="1" xfId="1" applyNumberFormat="1" applyFont="1" applyBorder="1" applyAlignment="1">
      <alignment vertical="top"/>
    </xf>
    <xf numFmtId="165" fontId="15" fillId="0" borderId="0" xfId="1" applyNumberFormat="1" applyFont="1" applyAlignment="1">
      <alignment horizontal="right" vertical="top" wrapText="1"/>
    </xf>
    <xf numFmtId="0" fontId="3" fillId="0" borderId="0" xfId="0" applyFont="1" applyAlignment="1">
      <alignment vertical="top"/>
    </xf>
    <xf numFmtId="165" fontId="10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left" vertical="top"/>
    </xf>
    <xf numFmtId="0" fontId="19" fillId="4" borderId="0" xfId="0" applyFont="1" applyFill="1" applyAlignment="1">
      <alignment vertical="top"/>
    </xf>
    <xf numFmtId="0" fontId="19" fillId="4" borderId="0" xfId="0" applyFont="1" applyFill="1" applyAlignment="1">
      <alignment vertical="top" wrapText="1"/>
    </xf>
    <xf numFmtId="0" fontId="19" fillId="4" borderId="0" xfId="0" applyFont="1" applyFill="1" applyAlignment="1">
      <alignment horizontal="right" vertical="top" wrapText="1"/>
    </xf>
    <xf numFmtId="15" fontId="4" fillId="0" borderId="0" xfId="0" applyNumberFormat="1" applyFont="1" applyAlignment="1">
      <alignment horizontal="right" vertical="top"/>
    </xf>
    <xf numFmtId="165" fontId="4" fillId="0" borderId="1" xfId="1" applyNumberFormat="1" applyFont="1" applyBorder="1" applyAlignment="1">
      <alignment vertical="top"/>
    </xf>
    <xf numFmtId="167" fontId="2" fillId="0" borderId="0" xfId="1" applyNumberFormat="1" applyFont="1" applyAlignment="1">
      <alignment vertical="top"/>
    </xf>
    <xf numFmtId="165" fontId="4" fillId="0" borderId="0" xfId="1" applyNumberFormat="1" applyFont="1" applyAlignment="1">
      <alignment vertical="top"/>
    </xf>
    <xf numFmtId="168" fontId="2" fillId="0" borderId="0" xfId="1" applyNumberFormat="1" applyFont="1" applyAlignment="1">
      <alignment vertical="top"/>
    </xf>
    <xf numFmtId="166" fontId="10" fillId="2" borderId="0" xfId="2" applyNumberFormat="1" applyFont="1" applyFill="1" applyAlignment="1">
      <alignment horizontal="right" vertical="top"/>
    </xf>
    <xf numFmtId="43" fontId="16" fillId="0" borderId="0" xfId="1" applyFont="1" applyAlignment="1">
      <alignment horizontal="left" vertical="top"/>
    </xf>
    <xf numFmtId="166" fontId="2" fillId="0" borderId="0" xfId="1" applyNumberFormat="1" applyFont="1" applyAlignment="1">
      <alignment vertical="top"/>
    </xf>
    <xf numFmtId="165" fontId="2" fillId="0" borderId="0" xfId="1" applyNumberFormat="1" applyFont="1" applyBorder="1" applyAlignment="1">
      <alignment vertical="top"/>
    </xf>
    <xf numFmtId="173" fontId="2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5" fontId="16" fillId="0" borderId="0" xfId="1" applyNumberFormat="1" applyFont="1" applyAlignment="1">
      <alignment horizontal="left" vertical="top" wrapText="1"/>
    </xf>
    <xf numFmtId="0" fontId="20" fillId="4" borderId="0" xfId="0" applyFont="1" applyFill="1" applyAlignment="1">
      <alignment horizontal="left" vertical="top" wrapText="1"/>
    </xf>
    <xf numFmtId="10" fontId="22" fillId="0" borderId="0" xfId="2" applyNumberFormat="1" applyFont="1" applyAlignment="1">
      <alignment horizontal="right" vertical="top" wrapText="1"/>
    </xf>
    <xf numFmtId="165" fontId="22" fillId="0" borderId="0" xfId="1" applyNumberFormat="1" applyFont="1" applyAlignment="1">
      <alignment horizontal="left" vertical="top" wrapText="1" indent="1"/>
    </xf>
    <xf numFmtId="166" fontId="22" fillId="0" borderId="0" xfId="2" applyNumberFormat="1" applyFont="1" applyAlignment="1">
      <alignment horizontal="right" vertical="top" wrapText="1"/>
    </xf>
    <xf numFmtId="165" fontId="22" fillId="0" borderId="0" xfId="1" applyNumberFormat="1" applyFont="1" applyAlignment="1">
      <alignment horizontal="left" vertical="top" wrapText="1" indent="3"/>
    </xf>
    <xf numFmtId="166" fontId="16" fillId="0" borderId="0" xfId="2" applyNumberFormat="1" applyFont="1" applyAlignment="1">
      <alignment horizontal="right" vertical="top" wrapText="1"/>
    </xf>
    <xf numFmtId="165" fontId="15" fillId="0" borderId="0" xfId="1" applyNumberFormat="1" applyFont="1" applyBorder="1" applyAlignment="1">
      <alignment horizontal="right" vertical="top" wrapText="1"/>
    </xf>
    <xf numFmtId="0" fontId="16" fillId="0" borderId="0" xfId="0" applyFont="1" applyAlignment="1">
      <alignment horizontal="left" vertical="top" indent="2"/>
    </xf>
    <xf numFmtId="166" fontId="10" fillId="0" borderId="0" xfId="2" applyNumberFormat="1" applyFont="1" applyFill="1" applyAlignment="1">
      <alignment horizontal="right" vertical="top"/>
    </xf>
    <xf numFmtId="165" fontId="15" fillId="0" borderId="0" xfId="1" applyNumberFormat="1" applyFont="1" applyAlignment="1">
      <alignment horizontal="left" vertical="top"/>
    </xf>
    <xf numFmtId="0" fontId="25" fillId="0" borderId="0" xfId="0" applyFont="1" applyAlignment="1">
      <alignment vertical="top"/>
    </xf>
    <xf numFmtId="166" fontId="25" fillId="0" borderId="0" xfId="2" applyNumberFormat="1" applyFont="1" applyAlignment="1">
      <alignment vertical="top"/>
    </xf>
    <xf numFmtId="166" fontId="26" fillId="0" borderId="0" xfId="2" applyNumberFormat="1" applyFont="1" applyAlignment="1">
      <alignment vertical="top"/>
    </xf>
    <xf numFmtId="0" fontId="27" fillId="0" borderId="0" xfId="0" applyFont="1" applyAlignment="1">
      <alignment vertical="top"/>
    </xf>
    <xf numFmtId="165" fontId="10" fillId="0" borderId="0" xfId="1" applyNumberFormat="1" applyFont="1" applyAlignment="1">
      <alignment vertical="top"/>
    </xf>
    <xf numFmtId="165" fontId="16" fillId="0" borderId="0" xfId="1" applyNumberFormat="1" applyFont="1" applyFill="1" applyAlignment="1">
      <alignment horizontal="right" vertical="top" wrapText="1"/>
    </xf>
    <xf numFmtId="165" fontId="16" fillId="0" borderId="0" xfId="1" applyNumberFormat="1" applyFont="1" applyAlignment="1">
      <alignment horizontal="right" vertical="top"/>
    </xf>
    <xf numFmtId="165" fontId="16" fillId="0" borderId="6" xfId="1" applyNumberFormat="1" applyFont="1" applyBorder="1" applyAlignment="1">
      <alignment horizontal="right" vertical="top" wrapText="1"/>
    </xf>
    <xf numFmtId="165" fontId="17" fillId="0" borderId="0" xfId="1" applyNumberFormat="1" applyFont="1" applyBorder="1" applyAlignment="1">
      <alignment horizontal="right" vertical="top" wrapText="1"/>
    </xf>
    <xf numFmtId="165" fontId="16" fillId="0" borderId="0" xfId="1" applyNumberFormat="1" applyFont="1" applyBorder="1" applyAlignment="1">
      <alignment horizontal="right" vertical="top"/>
    </xf>
    <xf numFmtId="165" fontId="29" fillId="0" borderId="0" xfId="1" applyNumberFormat="1" applyFont="1" applyBorder="1" applyAlignment="1">
      <alignment horizontal="right" vertical="top"/>
    </xf>
    <xf numFmtId="165" fontId="15" fillId="0" borderId="7" xfId="1" applyNumberFormat="1" applyFont="1" applyBorder="1" applyAlignment="1">
      <alignment horizontal="right" vertical="top" wrapText="1"/>
    </xf>
    <xf numFmtId="165" fontId="28" fillId="0" borderId="0" xfId="1" applyNumberFormat="1" applyFont="1" applyBorder="1" applyAlignment="1">
      <alignment horizontal="right" vertical="top"/>
    </xf>
    <xf numFmtId="165" fontId="28" fillId="0" borderId="0" xfId="1" applyNumberFormat="1" applyFont="1" applyAlignment="1">
      <alignment horizontal="right" vertical="top" wrapText="1"/>
    </xf>
    <xf numFmtId="15" fontId="19" fillId="8" borderId="0" xfId="0" applyNumberFormat="1" applyFont="1" applyFill="1" applyAlignment="1">
      <alignment horizontal="center" vertical="top" wrapText="1"/>
    </xf>
    <xf numFmtId="0" fontId="2" fillId="9" borderId="0" xfId="0" applyFont="1" applyFill="1" applyAlignment="1">
      <alignment vertical="top"/>
    </xf>
    <xf numFmtId="165" fontId="2" fillId="9" borderId="0" xfId="1" applyNumberFormat="1" applyFont="1" applyFill="1" applyAlignment="1">
      <alignment vertical="top"/>
    </xf>
    <xf numFmtId="165" fontId="15" fillId="9" borderId="0" xfId="1" applyNumberFormat="1" applyFont="1" applyFill="1" applyAlignment="1">
      <alignment horizontal="left" vertical="top"/>
    </xf>
    <xf numFmtId="165" fontId="15" fillId="9" borderId="0" xfId="1" applyNumberFormat="1" applyFont="1" applyFill="1" applyBorder="1" applyAlignment="1">
      <alignment horizontal="right" vertical="top" wrapText="1"/>
    </xf>
    <xf numFmtId="43" fontId="15" fillId="9" borderId="0" xfId="1" applyFont="1" applyFill="1" applyBorder="1" applyAlignment="1">
      <alignment horizontal="right" vertical="top" wrapText="1"/>
    </xf>
    <xf numFmtId="174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9" fontId="2" fillId="9" borderId="0" xfId="0" applyNumberFormat="1" applyFont="1" applyFill="1" applyAlignment="1">
      <alignment vertical="top"/>
    </xf>
    <xf numFmtId="166" fontId="10" fillId="9" borderId="0" xfId="2" applyNumberFormat="1" applyFont="1" applyFill="1" applyAlignment="1">
      <alignment horizontal="right" vertical="top"/>
    </xf>
    <xf numFmtId="0" fontId="10" fillId="9" borderId="0" xfId="0" applyFont="1" applyFill="1" applyAlignment="1">
      <alignment vertical="top"/>
    </xf>
    <xf numFmtId="166" fontId="10" fillId="9" borderId="0" xfId="2" applyNumberFormat="1" applyFont="1" applyFill="1" applyAlignment="1">
      <alignment vertical="top"/>
    </xf>
    <xf numFmtId="166" fontId="5" fillId="9" borderId="0" xfId="0" applyNumberFormat="1" applyFont="1" applyFill="1" applyAlignment="1">
      <alignment vertical="top"/>
    </xf>
    <xf numFmtId="165" fontId="2" fillId="9" borderId="0" xfId="0" applyNumberFormat="1" applyFont="1" applyFill="1" applyAlignment="1">
      <alignment vertical="top"/>
    </xf>
    <xf numFmtId="165" fontId="16" fillId="9" borderId="0" xfId="1" applyNumberFormat="1" applyFont="1" applyFill="1" applyAlignment="1">
      <alignment horizontal="right" vertical="top" wrapText="1"/>
    </xf>
    <xf numFmtId="166" fontId="16" fillId="9" borderId="0" xfId="2" applyNumberFormat="1" applyFont="1" applyFill="1" applyAlignment="1">
      <alignment horizontal="right" vertical="top" wrapText="1"/>
    </xf>
    <xf numFmtId="172" fontId="19" fillId="4" borderId="0" xfId="0" applyNumberFormat="1" applyFont="1" applyFill="1" applyAlignment="1">
      <alignment horizontal="center" vertical="top" wrapText="1"/>
    </xf>
    <xf numFmtId="172" fontId="19" fillId="8" borderId="0" xfId="0" applyNumberFormat="1" applyFont="1" applyFill="1" applyAlignment="1">
      <alignment horizontal="center" vertical="top" wrapText="1"/>
    </xf>
    <xf numFmtId="165" fontId="2" fillId="9" borderId="8" xfId="1" applyNumberFormat="1" applyFont="1" applyFill="1" applyBorder="1" applyAlignment="1">
      <alignment vertical="top"/>
    </xf>
    <xf numFmtId="165" fontId="4" fillId="9" borderId="0" xfId="0" applyNumberFormat="1" applyFont="1" applyFill="1" applyAlignment="1">
      <alignment vertical="top"/>
    </xf>
    <xf numFmtId="166" fontId="2" fillId="9" borderId="0" xfId="0" applyNumberFormat="1" applyFont="1" applyFill="1" applyAlignment="1">
      <alignment vertical="top"/>
    </xf>
    <xf numFmtId="166" fontId="16" fillId="6" borderId="9" xfId="2" applyNumberFormat="1" applyFont="1" applyFill="1" applyBorder="1" applyAlignment="1">
      <alignment horizontal="right" vertical="top" wrapText="1"/>
    </xf>
    <xf numFmtId="165" fontId="2" fillId="5" borderId="0" xfId="1" applyNumberFormat="1" applyFont="1" applyFill="1" applyAlignment="1">
      <alignment vertical="top"/>
    </xf>
    <xf numFmtId="0" fontId="2" fillId="0" borderId="0" xfId="0" applyFont="1" applyAlignment="1">
      <alignment horizontal="left" vertical="top" indent="2"/>
    </xf>
    <xf numFmtId="0" fontId="2" fillId="0" borderId="8" xfId="0" applyFont="1" applyBorder="1" applyAlignment="1">
      <alignment vertical="top"/>
    </xf>
    <xf numFmtId="165" fontId="2" fillId="0" borderId="8" xfId="1" applyNumberFormat="1" applyFont="1" applyBorder="1" applyAlignment="1">
      <alignment vertical="top"/>
    </xf>
    <xf numFmtId="165" fontId="4" fillId="9" borderId="0" xfId="1" applyNumberFormat="1" applyFont="1" applyFill="1" applyBorder="1" applyAlignment="1">
      <alignment vertical="top"/>
    </xf>
    <xf numFmtId="164" fontId="4" fillId="9" borderId="0" xfId="0" applyNumberFormat="1" applyFont="1" applyFill="1" applyAlignment="1">
      <alignment vertical="top"/>
    </xf>
    <xf numFmtId="0" fontId="24" fillId="0" borderId="0" xfId="0" applyFont="1" applyAlignment="1">
      <alignment horizontal="left" vertical="top"/>
    </xf>
    <xf numFmtId="165" fontId="24" fillId="0" borderId="0" xfId="1" applyNumberFormat="1" applyFont="1" applyAlignment="1">
      <alignment horizontal="right" vertical="top" wrapText="1"/>
    </xf>
    <xf numFmtId="0" fontId="24" fillId="0" borderId="0" xfId="0" applyFont="1" applyAlignment="1">
      <alignment horizontal="left" vertical="top" indent="1"/>
    </xf>
    <xf numFmtId="0" fontId="32" fillId="0" borderId="0" xfId="0" applyFont="1" applyAlignment="1">
      <alignment horizontal="left" vertical="top"/>
    </xf>
    <xf numFmtId="165" fontId="2" fillId="0" borderId="0" xfId="1" applyNumberFormat="1" applyFont="1" applyFill="1" applyAlignment="1">
      <alignment vertical="top"/>
    </xf>
    <xf numFmtId="0" fontId="24" fillId="0" borderId="0" xfId="0" applyFont="1" applyAlignment="1">
      <alignment vertical="top"/>
    </xf>
    <xf numFmtId="0" fontId="33" fillId="0" borderId="0" xfId="0" applyFont="1" applyAlignment="1">
      <alignment horizontal="left" vertical="top" indent="2"/>
    </xf>
    <xf numFmtId="165" fontId="24" fillId="0" borderId="0" xfId="1" applyNumberFormat="1" applyFont="1" applyAlignment="1">
      <alignment horizontal="left" vertical="top"/>
    </xf>
    <xf numFmtId="0" fontId="3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5" fontId="15" fillId="0" borderId="0" xfId="1" applyNumberFormat="1" applyFont="1" applyFill="1" applyAlignment="1">
      <alignment horizontal="right" vertical="top" wrapText="1"/>
    </xf>
    <xf numFmtId="0" fontId="18" fillId="0" borderId="0" xfId="0" applyFont="1" applyAlignment="1">
      <alignment vertical="top"/>
    </xf>
    <xf numFmtId="165" fontId="17" fillId="9" borderId="0" xfId="1" applyNumberFormat="1" applyFont="1" applyFill="1" applyBorder="1" applyAlignment="1">
      <alignment horizontal="right" vertical="top" wrapText="1"/>
    </xf>
    <xf numFmtId="165" fontId="34" fillId="9" borderId="0" xfId="0" applyNumberFormat="1" applyFont="1" applyFill="1" applyAlignment="1">
      <alignment vertical="top"/>
    </xf>
    <xf numFmtId="164" fontId="2" fillId="9" borderId="0" xfId="0" applyNumberFormat="1" applyFont="1" applyFill="1" applyAlignment="1">
      <alignment vertical="top"/>
    </xf>
    <xf numFmtId="168" fontId="15" fillId="0" borderId="0" xfId="1" applyNumberFormat="1" applyFont="1" applyAlignment="1">
      <alignment horizontal="left" vertical="top"/>
    </xf>
    <xf numFmtId="175" fontId="19" fillId="4" borderId="0" xfId="0" applyNumberFormat="1" applyFont="1" applyFill="1" applyAlignment="1">
      <alignment horizontal="center" vertical="top"/>
    </xf>
    <xf numFmtId="175" fontId="19" fillId="8" borderId="0" xfId="0" applyNumberFormat="1" applyFont="1" applyFill="1" applyAlignment="1">
      <alignment horizontal="center" vertical="top"/>
    </xf>
    <xf numFmtId="15" fontId="19" fillId="4" borderId="0" xfId="0" applyNumberFormat="1" applyFont="1" applyFill="1" applyAlignment="1">
      <alignment horizontal="center" vertical="top" wrapText="1"/>
    </xf>
    <xf numFmtId="175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76" fontId="2" fillId="0" borderId="0" xfId="0" applyNumberFormat="1" applyFont="1" applyAlignment="1">
      <alignment horizontal="left" vertical="top" indent="1"/>
    </xf>
    <xf numFmtId="43" fontId="4" fillId="0" borderId="0" xfId="1" applyFont="1" applyBorder="1" applyAlignment="1">
      <alignment vertical="top"/>
    </xf>
    <xf numFmtId="43" fontId="2" fillId="0" borderId="0" xfId="1" applyFont="1" applyBorder="1" applyAlignment="1">
      <alignment vertical="top"/>
    </xf>
    <xf numFmtId="166" fontId="2" fillId="0" borderId="0" xfId="2" applyNumberFormat="1" applyFont="1" applyBorder="1" applyAlignment="1">
      <alignment horizontal="right" vertical="top"/>
    </xf>
    <xf numFmtId="177" fontId="2" fillId="0" borderId="0" xfId="7" applyNumberFormat="1" applyFont="1" applyAlignment="1">
      <alignment horizontal="center" vertical="top" wrapText="1"/>
    </xf>
    <xf numFmtId="170" fontId="35" fillId="0" borderId="0" xfId="9" applyFont="1">
      <alignment horizontal="left" vertical="top"/>
    </xf>
    <xf numFmtId="170" fontId="4" fillId="0" borderId="3" xfId="5" applyFont="1" applyAlignment="1">
      <alignment horizontal="center" vertical="top"/>
    </xf>
    <xf numFmtId="0" fontId="4" fillId="0" borderId="14" xfId="0" applyFont="1" applyBorder="1" applyAlignment="1">
      <alignment vertical="top" wrapText="1"/>
    </xf>
    <xf numFmtId="0" fontId="4" fillId="0" borderId="14" xfId="0" applyFont="1" applyBorder="1" applyAlignment="1">
      <alignment horizontal="right" vertical="top" wrapText="1"/>
    </xf>
    <xf numFmtId="0" fontId="4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vertical="top"/>
    </xf>
    <xf numFmtId="43" fontId="2" fillId="0" borderId="15" xfId="0" applyNumberFormat="1" applyFont="1" applyBorder="1" applyAlignment="1">
      <alignment vertical="top"/>
    </xf>
    <xf numFmtId="165" fontId="2" fillId="0" borderId="15" xfId="0" applyNumberFormat="1" applyFont="1" applyBorder="1" applyAlignment="1">
      <alignment vertical="top"/>
    </xf>
    <xf numFmtId="166" fontId="2" fillId="0" borderId="15" xfId="0" applyNumberFormat="1" applyFont="1" applyBorder="1" applyAlignment="1">
      <alignment vertical="top"/>
    </xf>
    <xf numFmtId="43" fontId="2" fillId="0" borderId="15" xfId="1" applyFont="1" applyBorder="1" applyAlignment="1">
      <alignment vertical="top"/>
    </xf>
    <xf numFmtId="166" fontId="2" fillId="0" borderId="15" xfId="2" applyNumberFormat="1" applyFont="1" applyBorder="1" applyAlignment="1">
      <alignment vertical="top"/>
    </xf>
    <xf numFmtId="178" fontId="2" fillId="0" borderId="0" xfId="1" applyNumberFormat="1" applyFont="1" applyAlignment="1">
      <alignment vertical="top"/>
    </xf>
    <xf numFmtId="43" fontId="2" fillId="0" borderId="0" xfId="1" applyFont="1" applyAlignment="1">
      <alignment horizontal="left" vertical="top"/>
    </xf>
    <xf numFmtId="43" fontId="2" fillId="0" borderId="8" xfId="1" applyFont="1" applyBorder="1" applyAlignment="1">
      <alignment horizontal="left" vertical="top"/>
    </xf>
    <xf numFmtId="10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168" fontId="2" fillId="0" borderId="0" xfId="1" applyNumberFormat="1" applyFont="1" applyFill="1" applyBorder="1" applyAlignment="1">
      <alignment vertical="top"/>
    </xf>
    <xf numFmtId="170" fontId="2" fillId="0" borderId="0" xfId="6" applyNumberFormat="1" applyFont="1" applyFill="1">
      <alignment horizontal="left" vertical="top" wrapText="1"/>
    </xf>
    <xf numFmtId="170" fontId="35" fillId="0" borderId="0" xfId="9" applyFont="1" applyAlignment="1">
      <alignment horizontal="center" vertical="top" wrapText="1"/>
    </xf>
    <xf numFmtId="0" fontId="37" fillId="0" borderId="0" xfId="0" applyFont="1" applyAlignment="1">
      <alignment vertical="top"/>
    </xf>
    <xf numFmtId="180" fontId="2" fillId="0" borderId="0" xfId="0" applyNumberFormat="1" applyFont="1" applyAlignment="1">
      <alignment vertical="top"/>
    </xf>
    <xf numFmtId="0" fontId="19" fillId="0" borderId="0" xfId="0" applyFont="1" applyAlignment="1">
      <alignment vertical="top"/>
    </xf>
    <xf numFmtId="0" fontId="30" fillId="0" borderId="0" xfId="10" applyFont="1" applyAlignment="1">
      <alignment horizontal="center" vertical="top"/>
    </xf>
    <xf numFmtId="0" fontId="4" fillId="3" borderId="0" xfId="0" applyFont="1" applyFill="1"/>
    <xf numFmtId="0" fontId="2" fillId="3" borderId="0" xfId="0" applyFont="1" applyFill="1"/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5" fontId="2" fillId="0" borderId="0" xfId="1" applyNumberFormat="1" applyFont="1"/>
    <xf numFmtId="165" fontId="2" fillId="0" borderId="0" xfId="0" applyNumberFormat="1" applyFont="1"/>
    <xf numFmtId="0" fontId="4" fillId="0" borderId="0" xfId="0" applyFont="1"/>
    <xf numFmtId="165" fontId="4" fillId="0" borderId="0" xfId="0" applyNumberFormat="1" applyFont="1"/>
    <xf numFmtId="15" fontId="2" fillId="0" borderId="0" xfId="0" applyNumberFormat="1" applyFont="1"/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165" fontId="4" fillId="0" borderId="7" xfId="0" applyNumberFormat="1" applyFont="1" applyBorder="1"/>
    <xf numFmtId="175" fontId="19" fillId="8" borderId="0" xfId="0" applyNumberFormat="1" applyFont="1" applyFill="1" applyAlignment="1">
      <alignment horizontal="center"/>
    </xf>
    <xf numFmtId="165" fontId="4" fillId="0" borderId="7" xfId="1" applyNumberFormat="1" applyFont="1" applyBorder="1"/>
    <xf numFmtId="10" fontId="39" fillId="5" borderId="0" xfId="2" applyNumberFormat="1" applyFont="1" applyFill="1"/>
    <xf numFmtId="43" fontId="2" fillId="0" borderId="0" xfId="1" applyFont="1"/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wrapText="1" indent="3"/>
    </xf>
    <xf numFmtId="165" fontId="4" fillId="0" borderId="0" xfId="1" applyNumberFormat="1" applyFont="1"/>
    <xf numFmtId="166" fontId="2" fillId="0" borderId="0" xfId="2" applyNumberFormat="1" applyFont="1"/>
    <xf numFmtId="0" fontId="2" fillId="0" borderId="8" xfId="0" applyFont="1" applyBorder="1"/>
    <xf numFmtId="165" fontId="2" fillId="0" borderId="8" xfId="1" applyNumberFormat="1" applyFont="1" applyBorder="1"/>
    <xf numFmtId="0" fontId="2" fillId="9" borderId="0" xfId="0" applyFont="1" applyFill="1"/>
    <xf numFmtId="166" fontId="2" fillId="9" borderId="0" xfId="2" applyNumberFormat="1" applyFont="1" applyFill="1"/>
    <xf numFmtId="165" fontId="2" fillId="0" borderId="0" xfId="1" applyNumberFormat="1" applyFont="1" applyFill="1"/>
    <xf numFmtId="165" fontId="36" fillId="0" borderId="0" xfId="0" applyNumberFormat="1" applyFont="1" applyAlignment="1">
      <alignment vertical="top"/>
    </xf>
    <xf numFmtId="0" fontId="40" fillId="0" borderId="0" xfId="0" applyFont="1" applyAlignment="1">
      <alignment vertical="top"/>
    </xf>
    <xf numFmtId="173" fontId="2" fillId="0" borderId="0" xfId="0" applyNumberFormat="1" applyFont="1"/>
    <xf numFmtId="166" fontId="41" fillId="5" borderId="0" xfId="0" applyNumberFormat="1" applyFont="1" applyFill="1" applyAlignment="1">
      <alignment vertical="top"/>
    </xf>
    <xf numFmtId="9" fontId="10" fillId="11" borderId="0" xfId="2" applyFont="1" applyFill="1" applyAlignment="1">
      <alignment horizontal="right" vertical="top"/>
    </xf>
    <xf numFmtId="43" fontId="2" fillId="0" borderId="0" xfId="1" applyFont="1" applyFill="1" applyAlignment="1">
      <alignment vertical="top"/>
    </xf>
    <xf numFmtId="166" fontId="2" fillId="0" borderId="0" xfId="2" applyNumberFormat="1" applyFont="1" applyFill="1" applyAlignment="1">
      <alignment vertical="top"/>
    </xf>
    <xf numFmtId="170" fontId="2" fillId="0" borderId="4" xfId="6" applyNumberFormat="1" applyFont="1" applyFill="1" applyBorder="1" applyAlignment="1">
      <alignment horizontal="left" vertical="top"/>
    </xf>
    <xf numFmtId="170" fontId="2" fillId="0" borderId="4" xfId="6" applyNumberFormat="1" applyFont="1" applyBorder="1" applyAlignment="1">
      <alignment horizontal="right" vertical="top"/>
    </xf>
    <xf numFmtId="165" fontId="15" fillId="9" borderId="5" xfId="1" applyNumberFormat="1" applyFont="1" applyFill="1" applyBorder="1" applyAlignment="1">
      <alignment horizontal="right" vertical="top" wrapText="1"/>
    </xf>
    <xf numFmtId="165" fontId="16" fillId="9" borderId="0" xfId="1" applyNumberFormat="1" applyFont="1" applyFill="1" applyAlignment="1">
      <alignment horizontal="left" vertical="top"/>
    </xf>
    <xf numFmtId="165" fontId="41" fillId="9" borderId="0" xfId="1" applyNumberFormat="1" applyFont="1" applyFill="1"/>
    <xf numFmtId="166" fontId="10" fillId="0" borderId="0" xfId="2" applyNumberFormat="1" applyFont="1" applyFill="1" applyAlignment="1">
      <alignment vertical="top"/>
    </xf>
    <xf numFmtId="164" fontId="2" fillId="0" borderId="0" xfId="0" applyNumberFormat="1" applyFont="1" applyAlignment="1">
      <alignment vertical="top"/>
    </xf>
    <xf numFmtId="0" fontId="37" fillId="0" borderId="18" xfId="0" applyFont="1" applyBorder="1" applyAlignment="1">
      <alignment vertical="top"/>
    </xf>
    <xf numFmtId="0" fontId="37" fillId="0" borderId="19" xfId="0" applyFont="1" applyBorder="1" applyAlignment="1">
      <alignment vertical="top"/>
    </xf>
    <xf numFmtId="165" fontId="15" fillId="0" borderId="0" xfId="1" applyNumberFormat="1" applyFont="1" applyFill="1" applyBorder="1" applyAlignment="1">
      <alignment vertical="top" wrapText="1"/>
    </xf>
    <xf numFmtId="165" fontId="2" fillId="0" borderId="0" xfId="1" applyNumberFormat="1" applyFont="1" applyFill="1" applyBorder="1"/>
    <xf numFmtId="165" fontId="2" fillId="0" borderId="0" xfId="1" applyNumberFormat="1" applyFont="1" applyBorder="1"/>
    <xf numFmtId="175" fontId="2" fillId="11" borderId="0" xfId="0" applyNumberFormat="1" applyFont="1" applyFill="1" applyAlignment="1">
      <alignment horizontal="center"/>
    </xf>
    <xf numFmtId="172" fontId="2" fillId="3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43" fontId="4" fillId="0" borderId="0" xfId="1" applyFont="1" applyAlignment="1">
      <alignment vertical="top"/>
    </xf>
    <xf numFmtId="166" fontId="5" fillId="0" borderId="0" xfId="2" applyNumberFormat="1" applyFont="1" applyFill="1" applyBorder="1" applyAlignment="1">
      <alignment horizontal="right" vertical="top"/>
    </xf>
    <xf numFmtId="165" fontId="42" fillId="0" borderId="0" xfId="1" applyNumberFormat="1" applyFont="1" applyAlignment="1">
      <alignment horizontal="left" vertical="top" wrapText="1" indent="2"/>
    </xf>
    <xf numFmtId="166" fontId="42" fillId="0" borderId="0" xfId="2" applyNumberFormat="1" applyFont="1" applyAlignment="1">
      <alignment horizontal="right" vertical="top" wrapText="1"/>
    </xf>
    <xf numFmtId="166" fontId="2" fillId="9" borderId="0" xfId="0" applyNumberFormat="1" applyFont="1" applyFill="1"/>
    <xf numFmtId="165" fontId="15" fillId="0" borderId="1" xfId="1" applyNumberFormat="1" applyFont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right" vertical="top" wrapText="1"/>
    </xf>
    <xf numFmtId="165" fontId="15" fillId="9" borderId="1" xfId="1" applyNumberFormat="1" applyFont="1" applyFill="1" applyBorder="1" applyAlignment="1">
      <alignment horizontal="right" vertical="top" wrapText="1"/>
    </xf>
    <xf numFmtId="9" fontId="2" fillId="0" borderId="0" xfId="2" applyFont="1" applyFill="1"/>
    <xf numFmtId="0" fontId="32" fillId="0" borderId="1" xfId="0" applyFont="1" applyBorder="1" applyAlignment="1">
      <alignment horizontal="left" vertical="top"/>
    </xf>
    <xf numFmtId="165" fontId="4" fillId="9" borderId="1" xfId="1" applyNumberFormat="1" applyFont="1" applyFill="1" applyBorder="1" applyAlignment="1">
      <alignment vertical="top"/>
    </xf>
    <xf numFmtId="165" fontId="32" fillId="0" borderId="1" xfId="1" applyNumberFormat="1" applyFont="1" applyBorder="1" applyAlignment="1">
      <alignment horizontal="right" vertical="top" wrapText="1"/>
    </xf>
    <xf numFmtId="165" fontId="4" fillId="0" borderId="1" xfId="1" applyNumberFormat="1" applyFont="1" applyBorder="1"/>
    <xf numFmtId="9" fontId="2" fillId="0" borderId="0" xfId="0" applyNumberFormat="1" applyFont="1"/>
    <xf numFmtId="10" fontId="10" fillId="6" borderId="9" xfId="2" applyNumberFormat="1" applyFont="1" applyFill="1" applyBorder="1" applyAlignment="1">
      <alignment vertical="top"/>
    </xf>
    <xf numFmtId="10" fontId="10" fillId="9" borderId="0" xfId="2" applyNumberFormat="1" applyFont="1" applyFill="1" applyAlignment="1">
      <alignment vertical="top"/>
    </xf>
    <xf numFmtId="0" fontId="4" fillId="0" borderId="1" xfId="0" applyFont="1" applyBorder="1"/>
    <xf numFmtId="165" fontId="4" fillId="0" borderId="1" xfId="0" applyNumberFormat="1" applyFont="1" applyBorder="1" applyAlignment="1">
      <alignment vertical="top"/>
    </xf>
    <xf numFmtId="43" fontId="10" fillId="0" borderId="0" xfId="1" applyFont="1" applyAlignment="1">
      <alignment vertical="top"/>
    </xf>
    <xf numFmtId="168" fontId="10" fillId="0" borderId="0" xfId="1" applyNumberFormat="1" applyFont="1" applyAlignment="1">
      <alignment vertical="top"/>
    </xf>
    <xf numFmtId="43" fontId="10" fillId="6" borderId="9" xfId="1" applyFont="1" applyFill="1" applyBorder="1" applyAlignment="1">
      <alignment vertical="top"/>
    </xf>
    <xf numFmtId="43" fontId="10" fillId="9" borderId="0" xfId="1" applyFont="1" applyFill="1" applyAlignment="1">
      <alignment vertical="top"/>
    </xf>
    <xf numFmtId="10" fontId="10" fillId="0" borderId="0" xfId="2" applyNumberFormat="1" applyFont="1" applyAlignment="1">
      <alignment vertical="top"/>
    </xf>
    <xf numFmtId="10" fontId="2" fillId="9" borderId="0" xfId="2" applyNumberFormat="1" applyFont="1" applyFill="1" applyAlignment="1">
      <alignment vertical="top"/>
    </xf>
    <xf numFmtId="165" fontId="4" fillId="9" borderId="1" xfId="0" applyNumberFormat="1" applyFont="1" applyFill="1" applyBorder="1" applyAlignment="1">
      <alignment vertical="top"/>
    </xf>
    <xf numFmtId="165" fontId="28" fillId="9" borderId="0" xfId="1" applyNumberFormat="1" applyFont="1" applyFill="1" applyBorder="1" applyAlignment="1">
      <alignment horizontal="right" vertical="top"/>
    </xf>
    <xf numFmtId="165" fontId="4" fillId="0" borderId="1" xfId="0" applyNumberFormat="1" applyFont="1" applyBorder="1"/>
    <xf numFmtId="165" fontId="38" fillId="0" borderId="0" xfId="1" applyNumberFormat="1" applyFont="1" applyFill="1"/>
    <xf numFmtId="43" fontId="33" fillId="0" borderId="0" xfId="1" applyFont="1" applyFill="1"/>
    <xf numFmtId="165" fontId="4" fillId="0" borderId="0" xfId="1" applyNumberFormat="1" applyFont="1" applyFill="1" applyAlignment="1">
      <alignment vertical="top"/>
    </xf>
    <xf numFmtId="165" fontId="15" fillId="0" borderId="1" xfId="1" applyNumberFormat="1" applyFont="1" applyFill="1" applyBorder="1" applyAlignment="1">
      <alignment horizontal="right" vertical="top" wrapText="1"/>
    </xf>
    <xf numFmtId="167" fontId="15" fillId="0" borderId="0" xfId="1" applyNumberFormat="1" applyFont="1" applyAlignment="1">
      <alignment horizontal="left" vertical="top"/>
    </xf>
    <xf numFmtId="0" fontId="4" fillId="0" borderId="10" xfId="0" applyFont="1" applyBorder="1"/>
    <xf numFmtId="0" fontId="2" fillId="0" borderId="20" xfId="0" applyFont="1" applyBorder="1"/>
    <xf numFmtId="0" fontId="2" fillId="0" borderId="12" xfId="0" applyFont="1" applyBorder="1"/>
    <xf numFmtId="165" fontId="2" fillId="0" borderId="2" xfId="0" applyNumberFormat="1" applyFont="1" applyBorder="1"/>
    <xf numFmtId="0" fontId="4" fillId="0" borderId="18" xfId="0" applyFont="1" applyBorder="1"/>
    <xf numFmtId="165" fontId="4" fillId="0" borderId="18" xfId="0" applyNumberFormat="1" applyFont="1" applyBorder="1"/>
    <xf numFmtId="0" fontId="2" fillId="0" borderId="0" xfId="0" applyFont="1" applyAlignment="1">
      <alignment horizontal="center" vertical="top"/>
    </xf>
    <xf numFmtId="181" fontId="2" fillId="0" borderId="0" xfId="0" applyNumberFormat="1" applyFont="1"/>
    <xf numFmtId="181" fontId="4" fillId="0" borderId="0" xfId="0" applyNumberFormat="1" applyFont="1"/>
    <xf numFmtId="168" fontId="4" fillId="0" borderId="0" xfId="1" applyNumberFormat="1" applyFont="1" applyFill="1" applyAlignment="1">
      <alignment vertical="top"/>
    </xf>
    <xf numFmtId="0" fontId="4" fillId="0" borderId="18" xfId="0" applyFont="1" applyBorder="1" applyAlignment="1">
      <alignment horizontal="left" vertical="top"/>
    </xf>
    <xf numFmtId="165" fontId="16" fillId="0" borderId="18" xfId="1" applyNumberFormat="1" applyFont="1" applyFill="1" applyBorder="1" applyAlignment="1">
      <alignment horizontal="left" vertical="top"/>
    </xf>
    <xf numFmtId="165" fontId="15" fillId="0" borderId="18" xfId="1" applyNumberFormat="1" applyFont="1" applyFill="1" applyBorder="1" applyAlignment="1">
      <alignment horizontal="left" vertical="top"/>
    </xf>
    <xf numFmtId="14" fontId="2" fillId="0" borderId="0" xfId="0" applyNumberFormat="1" applyFont="1"/>
    <xf numFmtId="164" fontId="4" fillId="0" borderId="0" xfId="0" applyNumberFormat="1" applyFont="1" applyAlignment="1">
      <alignment horizontal="center"/>
    </xf>
    <xf numFmtId="10" fontId="2" fillId="0" borderId="0" xfId="2" applyNumberFormat="1" applyFont="1" applyAlignment="1">
      <alignment horizontal="center"/>
    </xf>
    <xf numFmtId="14" fontId="0" fillId="0" borderId="20" xfId="0" applyNumberFormat="1" applyBorder="1"/>
    <xf numFmtId="14" fontId="0" fillId="0" borderId="12" xfId="0" applyNumberFormat="1" applyBorder="1"/>
    <xf numFmtId="43" fontId="2" fillId="0" borderId="0" xfId="1" applyFont="1" applyFill="1" applyBorder="1" applyAlignment="1">
      <alignment vertical="top"/>
    </xf>
    <xf numFmtId="0" fontId="0" fillId="0" borderId="0" xfId="0" applyAlignment="1">
      <alignment horizontal="center"/>
    </xf>
    <xf numFmtId="166" fontId="2" fillId="0" borderId="0" xfId="2" applyNumberFormat="1" applyFont="1" applyBorder="1" applyAlignment="1">
      <alignment horizontal="center" vertical="top"/>
    </xf>
    <xf numFmtId="43" fontId="0" fillId="0" borderId="0" xfId="1" applyFont="1" applyBorder="1" applyAlignment="1">
      <alignment horizontal="center"/>
    </xf>
    <xf numFmtId="166" fontId="2" fillId="0" borderId="16" xfId="2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166" fontId="2" fillId="0" borderId="2" xfId="2" applyNumberFormat="1" applyFont="1" applyBorder="1" applyAlignment="1">
      <alignment horizontal="center" vertical="top"/>
    </xf>
    <xf numFmtId="43" fontId="0" fillId="0" borderId="2" xfId="1" applyFont="1" applyBorder="1" applyAlignment="1">
      <alignment horizontal="center"/>
    </xf>
    <xf numFmtId="166" fontId="2" fillId="0" borderId="13" xfId="2" applyNumberFormat="1" applyFont="1" applyBorder="1" applyAlignment="1">
      <alignment horizontal="center" vertical="top"/>
    </xf>
    <xf numFmtId="43" fontId="2" fillId="0" borderId="0" xfId="1" applyFont="1" applyAlignment="1">
      <alignment horizontal="right" vertical="top"/>
    </xf>
    <xf numFmtId="43" fontId="2" fillId="0" borderId="0" xfId="0" applyNumberFormat="1" applyFont="1" applyAlignment="1">
      <alignment horizontal="right" vertical="top"/>
    </xf>
    <xf numFmtId="9" fontId="2" fillId="0" borderId="0" xfId="2" applyFont="1" applyAlignment="1">
      <alignment horizontal="right" vertical="top"/>
    </xf>
    <xf numFmtId="43" fontId="4" fillId="0" borderId="0" xfId="0" applyNumberFormat="1" applyFont="1" applyAlignment="1">
      <alignment horizontal="right" vertical="top"/>
    </xf>
    <xf numFmtId="9" fontId="4" fillId="0" borderId="0" xfId="2" applyFont="1" applyAlignment="1">
      <alignment horizontal="right" vertical="top"/>
    </xf>
    <xf numFmtId="43" fontId="2" fillId="0" borderId="0" xfId="1" applyFont="1" applyFill="1" applyBorder="1" applyAlignment="1">
      <alignment horizontal="right" vertical="top"/>
    </xf>
    <xf numFmtId="166" fontId="4" fillId="0" borderId="0" xfId="2" applyNumberFormat="1" applyFont="1" applyBorder="1" applyAlignment="1">
      <alignment vertical="top"/>
    </xf>
    <xf numFmtId="166" fontId="2" fillId="0" borderId="0" xfId="0" applyNumberFormat="1" applyFont="1" applyAlignment="1">
      <alignment horizontal="center" vertical="top"/>
    </xf>
    <xf numFmtId="170" fontId="2" fillId="0" borderId="0" xfId="6" applyNumberFormat="1" applyFont="1" applyBorder="1">
      <alignment horizontal="left" vertical="top" wrapText="1"/>
    </xf>
    <xf numFmtId="0" fontId="2" fillId="0" borderId="0" xfId="6" applyFont="1" applyBorder="1" applyAlignment="1">
      <alignment horizontal="left" vertical="top"/>
    </xf>
    <xf numFmtId="166" fontId="10" fillId="0" borderId="0" xfId="2" applyNumberFormat="1" applyFont="1" applyBorder="1" applyAlignment="1">
      <alignment horizontal="right" vertical="top"/>
    </xf>
    <xf numFmtId="0" fontId="2" fillId="0" borderId="21" xfId="0" applyFont="1" applyBorder="1" applyAlignment="1">
      <alignment vertical="top"/>
    </xf>
    <xf numFmtId="10" fontId="2" fillId="0" borderId="0" xfId="2" applyNumberFormat="1" applyFont="1" applyAlignment="1">
      <alignment vertical="top"/>
    </xf>
    <xf numFmtId="0" fontId="4" fillId="0" borderId="21" xfId="0" applyFont="1" applyBorder="1" applyAlignment="1">
      <alignment vertical="top"/>
    </xf>
    <xf numFmtId="165" fontId="4" fillId="0" borderId="1" xfId="1" applyNumberFormat="1" applyFont="1" applyFill="1" applyBorder="1" applyAlignment="1">
      <alignment vertical="top"/>
    </xf>
    <xf numFmtId="9" fontId="2" fillId="0" borderId="0" xfId="2" applyFont="1" applyFill="1" applyAlignment="1">
      <alignment vertical="top"/>
    </xf>
    <xf numFmtId="165" fontId="2" fillId="0" borderId="23" xfId="1" applyNumberFormat="1" applyFont="1" applyBorder="1" applyAlignment="1">
      <alignment vertical="top"/>
    </xf>
    <xf numFmtId="165" fontId="4" fillId="0" borderId="23" xfId="1" applyNumberFormat="1" applyFont="1" applyBorder="1" applyAlignment="1">
      <alignment vertical="top"/>
    </xf>
    <xf numFmtId="165" fontId="4" fillId="0" borderId="22" xfId="1" applyNumberFormat="1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9" fontId="4" fillId="0" borderId="0" xfId="2" applyFont="1" applyAlignment="1">
      <alignment vertical="top"/>
    </xf>
    <xf numFmtId="9" fontId="2" fillId="0" borderId="0" xfId="2" applyFont="1" applyBorder="1" applyAlignment="1">
      <alignment vertical="top"/>
    </xf>
    <xf numFmtId="15" fontId="4" fillId="11" borderId="9" xfId="0" applyNumberFormat="1" applyFont="1" applyFill="1" applyBorder="1" applyAlignment="1">
      <alignment vertical="top"/>
    </xf>
    <xf numFmtId="168" fontId="2" fillId="0" borderId="0" xfId="1" applyNumberFormat="1" applyFont="1" applyFill="1" applyAlignment="1">
      <alignment vertical="top"/>
    </xf>
    <xf numFmtId="10" fontId="4" fillId="0" borderId="16" xfId="0" applyNumberFormat="1" applyFont="1" applyBorder="1" applyAlignment="1">
      <alignment vertical="top"/>
    </xf>
    <xf numFmtId="10" fontId="4" fillId="10" borderId="0" xfId="0" applyNumberFormat="1" applyFont="1" applyFill="1" applyAlignment="1">
      <alignment vertical="top"/>
    </xf>
    <xf numFmtId="165" fontId="15" fillId="0" borderId="0" xfId="1" applyNumberFormat="1" applyFont="1" applyFill="1" applyBorder="1" applyAlignment="1">
      <alignment horizontal="right" vertical="top" wrapText="1"/>
    </xf>
    <xf numFmtId="165" fontId="4" fillId="0" borderId="0" xfId="1" applyNumberFormat="1" applyFont="1" applyFill="1" applyBorder="1" applyAlignment="1">
      <alignment vertical="top"/>
    </xf>
    <xf numFmtId="165" fontId="24" fillId="0" borderId="0" xfId="1" applyNumberFormat="1" applyFont="1" applyFill="1" applyAlignment="1">
      <alignment horizontal="right" vertical="top" wrapText="1"/>
    </xf>
    <xf numFmtId="165" fontId="15" fillId="0" borderId="0" xfId="1" applyNumberFormat="1" applyFont="1" applyFill="1" applyAlignment="1">
      <alignment horizontal="left" vertical="top"/>
    </xf>
    <xf numFmtId="43" fontId="15" fillId="0" borderId="0" xfId="1" applyFont="1" applyFill="1" applyBorder="1" applyAlignment="1">
      <alignment horizontal="right" vertical="top" wrapText="1"/>
    </xf>
    <xf numFmtId="165" fontId="32" fillId="0" borderId="1" xfId="1" applyNumberFormat="1" applyFont="1" applyFill="1" applyBorder="1" applyAlignment="1">
      <alignment horizontal="right" vertical="top" wrapText="1"/>
    </xf>
    <xf numFmtId="174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68" fontId="15" fillId="0" borderId="0" xfId="1" applyNumberFormat="1" applyFont="1" applyFill="1" applyAlignment="1">
      <alignment horizontal="left" vertical="top"/>
    </xf>
    <xf numFmtId="165" fontId="10" fillId="0" borderId="0" xfId="1" applyNumberFormat="1" applyFont="1" applyFill="1" applyAlignment="1">
      <alignment vertical="top"/>
    </xf>
    <xf numFmtId="166" fontId="26" fillId="0" borderId="0" xfId="2" applyNumberFormat="1" applyFont="1" applyFill="1" applyAlignment="1">
      <alignment vertical="top"/>
    </xf>
    <xf numFmtId="165" fontId="4" fillId="0" borderId="0" xfId="1" applyNumberFormat="1" applyFont="1" applyFill="1"/>
    <xf numFmtId="0" fontId="4" fillId="7" borderId="0" xfId="0" applyFont="1" applyFill="1" applyAlignment="1">
      <alignment horizontal="center" vertical="top"/>
    </xf>
    <xf numFmtId="165" fontId="16" fillId="0" borderId="0" xfId="1" applyNumberFormat="1" applyFont="1" applyFill="1" applyAlignment="1">
      <alignment horizontal="right" vertical="top"/>
    </xf>
    <xf numFmtId="165" fontId="15" fillId="0" borderId="5" xfId="1" applyNumberFormat="1" applyFont="1" applyFill="1" applyBorder="1" applyAlignment="1">
      <alignment horizontal="right" vertical="top" wrapText="1"/>
    </xf>
    <xf numFmtId="165" fontId="16" fillId="0" borderId="0" xfId="1" applyNumberFormat="1" applyFont="1" applyFill="1" applyAlignment="1">
      <alignment horizontal="left" vertical="top"/>
    </xf>
    <xf numFmtId="165" fontId="29" fillId="0" borderId="0" xfId="1" applyNumberFormat="1" applyFont="1" applyFill="1" applyBorder="1" applyAlignment="1">
      <alignment horizontal="right" vertical="top"/>
    </xf>
    <xf numFmtId="165" fontId="17" fillId="0" borderId="0" xfId="1" applyNumberFormat="1" applyFont="1" applyFill="1" applyBorder="1" applyAlignment="1">
      <alignment horizontal="right" vertical="top" wrapText="1"/>
    </xf>
    <xf numFmtId="165" fontId="33" fillId="0" borderId="0" xfId="1" applyNumberFormat="1" applyFont="1" applyFill="1" applyAlignment="1">
      <alignment horizontal="right" vertical="top" wrapText="1"/>
    </xf>
    <xf numFmtId="165" fontId="16" fillId="0" borderId="6" xfId="1" applyNumberFormat="1" applyFont="1" applyFill="1" applyBorder="1" applyAlignment="1">
      <alignment horizontal="right" vertical="top" wrapText="1"/>
    </xf>
    <xf numFmtId="165" fontId="15" fillId="0" borderId="7" xfId="1" applyNumberFormat="1" applyFont="1" applyFill="1" applyBorder="1" applyAlignment="1">
      <alignment horizontal="right" vertical="top" wrapText="1"/>
    </xf>
    <xf numFmtId="165" fontId="16" fillId="0" borderId="0" xfId="1" applyNumberFormat="1" applyFont="1" applyFill="1" applyBorder="1" applyAlignment="1">
      <alignment vertical="top" wrapText="1"/>
    </xf>
    <xf numFmtId="165" fontId="15" fillId="9" borderId="0" xfId="1" applyNumberFormat="1" applyFont="1" applyFill="1" applyAlignment="1">
      <alignment horizontal="right" vertical="top" wrapText="1"/>
    </xf>
    <xf numFmtId="165" fontId="15" fillId="9" borderId="7" xfId="1" applyNumberFormat="1" applyFont="1" applyFill="1" applyBorder="1" applyAlignment="1">
      <alignment horizontal="right" vertical="top" wrapText="1"/>
    </xf>
    <xf numFmtId="165" fontId="36" fillId="9" borderId="27" xfId="0" applyNumberFormat="1" applyFont="1" applyFill="1" applyBorder="1" applyAlignment="1">
      <alignment vertical="top"/>
    </xf>
    <xf numFmtId="165" fontId="36" fillId="9" borderId="0" xfId="0" applyNumberFormat="1" applyFont="1" applyFill="1" applyAlignment="1">
      <alignment vertical="top"/>
    </xf>
    <xf numFmtId="165" fontId="36" fillId="0" borderId="27" xfId="0" applyNumberFormat="1" applyFont="1" applyBorder="1" applyAlignment="1">
      <alignment vertical="top"/>
    </xf>
    <xf numFmtId="165" fontId="28" fillId="0" borderId="0" xfId="1" applyNumberFormat="1" applyFont="1" applyFill="1" applyBorder="1" applyAlignment="1">
      <alignment horizontal="right" vertical="top"/>
    </xf>
    <xf numFmtId="165" fontId="16" fillId="0" borderId="0" xfId="1" applyNumberFormat="1" applyFont="1" applyFill="1" applyBorder="1" applyAlignment="1">
      <alignment horizontal="right" vertical="top"/>
    </xf>
    <xf numFmtId="168" fontId="10" fillId="0" borderId="0" xfId="1" applyNumberFormat="1" applyFont="1" applyFill="1" applyAlignment="1">
      <alignment vertical="top"/>
    </xf>
    <xf numFmtId="43" fontId="10" fillId="0" borderId="0" xfId="1" applyFont="1" applyFill="1" applyAlignment="1">
      <alignment vertical="top"/>
    </xf>
    <xf numFmtId="10" fontId="10" fillId="0" borderId="0" xfId="2" applyNumberFormat="1" applyFont="1" applyFill="1" applyAlignment="1">
      <alignment vertical="top"/>
    </xf>
    <xf numFmtId="0" fontId="37" fillId="0" borderId="17" xfId="0" applyFont="1" applyBorder="1" applyAlignment="1">
      <alignment vertical="top"/>
    </xf>
    <xf numFmtId="0" fontId="4" fillId="0" borderId="21" xfId="0" applyFont="1" applyBorder="1"/>
    <xf numFmtId="165" fontId="4" fillId="0" borderId="21" xfId="1" applyNumberFormat="1" applyFont="1" applyFill="1" applyBorder="1"/>
    <xf numFmtId="165" fontId="4" fillId="0" borderId="21" xfId="1" applyNumberFormat="1" applyFont="1" applyBorder="1"/>
    <xf numFmtId="170" fontId="35" fillId="0" borderId="0" xfId="9" applyFont="1" applyAlignment="1">
      <alignment horizontal="center" vertical="top"/>
    </xf>
    <xf numFmtId="166" fontId="2" fillId="3" borderId="0" xfId="2" applyNumberFormat="1" applyFont="1" applyFill="1" applyAlignment="1">
      <alignment vertical="top"/>
    </xf>
    <xf numFmtId="0" fontId="4" fillId="0" borderId="0" xfId="3" applyFont="1" applyBorder="1" applyAlignment="1">
      <alignment horizontal="right" vertical="top"/>
    </xf>
    <xf numFmtId="0" fontId="4" fillId="0" borderId="0" xfId="3" applyFont="1" applyBorder="1" applyAlignment="1">
      <alignment horizontal="center" vertical="top" wrapText="1"/>
    </xf>
    <xf numFmtId="166" fontId="2" fillId="0" borderId="0" xfId="2" applyNumberFormat="1" applyFont="1" applyFill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10" fontId="10" fillId="0" borderId="0" xfId="2" applyNumberFormat="1" applyFont="1" applyFill="1" applyAlignment="1">
      <alignment horizontal="right" vertical="top" wrapText="1"/>
    </xf>
    <xf numFmtId="43" fontId="0" fillId="0" borderId="0" xfId="1" applyFont="1"/>
    <xf numFmtId="14" fontId="0" fillId="0" borderId="0" xfId="0" applyNumberFormat="1"/>
    <xf numFmtId="43" fontId="2" fillId="3" borderId="0" xfId="1" applyFont="1" applyFill="1" applyAlignment="1">
      <alignment vertical="top"/>
    </xf>
    <xf numFmtId="0" fontId="4" fillId="3" borderId="0" xfId="0" applyFont="1" applyFill="1" applyAlignment="1">
      <alignment vertical="top"/>
    </xf>
    <xf numFmtId="15" fontId="2" fillId="0" borderId="0" xfId="0" applyNumberFormat="1" applyFont="1" applyAlignment="1">
      <alignment horizontal="center" vertical="top"/>
    </xf>
    <xf numFmtId="17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right" vertical="top" indent="2"/>
    </xf>
    <xf numFmtId="0" fontId="2" fillId="0" borderId="0" xfId="0" applyFont="1" applyAlignment="1">
      <alignment horizontal="right" vertical="top" indent="2"/>
    </xf>
    <xf numFmtId="9" fontId="4" fillId="0" borderId="0" xfId="0" applyNumberFormat="1" applyFont="1" applyAlignment="1">
      <alignment horizontal="right" vertical="top"/>
    </xf>
    <xf numFmtId="176" fontId="4" fillId="0" borderId="21" xfId="0" applyNumberFormat="1" applyFont="1" applyBorder="1" applyAlignment="1">
      <alignment horizontal="center" vertical="top"/>
    </xf>
    <xf numFmtId="9" fontId="4" fillId="0" borderId="21" xfId="2" applyFont="1" applyBorder="1" applyAlignment="1">
      <alignment horizontal="right" vertical="top"/>
    </xf>
    <xf numFmtId="0" fontId="2" fillId="7" borderId="0" xfId="0" applyFont="1" applyFill="1" applyAlignment="1">
      <alignment vertical="top"/>
    </xf>
    <xf numFmtId="0" fontId="4" fillId="7" borderId="0" xfId="0" applyFont="1" applyFill="1" applyAlignment="1">
      <alignment horizontal="right" vertical="top"/>
    </xf>
    <xf numFmtId="10" fontId="4" fillId="0" borderId="8" xfId="0" applyNumberFormat="1" applyFont="1" applyBorder="1" applyAlignment="1">
      <alignment vertical="top"/>
    </xf>
    <xf numFmtId="165" fontId="2" fillId="0" borderId="0" xfId="1" applyNumberFormat="1" applyFont="1" applyAlignment="1">
      <alignment horizontal="right" vertical="top"/>
    </xf>
    <xf numFmtId="165" fontId="2" fillId="0" borderId="21" xfId="1" applyNumberFormat="1" applyFont="1" applyBorder="1" applyAlignment="1">
      <alignment horizontal="right" vertical="top"/>
    </xf>
    <xf numFmtId="165" fontId="0" fillId="0" borderId="0" xfId="1" applyNumberFormat="1" applyFont="1"/>
    <xf numFmtId="165" fontId="4" fillId="0" borderId="21" xfId="1" applyNumberFormat="1" applyFont="1" applyBorder="1" applyAlignment="1">
      <alignment horizontal="right" vertical="top"/>
    </xf>
    <xf numFmtId="182" fontId="2" fillId="0" borderId="0" xfId="1" applyNumberFormat="1" applyFont="1" applyAlignment="1">
      <alignment horizontal="right" vertical="top"/>
    </xf>
    <xf numFmtId="182" fontId="2" fillId="0" borderId="21" xfId="1" applyNumberFormat="1" applyFont="1" applyBorder="1" applyAlignment="1">
      <alignment horizontal="right" vertical="top"/>
    </xf>
    <xf numFmtId="182" fontId="4" fillId="0" borderId="0" xfId="1" applyNumberFormat="1" applyFont="1" applyAlignment="1">
      <alignment horizontal="right" vertical="top"/>
    </xf>
    <xf numFmtId="182" fontId="2" fillId="0" borderId="0" xfId="1" applyNumberFormat="1" applyFont="1" applyAlignment="1">
      <alignment vertical="top"/>
    </xf>
    <xf numFmtId="182" fontId="4" fillId="0" borderId="21" xfId="1" applyNumberFormat="1" applyFont="1" applyBorder="1" applyAlignment="1">
      <alignment horizontal="right" vertical="top"/>
    </xf>
    <xf numFmtId="183" fontId="4" fillId="0" borderId="0" xfId="1" applyNumberFormat="1" applyFont="1" applyAlignment="1">
      <alignment horizontal="right" vertical="top"/>
    </xf>
    <xf numFmtId="183" fontId="2" fillId="0" borderId="0" xfId="1" applyNumberFormat="1" applyFont="1" applyAlignment="1">
      <alignment horizontal="right" vertical="top"/>
    </xf>
    <xf numFmtId="183" fontId="4" fillId="0" borderId="21" xfId="1" applyNumberFormat="1" applyFont="1" applyBorder="1" applyAlignment="1">
      <alignment horizontal="right" vertical="top"/>
    </xf>
    <xf numFmtId="183" fontId="4" fillId="0" borderId="21" xfId="1" applyNumberFormat="1" applyFont="1" applyBorder="1" applyAlignment="1">
      <alignment vertical="top"/>
    </xf>
    <xf numFmtId="183" fontId="2" fillId="0" borderId="0" xfId="1" applyNumberFormat="1" applyFont="1" applyAlignment="1">
      <alignment vertical="top"/>
    </xf>
    <xf numFmtId="183" fontId="4" fillId="0" borderId="0" xfId="1" applyNumberFormat="1" applyFont="1" applyAlignment="1">
      <alignment vertical="top"/>
    </xf>
    <xf numFmtId="182" fontId="2" fillId="0" borderId="0" xfId="1" applyNumberFormat="1" applyFont="1" applyFill="1" applyAlignment="1">
      <alignment horizontal="right" vertical="top"/>
    </xf>
    <xf numFmtId="166" fontId="43" fillId="0" borderId="0" xfId="2" applyNumberFormat="1" applyFont="1" applyBorder="1" applyAlignment="1" applyProtection="1">
      <alignment horizontal="right" vertical="top" wrapText="1"/>
    </xf>
    <xf numFmtId="10" fontId="44" fillId="0" borderId="0" xfId="2" applyNumberFormat="1" applyFont="1" applyBorder="1" applyAlignment="1" applyProtection="1">
      <alignment horizontal="right" vertical="top" wrapText="1"/>
    </xf>
    <xf numFmtId="43" fontId="4" fillId="0" borderId="0" xfId="1" applyFont="1" applyFill="1" applyBorder="1" applyAlignment="1">
      <alignment horizontal="right" vertical="top"/>
    </xf>
    <xf numFmtId="165" fontId="2" fillId="0" borderId="0" xfId="1" applyNumberFormat="1" applyFont="1" applyFill="1" applyBorder="1" applyAlignment="1">
      <alignment horizontal="right" vertical="top"/>
    </xf>
    <xf numFmtId="165" fontId="2" fillId="0" borderId="0" xfId="1" applyNumberFormat="1" applyFont="1" applyFill="1" applyBorder="1" applyAlignment="1">
      <alignment horizontal="center" vertical="top"/>
    </xf>
    <xf numFmtId="165" fontId="2" fillId="0" borderId="0" xfId="1" applyNumberFormat="1" applyFont="1" applyFill="1" applyBorder="1" applyAlignment="1">
      <alignment vertical="top"/>
    </xf>
    <xf numFmtId="43" fontId="4" fillId="0" borderId="15" xfId="1" applyFont="1" applyBorder="1" applyAlignment="1">
      <alignment vertical="top"/>
    </xf>
    <xf numFmtId="15" fontId="4" fillId="0" borderId="0" xfId="1" applyNumberFormat="1" applyFont="1" applyBorder="1" applyAlignment="1">
      <alignment vertical="top"/>
    </xf>
    <xf numFmtId="177" fontId="4" fillId="0" borderId="0" xfId="0" applyNumberFormat="1" applyFont="1" applyAlignment="1">
      <alignment vertical="top"/>
    </xf>
    <xf numFmtId="10" fontId="4" fillId="0" borderId="0" xfId="2" applyNumberFormat="1" applyFont="1" applyBorder="1" applyAlignment="1">
      <alignment horizontal="right" vertical="top"/>
    </xf>
    <xf numFmtId="168" fontId="2" fillId="0" borderId="0" xfId="1" applyNumberFormat="1" applyFont="1" applyBorder="1" applyAlignment="1">
      <alignment vertical="top"/>
    </xf>
    <xf numFmtId="166" fontId="2" fillId="0" borderId="0" xfId="2" applyNumberFormat="1" applyFont="1" applyBorder="1" applyAlignment="1">
      <alignment vertical="top"/>
    </xf>
    <xf numFmtId="0" fontId="4" fillId="0" borderId="14" xfId="0" applyFont="1" applyBorder="1" applyAlignment="1">
      <alignment horizontal="left" vertical="top" wrapText="1"/>
    </xf>
    <xf numFmtId="10" fontId="2" fillId="0" borderId="15" xfId="2" applyNumberFormat="1" applyFont="1" applyBorder="1" applyAlignment="1">
      <alignment vertical="top"/>
    </xf>
    <xf numFmtId="10" fontId="2" fillId="0" borderId="0" xfId="2" applyNumberFormat="1" applyFont="1" applyBorder="1" applyAlignment="1">
      <alignment vertical="top"/>
    </xf>
    <xf numFmtId="0" fontId="7" fillId="0" borderId="0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right" vertical="top" wrapText="1"/>
    </xf>
    <xf numFmtId="10" fontId="3" fillId="0" borderId="18" xfId="2" applyNumberFormat="1" applyFont="1" applyBorder="1" applyAlignment="1">
      <alignment vertical="top"/>
    </xf>
    <xf numFmtId="43" fontId="2" fillId="12" borderId="9" xfId="1" applyFont="1" applyFill="1" applyBorder="1"/>
    <xf numFmtId="166" fontId="2" fillId="12" borderId="9" xfId="2" applyNumberFormat="1" applyFont="1" applyFill="1" applyBorder="1"/>
    <xf numFmtId="10" fontId="4" fillId="0" borderId="0" xfId="2" applyNumberFormat="1" applyFont="1"/>
    <xf numFmtId="166" fontId="2" fillId="0" borderId="0" xfId="0" applyNumberFormat="1" applyFont="1"/>
    <xf numFmtId="165" fontId="2" fillId="5" borderId="0" xfId="1" applyNumberFormat="1" applyFont="1" applyFill="1"/>
    <xf numFmtId="165" fontId="2" fillId="0" borderId="2" xfId="1" applyNumberFormat="1" applyFont="1" applyBorder="1"/>
    <xf numFmtId="43" fontId="2" fillId="5" borderId="0" xfId="0" applyNumberFormat="1" applyFont="1" applyFill="1" applyAlignment="1">
      <alignment vertical="top"/>
    </xf>
    <xf numFmtId="165" fontId="32" fillId="9" borderId="0" xfId="1" applyNumberFormat="1" applyFont="1" applyFill="1" applyAlignment="1">
      <alignment vertical="top"/>
    </xf>
    <xf numFmtId="43" fontId="15" fillId="9" borderId="0" xfId="1" applyFont="1" applyFill="1" applyAlignment="1">
      <alignment horizontal="left" vertical="top"/>
    </xf>
    <xf numFmtId="9" fontId="2" fillId="0" borderId="0" xfId="2" applyFont="1"/>
    <xf numFmtId="9" fontId="4" fillId="0" borderId="0" xfId="2" applyFont="1"/>
    <xf numFmtId="43" fontId="2" fillId="13" borderId="0" xfId="1" applyFont="1" applyFill="1" applyAlignment="1">
      <alignment horizontal="right" vertical="top"/>
    </xf>
    <xf numFmtId="43" fontId="2" fillId="13" borderId="2" xfId="1" applyFont="1" applyFill="1" applyBorder="1" applyAlignment="1">
      <alignment horizontal="right" vertical="top"/>
    </xf>
    <xf numFmtId="166" fontId="2" fillId="0" borderId="0" xfId="2" applyNumberFormat="1" applyFont="1" applyAlignment="1">
      <alignment horizontal="center" vertical="top"/>
    </xf>
    <xf numFmtId="9" fontId="2" fillId="0" borderId="0" xfId="6" applyNumberFormat="1" applyFont="1" applyAlignment="1">
      <alignment horizontal="center" vertical="top" wrapText="1"/>
    </xf>
    <xf numFmtId="43" fontId="4" fillId="0" borderId="0" xfId="0" applyNumberFormat="1" applyFont="1" applyAlignment="1">
      <alignment vertical="top"/>
    </xf>
    <xf numFmtId="0" fontId="2" fillId="14" borderId="0" xfId="0" applyFont="1" applyFill="1"/>
    <xf numFmtId="165" fontId="2" fillId="14" borderId="0" xfId="0" applyNumberFormat="1" applyFont="1" applyFill="1"/>
    <xf numFmtId="15" fontId="19" fillId="14" borderId="0" xfId="0" applyNumberFormat="1" applyFont="1" applyFill="1" applyAlignment="1">
      <alignment horizontal="center" vertical="top" wrapText="1"/>
    </xf>
    <xf numFmtId="9" fontId="16" fillId="14" borderId="0" xfId="2" applyFont="1" applyFill="1" applyAlignment="1">
      <alignment horizontal="right" vertical="top" wrapText="1"/>
    </xf>
    <xf numFmtId="165" fontId="15" fillId="14" borderId="0" xfId="1" applyNumberFormat="1" applyFont="1" applyFill="1" applyAlignment="1">
      <alignment horizontal="right" vertical="top" wrapText="1"/>
    </xf>
    <xf numFmtId="0" fontId="36" fillId="0" borderId="0" xfId="0" applyFont="1" applyAlignment="1">
      <alignment horizontal="center" wrapText="1"/>
    </xf>
    <xf numFmtId="15" fontId="4" fillId="0" borderId="0" xfId="0" applyNumberFormat="1" applyFont="1" applyAlignment="1">
      <alignment vertical="top"/>
    </xf>
    <xf numFmtId="0" fontId="20" fillId="15" borderId="0" xfId="0" applyFont="1" applyFill="1" applyAlignment="1">
      <alignment vertical="top"/>
    </xf>
    <xf numFmtId="15" fontId="19" fillId="15" borderId="0" xfId="0" applyNumberFormat="1" applyFont="1" applyFill="1" applyAlignment="1">
      <alignment horizontal="center" vertical="top"/>
    </xf>
    <xf numFmtId="10" fontId="2" fillId="14" borderId="22" xfId="2" applyNumberFormat="1" applyFont="1" applyFill="1" applyBorder="1" applyAlignment="1">
      <alignment horizontal="right" vertical="top" wrapText="1" indent="1"/>
    </xf>
    <xf numFmtId="0" fontId="4" fillId="14" borderId="0" xfId="0" applyFont="1" applyFill="1" applyAlignment="1">
      <alignment vertical="top"/>
    </xf>
    <xf numFmtId="0" fontId="2" fillId="14" borderId="0" xfId="0" applyFont="1" applyFill="1" applyAlignment="1">
      <alignment vertical="top"/>
    </xf>
    <xf numFmtId="165" fontId="4" fillId="14" borderId="0" xfId="1" applyNumberFormat="1" applyFont="1" applyFill="1" applyBorder="1" applyAlignment="1">
      <alignment horizontal="left" vertical="top"/>
    </xf>
    <xf numFmtId="43" fontId="4" fillId="14" borderId="0" xfId="1" applyFont="1" applyFill="1" applyBorder="1" applyAlignment="1">
      <alignment vertical="top"/>
    </xf>
    <xf numFmtId="165" fontId="2" fillId="14" borderId="0" xfId="1" applyNumberFormat="1" applyFont="1" applyFill="1" applyBorder="1" applyAlignment="1">
      <alignment vertical="top"/>
    </xf>
    <xf numFmtId="165" fontId="4" fillId="14" borderId="0" xfId="1" applyNumberFormat="1" applyFont="1" applyFill="1" applyBorder="1" applyAlignment="1">
      <alignment vertical="top"/>
    </xf>
    <xf numFmtId="165" fontId="2" fillId="14" borderId="0" xfId="0" applyNumberFormat="1" applyFont="1" applyFill="1" applyAlignment="1">
      <alignment vertical="top"/>
    </xf>
    <xf numFmtId="168" fontId="4" fillId="14" borderId="0" xfId="1" applyNumberFormat="1" applyFont="1" applyFill="1" applyBorder="1" applyAlignment="1">
      <alignment vertical="top"/>
    </xf>
    <xf numFmtId="165" fontId="4" fillId="14" borderId="0" xfId="0" applyNumberFormat="1" applyFont="1" applyFill="1" applyAlignment="1">
      <alignment vertical="top"/>
    </xf>
    <xf numFmtId="10" fontId="4" fillId="14" borderId="0" xfId="0" applyNumberFormat="1" applyFont="1" applyFill="1" applyAlignment="1">
      <alignment vertical="top"/>
    </xf>
    <xf numFmtId="179" fontId="4" fillId="14" borderId="0" xfId="1" applyNumberFormat="1" applyFont="1" applyFill="1" applyBorder="1" applyAlignment="1">
      <alignment vertical="top"/>
    </xf>
    <xf numFmtId="168" fontId="2" fillId="14" borderId="0" xfId="1" applyNumberFormat="1" applyFont="1" applyFill="1" applyBorder="1" applyAlignment="1">
      <alignment vertical="top"/>
    </xf>
    <xf numFmtId="168" fontId="2" fillId="14" borderId="0" xfId="0" applyNumberFormat="1" applyFont="1" applyFill="1" applyAlignment="1">
      <alignment vertical="top"/>
    </xf>
    <xf numFmtId="165" fontId="19" fillId="15" borderId="22" xfId="1" applyNumberFormat="1" applyFont="1" applyFill="1" applyBorder="1" applyAlignment="1">
      <alignment horizontal="center" vertical="top" wrapText="1"/>
    </xf>
    <xf numFmtId="0" fontId="19" fillId="15" borderId="25" xfId="0" applyFont="1" applyFill="1" applyBorder="1" applyAlignment="1">
      <alignment vertical="top"/>
    </xf>
    <xf numFmtId="0" fontId="19" fillId="15" borderId="26" xfId="0" applyFont="1" applyFill="1" applyBorder="1" applyAlignment="1">
      <alignment vertical="top"/>
    </xf>
    <xf numFmtId="165" fontId="19" fillId="15" borderId="24" xfId="1" applyNumberFormat="1" applyFont="1" applyFill="1" applyBorder="1" applyAlignment="1">
      <alignment vertical="top"/>
    </xf>
    <xf numFmtId="165" fontId="19" fillId="14" borderId="9" xfId="0" applyNumberFormat="1" applyFont="1" applyFill="1" applyBorder="1" applyAlignment="1">
      <alignment vertical="top"/>
    </xf>
    <xf numFmtId="43" fontId="2" fillId="14" borderId="0" xfId="1" applyFont="1" applyFill="1" applyBorder="1" applyAlignment="1">
      <alignment horizontal="right" vertical="top"/>
    </xf>
    <xf numFmtId="43" fontId="2" fillId="14" borderId="0" xfId="1" applyFont="1" applyFill="1" applyAlignment="1">
      <alignment horizontal="right" vertical="top"/>
    </xf>
    <xf numFmtId="43" fontId="2" fillId="14" borderId="2" xfId="1" applyFont="1" applyFill="1" applyBorder="1" applyAlignment="1">
      <alignment horizontal="right" vertical="top"/>
    </xf>
    <xf numFmtId="43" fontId="4" fillId="14" borderId="0" xfId="1" applyFont="1" applyFill="1" applyAlignment="1">
      <alignment horizontal="right" vertical="top"/>
    </xf>
    <xf numFmtId="0" fontId="4" fillId="0" borderId="8" xfId="0" applyFont="1" applyBorder="1" applyAlignment="1">
      <alignment horizontal="center" vertical="top"/>
    </xf>
    <xf numFmtId="165" fontId="4" fillId="0" borderId="16" xfId="1" applyNumberFormat="1" applyFont="1" applyBorder="1" applyAlignment="1">
      <alignment horizontal="center" vertical="center" textRotation="180"/>
    </xf>
    <xf numFmtId="0" fontId="4" fillId="14" borderId="0" xfId="0" applyFont="1" applyFill="1" applyAlignment="1">
      <alignment horizontal="center" vertical="top"/>
    </xf>
    <xf numFmtId="165" fontId="4" fillId="0" borderId="0" xfId="1" applyNumberFormat="1" applyFont="1" applyBorder="1" applyAlignment="1">
      <alignment horizontal="center" vertical="center" textRotation="180"/>
    </xf>
    <xf numFmtId="0" fontId="2" fillId="0" borderId="0" xfId="0" applyFont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0" borderId="3" xfId="3" applyFont="1" applyAlignment="1">
      <alignment horizontal="center" vertical="top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1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wrapText="1"/>
    </xf>
    <xf numFmtId="0" fontId="2" fillId="10" borderId="8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vertical="center" wrapText="1"/>
    </xf>
    <xf numFmtId="170" fontId="35" fillId="0" borderId="0" xfId="9" applyFont="1" applyAlignment="1">
      <alignment horizontal="center" vertical="top" wrapText="1"/>
    </xf>
    <xf numFmtId="170" fontId="35" fillId="0" borderId="17" xfId="9" applyFont="1" applyBorder="1" applyAlignment="1">
      <alignment horizontal="center" vertical="top" wrapText="1"/>
    </xf>
    <xf numFmtId="170" fontId="35" fillId="0" borderId="18" xfId="9" applyFont="1" applyBorder="1" applyAlignment="1">
      <alignment horizontal="center" vertical="top" wrapText="1"/>
    </xf>
    <xf numFmtId="170" fontId="35" fillId="0" borderId="19" xfId="9" applyFont="1" applyBorder="1" applyAlignment="1">
      <alignment horizontal="center" vertical="top" wrapText="1"/>
    </xf>
    <xf numFmtId="165" fontId="36" fillId="0" borderId="17" xfId="1" applyNumberFormat="1" applyFont="1" applyBorder="1" applyAlignment="1">
      <alignment horizontal="center" vertical="top"/>
    </xf>
    <xf numFmtId="165" fontId="36" fillId="0" borderId="18" xfId="1" applyNumberFormat="1" applyFont="1" applyBorder="1" applyAlignment="1">
      <alignment horizontal="center" vertical="top"/>
    </xf>
    <xf numFmtId="165" fontId="36" fillId="0" borderId="19" xfId="1" applyNumberFormat="1" applyFont="1" applyBorder="1" applyAlignment="1">
      <alignment horizontal="center" vertical="top"/>
    </xf>
    <xf numFmtId="0" fontId="37" fillId="0" borderId="17" xfId="0" applyFont="1" applyBorder="1" applyAlignment="1">
      <alignment horizontal="center" vertical="top"/>
    </xf>
    <xf numFmtId="0" fontId="37" fillId="0" borderId="19" xfId="0" applyFont="1" applyBorder="1" applyAlignment="1">
      <alignment horizontal="center" vertical="top"/>
    </xf>
    <xf numFmtId="164" fontId="36" fillId="0" borderId="17" xfId="0" applyNumberFormat="1" applyFont="1" applyBorder="1" applyAlignment="1">
      <alignment horizontal="center" vertical="top"/>
    </xf>
    <xf numFmtId="164" fontId="36" fillId="0" borderId="19" xfId="0" applyNumberFormat="1" applyFont="1" applyBorder="1" applyAlignment="1">
      <alignment horizontal="center" vertical="top"/>
    </xf>
    <xf numFmtId="170" fontId="35" fillId="0" borderId="0" xfId="9" applyFont="1" applyAlignment="1">
      <alignment horizontal="center" vertical="top"/>
    </xf>
    <xf numFmtId="166" fontId="43" fillId="16" borderId="0" xfId="2" applyNumberFormat="1" applyFont="1" applyFill="1" applyBorder="1" applyAlignment="1" applyProtection="1">
      <alignment horizontal="right" vertical="top" wrapText="1"/>
    </xf>
    <xf numFmtId="165" fontId="16" fillId="14" borderId="0" xfId="1" applyNumberFormat="1" applyFont="1" applyFill="1" applyAlignment="1">
      <alignment horizontal="left" vertical="top" wrapText="1"/>
    </xf>
    <xf numFmtId="165" fontId="16" fillId="14" borderId="0" xfId="1" applyNumberFormat="1" applyFont="1" applyFill="1" applyAlignment="1">
      <alignment horizontal="right" vertical="top" wrapText="1"/>
    </xf>
    <xf numFmtId="0" fontId="0" fillId="0" borderId="0" xfId="0" applyBorder="1"/>
    <xf numFmtId="0" fontId="45" fillId="14" borderId="0" xfId="11" applyFont="1" applyFill="1">
      <alignment vertical="top"/>
    </xf>
    <xf numFmtId="0" fontId="1" fillId="14" borderId="0" xfId="11" applyFill="1">
      <alignment vertical="top"/>
    </xf>
  </cellXfs>
  <cellStyles count="12">
    <cellStyle name="Comma" xfId="1" builtinId="3"/>
    <cellStyle name="EY1dp" xfId="8" xr:uid="{00000000-0005-0000-0000-000001000000}"/>
    <cellStyle name="EYColumnHeading 3" xfId="3" xr:uid="{00000000-0005-0000-0000-000002000000}"/>
    <cellStyle name="EYNotes" xfId="7" xr:uid="{00000000-0005-0000-0000-000003000000}"/>
    <cellStyle name="EYNotesHeading 3" xfId="5" xr:uid="{00000000-0005-0000-0000-000004000000}"/>
    <cellStyle name="EYnumber 2 2" xfId="4" xr:uid="{00000000-0005-0000-0000-000005000000}"/>
    <cellStyle name="EYSource" xfId="9" xr:uid="{00000000-0005-0000-0000-000006000000}"/>
    <cellStyle name="EYtext" xfId="6" xr:uid="{00000000-0005-0000-0000-000007000000}"/>
    <cellStyle name="Invisible" xfId="10" xr:uid="{00000000-0005-0000-0000-000008000000}"/>
    <cellStyle name="Normal" xfId="0" builtinId="0"/>
    <cellStyle name="Normal 6" xfId="11" xr:uid="{EA0F3737-2CA8-4987-BB6A-500743E10E44}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'PepsiCo-IS'!$A$109</c:f>
              <c:strCache>
                <c:ptCount val="1"/>
                <c:pt idx="0">
                  <c:v>EBIT margins (%)-Normalised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'PepsiCo-IS'!$B$108:$I$108</c:f>
              <c:numCache>
                <c:formatCode>d\-mmm\-yy</c:formatCode>
                <c:ptCount val="5"/>
                <c:pt idx="0">
                  <c:v>43100</c:v>
                </c:pt>
                <c:pt idx="1">
                  <c:v>43465</c:v>
                </c:pt>
                <c:pt idx="2">
                  <c:v>43830</c:v>
                </c:pt>
                <c:pt idx="3">
                  <c:v>44196</c:v>
                </c:pt>
                <c:pt idx="4">
                  <c:v>44561</c:v>
                </c:pt>
              </c:numCache>
            </c:numRef>
          </c:cat>
          <c:val>
            <c:numRef>
              <c:f>'PepsiCo-IS'!$B$109:$I$109</c:f>
              <c:numCache>
                <c:formatCode>0.0%</c:formatCode>
                <c:ptCount val="5"/>
                <c:pt idx="0">
                  <c:v>0.16513183785911059</c:v>
                </c:pt>
                <c:pt idx="1">
                  <c:v>0.16424119639349841</c:v>
                </c:pt>
                <c:pt idx="2">
                  <c:v>0.15785947201500872</c:v>
                </c:pt>
                <c:pt idx="3">
                  <c:v>0.14964758710850906</c:v>
                </c:pt>
                <c:pt idx="4">
                  <c:v>0.14361929687696606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6-49DB-8DEF-AABE9C4F2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503568"/>
        <c:axId val="411500944"/>
      </c:lineChart>
      <c:dateAx>
        <c:axId val="411503568"/>
        <c:scaling>
          <c:orientation val="minMax"/>
          <c:max val="44561"/>
          <c:min val="43100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00944"/>
        <c:crosses val="autoZero"/>
        <c:auto val="1"/>
        <c:lblOffset val="100"/>
        <c:baseTimeUnit val="years"/>
      </c:dateAx>
      <c:valAx>
        <c:axId val="41150094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0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E$5" fmlaRange="$AF$6:$AF$7" noThreeD="1" sel="1" val="0"/>
</file>

<file path=xl/ctrlProps/ctrlProp2.xml><?xml version="1.0" encoding="utf-8"?>
<formControlPr xmlns="http://schemas.microsoft.com/office/spreadsheetml/2009/9/main" objectType="Drop" dropStyle="combo" dx="22" fmlaLink="$E$7" fmlaRange="$B$24:$B$25" noThreeD="1" sel="1" val="0"/>
</file>

<file path=xl/ctrlProps/ctrlProp3.xml><?xml version="1.0" encoding="utf-8"?>
<formControlPr xmlns="http://schemas.microsoft.com/office/spreadsheetml/2009/9/main" objectType="Drop" dropStyle="combo" dx="22" fmlaLink="$E$8" fmlaRange="$K$16:$K$1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3</xdr:row>
      <xdr:rowOff>83820</xdr:rowOff>
    </xdr:from>
    <xdr:to>
      <xdr:col>10</xdr:col>
      <xdr:colOff>403860</xdr:colOff>
      <xdr:row>24</xdr:row>
      <xdr:rowOff>43900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96F7C-8461-699D-35B9-5DE252CB1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059180"/>
          <a:ext cx="6004560" cy="34805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3</xdr:row>
          <xdr:rowOff>152400</xdr:rowOff>
        </xdr:from>
        <xdr:to>
          <xdr:col>3</xdr:col>
          <xdr:colOff>746760</xdr:colOff>
          <xdr:row>5</xdr:row>
          <xdr:rowOff>0</xdr:rowOff>
        </xdr:to>
        <xdr:sp macro="" textlink="">
          <xdr:nvSpPr>
            <xdr:cNvPr id="20481" name="Drop Dow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0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2034540</xdr:colOff>
          <xdr:row>6</xdr:row>
          <xdr:rowOff>53340</xdr:rowOff>
        </xdr:from>
        <xdr:to>
          <xdr:col>2</xdr:col>
          <xdr:colOff>990600</xdr:colOff>
          <xdr:row>7</xdr:row>
          <xdr:rowOff>22860</xdr:rowOff>
        </xdr:to>
        <xdr:sp macro="" textlink="">
          <xdr:nvSpPr>
            <xdr:cNvPr id="19458" name="Drop Down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1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2026920</xdr:colOff>
          <xdr:row>7</xdr:row>
          <xdr:rowOff>53340</xdr:rowOff>
        </xdr:from>
        <xdr:to>
          <xdr:col>2</xdr:col>
          <xdr:colOff>982980</xdr:colOff>
          <xdr:row>8</xdr:row>
          <xdr:rowOff>22860</xdr:rowOff>
        </xdr:to>
        <xdr:sp macro="" textlink="">
          <xdr:nvSpPr>
            <xdr:cNvPr id="19462" name="Drop Down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1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58882</xdr:colOff>
      <xdr:row>111</xdr:row>
      <xdr:rowOff>27715</xdr:rowOff>
    </xdr:from>
    <xdr:to>
      <xdr:col>8</xdr:col>
      <xdr:colOff>744682</xdr:colOff>
      <xdr:row>127</xdr:row>
      <xdr:rowOff>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7CD-F39B-4C54-A17A-2B203B07F35A}">
  <dimension ref="A1:N1"/>
  <sheetViews>
    <sheetView showGridLines="0" tabSelected="1" workbookViewId="0">
      <selection activeCell="P12" sqref="P12"/>
    </sheetView>
  </sheetViews>
  <sheetFormatPr defaultRowHeight="13.2" x14ac:dyDescent="0.25"/>
  <cols>
    <col min="1" max="16384" width="8.88671875" style="484"/>
  </cols>
  <sheetData>
    <row r="1" spans="1:14" ht="50.4" x14ac:dyDescent="0.25">
      <c r="A1" s="485" t="s">
        <v>328</v>
      </c>
      <c r="B1" s="486"/>
      <c r="C1" s="486"/>
      <c r="D1" s="486"/>
      <c r="E1" s="486"/>
      <c r="F1" s="486"/>
      <c r="G1" s="486"/>
      <c r="H1" s="486"/>
      <c r="I1" s="486"/>
      <c r="J1" s="486"/>
      <c r="K1" s="486"/>
      <c r="L1" s="486"/>
      <c r="M1" s="486"/>
      <c r="N1" s="48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showGridLines="0" workbookViewId="0">
      <selection activeCell="H11" sqref="H11"/>
    </sheetView>
  </sheetViews>
  <sheetFormatPr defaultColWidth="8.77734375" defaultRowHeight="13.8" x14ac:dyDescent="0.25"/>
  <cols>
    <col min="1" max="1" width="8.77734375" style="5" bestFit="1" customWidth="1"/>
    <col min="2" max="2" width="46.33203125" style="5" bestFit="1" customWidth="1"/>
    <col min="3" max="3" width="14" style="5" customWidth="1"/>
    <col min="4" max="4" width="17.88671875" style="5" customWidth="1"/>
    <col min="5" max="8" width="14" style="5" customWidth="1"/>
    <col min="9" max="31" width="8.77734375" style="5"/>
    <col min="32" max="32" width="17.6640625" style="5" bestFit="1" customWidth="1"/>
    <col min="33" max="253" width="8.77734375" style="5"/>
    <col min="254" max="254" width="8.77734375" style="5" bestFit="1" customWidth="1"/>
    <col min="255" max="255" width="36.44140625" style="5" bestFit="1" customWidth="1"/>
    <col min="256" max="257" width="11.21875" style="5" bestFit="1" customWidth="1"/>
    <col min="258" max="261" width="8.5546875" style="5" bestFit="1" customWidth="1"/>
    <col min="262" max="262" width="8.21875" style="5" bestFit="1" customWidth="1"/>
    <col min="263" max="509" width="8.77734375" style="5"/>
    <col min="510" max="510" width="8.77734375" style="5" bestFit="1" customWidth="1"/>
    <col min="511" max="511" width="36.44140625" style="5" bestFit="1" customWidth="1"/>
    <col min="512" max="513" width="11.21875" style="5" bestFit="1" customWidth="1"/>
    <col min="514" max="517" width="8.5546875" style="5" bestFit="1" customWidth="1"/>
    <col min="518" max="518" width="8.21875" style="5" bestFit="1" customWidth="1"/>
    <col min="519" max="765" width="8.77734375" style="5"/>
    <col min="766" max="766" width="8.77734375" style="5" bestFit="1" customWidth="1"/>
    <col min="767" max="767" width="36.44140625" style="5" bestFit="1" customWidth="1"/>
    <col min="768" max="769" width="11.21875" style="5" bestFit="1" customWidth="1"/>
    <col min="770" max="773" width="8.5546875" style="5" bestFit="1" customWidth="1"/>
    <col min="774" max="774" width="8.21875" style="5" bestFit="1" customWidth="1"/>
    <col min="775" max="1021" width="8.77734375" style="5"/>
    <col min="1022" max="1022" width="8.77734375" style="5" bestFit="1" customWidth="1"/>
    <col min="1023" max="1023" width="36.44140625" style="5" bestFit="1" customWidth="1"/>
    <col min="1024" max="1025" width="11.21875" style="5" bestFit="1" customWidth="1"/>
    <col min="1026" max="1029" width="8.5546875" style="5" bestFit="1" customWidth="1"/>
    <col min="1030" max="1030" width="8.21875" style="5" bestFit="1" customWidth="1"/>
    <col min="1031" max="1277" width="8.77734375" style="5"/>
    <col min="1278" max="1278" width="8.77734375" style="5" bestFit="1" customWidth="1"/>
    <col min="1279" max="1279" width="36.44140625" style="5" bestFit="1" customWidth="1"/>
    <col min="1280" max="1281" width="11.21875" style="5" bestFit="1" customWidth="1"/>
    <col min="1282" max="1285" width="8.5546875" style="5" bestFit="1" customWidth="1"/>
    <col min="1286" max="1286" width="8.21875" style="5" bestFit="1" customWidth="1"/>
    <col min="1287" max="1533" width="8.77734375" style="5"/>
    <col min="1534" max="1534" width="8.77734375" style="5" bestFit="1" customWidth="1"/>
    <col min="1535" max="1535" width="36.44140625" style="5" bestFit="1" customWidth="1"/>
    <col min="1536" max="1537" width="11.21875" style="5" bestFit="1" customWidth="1"/>
    <col min="1538" max="1541" width="8.5546875" style="5" bestFit="1" customWidth="1"/>
    <col min="1542" max="1542" width="8.21875" style="5" bestFit="1" customWidth="1"/>
    <col min="1543" max="1789" width="8.77734375" style="5"/>
    <col min="1790" max="1790" width="8.77734375" style="5" bestFit="1" customWidth="1"/>
    <col min="1791" max="1791" width="36.44140625" style="5" bestFit="1" customWidth="1"/>
    <col min="1792" max="1793" width="11.21875" style="5" bestFit="1" customWidth="1"/>
    <col min="1794" max="1797" width="8.5546875" style="5" bestFit="1" customWidth="1"/>
    <col min="1798" max="1798" width="8.21875" style="5" bestFit="1" customWidth="1"/>
    <col min="1799" max="2045" width="8.77734375" style="5"/>
    <col min="2046" max="2046" width="8.77734375" style="5" bestFit="1" customWidth="1"/>
    <col min="2047" max="2047" width="36.44140625" style="5" bestFit="1" customWidth="1"/>
    <col min="2048" max="2049" width="11.21875" style="5" bestFit="1" customWidth="1"/>
    <col min="2050" max="2053" width="8.5546875" style="5" bestFit="1" customWidth="1"/>
    <col min="2054" max="2054" width="8.21875" style="5" bestFit="1" customWidth="1"/>
    <col min="2055" max="2301" width="8.77734375" style="5"/>
    <col min="2302" max="2302" width="8.77734375" style="5" bestFit="1" customWidth="1"/>
    <col min="2303" max="2303" width="36.44140625" style="5" bestFit="1" customWidth="1"/>
    <col min="2304" max="2305" width="11.21875" style="5" bestFit="1" customWidth="1"/>
    <col min="2306" max="2309" width="8.5546875" style="5" bestFit="1" customWidth="1"/>
    <col min="2310" max="2310" width="8.21875" style="5" bestFit="1" customWidth="1"/>
    <col min="2311" max="2557" width="8.77734375" style="5"/>
    <col min="2558" max="2558" width="8.77734375" style="5" bestFit="1" customWidth="1"/>
    <col min="2559" max="2559" width="36.44140625" style="5" bestFit="1" customWidth="1"/>
    <col min="2560" max="2561" width="11.21875" style="5" bestFit="1" customWidth="1"/>
    <col min="2562" max="2565" width="8.5546875" style="5" bestFit="1" customWidth="1"/>
    <col min="2566" max="2566" width="8.21875" style="5" bestFit="1" customWidth="1"/>
    <col min="2567" max="2813" width="8.77734375" style="5"/>
    <col min="2814" max="2814" width="8.77734375" style="5" bestFit="1" customWidth="1"/>
    <col min="2815" max="2815" width="36.44140625" style="5" bestFit="1" customWidth="1"/>
    <col min="2816" max="2817" width="11.21875" style="5" bestFit="1" customWidth="1"/>
    <col min="2818" max="2821" width="8.5546875" style="5" bestFit="1" customWidth="1"/>
    <col min="2822" max="2822" width="8.21875" style="5" bestFit="1" customWidth="1"/>
    <col min="2823" max="3069" width="8.77734375" style="5"/>
    <col min="3070" max="3070" width="8.77734375" style="5" bestFit="1" customWidth="1"/>
    <col min="3071" max="3071" width="36.44140625" style="5" bestFit="1" customWidth="1"/>
    <col min="3072" max="3073" width="11.21875" style="5" bestFit="1" customWidth="1"/>
    <col min="3074" max="3077" width="8.5546875" style="5" bestFit="1" customWidth="1"/>
    <col min="3078" max="3078" width="8.21875" style="5" bestFit="1" customWidth="1"/>
    <col min="3079" max="3325" width="8.77734375" style="5"/>
    <col min="3326" max="3326" width="8.77734375" style="5" bestFit="1" customWidth="1"/>
    <col min="3327" max="3327" width="36.44140625" style="5" bestFit="1" customWidth="1"/>
    <col min="3328" max="3329" width="11.21875" style="5" bestFit="1" customWidth="1"/>
    <col min="3330" max="3333" width="8.5546875" style="5" bestFit="1" customWidth="1"/>
    <col min="3334" max="3334" width="8.21875" style="5" bestFit="1" customWidth="1"/>
    <col min="3335" max="3581" width="8.77734375" style="5"/>
    <col min="3582" max="3582" width="8.77734375" style="5" bestFit="1" customWidth="1"/>
    <col min="3583" max="3583" width="36.44140625" style="5" bestFit="1" customWidth="1"/>
    <col min="3584" max="3585" width="11.21875" style="5" bestFit="1" customWidth="1"/>
    <col min="3586" max="3589" width="8.5546875" style="5" bestFit="1" customWidth="1"/>
    <col min="3590" max="3590" width="8.21875" style="5" bestFit="1" customWidth="1"/>
    <col min="3591" max="3837" width="8.77734375" style="5"/>
    <col min="3838" max="3838" width="8.77734375" style="5" bestFit="1" customWidth="1"/>
    <col min="3839" max="3839" width="36.44140625" style="5" bestFit="1" customWidth="1"/>
    <col min="3840" max="3841" width="11.21875" style="5" bestFit="1" customWidth="1"/>
    <col min="3842" max="3845" width="8.5546875" style="5" bestFit="1" customWidth="1"/>
    <col min="3846" max="3846" width="8.21875" style="5" bestFit="1" customWidth="1"/>
    <col min="3847" max="4093" width="8.77734375" style="5"/>
    <col min="4094" max="4094" width="8.77734375" style="5" bestFit="1" customWidth="1"/>
    <col min="4095" max="4095" width="36.44140625" style="5" bestFit="1" customWidth="1"/>
    <col min="4096" max="4097" width="11.21875" style="5" bestFit="1" customWidth="1"/>
    <col min="4098" max="4101" width="8.5546875" style="5" bestFit="1" customWidth="1"/>
    <col min="4102" max="4102" width="8.21875" style="5" bestFit="1" customWidth="1"/>
    <col min="4103" max="4349" width="8.77734375" style="5"/>
    <col min="4350" max="4350" width="8.77734375" style="5" bestFit="1" customWidth="1"/>
    <col min="4351" max="4351" width="36.44140625" style="5" bestFit="1" customWidth="1"/>
    <col min="4352" max="4353" width="11.21875" style="5" bestFit="1" customWidth="1"/>
    <col min="4354" max="4357" width="8.5546875" style="5" bestFit="1" customWidth="1"/>
    <col min="4358" max="4358" width="8.21875" style="5" bestFit="1" customWidth="1"/>
    <col min="4359" max="4605" width="8.77734375" style="5"/>
    <col min="4606" max="4606" width="8.77734375" style="5" bestFit="1" customWidth="1"/>
    <col min="4607" max="4607" width="36.44140625" style="5" bestFit="1" customWidth="1"/>
    <col min="4608" max="4609" width="11.21875" style="5" bestFit="1" customWidth="1"/>
    <col min="4610" max="4613" width="8.5546875" style="5" bestFit="1" customWidth="1"/>
    <col min="4614" max="4614" width="8.21875" style="5" bestFit="1" customWidth="1"/>
    <col min="4615" max="4861" width="8.77734375" style="5"/>
    <col min="4862" max="4862" width="8.77734375" style="5" bestFit="1" customWidth="1"/>
    <col min="4863" max="4863" width="36.44140625" style="5" bestFit="1" customWidth="1"/>
    <col min="4864" max="4865" width="11.21875" style="5" bestFit="1" customWidth="1"/>
    <col min="4866" max="4869" width="8.5546875" style="5" bestFit="1" customWidth="1"/>
    <col min="4870" max="4870" width="8.21875" style="5" bestFit="1" customWidth="1"/>
    <col min="4871" max="5117" width="8.77734375" style="5"/>
    <col min="5118" max="5118" width="8.77734375" style="5" bestFit="1" customWidth="1"/>
    <col min="5119" max="5119" width="36.44140625" style="5" bestFit="1" customWidth="1"/>
    <col min="5120" max="5121" width="11.21875" style="5" bestFit="1" customWidth="1"/>
    <col min="5122" max="5125" width="8.5546875" style="5" bestFit="1" customWidth="1"/>
    <col min="5126" max="5126" width="8.21875" style="5" bestFit="1" customWidth="1"/>
    <col min="5127" max="5373" width="8.77734375" style="5"/>
    <col min="5374" max="5374" width="8.77734375" style="5" bestFit="1" customWidth="1"/>
    <col min="5375" max="5375" width="36.44140625" style="5" bestFit="1" customWidth="1"/>
    <col min="5376" max="5377" width="11.21875" style="5" bestFit="1" customWidth="1"/>
    <col min="5378" max="5381" width="8.5546875" style="5" bestFit="1" customWidth="1"/>
    <col min="5382" max="5382" width="8.21875" style="5" bestFit="1" customWidth="1"/>
    <col min="5383" max="5629" width="8.77734375" style="5"/>
    <col min="5630" max="5630" width="8.77734375" style="5" bestFit="1" customWidth="1"/>
    <col min="5631" max="5631" width="36.44140625" style="5" bestFit="1" customWidth="1"/>
    <col min="5632" max="5633" width="11.21875" style="5" bestFit="1" customWidth="1"/>
    <col min="5634" max="5637" width="8.5546875" style="5" bestFit="1" customWidth="1"/>
    <col min="5638" max="5638" width="8.21875" style="5" bestFit="1" customWidth="1"/>
    <col min="5639" max="5885" width="8.77734375" style="5"/>
    <col min="5886" max="5886" width="8.77734375" style="5" bestFit="1" customWidth="1"/>
    <col min="5887" max="5887" width="36.44140625" style="5" bestFit="1" customWidth="1"/>
    <col min="5888" max="5889" width="11.21875" style="5" bestFit="1" customWidth="1"/>
    <col min="5890" max="5893" width="8.5546875" style="5" bestFit="1" customWidth="1"/>
    <col min="5894" max="5894" width="8.21875" style="5" bestFit="1" customWidth="1"/>
    <col min="5895" max="6141" width="8.77734375" style="5"/>
    <col min="6142" max="6142" width="8.77734375" style="5" bestFit="1" customWidth="1"/>
    <col min="6143" max="6143" width="36.44140625" style="5" bestFit="1" customWidth="1"/>
    <col min="6144" max="6145" width="11.21875" style="5" bestFit="1" customWidth="1"/>
    <col min="6146" max="6149" width="8.5546875" style="5" bestFit="1" customWidth="1"/>
    <col min="6150" max="6150" width="8.21875" style="5" bestFit="1" customWidth="1"/>
    <col min="6151" max="6397" width="8.77734375" style="5"/>
    <col min="6398" max="6398" width="8.77734375" style="5" bestFit="1" customWidth="1"/>
    <col min="6399" max="6399" width="36.44140625" style="5" bestFit="1" customWidth="1"/>
    <col min="6400" max="6401" width="11.21875" style="5" bestFit="1" customWidth="1"/>
    <col min="6402" max="6405" width="8.5546875" style="5" bestFit="1" customWidth="1"/>
    <col min="6406" max="6406" width="8.21875" style="5" bestFit="1" customWidth="1"/>
    <col min="6407" max="6653" width="8.77734375" style="5"/>
    <col min="6654" max="6654" width="8.77734375" style="5" bestFit="1" customWidth="1"/>
    <col min="6655" max="6655" width="36.44140625" style="5" bestFit="1" customWidth="1"/>
    <col min="6656" max="6657" width="11.21875" style="5" bestFit="1" customWidth="1"/>
    <col min="6658" max="6661" width="8.5546875" style="5" bestFit="1" customWidth="1"/>
    <col min="6662" max="6662" width="8.21875" style="5" bestFit="1" customWidth="1"/>
    <col min="6663" max="6909" width="8.77734375" style="5"/>
    <col min="6910" max="6910" width="8.77734375" style="5" bestFit="1" customWidth="1"/>
    <col min="6911" max="6911" width="36.44140625" style="5" bestFit="1" customWidth="1"/>
    <col min="6912" max="6913" width="11.21875" style="5" bestFit="1" customWidth="1"/>
    <col min="6914" max="6917" width="8.5546875" style="5" bestFit="1" customWidth="1"/>
    <col min="6918" max="6918" width="8.21875" style="5" bestFit="1" customWidth="1"/>
    <col min="6919" max="7165" width="8.77734375" style="5"/>
    <col min="7166" max="7166" width="8.77734375" style="5" bestFit="1" customWidth="1"/>
    <col min="7167" max="7167" width="36.44140625" style="5" bestFit="1" customWidth="1"/>
    <col min="7168" max="7169" width="11.21875" style="5" bestFit="1" customWidth="1"/>
    <col min="7170" max="7173" width="8.5546875" style="5" bestFit="1" customWidth="1"/>
    <col min="7174" max="7174" width="8.21875" style="5" bestFit="1" customWidth="1"/>
    <col min="7175" max="7421" width="8.77734375" style="5"/>
    <col min="7422" max="7422" width="8.77734375" style="5" bestFit="1" customWidth="1"/>
    <col min="7423" max="7423" width="36.44140625" style="5" bestFit="1" customWidth="1"/>
    <col min="7424" max="7425" width="11.21875" style="5" bestFit="1" customWidth="1"/>
    <col min="7426" max="7429" width="8.5546875" style="5" bestFit="1" customWidth="1"/>
    <col min="7430" max="7430" width="8.21875" style="5" bestFit="1" customWidth="1"/>
    <col min="7431" max="7677" width="8.77734375" style="5"/>
    <col min="7678" max="7678" width="8.77734375" style="5" bestFit="1" customWidth="1"/>
    <col min="7679" max="7679" width="36.44140625" style="5" bestFit="1" customWidth="1"/>
    <col min="7680" max="7681" width="11.21875" style="5" bestFit="1" customWidth="1"/>
    <col min="7682" max="7685" width="8.5546875" style="5" bestFit="1" customWidth="1"/>
    <col min="7686" max="7686" width="8.21875" style="5" bestFit="1" customWidth="1"/>
    <col min="7687" max="7933" width="8.77734375" style="5"/>
    <col min="7934" max="7934" width="8.77734375" style="5" bestFit="1" customWidth="1"/>
    <col min="7935" max="7935" width="36.44140625" style="5" bestFit="1" customWidth="1"/>
    <col min="7936" max="7937" width="11.21875" style="5" bestFit="1" customWidth="1"/>
    <col min="7938" max="7941" width="8.5546875" style="5" bestFit="1" customWidth="1"/>
    <col min="7942" max="7942" width="8.21875" style="5" bestFit="1" customWidth="1"/>
    <col min="7943" max="8189" width="8.77734375" style="5"/>
    <col min="8190" max="8190" width="8.77734375" style="5" bestFit="1" customWidth="1"/>
    <col min="8191" max="8191" width="36.44140625" style="5" bestFit="1" customWidth="1"/>
    <col min="8192" max="8193" width="11.21875" style="5" bestFit="1" customWidth="1"/>
    <col min="8194" max="8197" width="8.5546875" style="5" bestFit="1" customWidth="1"/>
    <col min="8198" max="8198" width="8.21875" style="5" bestFit="1" customWidth="1"/>
    <col min="8199" max="8445" width="8.77734375" style="5"/>
    <col min="8446" max="8446" width="8.77734375" style="5" bestFit="1" customWidth="1"/>
    <col min="8447" max="8447" width="36.44140625" style="5" bestFit="1" customWidth="1"/>
    <col min="8448" max="8449" width="11.21875" style="5" bestFit="1" customWidth="1"/>
    <col min="8450" max="8453" width="8.5546875" style="5" bestFit="1" customWidth="1"/>
    <col min="8454" max="8454" width="8.21875" style="5" bestFit="1" customWidth="1"/>
    <col min="8455" max="8701" width="8.77734375" style="5"/>
    <col min="8702" max="8702" width="8.77734375" style="5" bestFit="1" customWidth="1"/>
    <col min="8703" max="8703" width="36.44140625" style="5" bestFit="1" customWidth="1"/>
    <col min="8704" max="8705" width="11.21875" style="5" bestFit="1" customWidth="1"/>
    <col min="8706" max="8709" width="8.5546875" style="5" bestFit="1" customWidth="1"/>
    <col min="8710" max="8710" width="8.21875" style="5" bestFit="1" customWidth="1"/>
    <col min="8711" max="8957" width="8.77734375" style="5"/>
    <col min="8958" max="8958" width="8.77734375" style="5" bestFit="1" customWidth="1"/>
    <col min="8959" max="8959" width="36.44140625" style="5" bestFit="1" customWidth="1"/>
    <col min="8960" max="8961" width="11.21875" style="5" bestFit="1" customWidth="1"/>
    <col min="8962" max="8965" width="8.5546875" style="5" bestFit="1" customWidth="1"/>
    <col min="8966" max="8966" width="8.21875" style="5" bestFit="1" customWidth="1"/>
    <col min="8967" max="9213" width="8.77734375" style="5"/>
    <col min="9214" max="9214" width="8.77734375" style="5" bestFit="1" customWidth="1"/>
    <col min="9215" max="9215" width="36.44140625" style="5" bestFit="1" customWidth="1"/>
    <col min="9216" max="9217" width="11.21875" style="5" bestFit="1" customWidth="1"/>
    <col min="9218" max="9221" width="8.5546875" style="5" bestFit="1" customWidth="1"/>
    <col min="9222" max="9222" width="8.21875" style="5" bestFit="1" customWidth="1"/>
    <col min="9223" max="9469" width="8.77734375" style="5"/>
    <col min="9470" max="9470" width="8.77734375" style="5" bestFit="1" customWidth="1"/>
    <col min="9471" max="9471" width="36.44140625" style="5" bestFit="1" customWidth="1"/>
    <col min="9472" max="9473" width="11.21875" style="5" bestFit="1" customWidth="1"/>
    <col min="9474" max="9477" width="8.5546875" style="5" bestFit="1" customWidth="1"/>
    <col min="9478" max="9478" width="8.21875" style="5" bestFit="1" customWidth="1"/>
    <col min="9479" max="9725" width="8.77734375" style="5"/>
    <col min="9726" max="9726" width="8.77734375" style="5" bestFit="1" customWidth="1"/>
    <col min="9727" max="9727" width="36.44140625" style="5" bestFit="1" customWidth="1"/>
    <col min="9728" max="9729" width="11.21875" style="5" bestFit="1" customWidth="1"/>
    <col min="9730" max="9733" width="8.5546875" style="5" bestFit="1" customWidth="1"/>
    <col min="9734" max="9734" width="8.21875" style="5" bestFit="1" customWidth="1"/>
    <col min="9735" max="9981" width="8.77734375" style="5"/>
    <col min="9982" max="9982" width="8.77734375" style="5" bestFit="1" customWidth="1"/>
    <col min="9983" max="9983" width="36.44140625" style="5" bestFit="1" customWidth="1"/>
    <col min="9984" max="9985" width="11.21875" style="5" bestFit="1" customWidth="1"/>
    <col min="9986" max="9989" width="8.5546875" style="5" bestFit="1" customWidth="1"/>
    <col min="9990" max="9990" width="8.21875" style="5" bestFit="1" customWidth="1"/>
    <col min="9991" max="10237" width="8.77734375" style="5"/>
    <col min="10238" max="10238" width="8.77734375" style="5" bestFit="1" customWidth="1"/>
    <col min="10239" max="10239" width="36.44140625" style="5" bestFit="1" customWidth="1"/>
    <col min="10240" max="10241" width="11.21875" style="5" bestFit="1" customWidth="1"/>
    <col min="10242" max="10245" width="8.5546875" style="5" bestFit="1" customWidth="1"/>
    <col min="10246" max="10246" width="8.21875" style="5" bestFit="1" customWidth="1"/>
    <col min="10247" max="10493" width="8.77734375" style="5"/>
    <col min="10494" max="10494" width="8.77734375" style="5" bestFit="1" customWidth="1"/>
    <col min="10495" max="10495" width="36.44140625" style="5" bestFit="1" customWidth="1"/>
    <col min="10496" max="10497" width="11.21875" style="5" bestFit="1" customWidth="1"/>
    <col min="10498" max="10501" width="8.5546875" style="5" bestFit="1" customWidth="1"/>
    <col min="10502" max="10502" width="8.21875" style="5" bestFit="1" customWidth="1"/>
    <col min="10503" max="10749" width="8.77734375" style="5"/>
    <col min="10750" max="10750" width="8.77734375" style="5" bestFit="1" customWidth="1"/>
    <col min="10751" max="10751" width="36.44140625" style="5" bestFit="1" customWidth="1"/>
    <col min="10752" max="10753" width="11.21875" style="5" bestFit="1" customWidth="1"/>
    <col min="10754" max="10757" width="8.5546875" style="5" bestFit="1" customWidth="1"/>
    <col min="10758" max="10758" width="8.21875" style="5" bestFit="1" customWidth="1"/>
    <col min="10759" max="11005" width="8.77734375" style="5"/>
    <col min="11006" max="11006" width="8.77734375" style="5" bestFit="1" customWidth="1"/>
    <col min="11007" max="11007" width="36.44140625" style="5" bestFit="1" customWidth="1"/>
    <col min="11008" max="11009" width="11.21875" style="5" bestFit="1" customWidth="1"/>
    <col min="11010" max="11013" width="8.5546875" style="5" bestFit="1" customWidth="1"/>
    <col min="11014" max="11014" width="8.21875" style="5" bestFit="1" customWidth="1"/>
    <col min="11015" max="11261" width="8.77734375" style="5"/>
    <col min="11262" max="11262" width="8.77734375" style="5" bestFit="1" customWidth="1"/>
    <col min="11263" max="11263" width="36.44140625" style="5" bestFit="1" customWidth="1"/>
    <col min="11264" max="11265" width="11.21875" style="5" bestFit="1" customWidth="1"/>
    <col min="11266" max="11269" width="8.5546875" style="5" bestFit="1" customWidth="1"/>
    <col min="11270" max="11270" width="8.21875" style="5" bestFit="1" customWidth="1"/>
    <col min="11271" max="11517" width="8.77734375" style="5"/>
    <col min="11518" max="11518" width="8.77734375" style="5" bestFit="1" customWidth="1"/>
    <col min="11519" max="11519" width="36.44140625" style="5" bestFit="1" customWidth="1"/>
    <col min="11520" max="11521" width="11.21875" style="5" bestFit="1" customWidth="1"/>
    <col min="11522" max="11525" width="8.5546875" style="5" bestFit="1" customWidth="1"/>
    <col min="11526" max="11526" width="8.21875" style="5" bestFit="1" customWidth="1"/>
    <col min="11527" max="11773" width="8.77734375" style="5"/>
    <col min="11774" max="11774" width="8.77734375" style="5" bestFit="1" customWidth="1"/>
    <col min="11775" max="11775" width="36.44140625" style="5" bestFit="1" customWidth="1"/>
    <col min="11776" max="11777" width="11.21875" style="5" bestFit="1" customWidth="1"/>
    <col min="11778" max="11781" width="8.5546875" style="5" bestFit="1" customWidth="1"/>
    <col min="11782" max="11782" width="8.21875" style="5" bestFit="1" customWidth="1"/>
    <col min="11783" max="12029" width="8.77734375" style="5"/>
    <col min="12030" max="12030" width="8.77734375" style="5" bestFit="1" customWidth="1"/>
    <col min="12031" max="12031" width="36.44140625" style="5" bestFit="1" customWidth="1"/>
    <col min="12032" max="12033" width="11.21875" style="5" bestFit="1" customWidth="1"/>
    <col min="12034" max="12037" width="8.5546875" style="5" bestFit="1" customWidth="1"/>
    <col min="12038" max="12038" width="8.21875" style="5" bestFit="1" customWidth="1"/>
    <col min="12039" max="12285" width="8.77734375" style="5"/>
    <col min="12286" max="12286" width="8.77734375" style="5" bestFit="1" customWidth="1"/>
    <col min="12287" max="12287" width="36.44140625" style="5" bestFit="1" customWidth="1"/>
    <col min="12288" max="12289" width="11.21875" style="5" bestFit="1" customWidth="1"/>
    <col min="12290" max="12293" width="8.5546875" style="5" bestFit="1" customWidth="1"/>
    <col min="12294" max="12294" width="8.21875" style="5" bestFit="1" customWidth="1"/>
    <col min="12295" max="12541" width="8.77734375" style="5"/>
    <col min="12542" max="12542" width="8.77734375" style="5" bestFit="1" customWidth="1"/>
    <col min="12543" max="12543" width="36.44140625" style="5" bestFit="1" customWidth="1"/>
    <col min="12544" max="12545" width="11.21875" style="5" bestFit="1" customWidth="1"/>
    <col min="12546" max="12549" width="8.5546875" style="5" bestFit="1" customWidth="1"/>
    <col min="12550" max="12550" width="8.21875" style="5" bestFit="1" customWidth="1"/>
    <col min="12551" max="12797" width="8.77734375" style="5"/>
    <col min="12798" max="12798" width="8.77734375" style="5" bestFit="1" customWidth="1"/>
    <col min="12799" max="12799" width="36.44140625" style="5" bestFit="1" customWidth="1"/>
    <col min="12800" max="12801" width="11.21875" style="5" bestFit="1" customWidth="1"/>
    <col min="12802" max="12805" width="8.5546875" style="5" bestFit="1" customWidth="1"/>
    <col min="12806" max="12806" width="8.21875" style="5" bestFit="1" customWidth="1"/>
    <col min="12807" max="13053" width="8.77734375" style="5"/>
    <col min="13054" max="13054" width="8.77734375" style="5" bestFit="1" customWidth="1"/>
    <col min="13055" max="13055" width="36.44140625" style="5" bestFit="1" customWidth="1"/>
    <col min="13056" max="13057" width="11.21875" style="5" bestFit="1" customWidth="1"/>
    <col min="13058" max="13061" width="8.5546875" style="5" bestFit="1" customWidth="1"/>
    <col min="13062" max="13062" width="8.21875" style="5" bestFit="1" customWidth="1"/>
    <col min="13063" max="13309" width="8.77734375" style="5"/>
    <col min="13310" max="13310" width="8.77734375" style="5" bestFit="1" customWidth="1"/>
    <col min="13311" max="13311" width="36.44140625" style="5" bestFit="1" customWidth="1"/>
    <col min="13312" max="13313" width="11.21875" style="5" bestFit="1" customWidth="1"/>
    <col min="13314" max="13317" width="8.5546875" style="5" bestFit="1" customWidth="1"/>
    <col min="13318" max="13318" width="8.21875" style="5" bestFit="1" customWidth="1"/>
    <col min="13319" max="13565" width="8.77734375" style="5"/>
    <col min="13566" max="13566" width="8.77734375" style="5" bestFit="1" customWidth="1"/>
    <col min="13567" max="13567" width="36.44140625" style="5" bestFit="1" customWidth="1"/>
    <col min="13568" max="13569" width="11.21875" style="5" bestFit="1" customWidth="1"/>
    <col min="13570" max="13573" width="8.5546875" style="5" bestFit="1" customWidth="1"/>
    <col min="13574" max="13574" width="8.21875" style="5" bestFit="1" customWidth="1"/>
    <col min="13575" max="13821" width="8.77734375" style="5"/>
    <col min="13822" max="13822" width="8.77734375" style="5" bestFit="1" customWidth="1"/>
    <col min="13823" max="13823" width="36.44140625" style="5" bestFit="1" customWidth="1"/>
    <col min="13824" max="13825" width="11.21875" style="5" bestFit="1" customWidth="1"/>
    <col min="13826" max="13829" width="8.5546875" style="5" bestFit="1" customWidth="1"/>
    <col min="13830" max="13830" width="8.21875" style="5" bestFit="1" customWidth="1"/>
    <col min="13831" max="14077" width="8.77734375" style="5"/>
    <col min="14078" max="14078" width="8.77734375" style="5" bestFit="1" customWidth="1"/>
    <col min="14079" max="14079" width="36.44140625" style="5" bestFit="1" customWidth="1"/>
    <col min="14080" max="14081" width="11.21875" style="5" bestFit="1" customWidth="1"/>
    <col min="14082" max="14085" width="8.5546875" style="5" bestFit="1" customWidth="1"/>
    <col min="14086" max="14086" width="8.21875" style="5" bestFit="1" customWidth="1"/>
    <col min="14087" max="14333" width="8.77734375" style="5"/>
    <col min="14334" max="14334" width="8.77734375" style="5" bestFit="1" customWidth="1"/>
    <col min="14335" max="14335" width="36.44140625" style="5" bestFit="1" customWidth="1"/>
    <col min="14336" max="14337" width="11.21875" style="5" bestFit="1" customWidth="1"/>
    <col min="14338" max="14341" width="8.5546875" style="5" bestFit="1" customWidth="1"/>
    <col min="14342" max="14342" width="8.21875" style="5" bestFit="1" customWidth="1"/>
    <col min="14343" max="14589" width="8.77734375" style="5"/>
    <col min="14590" max="14590" width="8.77734375" style="5" bestFit="1" customWidth="1"/>
    <col min="14591" max="14591" width="36.44140625" style="5" bestFit="1" customWidth="1"/>
    <col min="14592" max="14593" width="11.21875" style="5" bestFit="1" customWidth="1"/>
    <col min="14594" max="14597" width="8.5546875" style="5" bestFit="1" customWidth="1"/>
    <col min="14598" max="14598" width="8.21875" style="5" bestFit="1" customWidth="1"/>
    <col min="14599" max="14845" width="8.77734375" style="5"/>
    <col min="14846" max="14846" width="8.77734375" style="5" bestFit="1" customWidth="1"/>
    <col min="14847" max="14847" width="36.44140625" style="5" bestFit="1" customWidth="1"/>
    <col min="14848" max="14849" width="11.21875" style="5" bestFit="1" customWidth="1"/>
    <col min="14850" max="14853" width="8.5546875" style="5" bestFit="1" customWidth="1"/>
    <col min="14854" max="14854" width="8.21875" style="5" bestFit="1" customWidth="1"/>
    <col min="14855" max="15101" width="8.77734375" style="5"/>
    <col min="15102" max="15102" width="8.77734375" style="5" bestFit="1" customWidth="1"/>
    <col min="15103" max="15103" width="36.44140625" style="5" bestFit="1" customWidth="1"/>
    <col min="15104" max="15105" width="11.21875" style="5" bestFit="1" customWidth="1"/>
    <col min="15106" max="15109" width="8.5546875" style="5" bestFit="1" customWidth="1"/>
    <col min="15110" max="15110" width="8.21875" style="5" bestFit="1" customWidth="1"/>
    <col min="15111" max="15357" width="8.77734375" style="5"/>
    <col min="15358" max="15358" width="8.77734375" style="5" bestFit="1" customWidth="1"/>
    <col min="15359" max="15359" width="36.44140625" style="5" bestFit="1" customWidth="1"/>
    <col min="15360" max="15361" width="11.21875" style="5" bestFit="1" customWidth="1"/>
    <col min="15362" max="15365" width="8.5546875" style="5" bestFit="1" customWidth="1"/>
    <col min="15366" max="15366" width="8.21875" style="5" bestFit="1" customWidth="1"/>
    <col min="15367" max="15613" width="8.77734375" style="5"/>
    <col min="15614" max="15614" width="8.77734375" style="5" bestFit="1" customWidth="1"/>
    <col min="15615" max="15615" width="36.44140625" style="5" bestFit="1" customWidth="1"/>
    <col min="15616" max="15617" width="11.21875" style="5" bestFit="1" customWidth="1"/>
    <col min="15618" max="15621" width="8.5546875" style="5" bestFit="1" customWidth="1"/>
    <col min="15622" max="15622" width="8.21875" style="5" bestFit="1" customWidth="1"/>
    <col min="15623" max="15869" width="8.77734375" style="5"/>
    <col min="15870" max="15870" width="8.77734375" style="5" bestFit="1" customWidth="1"/>
    <col min="15871" max="15871" width="36.44140625" style="5" bestFit="1" customWidth="1"/>
    <col min="15872" max="15873" width="11.21875" style="5" bestFit="1" customWidth="1"/>
    <col min="15874" max="15877" width="8.5546875" style="5" bestFit="1" customWidth="1"/>
    <col min="15878" max="15878" width="8.21875" style="5" bestFit="1" customWidth="1"/>
    <col min="15879" max="16125" width="8.77734375" style="5"/>
    <col min="16126" max="16126" width="8.77734375" style="5" bestFit="1" customWidth="1"/>
    <col min="16127" max="16127" width="36.44140625" style="5" bestFit="1" customWidth="1"/>
    <col min="16128" max="16129" width="11.21875" style="5" bestFit="1" customWidth="1"/>
    <col min="16130" max="16133" width="8.5546875" style="5" bestFit="1" customWidth="1"/>
    <col min="16134" max="16134" width="8.21875" style="5" bestFit="1" customWidth="1"/>
    <col min="16135" max="16384" width="8.77734375" style="5"/>
  </cols>
  <sheetData>
    <row r="1" spans="2:32" x14ac:dyDescent="0.25">
      <c r="B1" s="53" t="s">
        <v>231</v>
      </c>
      <c r="H1" s="5" t="s">
        <v>62</v>
      </c>
    </row>
    <row r="2" spans="2:32" x14ac:dyDescent="0.25">
      <c r="B2" s="43" t="str">
        <f>'PepsiCo-IS'!A2</f>
        <v>(in USD million except per Share Data)</v>
      </c>
    </row>
    <row r="3" spans="2:32" x14ac:dyDescent="0.25">
      <c r="B3" s="5" t="s">
        <v>222</v>
      </c>
      <c r="C3" s="301">
        <v>44810</v>
      </c>
    </row>
    <row r="5" spans="2:32" x14ac:dyDescent="0.25">
      <c r="B5" s="5" t="s">
        <v>224</v>
      </c>
      <c r="E5" s="39">
        <v>1</v>
      </c>
    </row>
    <row r="6" spans="2:32" x14ac:dyDescent="0.25">
      <c r="AF6" s="5" t="s">
        <v>225</v>
      </c>
    </row>
    <row r="7" spans="2:32" s="26" customFormat="1" x14ac:dyDescent="0.25">
      <c r="B7" s="40"/>
      <c r="C7" s="139"/>
      <c r="D7" s="139"/>
      <c r="E7" s="139"/>
      <c r="F7" s="139"/>
      <c r="G7" s="139"/>
      <c r="H7" s="56"/>
      <c r="AF7" s="5" t="s">
        <v>226</v>
      </c>
    </row>
    <row r="8" spans="2:32" s="26" customFormat="1" x14ac:dyDescent="0.25">
      <c r="B8" s="423" t="s">
        <v>0</v>
      </c>
      <c r="C8" s="424">
        <f>'PepsiCo-IS'!J4</f>
        <v>44926</v>
      </c>
      <c r="D8" s="424">
        <f>'PepsiCo-IS'!K4</f>
        <v>45291</v>
      </c>
      <c r="E8" s="424">
        <f>'PepsiCo-IS'!L4</f>
        <v>45657</v>
      </c>
      <c r="F8" s="424">
        <f>'PepsiCo-IS'!M4</f>
        <v>46022</v>
      </c>
      <c r="G8" s="424">
        <f>'PepsiCo-IS'!N4</f>
        <v>46387</v>
      </c>
      <c r="H8" s="56"/>
      <c r="J8" s="5"/>
      <c r="K8" s="45"/>
    </row>
    <row r="9" spans="2:32" s="26" customFormat="1" x14ac:dyDescent="0.25">
      <c r="B9" s="40"/>
      <c r="C9" s="219">
        <v>1</v>
      </c>
      <c r="D9" s="415">
        <f>C9+1</f>
        <v>2</v>
      </c>
      <c r="E9" s="415">
        <f t="shared" ref="E9:G9" si="0">D9+1</f>
        <v>3</v>
      </c>
      <c r="F9" s="415">
        <f t="shared" si="0"/>
        <v>4</v>
      </c>
      <c r="G9" s="415">
        <f t="shared" si="0"/>
        <v>5</v>
      </c>
      <c r="H9" s="56"/>
    </row>
    <row r="10" spans="2:32" x14ac:dyDescent="0.25">
      <c r="B10" s="5" t="s">
        <v>1</v>
      </c>
      <c r="C10" s="39">
        <f>'PepsiCo-IS'!J22</f>
        <v>12072.765554336791</v>
      </c>
      <c r="D10" s="39">
        <f>'PepsiCo-IS'!K22</f>
        <v>12870.110408815453</v>
      </c>
      <c r="E10" s="39">
        <f>'PepsiCo-IS'!L22</f>
        <v>13720.2516708521</v>
      </c>
      <c r="F10" s="39">
        <f>'PepsiCo-IS'!M22</f>
        <v>14627.001024202196</v>
      </c>
      <c r="G10" s="39">
        <f>'PepsiCo-IS'!N22</f>
        <v>15594.454616565657</v>
      </c>
      <c r="H10" s="39"/>
    </row>
    <row r="11" spans="2:32" x14ac:dyDescent="0.25">
      <c r="B11" s="5" t="s">
        <v>216</v>
      </c>
      <c r="C11" s="45">
        <f>'PepsiCo-IS'!J68</f>
        <v>0.20105847882079242</v>
      </c>
      <c r="D11" s="45">
        <f>C11+($H$11-$C$11)/4</f>
        <v>0.21829385911559432</v>
      </c>
      <c r="E11" s="45">
        <f>D11+($H$11-$C$11)/4</f>
        <v>0.23552923941039622</v>
      </c>
      <c r="F11" s="45">
        <f>E11+($H$11-$C$11)/4</f>
        <v>0.25276461970519815</v>
      </c>
      <c r="G11" s="45">
        <f>F11+($H$11-$C$11)/4</f>
        <v>0.27</v>
      </c>
      <c r="H11" s="200">
        <v>0.27</v>
      </c>
    </row>
    <row r="12" spans="2:32" x14ac:dyDescent="0.25">
      <c r="B12" s="24" t="s">
        <v>2</v>
      </c>
      <c r="C12" s="52">
        <f>-C10*C11</f>
        <v>-2427.331877515016</v>
      </c>
      <c r="D12" s="52">
        <f t="shared" ref="D12:G12" si="1">-D10*D11</f>
        <v>-2809.4660683841048</v>
      </c>
      <c r="E12" s="52">
        <f t="shared" si="1"/>
        <v>-3231.520440555013</v>
      </c>
      <c r="F12" s="52">
        <f t="shared" si="1"/>
        <v>-3697.188351310012</v>
      </c>
      <c r="G12" s="52">
        <f t="shared" si="1"/>
        <v>-4210.5027464727282</v>
      </c>
      <c r="H12" s="52"/>
    </row>
    <row r="13" spans="2:32" s="26" customFormat="1" x14ac:dyDescent="0.25">
      <c r="B13" s="26" t="s">
        <v>3</v>
      </c>
      <c r="C13" s="57">
        <f>C10+C12</f>
        <v>9645.4336768217745</v>
      </c>
      <c r="D13" s="57">
        <f t="shared" ref="D13:G13" si="2">D10+D12</f>
        <v>10060.644340431349</v>
      </c>
      <c r="E13" s="57">
        <f t="shared" si="2"/>
        <v>10488.731230297086</v>
      </c>
      <c r="F13" s="57">
        <f t="shared" si="2"/>
        <v>10929.812672892185</v>
      </c>
      <c r="G13" s="57">
        <f t="shared" si="2"/>
        <v>11383.951870092929</v>
      </c>
      <c r="H13" s="57"/>
      <c r="I13" s="5"/>
    </row>
    <row r="14" spans="2:32" x14ac:dyDescent="0.25">
      <c r="B14" s="24" t="s">
        <v>4</v>
      </c>
      <c r="C14" s="52">
        <f>'PepsiCo-CFS'!B8</f>
        <v>2915.6426142559221</v>
      </c>
      <c r="D14" s="52">
        <f>'PepsiCo-CFS'!C8</f>
        <v>3038.8678983820269</v>
      </c>
      <c r="E14" s="52">
        <f>'PepsiCo-CFS'!D8</f>
        <v>3169.4115467733959</v>
      </c>
      <c r="F14" s="52">
        <f>'PepsiCo-CFS'!E8</f>
        <v>3307.7068596479598</v>
      </c>
      <c r="G14" s="52">
        <f>'PepsiCo-CFS'!F8</f>
        <v>3454.2171555657046</v>
      </c>
      <c r="H14" s="52"/>
      <c r="K14" s="30"/>
    </row>
    <row r="15" spans="2:32" x14ac:dyDescent="0.25">
      <c r="B15" s="24" t="s">
        <v>5</v>
      </c>
      <c r="C15" s="52">
        <f>SUM('PepsiCo-CFS'!B12:B15)</f>
        <v>23.680310883960374</v>
      </c>
      <c r="D15" s="52">
        <f>SUM('PepsiCo-CFS'!C12:C15)</f>
        <v>191.85073088672948</v>
      </c>
      <c r="E15" s="52">
        <f>SUM('PepsiCo-CFS'!D12:D15)</f>
        <v>201.11637388748841</v>
      </c>
      <c r="F15" s="52">
        <f>SUM('PepsiCo-CFS'!E12:E15)</f>
        <v>210.87518200429622</v>
      </c>
      <c r="G15" s="52">
        <f>SUM('PepsiCo-CFS'!F12:F15)</f>
        <v>221.15445687382271</v>
      </c>
      <c r="H15" s="39"/>
    </row>
    <row r="16" spans="2:32" x14ac:dyDescent="0.25">
      <c r="B16" s="24" t="s">
        <v>6</v>
      </c>
      <c r="C16" s="52">
        <f>'PepsiCo-CFS'!B20</f>
        <v>-3729.0670573930402</v>
      </c>
      <c r="D16" s="52">
        <f>'PepsiCo-CFS'!C20</f>
        <v>-4009.1402431848546</v>
      </c>
      <c r="E16" s="52">
        <f>'PepsiCo-CFS'!D20</f>
        <v>-4201.8942345583964</v>
      </c>
      <c r="F16" s="52">
        <f>'PepsiCo-CFS'!E20</f>
        <v>-4405.8501741198779</v>
      </c>
      <c r="G16" s="52">
        <f>'PepsiCo-CFS'!F20</f>
        <v>-4621.7233556499014</v>
      </c>
      <c r="H16" s="39"/>
    </row>
    <row r="17" spans="1:19" s="26" customFormat="1" x14ac:dyDescent="0.25">
      <c r="B17" s="26" t="s">
        <v>326</v>
      </c>
      <c r="C17" s="292">
        <f>SUM(C13:C16)</f>
        <v>8855.6895445686168</v>
      </c>
      <c r="D17" s="292">
        <f t="shared" ref="D17:G17" si="3">SUM(D13:D16)</f>
        <v>9282.2227265152505</v>
      </c>
      <c r="E17" s="292">
        <f t="shared" si="3"/>
        <v>9657.3649163995724</v>
      </c>
      <c r="F17" s="292">
        <f t="shared" si="3"/>
        <v>10042.544540424564</v>
      </c>
      <c r="G17" s="292">
        <f t="shared" si="3"/>
        <v>10437.600126882555</v>
      </c>
      <c r="H17" s="292"/>
      <c r="I17" s="293"/>
    </row>
    <row r="18" spans="1:19" s="26" customFormat="1" x14ac:dyDescent="0.25">
      <c r="C18" s="306"/>
      <c r="D18" s="306"/>
      <c r="E18" s="306"/>
      <c r="F18" s="306"/>
      <c r="G18" s="306"/>
      <c r="H18" s="306"/>
      <c r="I18" s="293"/>
    </row>
    <row r="19" spans="1:19" x14ac:dyDescent="0.25">
      <c r="A19" s="304">
        <f>WACC!N8</f>
        <v>5.7489571503652546E-2</v>
      </c>
      <c r="B19" s="5" t="s">
        <v>7</v>
      </c>
      <c r="C19" s="39"/>
      <c r="D19" s="30"/>
      <c r="E19" s="30"/>
      <c r="F19" s="30"/>
      <c r="G19" s="30"/>
      <c r="H19" s="39"/>
      <c r="J19" s="47"/>
      <c r="K19" s="47"/>
      <c r="L19" s="47"/>
    </row>
    <row r="20" spans="1:19" x14ac:dyDescent="0.25">
      <c r="A20" s="45"/>
      <c r="B20" s="5" t="s">
        <v>286</v>
      </c>
      <c r="C20" s="60"/>
      <c r="D20" s="290"/>
      <c r="E20" s="290"/>
      <c r="F20" s="290"/>
      <c r="G20" s="290"/>
      <c r="H20" s="39"/>
      <c r="J20" s="47"/>
      <c r="K20" s="47"/>
      <c r="L20" s="47"/>
    </row>
    <row r="21" spans="1:19" x14ac:dyDescent="0.25">
      <c r="A21" s="31"/>
      <c r="C21" s="16"/>
      <c r="D21" s="16"/>
      <c r="E21" s="16"/>
      <c r="F21" s="16"/>
      <c r="G21" s="16"/>
      <c r="H21" s="60"/>
      <c r="I21" s="60"/>
    </row>
    <row r="22" spans="1:19" x14ac:dyDescent="0.25">
      <c r="A22" s="31"/>
      <c r="C22" s="157"/>
      <c r="D22" s="60"/>
      <c r="E22" s="60"/>
      <c r="F22" s="60"/>
      <c r="G22" s="60"/>
      <c r="H22" s="60"/>
      <c r="I22" s="60"/>
    </row>
    <row r="23" spans="1:19" x14ac:dyDescent="0.25">
      <c r="A23" s="31"/>
      <c r="B23" s="24" t="s">
        <v>284</v>
      </c>
      <c r="C23" s="158">
        <f>1/(1+$A$19)^(C9)</f>
        <v>0.94563580289315985</v>
      </c>
      <c r="D23" s="158">
        <f t="shared" ref="D23:G23" si="4">1/(1+$A$19)^(D9)</f>
        <v>0.894227071713391</v>
      </c>
      <c r="E23" s="158">
        <f t="shared" si="4"/>
        <v>0.84561313492849166</v>
      </c>
      <c r="F23" s="158">
        <f t="shared" si="4"/>
        <v>0.79964205578510605</v>
      </c>
      <c r="G23" s="158">
        <f t="shared" si="4"/>
        <v>0.75617015744948568</v>
      </c>
      <c r="H23" s="58"/>
      <c r="I23" s="58"/>
    </row>
    <row r="24" spans="1:19" x14ac:dyDescent="0.25">
      <c r="B24" s="24" t="s">
        <v>285</v>
      </c>
      <c r="C24" s="159">
        <f>1/(1+$A$19)^(C9-0.5)</f>
        <v>0.97243807149512607</v>
      </c>
      <c r="D24" s="159">
        <f t="shared" ref="D24:G24" si="5">1/(1+$A$19)^(D9-0.5)</f>
        <v>0.91957225650216945</v>
      </c>
      <c r="E24" s="159">
        <f t="shared" si="5"/>
        <v>0.86958044909570376</v>
      </c>
      <c r="F24" s="159">
        <f t="shared" si="5"/>
        <v>0.8223064061608103</v>
      </c>
      <c r="G24" s="159">
        <f t="shared" si="5"/>
        <v>0.77760237861406656</v>
      </c>
      <c r="H24" s="39"/>
    </row>
    <row r="25" spans="1:19" x14ac:dyDescent="0.25">
      <c r="B25" s="5" t="s">
        <v>223</v>
      </c>
      <c r="C25" s="59">
        <f>C17*CHOOSE($E$5,C24,C23)</f>
        <v>8611.6096624798574</v>
      </c>
      <c r="D25" s="59">
        <f t="shared" ref="D25:G25" si="6">D17*CHOOSE($E$5,D24,D23)</f>
        <v>8535.6744979773484</v>
      </c>
      <c r="E25" s="59">
        <f t="shared" si="6"/>
        <v>8397.8557210838335</v>
      </c>
      <c r="F25" s="59">
        <f t="shared" si="6"/>
        <v>8258.0487097463902</v>
      </c>
      <c r="G25" s="59">
        <f t="shared" si="6"/>
        <v>8116.3026856863571</v>
      </c>
      <c r="H25" s="48"/>
      <c r="K25" s="65"/>
      <c r="L25" s="65"/>
      <c r="M25" s="65"/>
      <c r="N25" s="65"/>
      <c r="O25" s="65"/>
      <c r="P25" s="65"/>
    </row>
    <row r="26" spans="1:19" x14ac:dyDescent="0.25">
      <c r="C26" s="39"/>
      <c r="D26" s="64"/>
      <c r="E26" s="64"/>
      <c r="F26" s="64"/>
      <c r="G26" s="64"/>
      <c r="H26" s="64"/>
    </row>
    <row r="27" spans="1:19" x14ac:dyDescent="0.25">
      <c r="B27" s="26" t="s">
        <v>10</v>
      </c>
      <c r="C27" s="434">
        <f>SUM(C25:G25)</f>
        <v>41919.491276973786</v>
      </c>
      <c r="D27" s="39"/>
      <c r="E27" s="300"/>
      <c r="F27" s="64"/>
      <c r="G27" s="64"/>
      <c r="H27" s="64"/>
    </row>
    <row r="28" spans="1:19" x14ac:dyDescent="0.25">
      <c r="D28" s="39"/>
      <c r="E28" s="64"/>
      <c r="F28" s="64"/>
      <c r="G28" s="64"/>
      <c r="H28" s="64"/>
      <c r="J28" s="448" t="s">
        <v>35</v>
      </c>
      <c r="K28" s="448"/>
      <c r="L28" s="448"/>
      <c r="M28" s="448"/>
      <c r="N28" s="448"/>
      <c r="O28" s="448"/>
      <c r="P28" s="448"/>
      <c r="Q28" s="448"/>
      <c r="R28" s="448"/>
    </row>
    <row r="29" spans="1:19" ht="15" customHeight="1" x14ac:dyDescent="0.25">
      <c r="B29" s="297" t="s">
        <v>8</v>
      </c>
      <c r="C29" s="289"/>
      <c r="D29" s="439" t="s">
        <v>9</v>
      </c>
      <c r="E29" s="59"/>
      <c r="F29" s="39"/>
      <c r="G29" s="39"/>
      <c r="H29" s="39"/>
      <c r="I29" s="443">
        <f>D41</f>
        <v>154.77995895163841</v>
      </c>
      <c r="J29" s="365">
        <v>4.7613989281298591E-2</v>
      </c>
      <c r="K29" s="365">
        <f>J29+0.25%</f>
        <v>5.0113989281298593E-2</v>
      </c>
      <c r="L29" s="365">
        <f t="shared" ref="L29:R29" si="7">K29+0.25%</f>
        <v>5.2613989281298595E-2</v>
      </c>
      <c r="M29" s="365">
        <f t="shared" si="7"/>
        <v>5.5113989281298598E-2</v>
      </c>
      <c r="N29" s="365">
        <f t="shared" si="7"/>
        <v>5.76139892812986E-2</v>
      </c>
      <c r="O29" s="365">
        <f t="shared" si="7"/>
        <v>6.0113989281298602E-2</v>
      </c>
      <c r="P29" s="365">
        <f t="shared" si="7"/>
        <v>6.2613989281298604E-2</v>
      </c>
      <c r="Q29" s="365">
        <f t="shared" si="7"/>
        <v>6.5113989281298607E-2</v>
      </c>
      <c r="R29" s="365">
        <f t="shared" si="7"/>
        <v>6.7613989281298609E-2</v>
      </c>
      <c r="S29" s="45"/>
    </row>
    <row r="30" spans="1:19" x14ac:dyDescent="0.25">
      <c r="B30" s="298" t="s">
        <v>227</v>
      </c>
      <c r="D30" s="425">
        <v>1.7000000000000001E-2</v>
      </c>
      <c r="E30" s="59"/>
      <c r="F30" s="39"/>
      <c r="G30" s="39"/>
      <c r="H30" s="449" t="s">
        <v>230</v>
      </c>
      <c r="I30" s="303">
        <v>7.4999999999999997E-3</v>
      </c>
      <c r="J30" s="302">
        <f t="dataTable" ref="J30:R38" dt2D="1" dtr="1" r1="A19" r2="D30"/>
        <v>161.8096049479731</v>
      </c>
      <c r="K30" s="302">
        <v>151.10858250998368</v>
      </c>
      <c r="L30" s="302">
        <v>141.59407612795468</v>
      </c>
      <c r="M30" s="302">
        <v>133.07918253789487</v>
      </c>
      <c r="N30" s="302">
        <v>125.41429420339011</v>
      </c>
      <c r="O30" s="302">
        <v>118.4782386174</v>
      </c>
      <c r="P30" s="302">
        <v>112.17182916011235</v>
      </c>
      <c r="Q30" s="161">
        <v>106.41309501313421</v>
      </c>
      <c r="R30" s="161">
        <v>101.133701333879</v>
      </c>
    </row>
    <row r="31" spans="1:19" x14ac:dyDescent="0.25">
      <c r="B31" s="298" t="s">
        <v>287</v>
      </c>
      <c r="D31" s="294">
        <f>G17*(1+$D$30)/(A19-D30)</f>
        <v>262167.24294259271</v>
      </c>
      <c r="E31" s="39"/>
      <c r="F31" s="39"/>
      <c r="G31" s="39"/>
      <c r="H31" s="449"/>
      <c r="I31" s="303">
        <v>0.01</v>
      </c>
      <c r="J31" s="302">
        <v>172.38967772416001</v>
      </c>
      <c r="K31" s="302">
        <v>160.36968769859274</v>
      </c>
      <c r="L31" s="302">
        <v>149.76052057295567</v>
      </c>
      <c r="M31" s="302">
        <v>140.32762643060809</v>
      </c>
      <c r="N31" s="302">
        <v>131.88571616765762</v>
      </c>
      <c r="O31" s="302">
        <v>124.28647430036287</v>
      </c>
      <c r="P31" s="302">
        <v>117.40977479317726</v>
      </c>
      <c r="Q31" s="161">
        <v>111.15728761521866</v>
      </c>
      <c r="R31" s="161">
        <v>105.44774985174652</v>
      </c>
    </row>
    <row r="32" spans="1:19" x14ac:dyDescent="0.25">
      <c r="B32" s="298" t="s">
        <v>17</v>
      </c>
      <c r="D32" s="295">
        <f>D31*CHOOSE($E$5,G24,G23)</f>
        <v>203861.87170685193</v>
      </c>
      <c r="E32" s="39"/>
      <c r="F32" s="25"/>
      <c r="G32" s="39"/>
      <c r="H32" s="449"/>
      <c r="I32" s="303">
        <v>1.2500000000000001E-2</v>
      </c>
      <c r="J32" s="302">
        <v>184.47628293837741</v>
      </c>
      <c r="K32" s="302">
        <v>170.86186480559749</v>
      </c>
      <c r="L32" s="162">
        <v>158.94486981766806</v>
      </c>
      <c r="M32" s="162">
        <v>148.42654736325125</v>
      </c>
      <c r="N32" s="162">
        <v>139.07436820483181</v>
      </c>
      <c r="O32" s="162">
        <v>130.70463951985835</v>
      </c>
      <c r="P32" s="162">
        <v>123.17032356642157</v>
      </c>
      <c r="Q32" s="161">
        <v>116.35232918987579</v>
      </c>
      <c r="R32" s="161">
        <v>110.15317346095868</v>
      </c>
    </row>
    <row r="33" spans="2:26" x14ac:dyDescent="0.25">
      <c r="B33" s="297" t="s">
        <v>327</v>
      </c>
      <c r="C33" s="291"/>
      <c r="D33" s="296">
        <f>D32+C27</f>
        <v>245781.36298382573</v>
      </c>
      <c r="E33" s="299"/>
      <c r="F33" s="39"/>
      <c r="G33" s="39"/>
      <c r="H33" s="449"/>
      <c r="I33" s="303">
        <v>1.4999999999999999E-2</v>
      </c>
      <c r="J33" s="302">
        <v>198.4158668100001</v>
      </c>
      <c r="K33" s="302">
        <v>182.84805858825715</v>
      </c>
      <c r="L33" s="162">
        <v>169.35008786946537</v>
      </c>
      <c r="M33" s="162">
        <v>157.53495664120081</v>
      </c>
      <c r="N33" s="162">
        <v>147.10648176232053</v>
      </c>
      <c r="O33" s="162">
        <v>137.8341323476792</v>
      </c>
      <c r="P33" s="162">
        <v>129.53579421873928</v>
      </c>
      <c r="Q33" s="161">
        <v>122.0656932578288</v>
      </c>
      <c r="R33" s="161">
        <v>115.30576175711897</v>
      </c>
    </row>
    <row r="34" spans="2:26" x14ac:dyDescent="0.25">
      <c r="B34" s="298" t="s">
        <v>228</v>
      </c>
      <c r="D34" s="294">
        <f>'PepsiCo-BS'!F6+'PepsiCo-BS'!F11-'PepsiCo-BS'!F26+'PepsiCo-BS'!F18</f>
        <v>4054</v>
      </c>
      <c r="E34" s="39"/>
      <c r="F34" s="39"/>
      <c r="G34" s="39"/>
      <c r="H34" s="449"/>
      <c r="I34" s="303">
        <v>1.7000000000000001E-2</v>
      </c>
      <c r="J34" s="302">
        <v>211.2067355636631</v>
      </c>
      <c r="K34" s="302">
        <v>193.74009725227029</v>
      </c>
      <c r="L34" s="162">
        <v>178.72606205988941</v>
      </c>
      <c r="M34" s="162">
        <v>165.68200527419555</v>
      </c>
      <c r="N34" s="162">
        <v>154.24413440567858</v>
      </c>
      <c r="O34" s="162">
        <v>144.13303626714929</v>
      </c>
      <c r="P34" s="162">
        <v>135.1305537750398</v>
      </c>
      <c r="Q34" s="161">
        <v>127.06387163084146</v>
      </c>
      <c r="R34" s="161">
        <v>119.79431838200369</v>
      </c>
    </row>
    <row r="35" spans="2:26" s="26" customFormat="1" x14ac:dyDescent="0.25">
      <c r="B35" s="298" t="s">
        <v>13</v>
      </c>
      <c r="D35" s="295">
        <f>'PepsiCo-BS'!F5</f>
        <v>5596</v>
      </c>
      <c r="E35" s="59"/>
      <c r="F35" s="59"/>
      <c r="G35" s="59"/>
      <c r="H35" s="449"/>
      <c r="I35" s="303">
        <v>0.02</v>
      </c>
      <c r="J35" s="302">
        <v>233.8670574125411</v>
      </c>
      <c r="K35" s="302">
        <v>212.79085761452316</v>
      </c>
      <c r="L35" s="162">
        <v>194.94614738854492</v>
      </c>
      <c r="M35" s="162">
        <v>179.64270704408349</v>
      </c>
      <c r="N35" s="162">
        <v>166.37381776482658</v>
      </c>
      <c r="O35" s="162">
        <v>154.75908053492992</v>
      </c>
      <c r="P35" s="162">
        <v>144.50736263656231</v>
      </c>
      <c r="Q35" s="161">
        <v>135.39206410732706</v>
      </c>
      <c r="R35" s="161">
        <v>127.23417609130968</v>
      </c>
    </row>
    <row r="36" spans="2:26" x14ac:dyDescent="0.25">
      <c r="B36" s="297" t="s">
        <v>11</v>
      </c>
      <c r="C36" s="291"/>
      <c r="D36" s="296">
        <f>D34+D35+D33</f>
        <v>255431.36298382573</v>
      </c>
      <c r="E36" s="39"/>
      <c r="F36" s="39"/>
      <c r="G36" s="25"/>
      <c r="H36" s="449"/>
      <c r="I36" s="303">
        <v>2.2499999999999999E-2</v>
      </c>
      <c r="J36" s="302">
        <v>256.88619502086857</v>
      </c>
      <c r="K36" s="302">
        <v>231.82851119926698</v>
      </c>
      <c r="L36" s="162">
        <v>210.9315736202006</v>
      </c>
      <c r="M36" s="162">
        <v>193.23856088223047</v>
      </c>
      <c r="N36" s="162">
        <v>178.06514174559763</v>
      </c>
      <c r="O36" s="162">
        <v>164.90892033782734</v>
      </c>
      <c r="P36" s="162">
        <v>153.39274291090453</v>
      </c>
      <c r="Q36" s="161">
        <v>143.22796045467334</v>
      </c>
      <c r="R36" s="161">
        <v>134.1899061643999</v>
      </c>
    </row>
    <row r="37" spans="2:26" x14ac:dyDescent="0.25">
      <c r="B37" s="298" t="s">
        <v>12</v>
      </c>
      <c r="D37" s="294">
        <f>'PepsiCo-BS'!F24+'PepsiCo-BS'!F29</f>
        <v>40334</v>
      </c>
      <c r="E37" s="39"/>
      <c r="F37" s="39"/>
      <c r="G37" s="39"/>
      <c r="H37" s="449"/>
      <c r="I37" s="303">
        <v>2.5000000000000001E-2</v>
      </c>
      <c r="J37" s="302">
        <v>284.99491176580682</v>
      </c>
      <c r="K37" s="302">
        <v>254.65641359145934</v>
      </c>
      <c r="L37" s="302">
        <v>229.81144332918501</v>
      </c>
      <c r="M37" s="302">
        <v>209.09181305295084</v>
      </c>
      <c r="N37" s="302">
        <v>191.54884443231791</v>
      </c>
      <c r="O37" s="302">
        <v>176.50403024683362</v>
      </c>
      <c r="P37" s="302">
        <v>163.45925026643621</v>
      </c>
      <c r="Q37" s="161">
        <v>152.04056050161896</v>
      </c>
      <c r="R37" s="161">
        <v>141.96176847368781</v>
      </c>
    </row>
    <row r="38" spans="2:26" x14ac:dyDescent="0.25">
      <c r="B38" s="298" t="s">
        <v>14</v>
      </c>
      <c r="D38" s="294">
        <f>'PepsiCo-BS'!F43</f>
        <v>108</v>
      </c>
      <c r="E38" s="39"/>
      <c r="F38" s="39"/>
      <c r="G38" s="39"/>
      <c r="H38" s="449"/>
      <c r="I38" s="303">
        <v>0.03</v>
      </c>
      <c r="J38" s="302">
        <v>365.14961150698809</v>
      </c>
      <c r="K38" s="60">
        <v>317.33611806546247</v>
      </c>
      <c r="L38" s="60">
        <v>280.09431796721708</v>
      </c>
      <c r="M38" s="60">
        <v>250.26709513006915</v>
      </c>
      <c r="N38" s="60">
        <v>225.84063666781105</v>
      </c>
      <c r="O38" s="60">
        <v>205.46985976605251</v>
      </c>
      <c r="P38" s="60">
        <v>188.22210676197457</v>
      </c>
      <c r="Q38" s="161">
        <v>173.43032860415244</v>
      </c>
      <c r="R38" s="161">
        <v>160.60481695731508</v>
      </c>
    </row>
    <row r="39" spans="2:26" s="26" customFormat="1" x14ac:dyDescent="0.25">
      <c r="B39" s="297" t="s">
        <v>15</v>
      </c>
      <c r="C39" s="291"/>
      <c r="D39" s="296">
        <f>D36-D37-D38</f>
        <v>214989.36298382573</v>
      </c>
      <c r="E39" s="59"/>
      <c r="F39" s="59"/>
      <c r="G39" s="59"/>
      <c r="H39" s="59"/>
      <c r="I39" s="160"/>
    </row>
    <row r="40" spans="2:26" ht="14.4" thickBot="1" x14ac:dyDescent="0.3">
      <c r="B40" s="298" t="s">
        <v>229</v>
      </c>
      <c r="D40" s="294">
        <f>'PepsiCo-IS'!J48</f>
        <v>1389</v>
      </c>
      <c r="E40" s="39"/>
      <c r="F40" s="39"/>
      <c r="G40" s="39"/>
      <c r="H40" s="39"/>
    </row>
    <row r="41" spans="2:26" s="26" customFormat="1" x14ac:dyDescent="0.25">
      <c r="B41" s="440" t="s">
        <v>16</v>
      </c>
      <c r="C41" s="441"/>
      <c r="D41" s="442">
        <f>D39/D40</f>
        <v>154.77995895163841</v>
      </c>
      <c r="E41" s="59"/>
      <c r="F41" s="59"/>
      <c r="G41" s="59"/>
      <c r="H41" s="59"/>
    </row>
    <row r="42" spans="2:26" x14ac:dyDescent="0.25">
      <c r="D42" s="39"/>
      <c r="E42" s="39"/>
      <c r="F42" s="39"/>
      <c r="G42" s="39"/>
      <c r="H42" s="64"/>
      <c r="I42" s="427"/>
      <c r="J42" s="450"/>
      <c r="K42" s="450"/>
      <c r="L42" s="450"/>
      <c r="M42" s="450"/>
      <c r="N42" s="450"/>
      <c r="O42" s="450"/>
      <c r="P42" s="450"/>
      <c r="Q42" s="450"/>
      <c r="R42" s="450"/>
      <c r="S42" s="427"/>
      <c r="T42" s="427"/>
      <c r="U42" s="427"/>
      <c r="V42" s="427"/>
      <c r="W42" s="427"/>
      <c r="X42" s="427"/>
      <c r="Y42" s="427"/>
      <c r="Z42" s="427"/>
    </row>
    <row r="43" spans="2:26" s="26" customFormat="1" x14ac:dyDescent="0.25">
      <c r="B43" s="5"/>
      <c r="F43" s="59"/>
      <c r="G43" s="59"/>
      <c r="H43" s="39"/>
      <c r="I43" s="434"/>
      <c r="J43" s="435"/>
      <c r="K43" s="435"/>
      <c r="L43" s="435"/>
      <c r="M43" s="435"/>
      <c r="N43" s="435"/>
      <c r="O43" s="435"/>
      <c r="P43" s="435"/>
      <c r="Q43" s="435"/>
      <c r="R43" s="435"/>
      <c r="S43" s="426"/>
      <c r="T43" s="426"/>
      <c r="U43" s="426"/>
      <c r="V43" s="426"/>
      <c r="W43" s="426"/>
      <c r="X43" s="426"/>
      <c r="Y43" s="426"/>
      <c r="Z43" s="426"/>
    </row>
    <row r="44" spans="2:26" x14ac:dyDescent="0.25">
      <c r="B44" s="426"/>
      <c r="C44" s="427"/>
      <c r="D44" s="428"/>
      <c r="F44" s="39"/>
      <c r="G44" s="39"/>
      <c r="H44" s="451"/>
      <c r="I44" s="436"/>
      <c r="J44" s="437"/>
      <c r="K44" s="437"/>
      <c r="L44" s="437"/>
      <c r="M44" s="437"/>
      <c r="N44" s="437"/>
      <c r="O44" s="437"/>
      <c r="P44" s="437"/>
      <c r="Q44" s="438"/>
      <c r="R44" s="438"/>
      <c r="S44" s="427"/>
      <c r="T44" s="427"/>
      <c r="U44" s="427"/>
      <c r="V44" s="427"/>
      <c r="W44" s="427"/>
      <c r="X44" s="427"/>
      <c r="Y44" s="427"/>
      <c r="Z44" s="427"/>
    </row>
    <row r="45" spans="2:26" x14ac:dyDescent="0.25">
      <c r="B45" s="427"/>
      <c r="C45" s="427"/>
      <c r="D45" s="429"/>
      <c r="H45" s="451"/>
      <c r="I45" s="436"/>
      <c r="J45" s="437"/>
      <c r="K45" s="437"/>
      <c r="L45" s="437"/>
      <c r="M45" s="437"/>
      <c r="N45" s="437"/>
      <c r="O45" s="437"/>
      <c r="P45" s="437"/>
      <c r="Q45" s="438"/>
      <c r="R45" s="438"/>
      <c r="S45" s="427"/>
      <c r="T45" s="427"/>
      <c r="U45" s="427"/>
      <c r="V45" s="427"/>
      <c r="W45" s="427"/>
      <c r="X45" s="427"/>
      <c r="Y45" s="427"/>
      <c r="Z45" s="427"/>
    </row>
    <row r="46" spans="2:26" x14ac:dyDescent="0.25">
      <c r="B46" s="427"/>
      <c r="C46" s="427"/>
      <c r="D46" s="430"/>
      <c r="H46" s="451"/>
      <c r="I46" s="436"/>
      <c r="J46" s="437"/>
      <c r="K46" s="437"/>
      <c r="L46" s="437"/>
      <c r="M46" s="437"/>
      <c r="N46" s="437"/>
      <c r="O46" s="437"/>
      <c r="P46" s="437"/>
      <c r="Q46" s="438"/>
      <c r="R46" s="438"/>
      <c r="S46" s="427"/>
      <c r="T46" s="427"/>
      <c r="U46" s="427"/>
      <c r="V46" s="427"/>
      <c r="W46" s="427"/>
      <c r="X46" s="427"/>
      <c r="Y46" s="427"/>
      <c r="Z46" s="427"/>
    </row>
    <row r="47" spans="2:26" x14ac:dyDescent="0.25">
      <c r="B47" s="427"/>
      <c r="C47" s="427"/>
      <c r="D47" s="430"/>
      <c r="H47" s="451"/>
      <c r="I47" s="436"/>
      <c r="J47" s="437"/>
      <c r="K47" s="437"/>
      <c r="L47" s="437"/>
      <c r="M47" s="437"/>
      <c r="N47" s="437"/>
      <c r="O47" s="437"/>
      <c r="P47" s="437"/>
      <c r="Q47" s="438"/>
      <c r="R47" s="438"/>
      <c r="S47" s="427"/>
      <c r="T47" s="427"/>
      <c r="U47" s="427"/>
      <c r="V47" s="427"/>
      <c r="W47" s="427"/>
      <c r="X47" s="427"/>
      <c r="Y47" s="427"/>
      <c r="Z47" s="427"/>
    </row>
    <row r="48" spans="2:26" x14ac:dyDescent="0.25">
      <c r="B48" s="427"/>
      <c r="C48" s="426"/>
      <c r="D48" s="431"/>
      <c r="H48" s="451"/>
      <c r="I48" s="436"/>
      <c r="J48" s="437"/>
      <c r="K48" s="437"/>
      <c r="L48" s="437"/>
      <c r="M48" s="437"/>
      <c r="N48" s="437"/>
      <c r="O48" s="437"/>
      <c r="P48" s="437"/>
      <c r="Q48" s="438"/>
      <c r="R48" s="438"/>
      <c r="S48" s="427"/>
      <c r="T48" s="427"/>
      <c r="U48" s="427"/>
      <c r="V48" s="427"/>
      <c r="W48" s="427"/>
      <c r="X48" s="427"/>
      <c r="Y48" s="427"/>
      <c r="Z48" s="427"/>
    </row>
    <row r="49" spans="2:26" x14ac:dyDescent="0.25">
      <c r="B49" s="426"/>
      <c r="C49" s="427"/>
      <c r="D49" s="431"/>
      <c r="H49" s="451"/>
      <c r="I49" s="436"/>
      <c r="J49" s="437"/>
      <c r="K49" s="437"/>
      <c r="L49" s="437"/>
      <c r="M49" s="437"/>
      <c r="N49" s="437"/>
      <c r="O49" s="437"/>
      <c r="P49" s="437"/>
      <c r="Q49" s="438"/>
      <c r="R49" s="438"/>
      <c r="S49" s="427"/>
      <c r="T49" s="427"/>
      <c r="U49" s="427"/>
      <c r="V49" s="427"/>
      <c r="W49" s="427"/>
      <c r="X49" s="427"/>
      <c r="Y49" s="427"/>
      <c r="Z49" s="427"/>
    </row>
    <row r="50" spans="2:26" x14ac:dyDescent="0.25">
      <c r="B50" s="427"/>
      <c r="C50" s="426"/>
      <c r="D50" s="431"/>
      <c r="H50" s="451"/>
      <c r="I50" s="436"/>
      <c r="J50" s="437"/>
      <c r="K50" s="437"/>
      <c r="L50" s="437"/>
      <c r="M50" s="437"/>
      <c r="N50" s="437"/>
      <c r="O50" s="437"/>
      <c r="P50" s="437"/>
      <c r="Q50" s="438"/>
      <c r="R50" s="438"/>
      <c r="S50" s="427"/>
      <c r="T50" s="427"/>
      <c r="U50" s="427"/>
      <c r="V50" s="427"/>
      <c r="W50" s="427"/>
      <c r="X50" s="427"/>
      <c r="Y50" s="427"/>
      <c r="Z50" s="427"/>
    </row>
    <row r="51" spans="2:26" x14ac:dyDescent="0.25">
      <c r="B51" s="427"/>
      <c r="C51" s="427"/>
      <c r="D51" s="431"/>
      <c r="H51" s="451"/>
      <c r="I51" s="436"/>
      <c r="J51" s="437"/>
      <c r="K51" s="437"/>
      <c r="L51" s="437"/>
      <c r="M51" s="437"/>
      <c r="N51" s="437"/>
      <c r="O51" s="437"/>
      <c r="P51" s="437"/>
      <c r="Q51" s="438"/>
      <c r="R51" s="438"/>
      <c r="S51" s="427"/>
      <c r="T51" s="427"/>
      <c r="U51" s="427"/>
      <c r="V51" s="427"/>
      <c r="W51" s="427"/>
      <c r="X51" s="427"/>
      <c r="Y51" s="427"/>
      <c r="Z51" s="427"/>
    </row>
    <row r="52" spans="2:26" x14ac:dyDescent="0.25">
      <c r="B52" s="426"/>
      <c r="C52" s="426"/>
      <c r="D52" s="431"/>
      <c r="H52" s="451"/>
      <c r="I52" s="436"/>
      <c r="J52" s="437"/>
      <c r="K52" s="437"/>
      <c r="L52" s="437"/>
      <c r="M52" s="437"/>
      <c r="N52" s="437"/>
      <c r="O52" s="437"/>
      <c r="P52" s="437"/>
      <c r="Q52" s="438"/>
      <c r="R52" s="438"/>
      <c r="S52" s="427"/>
      <c r="T52" s="427"/>
      <c r="U52" s="427"/>
      <c r="V52" s="427"/>
      <c r="W52" s="427"/>
      <c r="X52" s="427"/>
      <c r="Y52" s="427"/>
      <c r="Z52" s="427"/>
    </row>
    <row r="53" spans="2:26" x14ac:dyDescent="0.25">
      <c r="B53" s="427"/>
      <c r="C53" s="427"/>
      <c r="D53" s="430"/>
      <c r="I53" s="427"/>
      <c r="J53" s="427"/>
      <c r="K53" s="427"/>
      <c r="L53" s="427"/>
      <c r="M53" s="427"/>
      <c r="N53" s="427"/>
      <c r="O53" s="427"/>
      <c r="P53" s="427"/>
      <c r="Q53" s="427"/>
      <c r="R53" s="427"/>
      <c r="S53" s="427"/>
      <c r="T53" s="427"/>
      <c r="U53" s="427"/>
      <c r="V53" s="427"/>
      <c r="W53" s="427"/>
      <c r="X53" s="427"/>
      <c r="Y53" s="427"/>
      <c r="Z53" s="427"/>
    </row>
    <row r="54" spans="2:26" x14ac:dyDescent="0.25">
      <c r="B54" s="427"/>
      <c r="C54" s="426"/>
      <c r="D54" s="430"/>
    </row>
    <row r="55" spans="2:26" x14ac:dyDescent="0.25">
      <c r="B55" s="426"/>
      <c r="C55" s="426"/>
      <c r="D55" s="431"/>
    </row>
    <row r="56" spans="2:26" x14ac:dyDescent="0.25">
      <c r="B56" s="427"/>
      <c r="C56" s="427"/>
      <c r="D56" s="432"/>
    </row>
    <row r="57" spans="2:26" x14ac:dyDescent="0.25">
      <c r="B57" s="426"/>
      <c r="C57" s="426"/>
      <c r="D57" s="433"/>
    </row>
  </sheetData>
  <mergeCells count="4">
    <mergeCell ref="J28:R28"/>
    <mergeCell ref="H30:H38"/>
    <mergeCell ref="J42:R42"/>
    <mergeCell ref="H44:H5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Drop Down 1">
              <controlPr defaultSize="0" autoLine="0" autoPict="0">
                <anchor moveWithCells="1">
                  <from>
                    <xdr:col>2</xdr:col>
                    <xdr:colOff>15240</xdr:colOff>
                    <xdr:row>3</xdr:row>
                    <xdr:rowOff>152400</xdr:rowOff>
                  </from>
                  <to>
                    <xdr:col>3</xdr:col>
                    <xdr:colOff>746760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"/>
  <sheetViews>
    <sheetView showGridLines="0" topLeftCell="A44" workbookViewId="0">
      <selection activeCell="A74" sqref="A74"/>
    </sheetView>
  </sheetViews>
  <sheetFormatPr defaultColWidth="8.77734375" defaultRowHeight="13.8" x14ac:dyDescent="0.25"/>
  <cols>
    <col min="1" max="1" width="19.88671875" style="115" bestFit="1" customWidth="1"/>
    <col min="2" max="2" width="30.5546875" style="5" customWidth="1"/>
    <col min="3" max="3" width="14.77734375" style="5" bestFit="1" customWidth="1"/>
    <col min="4" max="4" width="16.5546875" style="5" bestFit="1" customWidth="1"/>
    <col min="5" max="5" width="18" style="5" bestFit="1" customWidth="1"/>
    <col min="6" max="6" width="20.109375" style="5" customWidth="1"/>
    <col min="7" max="7" width="18.88671875" style="5" customWidth="1"/>
    <col min="8" max="8" width="14.77734375" style="5" bestFit="1" customWidth="1"/>
    <col min="9" max="9" width="5.77734375" style="5" bestFit="1" customWidth="1"/>
    <col min="10" max="10" width="11.5546875" style="5" customWidth="1"/>
    <col min="11" max="11" width="11" style="5" bestFit="1" customWidth="1"/>
    <col min="12" max="12" width="17.44140625" style="5" bestFit="1" customWidth="1"/>
    <col min="13" max="13" width="10" style="5" customWidth="1"/>
    <col min="14" max="14" width="19.21875" style="5" bestFit="1" customWidth="1"/>
    <col min="15" max="15" width="16.21875" style="5" bestFit="1" customWidth="1"/>
    <col min="16" max="257" width="8.77734375" style="5"/>
    <col min="258" max="258" width="30.5546875" style="5" customWidth="1"/>
    <col min="259" max="259" width="14.77734375" style="5" bestFit="1" customWidth="1"/>
    <col min="260" max="260" width="20.44140625" style="5" bestFit="1" customWidth="1"/>
    <col min="261" max="261" width="11.77734375" style="5" bestFit="1" customWidth="1"/>
    <col min="262" max="262" width="18.77734375" style="5" customWidth="1"/>
    <col min="263" max="264" width="14.77734375" style="5" bestFit="1" customWidth="1"/>
    <col min="265" max="265" width="17.5546875" style="5" bestFit="1" customWidth="1"/>
    <col min="266" max="266" width="11.5546875" style="5" customWidth="1"/>
    <col min="267" max="267" width="8.77734375" style="5"/>
    <col min="268" max="268" width="17.44140625" style="5" bestFit="1" customWidth="1"/>
    <col min="269" max="269" width="8.77734375" style="5"/>
    <col min="270" max="270" width="7.21875" style="5" bestFit="1" customWidth="1"/>
    <col min="271" max="513" width="8.77734375" style="5"/>
    <col min="514" max="514" width="30.5546875" style="5" customWidth="1"/>
    <col min="515" max="515" width="14.77734375" style="5" bestFit="1" customWidth="1"/>
    <col min="516" max="516" width="20.44140625" style="5" bestFit="1" customWidth="1"/>
    <col min="517" max="517" width="11.77734375" style="5" bestFit="1" customWidth="1"/>
    <col min="518" max="518" width="18.77734375" style="5" customWidth="1"/>
    <col min="519" max="520" width="14.77734375" style="5" bestFit="1" customWidth="1"/>
    <col min="521" max="521" width="17.5546875" style="5" bestFit="1" customWidth="1"/>
    <col min="522" max="522" width="11.5546875" style="5" customWidth="1"/>
    <col min="523" max="523" width="8.77734375" style="5"/>
    <col min="524" max="524" width="17.44140625" style="5" bestFit="1" customWidth="1"/>
    <col min="525" max="525" width="8.77734375" style="5"/>
    <col min="526" max="526" width="7.21875" style="5" bestFit="1" customWidth="1"/>
    <col min="527" max="769" width="8.77734375" style="5"/>
    <col min="770" max="770" width="30.5546875" style="5" customWidth="1"/>
    <col min="771" max="771" width="14.77734375" style="5" bestFit="1" customWidth="1"/>
    <col min="772" max="772" width="20.44140625" style="5" bestFit="1" customWidth="1"/>
    <col min="773" max="773" width="11.77734375" style="5" bestFit="1" customWidth="1"/>
    <col min="774" max="774" width="18.77734375" style="5" customWidth="1"/>
    <col min="775" max="776" width="14.77734375" style="5" bestFit="1" customWidth="1"/>
    <col min="777" max="777" width="17.5546875" style="5" bestFit="1" customWidth="1"/>
    <col min="778" max="778" width="11.5546875" style="5" customWidth="1"/>
    <col min="779" max="779" width="8.77734375" style="5"/>
    <col min="780" max="780" width="17.44140625" style="5" bestFit="1" customWidth="1"/>
    <col min="781" max="781" width="8.77734375" style="5"/>
    <col min="782" max="782" width="7.21875" style="5" bestFit="1" customWidth="1"/>
    <col min="783" max="1025" width="8.77734375" style="5"/>
    <col min="1026" max="1026" width="30.5546875" style="5" customWidth="1"/>
    <col min="1027" max="1027" width="14.77734375" style="5" bestFit="1" customWidth="1"/>
    <col min="1028" max="1028" width="20.44140625" style="5" bestFit="1" customWidth="1"/>
    <col min="1029" max="1029" width="11.77734375" style="5" bestFit="1" customWidth="1"/>
    <col min="1030" max="1030" width="18.77734375" style="5" customWidth="1"/>
    <col min="1031" max="1032" width="14.77734375" style="5" bestFit="1" customWidth="1"/>
    <col min="1033" max="1033" width="17.5546875" style="5" bestFit="1" customWidth="1"/>
    <col min="1034" max="1034" width="11.5546875" style="5" customWidth="1"/>
    <col min="1035" max="1035" width="8.77734375" style="5"/>
    <col min="1036" max="1036" width="17.44140625" style="5" bestFit="1" customWidth="1"/>
    <col min="1037" max="1037" width="8.77734375" style="5"/>
    <col min="1038" max="1038" width="7.21875" style="5" bestFit="1" customWidth="1"/>
    <col min="1039" max="1281" width="8.77734375" style="5"/>
    <col min="1282" max="1282" width="30.5546875" style="5" customWidth="1"/>
    <col min="1283" max="1283" width="14.77734375" style="5" bestFit="1" customWidth="1"/>
    <col min="1284" max="1284" width="20.44140625" style="5" bestFit="1" customWidth="1"/>
    <col min="1285" max="1285" width="11.77734375" style="5" bestFit="1" customWidth="1"/>
    <col min="1286" max="1286" width="18.77734375" style="5" customWidth="1"/>
    <col min="1287" max="1288" width="14.77734375" style="5" bestFit="1" customWidth="1"/>
    <col min="1289" max="1289" width="17.5546875" style="5" bestFit="1" customWidth="1"/>
    <col min="1290" max="1290" width="11.5546875" style="5" customWidth="1"/>
    <col min="1291" max="1291" width="8.77734375" style="5"/>
    <col min="1292" max="1292" width="17.44140625" style="5" bestFit="1" customWidth="1"/>
    <col min="1293" max="1293" width="8.77734375" style="5"/>
    <col min="1294" max="1294" width="7.21875" style="5" bestFit="1" customWidth="1"/>
    <col min="1295" max="1537" width="8.77734375" style="5"/>
    <col min="1538" max="1538" width="30.5546875" style="5" customWidth="1"/>
    <col min="1539" max="1539" width="14.77734375" style="5" bestFit="1" customWidth="1"/>
    <col min="1540" max="1540" width="20.44140625" style="5" bestFit="1" customWidth="1"/>
    <col min="1541" max="1541" width="11.77734375" style="5" bestFit="1" customWidth="1"/>
    <col min="1542" max="1542" width="18.77734375" style="5" customWidth="1"/>
    <col min="1543" max="1544" width="14.77734375" style="5" bestFit="1" customWidth="1"/>
    <col min="1545" max="1545" width="17.5546875" style="5" bestFit="1" customWidth="1"/>
    <col min="1546" max="1546" width="11.5546875" style="5" customWidth="1"/>
    <col min="1547" max="1547" width="8.77734375" style="5"/>
    <col min="1548" max="1548" width="17.44140625" style="5" bestFit="1" customWidth="1"/>
    <col min="1549" max="1549" width="8.77734375" style="5"/>
    <col min="1550" max="1550" width="7.21875" style="5" bestFit="1" customWidth="1"/>
    <col min="1551" max="1793" width="8.77734375" style="5"/>
    <col min="1794" max="1794" width="30.5546875" style="5" customWidth="1"/>
    <col min="1795" max="1795" width="14.77734375" style="5" bestFit="1" customWidth="1"/>
    <col min="1796" max="1796" width="20.44140625" style="5" bestFit="1" customWidth="1"/>
    <col min="1797" max="1797" width="11.77734375" style="5" bestFit="1" customWidth="1"/>
    <col min="1798" max="1798" width="18.77734375" style="5" customWidth="1"/>
    <col min="1799" max="1800" width="14.77734375" style="5" bestFit="1" customWidth="1"/>
    <col min="1801" max="1801" width="17.5546875" style="5" bestFit="1" customWidth="1"/>
    <col min="1802" max="1802" width="11.5546875" style="5" customWidth="1"/>
    <col min="1803" max="1803" width="8.77734375" style="5"/>
    <col min="1804" max="1804" width="17.44140625" style="5" bestFit="1" customWidth="1"/>
    <col min="1805" max="1805" width="8.77734375" style="5"/>
    <col min="1806" max="1806" width="7.21875" style="5" bestFit="1" customWidth="1"/>
    <col min="1807" max="2049" width="8.77734375" style="5"/>
    <col min="2050" max="2050" width="30.5546875" style="5" customWidth="1"/>
    <col min="2051" max="2051" width="14.77734375" style="5" bestFit="1" customWidth="1"/>
    <col min="2052" max="2052" width="20.44140625" style="5" bestFit="1" customWidth="1"/>
    <col min="2053" max="2053" width="11.77734375" style="5" bestFit="1" customWidth="1"/>
    <col min="2054" max="2054" width="18.77734375" style="5" customWidth="1"/>
    <col min="2055" max="2056" width="14.77734375" style="5" bestFit="1" customWidth="1"/>
    <col min="2057" max="2057" width="17.5546875" style="5" bestFit="1" customWidth="1"/>
    <col min="2058" max="2058" width="11.5546875" style="5" customWidth="1"/>
    <col min="2059" max="2059" width="8.77734375" style="5"/>
    <col min="2060" max="2060" width="17.44140625" style="5" bestFit="1" customWidth="1"/>
    <col min="2061" max="2061" width="8.77734375" style="5"/>
    <col min="2062" max="2062" width="7.21875" style="5" bestFit="1" customWidth="1"/>
    <col min="2063" max="2305" width="8.77734375" style="5"/>
    <col min="2306" max="2306" width="30.5546875" style="5" customWidth="1"/>
    <col min="2307" max="2307" width="14.77734375" style="5" bestFit="1" customWidth="1"/>
    <col min="2308" max="2308" width="20.44140625" style="5" bestFit="1" customWidth="1"/>
    <col min="2309" max="2309" width="11.77734375" style="5" bestFit="1" customWidth="1"/>
    <col min="2310" max="2310" width="18.77734375" style="5" customWidth="1"/>
    <col min="2311" max="2312" width="14.77734375" style="5" bestFit="1" customWidth="1"/>
    <col min="2313" max="2313" width="17.5546875" style="5" bestFit="1" customWidth="1"/>
    <col min="2314" max="2314" width="11.5546875" style="5" customWidth="1"/>
    <col min="2315" max="2315" width="8.77734375" style="5"/>
    <col min="2316" max="2316" width="17.44140625" style="5" bestFit="1" customWidth="1"/>
    <col min="2317" max="2317" width="8.77734375" style="5"/>
    <col min="2318" max="2318" width="7.21875" style="5" bestFit="1" customWidth="1"/>
    <col min="2319" max="2561" width="8.77734375" style="5"/>
    <col min="2562" max="2562" width="30.5546875" style="5" customWidth="1"/>
    <col min="2563" max="2563" width="14.77734375" style="5" bestFit="1" customWidth="1"/>
    <col min="2564" max="2564" width="20.44140625" style="5" bestFit="1" customWidth="1"/>
    <col min="2565" max="2565" width="11.77734375" style="5" bestFit="1" customWidth="1"/>
    <col min="2566" max="2566" width="18.77734375" style="5" customWidth="1"/>
    <col min="2567" max="2568" width="14.77734375" style="5" bestFit="1" customWidth="1"/>
    <col min="2569" max="2569" width="17.5546875" style="5" bestFit="1" customWidth="1"/>
    <col min="2570" max="2570" width="11.5546875" style="5" customWidth="1"/>
    <col min="2571" max="2571" width="8.77734375" style="5"/>
    <col min="2572" max="2572" width="17.44140625" style="5" bestFit="1" customWidth="1"/>
    <col min="2573" max="2573" width="8.77734375" style="5"/>
    <col min="2574" max="2574" width="7.21875" style="5" bestFit="1" customWidth="1"/>
    <col min="2575" max="2817" width="8.77734375" style="5"/>
    <col min="2818" max="2818" width="30.5546875" style="5" customWidth="1"/>
    <col min="2819" max="2819" width="14.77734375" style="5" bestFit="1" customWidth="1"/>
    <col min="2820" max="2820" width="20.44140625" style="5" bestFit="1" customWidth="1"/>
    <col min="2821" max="2821" width="11.77734375" style="5" bestFit="1" customWidth="1"/>
    <col min="2822" max="2822" width="18.77734375" style="5" customWidth="1"/>
    <col min="2823" max="2824" width="14.77734375" style="5" bestFit="1" customWidth="1"/>
    <col min="2825" max="2825" width="17.5546875" style="5" bestFit="1" customWidth="1"/>
    <col min="2826" max="2826" width="11.5546875" style="5" customWidth="1"/>
    <col min="2827" max="2827" width="8.77734375" style="5"/>
    <col min="2828" max="2828" width="17.44140625" style="5" bestFit="1" customWidth="1"/>
    <col min="2829" max="2829" width="8.77734375" style="5"/>
    <col min="2830" max="2830" width="7.21875" style="5" bestFit="1" customWidth="1"/>
    <col min="2831" max="3073" width="8.77734375" style="5"/>
    <col min="3074" max="3074" width="30.5546875" style="5" customWidth="1"/>
    <col min="3075" max="3075" width="14.77734375" style="5" bestFit="1" customWidth="1"/>
    <col min="3076" max="3076" width="20.44140625" style="5" bestFit="1" customWidth="1"/>
    <col min="3077" max="3077" width="11.77734375" style="5" bestFit="1" customWidth="1"/>
    <col min="3078" max="3078" width="18.77734375" style="5" customWidth="1"/>
    <col min="3079" max="3080" width="14.77734375" style="5" bestFit="1" customWidth="1"/>
    <col min="3081" max="3081" width="17.5546875" style="5" bestFit="1" customWidth="1"/>
    <col min="3082" max="3082" width="11.5546875" style="5" customWidth="1"/>
    <col min="3083" max="3083" width="8.77734375" style="5"/>
    <col min="3084" max="3084" width="17.44140625" style="5" bestFit="1" customWidth="1"/>
    <col min="3085" max="3085" width="8.77734375" style="5"/>
    <col min="3086" max="3086" width="7.21875" style="5" bestFit="1" customWidth="1"/>
    <col min="3087" max="3329" width="8.77734375" style="5"/>
    <col min="3330" max="3330" width="30.5546875" style="5" customWidth="1"/>
    <col min="3331" max="3331" width="14.77734375" style="5" bestFit="1" customWidth="1"/>
    <col min="3332" max="3332" width="20.44140625" style="5" bestFit="1" customWidth="1"/>
    <col min="3333" max="3333" width="11.77734375" style="5" bestFit="1" customWidth="1"/>
    <col min="3334" max="3334" width="18.77734375" style="5" customWidth="1"/>
    <col min="3335" max="3336" width="14.77734375" style="5" bestFit="1" customWidth="1"/>
    <col min="3337" max="3337" width="17.5546875" style="5" bestFit="1" customWidth="1"/>
    <col min="3338" max="3338" width="11.5546875" style="5" customWidth="1"/>
    <col min="3339" max="3339" width="8.77734375" style="5"/>
    <col min="3340" max="3340" width="17.44140625" style="5" bestFit="1" customWidth="1"/>
    <col min="3341" max="3341" width="8.77734375" style="5"/>
    <col min="3342" max="3342" width="7.21875" style="5" bestFit="1" customWidth="1"/>
    <col min="3343" max="3585" width="8.77734375" style="5"/>
    <col min="3586" max="3586" width="30.5546875" style="5" customWidth="1"/>
    <col min="3587" max="3587" width="14.77734375" style="5" bestFit="1" customWidth="1"/>
    <col min="3588" max="3588" width="20.44140625" style="5" bestFit="1" customWidth="1"/>
    <col min="3589" max="3589" width="11.77734375" style="5" bestFit="1" customWidth="1"/>
    <col min="3590" max="3590" width="18.77734375" style="5" customWidth="1"/>
    <col min="3591" max="3592" width="14.77734375" style="5" bestFit="1" customWidth="1"/>
    <col min="3593" max="3593" width="17.5546875" style="5" bestFit="1" customWidth="1"/>
    <col min="3594" max="3594" width="11.5546875" style="5" customWidth="1"/>
    <col min="3595" max="3595" width="8.77734375" style="5"/>
    <col min="3596" max="3596" width="17.44140625" style="5" bestFit="1" customWidth="1"/>
    <col min="3597" max="3597" width="8.77734375" style="5"/>
    <col min="3598" max="3598" width="7.21875" style="5" bestFit="1" customWidth="1"/>
    <col min="3599" max="3841" width="8.77734375" style="5"/>
    <col min="3842" max="3842" width="30.5546875" style="5" customWidth="1"/>
    <col min="3843" max="3843" width="14.77734375" style="5" bestFit="1" customWidth="1"/>
    <col min="3844" max="3844" width="20.44140625" style="5" bestFit="1" customWidth="1"/>
    <col min="3845" max="3845" width="11.77734375" style="5" bestFit="1" customWidth="1"/>
    <col min="3846" max="3846" width="18.77734375" style="5" customWidth="1"/>
    <col min="3847" max="3848" width="14.77734375" style="5" bestFit="1" customWidth="1"/>
    <col min="3849" max="3849" width="17.5546875" style="5" bestFit="1" customWidth="1"/>
    <col min="3850" max="3850" width="11.5546875" style="5" customWidth="1"/>
    <col min="3851" max="3851" width="8.77734375" style="5"/>
    <col min="3852" max="3852" width="17.44140625" style="5" bestFit="1" customWidth="1"/>
    <col min="3853" max="3853" width="8.77734375" style="5"/>
    <col min="3854" max="3854" width="7.21875" style="5" bestFit="1" customWidth="1"/>
    <col min="3855" max="4097" width="8.77734375" style="5"/>
    <col min="4098" max="4098" width="30.5546875" style="5" customWidth="1"/>
    <col min="4099" max="4099" width="14.77734375" style="5" bestFit="1" customWidth="1"/>
    <col min="4100" max="4100" width="20.44140625" style="5" bestFit="1" customWidth="1"/>
    <col min="4101" max="4101" width="11.77734375" style="5" bestFit="1" customWidth="1"/>
    <col min="4102" max="4102" width="18.77734375" style="5" customWidth="1"/>
    <col min="4103" max="4104" width="14.77734375" style="5" bestFit="1" customWidth="1"/>
    <col min="4105" max="4105" width="17.5546875" style="5" bestFit="1" customWidth="1"/>
    <col min="4106" max="4106" width="11.5546875" style="5" customWidth="1"/>
    <col min="4107" max="4107" width="8.77734375" style="5"/>
    <col min="4108" max="4108" width="17.44140625" style="5" bestFit="1" customWidth="1"/>
    <col min="4109" max="4109" width="8.77734375" style="5"/>
    <col min="4110" max="4110" width="7.21875" style="5" bestFit="1" customWidth="1"/>
    <col min="4111" max="4353" width="8.77734375" style="5"/>
    <col min="4354" max="4354" width="30.5546875" style="5" customWidth="1"/>
    <col min="4355" max="4355" width="14.77734375" style="5" bestFit="1" customWidth="1"/>
    <col min="4356" max="4356" width="20.44140625" style="5" bestFit="1" customWidth="1"/>
    <col min="4357" max="4357" width="11.77734375" style="5" bestFit="1" customWidth="1"/>
    <col min="4358" max="4358" width="18.77734375" style="5" customWidth="1"/>
    <col min="4359" max="4360" width="14.77734375" style="5" bestFit="1" customWidth="1"/>
    <col min="4361" max="4361" width="17.5546875" style="5" bestFit="1" customWidth="1"/>
    <col min="4362" max="4362" width="11.5546875" style="5" customWidth="1"/>
    <col min="4363" max="4363" width="8.77734375" style="5"/>
    <col min="4364" max="4364" width="17.44140625" style="5" bestFit="1" customWidth="1"/>
    <col min="4365" max="4365" width="8.77734375" style="5"/>
    <col min="4366" max="4366" width="7.21875" style="5" bestFit="1" customWidth="1"/>
    <col min="4367" max="4609" width="8.77734375" style="5"/>
    <col min="4610" max="4610" width="30.5546875" style="5" customWidth="1"/>
    <col min="4611" max="4611" width="14.77734375" style="5" bestFit="1" customWidth="1"/>
    <col min="4612" max="4612" width="20.44140625" style="5" bestFit="1" customWidth="1"/>
    <col min="4613" max="4613" width="11.77734375" style="5" bestFit="1" customWidth="1"/>
    <col min="4614" max="4614" width="18.77734375" style="5" customWidth="1"/>
    <col min="4615" max="4616" width="14.77734375" style="5" bestFit="1" customWidth="1"/>
    <col min="4617" max="4617" width="17.5546875" style="5" bestFit="1" customWidth="1"/>
    <col min="4618" max="4618" width="11.5546875" style="5" customWidth="1"/>
    <col min="4619" max="4619" width="8.77734375" style="5"/>
    <col min="4620" max="4620" width="17.44140625" style="5" bestFit="1" customWidth="1"/>
    <col min="4621" max="4621" width="8.77734375" style="5"/>
    <col min="4622" max="4622" width="7.21875" style="5" bestFit="1" customWidth="1"/>
    <col min="4623" max="4865" width="8.77734375" style="5"/>
    <col min="4866" max="4866" width="30.5546875" style="5" customWidth="1"/>
    <col min="4867" max="4867" width="14.77734375" style="5" bestFit="1" customWidth="1"/>
    <col min="4868" max="4868" width="20.44140625" style="5" bestFit="1" customWidth="1"/>
    <col min="4869" max="4869" width="11.77734375" style="5" bestFit="1" customWidth="1"/>
    <col min="4870" max="4870" width="18.77734375" style="5" customWidth="1"/>
    <col min="4871" max="4872" width="14.77734375" style="5" bestFit="1" customWidth="1"/>
    <col min="4873" max="4873" width="17.5546875" style="5" bestFit="1" customWidth="1"/>
    <col min="4874" max="4874" width="11.5546875" style="5" customWidth="1"/>
    <col min="4875" max="4875" width="8.77734375" style="5"/>
    <col min="4876" max="4876" width="17.44140625" style="5" bestFit="1" customWidth="1"/>
    <col min="4877" max="4877" width="8.77734375" style="5"/>
    <col min="4878" max="4878" width="7.21875" style="5" bestFit="1" customWidth="1"/>
    <col min="4879" max="5121" width="8.77734375" style="5"/>
    <col min="5122" max="5122" width="30.5546875" style="5" customWidth="1"/>
    <col min="5123" max="5123" width="14.77734375" style="5" bestFit="1" customWidth="1"/>
    <col min="5124" max="5124" width="20.44140625" style="5" bestFit="1" customWidth="1"/>
    <col min="5125" max="5125" width="11.77734375" style="5" bestFit="1" customWidth="1"/>
    <col min="5126" max="5126" width="18.77734375" style="5" customWidth="1"/>
    <col min="5127" max="5128" width="14.77734375" style="5" bestFit="1" customWidth="1"/>
    <col min="5129" max="5129" width="17.5546875" style="5" bestFit="1" customWidth="1"/>
    <col min="5130" max="5130" width="11.5546875" style="5" customWidth="1"/>
    <col min="5131" max="5131" width="8.77734375" style="5"/>
    <col min="5132" max="5132" width="17.44140625" style="5" bestFit="1" customWidth="1"/>
    <col min="5133" max="5133" width="8.77734375" style="5"/>
    <col min="5134" max="5134" width="7.21875" style="5" bestFit="1" customWidth="1"/>
    <col min="5135" max="5377" width="8.77734375" style="5"/>
    <col min="5378" max="5378" width="30.5546875" style="5" customWidth="1"/>
    <col min="5379" max="5379" width="14.77734375" style="5" bestFit="1" customWidth="1"/>
    <col min="5380" max="5380" width="20.44140625" style="5" bestFit="1" customWidth="1"/>
    <col min="5381" max="5381" width="11.77734375" style="5" bestFit="1" customWidth="1"/>
    <col min="5382" max="5382" width="18.77734375" style="5" customWidth="1"/>
    <col min="5383" max="5384" width="14.77734375" style="5" bestFit="1" customWidth="1"/>
    <col min="5385" max="5385" width="17.5546875" style="5" bestFit="1" customWidth="1"/>
    <col min="5386" max="5386" width="11.5546875" style="5" customWidth="1"/>
    <col min="5387" max="5387" width="8.77734375" style="5"/>
    <col min="5388" max="5388" width="17.44140625" style="5" bestFit="1" customWidth="1"/>
    <col min="5389" max="5389" width="8.77734375" style="5"/>
    <col min="5390" max="5390" width="7.21875" style="5" bestFit="1" customWidth="1"/>
    <col min="5391" max="5633" width="8.77734375" style="5"/>
    <col min="5634" max="5634" width="30.5546875" style="5" customWidth="1"/>
    <col min="5635" max="5635" width="14.77734375" style="5" bestFit="1" customWidth="1"/>
    <col min="5636" max="5636" width="20.44140625" style="5" bestFit="1" customWidth="1"/>
    <col min="5637" max="5637" width="11.77734375" style="5" bestFit="1" customWidth="1"/>
    <col min="5638" max="5638" width="18.77734375" style="5" customWidth="1"/>
    <col min="5639" max="5640" width="14.77734375" style="5" bestFit="1" customWidth="1"/>
    <col min="5641" max="5641" width="17.5546875" style="5" bestFit="1" customWidth="1"/>
    <col min="5642" max="5642" width="11.5546875" style="5" customWidth="1"/>
    <col min="5643" max="5643" width="8.77734375" style="5"/>
    <col min="5644" max="5644" width="17.44140625" style="5" bestFit="1" customWidth="1"/>
    <col min="5645" max="5645" width="8.77734375" style="5"/>
    <col min="5646" max="5646" width="7.21875" style="5" bestFit="1" customWidth="1"/>
    <col min="5647" max="5889" width="8.77734375" style="5"/>
    <col min="5890" max="5890" width="30.5546875" style="5" customWidth="1"/>
    <col min="5891" max="5891" width="14.77734375" style="5" bestFit="1" customWidth="1"/>
    <col min="5892" max="5892" width="20.44140625" style="5" bestFit="1" customWidth="1"/>
    <col min="5893" max="5893" width="11.77734375" style="5" bestFit="1" customWidth="1"/>
    <col min="5894" max="5894" width="18.77734375" style="5" customWidth="1"/>
    <col min="5895" max="5896" width="14.77734375" style="5" bestFit="1" customWidth="1"/>
    <col min="5897" max="5897" width="17.5546875" style="5" bestFit="1" customWidth="1"/>
    <col min="5898" max="5898" width="11.5546875" style="5" customWidth="1"/>
    <col min="5899" max="5899" width="8.77734375" style="5"/>
    <col min="5900" max="5900" width="17.44140625" style="5" bestFit="1" customWidth="1"/>
    <col min="5901" max="5901" width="8.77734375" style="5"/>
    <col min="5902" max="5902" width="7.21875" style="5" bestFit="1" customWidth="1"/>
    <col min="5903" max="6145" width="8.77734375" style="5"/>
    <col min="6146" max="6146" width="30.5546875" style="5" customWidth="1"/>
    <col min="6147" max="6147" width="14.77734375" style="5" bestFit="1" customWidth="1"/>
    <col min="6148" max="6148" width="20.44140625" style="5" bestFit="1" customWidth="1"/>
    <col min="6149" max="6149" width="11.77734375" style="5" bestFit="1" customWidth="1"/>
    <col min="6150" max="6150" width="18.77734375" style="5" customWidth="1"/>
    <col min="6151" max="6152" width="14.77734375" style="5" bestFit="1" customWidth="1"/>
    <col min="6153" max="6153" width="17.5546875" style="5" bestFit="1" customWidth="1"/>
    <col min="6154" max="6154" width="11.5546875" style="5" customWidth="1"/>
    <col min="6155" max="6155" width="8.77734375" style="5"/>
    <col min="6156" max="6156" width="17.44140625" style="5" bestFit="1" customWidth="1"/>
    <col min="6157" max="6157" width="8.77734375" style="5"/>
    <col min="6158" max="6158" width="7.21875" style="5" bestFit="1" customWidth="1"/>
    <col min="6159" max="6401" width="8.77734375" style="5"/>
    <col min="6402" max="6402" width="30.5546875" style="5" customWidth="1"/>
    <col min="6403" max="6403" width="14.77734375" style="5" bestFit="1" customWidth="1"/>
    <col min="6404" max="6404" width="20.44140625" style="5" bestFit="1" customWidth="1"/>
    <col min="6405" max="6405" width="11.77734375" style="5" bestFit="1" customWidth="1"/>
    <col min="6406" max="6406" width="18.77734375" style="5" customWidth="1"/>
    <col min="6407" max="6408" width="14.77734375" style="5" bestFit="1" customWidth="1"/>
    <col min="6409" max="6409" width="17.5546875" style="5" bestFit="1" customWidth="1"/>
    <col min="6410" max="6410" width="11.5546875" style="5" customWidth="1"/>
    <col min="6411" max="6411" width="8.77734375" style="5"/>
    <col min="6412" max="6412" width="17.44140625" style="5" bestFit="1" customWidth="1"/>
    <col min="6413" max="6413" width="8.77734375" style="5"/>
    <col min="6414" max="6414" width="7.21875" style="5" bestFit="1" customWidth="1"/>
    <col min="6415" max="6657" width="8.77734375" style="5"/>
    <col min="6658" max="6658" width="30.5546875" style="5" customWidth="1"/>
    <col min="6659" max="6659" width="14.77734375" style="5" bestFit="1" customWidth="1"/>
    <col min="6660" max="6660" width="20.44140625" style="5" bestFit="1" customWidth="1"/>
    <col min="6661" max="6661" width="11.77734375" style="5" bestFit="1" customWidth="1"/>
    <col min="6662" max="6662" width="18.77734375" style="5" customWidth="1"/>
    <col min="6663" max="6664" width="14.77734375" style="5" bestFit="1" customWidth="1"/>
    <col min="6665" max="6665" width="17.5546875" style="5" bestFit="1" customWidth="1"/>
    <col min="6666" max="6666" width="11.5546875" style="5" customWidth="1"/>
    <col min="6667" max="6667" width="8.77734375" style="5"/>
    <col min="6668" max="6668" width="17.44140625" style="5" bestFit="1" customWidth="1"/>
    <col min="6669" max="6669" width="8.77734375" style="5"/>
    <col min="6670" max="6670" width="7.21875" style="5" bestFit="1" customWidth="1"/>
    <col min="6671" max="6913" width="8.77734375" style="5"/>
    <col min="6914" max="6914" width="30.5546875" style="5" customWidth="1"/>
    <col min="6915" max="6915" width="14.77734375" style="5" bestFit="1" customWidth="1"/>
    <col min="6916" max="6916" width="20.44140625" style="5" bestFit="1" customWidth="1"/>
    <col min="6917" max="6917" width="11.77734375" style="5" bestFit="1" customWidth="1"/>
    <col min="6918" max="6918" width="18.77734375" style="5" customWidth="1"/>
    <col min="6919" max="6920" width="14.77734375" style="5" bestFit="1" customWidth="1"/>
    <col min="6921" max="6921" width="17.5546875" style="5" bestFit="1" customWidth="1"/>
    <col min="6922" max="6922" width="11.5546875" style="5" customWidth="1"/>
    <col min="6923" max="6923" width="8.77734375" style="5"/>
    <col min="6924" max="6924" width="17.44140625" style="5" bestFit="1" customWidth="1"/>
    <col min="6925" max="6925" width="8.77734375" style="5"/>
    <col min="6926" max="6926" width="7.21875" style="5" bestFit="1" customWidth="1"/>
    <col min="6927" max="7169" width="8.77734375" style="5"/>
    <col min="7170" max="7170" width="30.5546875" style="5" customWidth="1"/>
    <col min="7171" max="7171" width="14.77734375" style="5" bestFit="1" customWidth="1"/>
    <col min="7172" max="7172" width="20.44140625" style="5" bestFit="1" customWidth="1"/>
    <col min="7173" max="7173" width="11.77734375" style="5" bestFit="1" customWidth="1"/>
    <col min="7174" max="7174" width="18.77734375" style="5" customWidth="1"/>
    <col min="7175" max="7176" width="14.77734375" style="5" bestFit="1" customWidth="1"/>
    <col min="7177" max="7177" width="17.5546875" style="5" bestFit="1" customWidth="1"/>
    <col min="7178" max="7178" width="11.5546875" style="5" customWidth="1"/>
    <col min="7179" max="7179" width="8.77734375" style="5"/>
    <col min="7180" max="7180" width="17.44140625" style="5" bestFit="1" customWidth="1"/>
    <col min="7181" max="7181" width="8.77734375" style="5"/>
    <col min="7182" max="7182" width="7.21875" style="5" bestFit="1" customWidth="1"/>
    <col min="7183" max="7425" width="8.77734375" style="5"/>
    <col min="7426" max="7426" width="30.5546875" style="5" customWidth="1"/>
    <col min="7427" max="7427" width="14.77734375" style="5" bestFit="1" customWidth="1"/>
    <col min="7428" max="7428" width="20.44140625" style="5" bestFit="1" customWidth="1"/>
    <col min="7429" max="7429" width="11.77734375" style="5" bestFit="1" customWidth="1"/>
    <col min="7430" max="7430" width="18.77734375" style="5" customWidth="1"/>
    <col min="7431" max="7432" width="14.77734375" style="5" bestFit="1" customWidth="1"/>
    <col min="7433" max="7433" width="17.5546875" style="5" bestFit="1" customWidth="1"/>
    <col min="7434" max="7434" width="11.5546875" style="5" customWidth="1"/>
    <col min="7435" max="7435" width="8.77734375" style="5"/>
    <col min="7436" max="7436" width="17.44140625" style="5" bestFit="1" customWidth="1"/>
    <col min="7437" max="7437" width="8.77734375" style="5"/>
    <col min="7438" max="7438" width="7.21875" style="5" bestFit="1" customWidth="1"/>
    <col min="7439" max="7681" width="8.77734375" style="5"/>
    <col min="7682" max="7682" width="30.5546875" style="5" customWidth="1"/>
    <col min="7683" max="7683" width="14.77734375" style="5" bestFit="1" customWidth="1"/>
    <col min="7684" max="7684" width="20.44140625" style="5" bestFit="1" customWidth="1"/>
    <col min="7685" max="7685" width="11.77734375" style="5" bestFit="1" customWidth="1"/>
    <col min="7686" max="7686" width="18.77734375" style="5" customWidth="1"/>
    <col min="7687" max="7688" width="14.77734375" style="5" bestFit="1" customWidth="1"/>
    <col min="7689" max="7689" width="17.5546875" style="5" bestFit="1" customWidth="1"/>
    <col min="7690" max="7690" width="11.5546875" style="5" customWidth="1"/>
    <col min="7691" max="7691" width="8.77734375" style="5"/>
    <col min="7692" max="7692" width="17.44140625" style="5" bestFit="1" customWidth="1"/>
    <col min="7693" max="7693" width="8.77734375" style="5"/>
    <col min="7694" max="7694" width="7.21875" style="5" bestFit="1" customWidth="1"/>
    <col min="7695" max="7937" width="8.77734375" style="5"/>
    <col min="7938" max="7938" width="30.5546875" style="5" customWidth="1"/>
    <col min="7939" max="7939" width="14.77734375" style="5" bestFit="1" customWidth="1"/>
    <col min="7940" max="7940" width="20.44140625" style="5" bestFit="1" customWidth="1"/>
    <col min="7941" max="7941" width="11.77734375" style="5" bestFit="1" customWidth="1"/>
    <col min="7942" max="7942" width="18.77734375" style="5" customWidth="1"/>
    <col min="7943" max="7944" width="14.77734375" style="5" bestFit="1" customWidth="1"/>
    <col min="7945" max="7945" width="17.5546875" style="5" bestFit="1" customWidth="1"/>
    <col min="7946" max="7946" width="11.5546875" style="5" customWidth="1"/>
    <col min="7947" max="7947" width="8.77734375" style="5"/>
    <col min="7948" max="7948" width="17.44140625" style="5" bestFit="1" customWidth="1"/>
    <col min="7949" max="7949" width="8.77734375" style="5"/>
    <col min="7950" max="7950" width="7.21875" style="5" bestFit="1" customWidth="1"/>
    <col min="7951" max="8193" width="8.77734375" style="5"/>
    <col min="8194" max="8194" width="30.5546875" style="5" customWidth="1"/>
    <col min="8195" max="8195" width="14.77734375" style="5" bestFit="1" customWidth="1"/>
    <col min="8196" max="8196" width="20.44140625" style="5" bestFit="1" customWidth="1"/>
    <col min="8197" max="8197" width="11.77734375" style="5" bestFit="1" customWidth="1"/>
    <col min="8198" max="8198" width="18.77734375" style="5" customWidth="1"/>
    <col min="8199" max="8200" width="14.77734375" style="5" bestFit="1" customWidth="1"/>
    <col min="8201" max="8201" width="17.5546875" style="5" bestFit="1" customWidth="1"/>
    <col min="8202" max="8202" width="11.5546875" style="5" customWidth="1"/>
    <col min="8203" max="8203" width="8.77734375" style="5"/>
    <col min="8204" max="8204" width="17.44140625" style="5" bestFit="1" customWidth="1"/>
    <col min="8205" max="8205" width="8.77734375" style="5"/>
    <col min="8206" max="8206" width="7.21875" style="5" bestFit="1" customWidth="1"/>
    <col min="8207" max="8449" width="8.77734375" style="5"/>
    <col min="8450" max="8450" width="30.5546875" style="5" customWidth="1"/>
    <col min="8451" max="8451" width="14.77734375" style="5" bestFit="1" customWidth="1"/>
    <col min="8452" max="8452" width="20.44140625" style="5" bestFit="1" customWidth="1"/>
    <col min="8453" max="8453" width="11.77734375" style="5" bestFit="1" customWidth="1"/>
    <col min="8454" max="8454" width="18.77734375" style="5" customWidth="1"/>
    <col min="8455" max="8456" width="14.77734375" style="5" bestFit="1" customWidth="1"/>
    <col min="8457" max="8457" width="17.5546875" style="5" bestFit="1" customWidth="1"/>
    <col min="8458" max="8458" width="11.5546875" style="5" customWidth="1"/>
    <col min="8459" max="8459" width="8.77734375" style="5"/>
    <col min="8460" max="8460" width="17.44140625" style="5" bestFit="1" customWidth="1"/>
    <col min="8461" max="8461" width="8.77734375" style="5"/>
    <col min="8462" max="8462" width="7.21875" style="5" bestFit="1" customWidth="1"/>
    <col min="8463" max="8705" width="8.77734375" style="5"/>
    <col min="8706" max="8706" width="30.5546875" style="5" customWidth="1"/>
    <col min="8707" max="8707" width="14.77734375" style="5" bestFit="1" customWidth="1"/>
    <col min="8708" max="8708" width="20.44140625" style="5" bestFit="1" customWidth="1"/>
    <col min="8709" max="8709" width="11.77734375" style="5" bestFit="1" customWidth="1"/>
    <col min="8710" max="8710" width="18.77734375" style="5" customWidth="1"/>
    <col min="8711" max="8712" width="14.77734375" style="5" bestFit="1" customWidth="1"/>
    <col min="8713" max="8713" width="17.5546875" style="5" bestFit="1" customWidth="1"/>
    <col min="8714" max="8714" width="11.5546875" style="5" customWidth="1"/>
    <col min="8715" max="8715" width="8.77734375" style="5"/>
    <col min="8716" max="8716" width="17.44140625" style="5" bestFit="1" customWidth="1"/>
    <col min="8717" max="8717" width="8.77734375" style="5"/>
    <col min="8718" max="8718" width="7.21875" style="5" bestFit="1" customWidth="1"/>
    <col min="8719" max="8961" width="8.77734375" style="5"/>
    <col min="8962" max="8962" width="30.5546875" style="5" customWidth="1"/>
    <col min="8963" max="8963" width="14.77734375" style="5" bestFit="1" customWidth="1"/>
    <col min="8964" max="8964" width="20.44140625" style="5" bestFit="1" customWidth="1"/>
    <col min="8965" max="8965" width="11.77734375" style="5" bestFit="1" customWidth="1"/>
    <col min="8966" max="8966" width="18.77734375" style="5" customWidth="1"/>
    <col min="8967" max="8968" width="14.77734375" style="5" bestFit="1" customWidth="1"/>
    <col min="8969" max="8969" width="17.5546875" style="5" bestFit="1" customWidth="1"/>
    <col min="8970" max="8970" width="11.5546875" style="5" customWidth="1"/>
    <col min="8971" max="8971" width="8.77734375" style="5"/>
    <col min="8972" max="8972" width="17.44140625" style="5" bestFit="1" customWidth="1"/>
    <col min="8973" max="8973" width="8.77734375" style="5"/>
    <col min="8974" max="8974" width="7.21875" style="5" bestFit="1" customWidth="1"/>
    <col min="8975" max="9217" width="8.77734375" style="5"/>
    <col min="9218" max="9218" width="30.5546875" style="5" customWidth="1"/>
    <col min="9219" max="9219" width="14.77734375" style="5" bestFit="1" customWidth="1"/>
    <col min="9220" max="9220" width="20.44140625" style="5" bestFit="1" customWidth="1"/>
    <col min="9221" max="9221" width="11.77734375" style="5" bestFit="1" customWidth="1"/>
    <col min="9222" max="9222" width="18.77734375" style="5" customWidth="1"/>
    <col min="9223" max="9224" width="14.77734375" style="5" bestFit="1" customWidth="1"/>
    <col min="9225" max="9225" width="17.5546875" style="5" bestFit="1" customWidth="1"/>
    <col min="9226" max="9226" width="11.5546875" style="5" customWidth="1"/>
    <col min="9227" max="9227" width="8.77734375" style="5"/>
    <col min="9228" max="9228" width="17.44140625" style="5" bestFit="1" customWidth="1"/>
    <col min="9229" max="9229" width="8.77734375" style="5"/>
    <col min="9230" max="9230" width="7.21875" style="5" bestFit="1" customWidth="1"/>
    <col min="9231" max="9473" width="8.77734375" style="5"/>
    <col min="9474" max="9474" width="30.5546875" style="5" customWidth="1"/>
    <col min="9475" max="9475" width="14.77734375" style="5" bestFit="1" customWidth="1"/>
    <col min="9476" max="9476" width="20.44140625" style="5" bestFit="1" customWidth="1"/>
    <col min="9477" max="9477" width="11.77734375" style="5" bestFit="1" customWidth="1"/>
    <col min="9478" max="9478" width="18.77734375" style="5" customWidth="1"/>
    <col min="9479" max="9480" width="14.77734375" style="5" bestFit="1" customWidth="1"/>
    <col min="9481" max="9481" width="17.5546875" style="5" bestFit="1" customWidth="1"/>
    <col min="9482" max="9482" width="11.5546875" style="5" customWidth="1"/>
    <col min="9483" max="9483" width="8.77734375" style="5"/>
    <col min="9484" max="9484" width="17.44140625" style="5" bestFit="1" customWidth="1"/>
    <col min="9485" max="9485" width="8.77734375" style="5"/>
    <col min="9486" max="9486" width="7.21875" style="5" bestFit="1" customWidth="1"/>
    <col min="9487" max="9729" width="8.77734375" style="5"/>
    <col min="9730" max="9730" width="30.5546875" style="5" customWidth="1"/>
    <col min="9731" max="9731" width="14.77734375" style="5" bestFit="1" customWidth="1"/>
    <col min="9732" max="9732" width="20.44140625" style="5" bestFit="1" customWidth="1"/>
    <col min="9733" max="9733" width="11.77734375" style="5" bestFit="1" customWidth="1"/>
    <col min="9734" max="9734" width="18.77734375" style="5" customWidth="1"/>
    <col min="9735" max="9736" width="14.77734375" style="5" bestFit="1" customWidth="1"/>
    <col min="9737" max="9737" width="17.5546875" style="5" bestFit="1" customWidth="1"/>
    <col min="9738" max="9738" width="11.5546875" style="5" customWidth="1"/>
    <col min="9739" max="9739" width="8.77734375" style="5"/>
    <col min="9740" max="9740" width="17.44140625" style="5" bestFit="1" customWidth="1"/>
    <col min="9741" max="9741" width="8.77734375" style="5"/>
    <col min="9742" max="9742" width="7.21875" style="5" bestFit="1" customWidth="1"/>
    <col min="9743" max="9985" width="8.77734375" style="5"/>
    <col min="9986" max="9986" width="30.5546875" style="5" customWidth="1"/>
    <col min="9987" max="9987" width="14.77734375" style="5" bestFit="1" customWidth="1"/>
    <col min="9988" max="9988" width="20.44140625" style="5" bestFit="1" customWidth="1"/>
    <col min="9989" max="9989" width="11.77734375" style="5" bestFit="1" customWidth="1"/>
    <col min="9990" max="9990" width="18.77734375" style="5" customWidth="1"/>
    <col min="9991" max="9992" width="14.77734375" style="5" bestFit="1" customWidth="1"/>
    <col min="9993" max="9993" width="17.5546875" style="5" bestFit="1" customWidth="1"/>
    <col min="9994" max="9994" width="11.5546875" style="5" customWidth="1"/>
    <col min="9995" max="9995" width="8.77734375" style="5"/>
    <col min="9996" max="9996" width="17.44140625" style="5" bestFit="1" customWidth="1"/>
    <col min="9997" max="9997" width="8.77734375" style="5"/>
    <col min="9998" max="9998" width="7.21875" style="5" bestFit="1" customWidth="1"/>
    <col min="9999" max="10241" width="8.77734375" style="5"/>
    <col min="10242" max="10242" width="30.5546875" style="5" customWidth="1"/>
    <col min="10243" max="10243" width="14.77734375" style="5" bestFit="1" customWidth="1"/>
    <col min="10244" max="10244" width="20.44140625" style="5" bestFit="1" customWidth="1"/>
    <col min="10245" max="10245" width="11.77734375" style="5" bestFit="1" customWidth="1"/>
    <col min="10246" max="10246" width="18.77734375" style="5" customWidth="1"/>
    <col min="10247" max="10248" width="14.77734375" style="5" bestFit="1" customWidth="1"/>
    <col min="10249" max="10249" width="17.5546875" style="5" bestFit="1" customWidth="1"/>
    <col min="10250" max="10250" width="11.5546875" style="5" customWidth="1"/>
    <col min="10251" max="10251" width="8.77734375" style="5"/>
    <col min="10252" max="10252" width="17.44140625" style="5" bestFit="1" customWidth="1"/>
    <col min="10253" max="10253" width="8.77734375" style="5"/>
    <col min="10254" max="10254" width="7.21875" style="5" bestFit="1" customWidth="1"/>
    <col min="10255" max="10497" width="8.77734375" style="5"/>
    <col min="10498" max="10498" width="30.5546875" style="5" customWidth="1"/>
    <col min="10499" max="10499" width="14.77734375" style="5" bestFit="1" customWidth="1"/>
    <col min="10500" max="10500" width="20.44140625" style="5" bestFit="1" customWidth="1"/>
    <col min="10501" max="10501" width="11.77734375" style="5" bestFit="1" customWidth="1"/>
    <col min="10502" max="10502" width="18.77734375" style="5" customWidth="1"/>
    <col min="10503" max="10504" width="14.77734375" style="5" bestFit="1" customWidth="1"/>
    <col min="10505" max="10505" width="17.5546875" style="5" bestFit="1" customWidth="1"/>
    <col min="10506" max="10506" width="11.5546875" style="5" customWidth="1"/>
    <col min="10507" max="10507" width="8.77734375" style="5"/>
    <col min="10508" max="10508" width="17.44140625" style="5" bestFit="1" customWidth="1"/>
    <col min="10509" max="10509" width="8.77734375" style="5"/>
    <col min="10510" max="10510" width="7.21875" style="5" bestFit="1" customWidth="1"/>
    <col min="10511" max="10753" width="8.77734375" style="5"/>
    <col min="10754" max="10754" width="30.5546875" style="5" customWidth="1"/>
    <col min="10755" max="10755" width="14.77734375" style="5" bestFit="1" customWidth="1"/>
    <col min="10756" max="10756" width="20.44140625" style="5" bestFit="1" customWidth="1"/>
    <col min="10757" max="10757" width="11.77734375" style="5" bestFit="1" customWidth="1"/>
    <col min="10758" max="10758" width="18.77734375" style="5" customWidth="1"/>
    <col min="10759" max="10760" width="14.77734375" style="5" bestFit="1" customWidth="1"/>
    <col min="10761" max="10761" width="17.5546875" style="5" bestFit="1" customWidth="1"/>
    <col min="10762" max="10762" width="11.5546875" style="5" customWidth="1"/>
    <col min="10763" max="10763" width="8.77734375" style="5"/>
    <col min="10764" max="10764" width="17.44140625" style="5" bestFit="1" customWidth="1"/>
    <col min="10765" max="10765" width="8.77734375" style="5"/>
    <col min="10766" max="10766" width="7.21875" style="5" bestFit="1" customWidth="1"/>
    <col min="10767" max="11009" width="8.77734375" style="5"/>
    <col min="11010" max="11010" width="30.5546875" style="5" customWidth="1"/>
    <col min="11011" max="11011" width="14.77734375" style="5" bestFit="1" customWidth="1"/>
    <col min="11012" max="11012" width="20.44140625" style="5" bestFit="1" customWidth="1"/>
    <col min="11013" max="11013" width="11.77734375" style="5" bestFit="1" customWidth="1"/>
    <col min="11014" max="11014" width="18.77734375" style="5" customWidth="1"/>
    <col min="11015" max="11016" width="14.77734375" style="5" bestFit="1" customWidth="1"/>
    <col min="11017" max="11017" width="17.5546875" style="5" bestFit="1" customWidth="1"/>
    <col min="11018" max="11018" width="11.5546875" style="5" customWidth="1"/>
    <col min="11019" max="11019" width="8.77734375" style="5"/>
    <col min="11020" max="11020" width="17.44140625" style="5" bestFit="1" customWidth="1"/>
    <col min="11021" max="11021" width="8.77734375" style="5"/>
    <col min="11022" max="11022" width="7.21875" style="5" bestFit="1" customWidth="1"/>
    <col min="11023" max="11265" width="8.77734375" style="5"/>
    <col min="11266" max="11266" width="30.5546875" style="5" customWidth="1"/>
    <col min="11267" max="11267" width="14.77734375" style="5" bestFit="1" customWidth="1"/>
    <col min="11268" max="11268" width="20.44140625" style="5" bestFit="1" customWidth="1"/>
    <col min="11269" max="11269" width="11.77734375" style="5" bestFit="1" customWidth="1"/>
    <col min="11270" max="11270" width="18.77734375" style="5" customWidth="1"/>
    <col min="11271" max="11272" width="14.77734375" style="5" bestFit="1" customWidth="1"/>
    <col min="11273" max="11273" width="17.5546875" style="5" bestFit="1" customWidth="1"/>
    <col min="11274" max="11274" width="11.5546875" style="5" customWidth="1"/>
    <col min="11275" max="11275" width="8.77734375" style="5"/>
    <col min="11276" max="11276" width="17.44140625" style="5" bestFit="1" customWidth="1"/>
    <col min="11277" max="11277" width="8.77734375" style="5"/>
    <col min="11278" max="11278" width="7.21875" style="5" bestFit="1" customWidth="1"/>
    <col min="11279" max="11521" width="8.77734375" style="5"/>
    <col min="11522" max="11522" width="30.5546875" style="5" customWidth="1"/>
    <col min="11523" max="11523" width="14.77734375" style="5" bestFit="1" customWidth="1"/>
    <col min="11524" max="11524" width="20.44140625" style="5" bestFit="1" customWidth="1"/>
    <col min="11525" max="11525" width="11.77734375" style="5" bestFit="1" customWidth="1"/>
    <col min="11526" max="11526" width="18.77734375" style="5" customWidth="1"/>
    <col min="11527" max="11528" width="14.77734375" style="5" bestFit="1" customWidth="1"/>
    <col min="11529" max="11529" width="17.5546875" style="5" bestFit="1" customWidth="1"/>
    <col min="11530" max="11530" width="11.5546875" style="5" customWidth="1"/>
    <col min="11531" max="11531" width="8.77734375" style="5"/>
    <col min="11532" max="11532" width="17.44140625" style="5" bestFit="1" customWidth="1"/>
    <col min="11533" max="11533" width="8.77734375" style="5"/>
    <col min="11534" max="11534" width="7.21875" style="5" bestFit="1" customWidth="1"/>
    <col min="11535" max="11777" width="8.77734375" style="5"/>
    <col min="11778" max="11778" width="30.5546875" style="5" customWidth="1"/>
    <col min="11779" max="11779" width="14.77734375" style="5" bestFit="1" customWidth="1"/>
    <col min="11780" max="11780" width="20.44140625" style="5" bestFit="1" customWidth="1"/>
    <col min="11781" max="11781" width="11.77734375" style="5" bestFit="1" customWidth="1"/>
    <col min="11782" max="11782" width="18.77734375" style="5" customWidth="1"/>
    <col min="11783" max="11784" width="14.77734375" style="5" bestFit="1" customWidth="1"/>
    <col min="11785" max="11785" width="17.5546875" style="5" bestFit="1" customWidth="1"/>
    <col min="11786" max="11786" width="11.5546875" style="5" customWidth="1"/>
    <col min="11787" max="11787" width="8.77734375" style="5"/>
    <col min="11788" max="11788" width="17.44140625" style="5" bestFit="1" customWidth="1"/>
    <col min="11789" max="11789" width="8.77734375" style="5"/>
    <col min="11790" max="11790" width="7.21875" style="5" bestFit="1" customWidth="1"/>
    <col min="11791" max="12033" width="8.77734375" style="5"/>
    <col min="12034" max="12034" width="30.5546875" style="5" customWidth="1"/>
    <col min="12035" max="12035" width="14.77734375" style="5" bestFit="1" customWidth="1"/>
    <col min="12036" max="12036" width="20.44140625" style="5" bestFit="1" customWidth="1"/>
    <col min="12037" max="12037" width="11.77734375" style="5" bestFit="1" customWidth="1"/>
    <col min="12038" max="12038" width="18.77734375" style="5" customWidth="1"/>
    <col min="12039" max="12040" width="14.77734375" style="5" bestFit="1" customWidth="1"/>
    <col min="12041" max="12041" width="17.5546875" style="5" bestFit="1" customWidth="1"/>
    <col min="12042" max="12042" width="11.5546875" style="5" customWidth="1"/>
    <col min="12043" max="12043" width="8.77734375" style="5"/>
    <col min="12044" max="12044" width="17.44140625" style="5" bestFit="1" customWidth="1"/>
    <col min="12045" max="12045" width="8.77734375" style="5"/>
    <col min="12046" max="12046" width="7.21875" style="5" bestFit="1" customWidth="1"/>
    <col min="12047" max="12289" width="8.77734375" style="5"/>
    <col min="12290" max="12290" width="30.5546875" style="5" customWidth="1"/>
    <col min="12291" max="12291" width="14.77734375" style="5" bestFit="1" customWidth="1"/>
    <col min="12292" max="12292" width="20.44140625" style="5" bestFit="1" customWidth="1"/>
    <col min="12293" max="12293" width="11.77734375" style="5" bestFit="1" customWidth="1"/>
    <col min="12294" max="12294" width="18.77734375" style="5" customWidth="1"/>
    <col min="12295" max="12296" width="14.77734375" style="5" bestFit="1" customWidth="1"/>
    <col min="12297" max="12297" width="17.5546875" style="5" bestFit="1" customWidth="1"/>
    <col min="12298" max="12298" width="11.5546875" style="5" customWidth="1"/>
    <col min="12299" max="12299" width="8.77734375" style="5"/>
    <col min="12300" max="12300" width="17.44140625" style="5" bestFit="1" customWidth="1"/>
    <col min="12301" max="12301" width="8.77734375" style="5"/>
    <col min="12302" max="12302" width="7.21875" style="5" bestFit="1" customWidth="1"/>
    <col min="12303" max="12545" width="8.77734375" style="5"/>
    <col min="12546" max="12546" width="30.5546875" style="5" customWidth="1"/>
    <col min="12547" max="12547" width="14.77734375" style="5" bestFit="1" customWidth="1"/>
    <col min="12548" max="12548" width="20.44140625" style="5" bestFit="1" customWidth="1"/>
    <col min="12549" max="12549" width="11.77734375" style="5" bestFit="1" customWidth="1"/>
    <col min="12550" max="12550" width="18.77734375" style="5" customWidth="1"/>
    <col min="12551" max="12552" width="14.77734375" style="5" bestFit="1" customWidth="1"/>
    <col min="12553" max="12553" width="17.5546875" style="5" bestFit="1" customWidth="1"/>
    <col min="12554" max="12554" width="11.5546875" style="5" customWidth="1"/>
    <col min="12555" max="12555" width="8.77734375" style="5"/>
    <col min="12556" max="12556" width="17.44140625" style="5" bestFit="1" customWidth="1"/>
    <col min="12557" max="12557" width="8.77734375" style="5"/>
    <col min="12558" max="12558" width="7.21875" style="5" bestFit="1" customWidth="1"/>
    <col min="12559" max="12801" width="8.77734375" style="5"/>
    <col min="12802" max="12802" width="30.5546875" style="5" customWidth="1"/>
    <col min="12803" max="12803" width="14.77734375" style="5" bestFit="1" customWidth="1"/>
    <col min="12804" max="12804" width="20.44140625" style="5" bestFit="1" customWidth="1"/>
    <col min="12805" max="12805" width="11.77734375" style="5" bestFit="1" customWidth="1"/>
    <col min="12806" max="12806" width="18.77734375" style="5" customWidth="1"/>
    <col min="12807" max="12808" width="14.77734375" style="5" bestFit="1" customWidth="1"/>
    <col min="12809" max="12809" width="17.5546875" style="5" bestFit="1" customWidth="1"/>
    <col min="12810" max="12810" width="11.5546875" style="5" customWidth="1"/>
    <col min="12811" max="12811" width="8.77734375" style="5"/>
    <col min="12812" max="12812" width="17.44140625" style="5" bestFit="1" customWidth="1"/>
    <col min="12813" max="12813" width="8.77734375" style="5"/>
    <col min="12814" max="12814" width="7.21875" style="5" bestFit="1" customWidth="1"/>
    <col min="12815" max="13057" width="8.77734375" style="5"/>
    <col min="13058" max="13058" width="30.5546875" style="5" customWidth="1"/>
    <col min="13059" max="13059" width="14.77734375" style="5" bestFit="1" customWidth="1"/>
    <col min="13060" max="13060" width="20.44140625" style="5" bestFit="1" customWidth="1"/>
    <col min="13061" max="13061" width="11.77734375" style="5" bestFit="1" customWidth="1"/>
    <col min="13062" max="13062" width="18.77734375" style="5" customWidth="1"/>
    <col min="13063" max="13064" width="14.77734375" style="5" bestFit="1" customWidth="1"/>
    <col min="13065" max="13065" width="17.5546875" style="5" bestFit="1" customWidth="1"/>
    <col min="13066" max="13066" width="11.5546875" style="5" customWidth="1"/>
    <col min="13067" max="13067" width="8.77734375" style="5"/>
    <col min="13068" max="13068" width="17.44140625" style="5" bestFit="1" customWidth="1"/>
    <col min="13069" max="13069" width="8.77734375" style="5"/>
    <col min="13070" max="13070" width="7.21875" style="5" bestFit="1" customWidth="1"/>
    <col min="13071" max="13313" width="8.77734375" style="5"/>
    <col min="13314" max="13314" width="30.5546875" style="5" customWidth="1"/>
    <col min="13315" max="13315" width="14.77734375" style="5" bestFit="1" customWidth="1"/>
    <col min="13316" max="13316" width="20.44140625" style="5" bestFit="1" customWidth="1"/>
    <col min="13317" max="13317" width="11.77734375" style="5" bestFit="1" customWidth="1"/>
    <col min="13318" max="13318" width="18.77734375" style="5" customWidth="1"/>
    <col min="13319" max="13320" width="14.77734375" style="5" bestFit="1" customWidth="1"/>
    <col min="13321" max="13321" width="17.5546875" style="5" bestFit="1" customWidth="1"/>
    <col min="13322" max="13322" width="11.5546875" style="5" customWidth="1"/>
    <col min="13323" max="13323" width="8.77734375" style="5"/>
    <col min="13324" max="13324" width="17.44140625" style="5" bestFit="1" customWidth="1"/>
    <col min="13325" max="13325" width="8.77734375" style="5"/>
    <col min="13326" max="13326" width="7.21875" style="5" bestFit="1" customWidth="1"/>
    <col min="13327" max="13569" width="8.77734375" style="5"/>
    <col min="13570" max="13570" width="30.5546875" style="5" customWidth="1"/>
    <col min="13571" max="13571" width="14.77734375" style="5" bestFit="1" customWidth="1"/>
    <col min="13572" max="13572" width="20.44140625" style="5" bestFit="1" customWidth="1"/>
    <col min="13573" max="13573" width="11.77734375" style="5" bestFit="1" customWidth="1"/>
    <col min="13574" max="13574" width="18.77734375" style="5" customWidth="1"/>
    <col min="13575" max="13576" width="14.77734375" style="5" bestFit="1" customWidth="1"/>
    <col min="13577" max="13577" width="17.5546875" style="5" bestFit="1" customWidth="1"/>
    <col min="13578" max="13578" width="11.5546875" style="5" customWidth="1"/>
    <col min="13579" max="13579" width="8.77734375" style="5"/>
    <col min="13580" max="13580" width="17.44140625" style="5" bestFit="1" customWidth="1"/>
    <col min="13581" max="13581" width="8.77734375" style="5"/>
    <col min="13582" max="13582" width="7.21875" style="5" bestFit="1" customWidth="1"/>
    <col min="13583" max="13825" width="8.77734375" style="5"/>
    <col min="13826" max="13826" width="30.5546875" style="5" customWidth="1"/>
    <col min="13827" max="13827" width="14.77734375" style="5" bestFit="1" customWidth="1"/>
    <col min="13828" max="13828" width="20.44140625" style="5" bestFit="1" customWidth="1"/>
    <col min="13829" max="13829" width="11.77734375" style="5" bestFit="1" customWidth="1"/>
    <col min="13830" max="13830" width="18.77734375" style="5" customWidth="1"/>
    <col min="13831" max="13832" width="14.77734375" style="5" bestFit="1" customWidth="1"/>
    <col min="13833" max="13833" width="17.5546875" style="5" bestFit="1" customWidth="1"/>
    <col min="13834" max="13834" width="11.5546875" style="5" customWidth="1"/>
    <col min="13835" max="13835" width="8.77734375" style="5"/>
    <col min="13836" max="13836" width="17.44140625" style="5" bestFit="1" customWidth="1"/>
    <col min="13837" max="13837" width="8.77734375" style="5"/>
    <col min="13838" max="13838" width="7.21875" style="5" bestFit="1" customWidth="1"/>
    <col min="13839" max="14081" width="8.77734375" style="5"/>
    <col min="14082" max="14082" width="30.5546875" style="5" customWidth="1"/>
    <col min="14083" max="14083" width="14.77734375" style="5" bestFit="1" customWidth="1"/>
    <col min="14084" max="14084" width="20.44140625" style="5" bestFit="1" customWidth="1"/>
    <col min="14085" max="14085" width="11.77734375" style="5" bestFit="1" customWidth="1"/>
    <col min="14086" max="14086" width="18.77734375" style="5" customWidth="1"/>
    <col min="14087" max="14088" width="14.77734375" style="5" bestFit="1" customWidth="1"/>
    <col min="14089" max="14089" width="17.5546875" style="5" bestFit="1" customWidth="1"/>
    <col min="14090" max="14090" width="11.5546875" style="5" customWidth="1"/>
    <col min="14091" max="14091" width="8.77734375" style="5"/>
    <col min="14092" max="14092" width="17.44140625" style="5" bestFit="1" customWidth="1"/>
    <col min="14093" max="14093" width="8.77734375" style="5"/>
    <col min="14094" max="14094" width="7.21875" style="5" bestFit="1" customWidth="1"/>
    <col min="14095" max="14337" width="8.77734375" style="5"/>
    <col min="14338" max="14338" width="30.5546875" style="5" customWidth="1"/>
    <col min="14339" max="14339" width="14.77734375" style="5" bestFit="1" customWidth="1"/>
    <col min="14340" max="14340" width="20.44140625" style="5" bestFit="1" customWidth="1"/>
    <col min="14341" max="14341" width="11.77734375" style="5" bestFit="1" customWidth="1"/>
    <col min="14342" max="14342" width="18.77734375" style="5" customWidth="1"/>
    <col min="14343" max="14344" width="14.77734375" style="5" bestFit="1" customWidth="1"/>
    <col min="14345" max="14345" width="17.5546875" style="5" bestFit="1" customWidth="1"/>
    <col min="14346" max="14346" width="11.5546875" style="5" customWidth="1"/>
    <col min="14347" max="14347" width="8.77734375" style="5"/>
    <col min="14348" max="14348" width="17.44140625" style="5" bestFit="1" customWidth="1"/>
    <col min="14349" max="14349" width="8.77734375" style="5"/>
    <col min="14350" max="14350" width="7.21875" style="5" bestFit="1" customWidth="1"/>
    <col min="14351" max="14593" width="8.77734375" style="5"/>
    <col min="14594" max="14594" width="30.5546875" style="5" customWidth="1"/>
    <col min="14595" max="14595" width="14.77734375" style="5" bestFit="1" customWidth="1"/>
    <col min="14596" max="14596" width="20.44140625" style="5" bestFit="1" customWidth="1"/>
    <col min="14597" max="14597" width="11.77734375" style="5" bestFit="1" customWidth="1"/>
    <col min="14598" max="14598" width="18.77734375" style="5" customWidth="1"/>
    <col min="14599" max="14600" width="14.77734375" style="5" bestFit="1" customWidth="1"/>
    <col min="14601" max="14601" width="17.5546875" style="5" bestFit="1" customWidth="1"/>
    <col min="14602" max="14602" width="11.5546875" style="5" customWidth="1"/>
    <col min="14603" max="14603" width="8.77734375" style="5"/>
    <col min="14604" max="14604" width="17.44140625" style="5" bestFit="1" customWidth="1"/>
    <col min="14605" max="14605" width="8.77734375" style="5"/>
    <col min="14606" max="14606" width="7.21875" style="5" bestFit="1" customWidth="1"/>
    <col min="14607" max="14849" width="8.77734375" style="5"/>
    <col min="14850" max="14850" width="30.5546875" style="5" customWidth="1"/>
    <col min="14851" max="14851" width="14.77734375" style="5" bestFit="1" customWidth="1"/>
    <col min="14852" max="14852" width="20.44140625" style="5" bestFit="1" customWidth="1"/>
    <col min="14853" max="14853" width="11.77734375" style="5" bestFit="1" customWidth="1"/>
    <col min="14854" max="14854" width="18.77734375" style="5" customWidth="1"/>
    <col min="14855" max="14856" width="14.77734375" style="5" bestFit="1" customWidth="1"/>
    <col min="14857" max="14857" width="17.5546875" style="5" bestFit="1" customWidth="1"/>
    <col min="14858" max="14858" width="11.5546875" style="5" customWidth="1"/>
    <col min="14859" max="14859" width="8.77734375" style="5"/>
    <col min="14860" max="14860" width="17.44140625" style="5" bestFit="1" customWidth="1"/>
    <col min="14861" max="14861" width="8.77734375" style="5"/>
    <col min="14862" max="14862" width="7.21875" style="5" bestFit="1" customWidth="1"/>
    <col min="14863" max="15105" width="8.77734375" style="5"/>
    <col min="15106" max="15106" width="30.5546875" style="5" customWidth="1"/>
    <col min="15107" max="15107" width="14.77734375" style="5" bestFit="1" customWidth="1"/>
    <col min="15108" max="15108" width="20.44140625" style="5" bestFit="1" customWidth="1"/>
    <col min="15109" max="15109" width="11.77734375" style="5" bestFit="1" customWidth="1"/>
    <col min="15110" max="15110" width="18.77734375" style="5" customWidth="1"/>
    <col min="15111" max="15112" width="14.77734375" style="5" bestFit="1" customWidth="1"/>
    <col min="15113" max="15113" width="17.5546875" style="5" bestFit="1" customWidth="1"/>
    <col min="15114" max="15114" width="11.5546875" style="5" customWidth="1"/>
    <col min="15115" max="15115" width="8.77734375" style="5"/>
    <col min="15116" max="15116" width="17.44140625" style="5" bestFit="1" customWidth="1"/>
    <col min="15117" max="15117" width="8.77734375" style="5"/>
    <col min="15118" max="15118" width="7.21875" style="5" bestFit="1" customWidth="1"/>
    <col min="15119" max="15361" width="8.77734375" style="5"/>
    <col min="15362" max="15362" width="30.5546875" style="5" customWidth="1"/>
    <col min="15363" max="15363" width="14.77734375" style="5" bestFit="1" customWidth="1"/>
    <col min="15364" max="15364" width="20.44140625" style="5" bestFit="1" customWidth="1"/>
    <col min="15365" max="15365" width="11.77734375" style="5" bestFit="1" customWidth="1"/>
    <col min="15366" max="15366" width="18.77734375" style="5" customWidth="1"/>
    <col min="15367" max="15368" width="14.77734375" style="5" bestFit="1" customWidth="1"/>
    <col min="15369" max="15369" width="17.5546875" style="5" bestFit="1" customWidth="1"/>
    <col min="15370" max="15370" width="11.5546875" style="5" customWidth="1"/>
    <col min="15371" max="15371" width="8.77734375" style="5"/>
    <col min="15372" max="15372" width="17.44140625" style="5" bestFit="1" customWidth="1"/>
    <col min="15373" max="15373" width="8.77734375" style="5"/>
    <col min="15374" max="15374" width="7.21875" style="5" bestFit="1" customWidth="1"/>
    <col min="15375" max="15617" width="8.77734375" style="5"/>
    <col min="15618" max="15618" width="30.5546875" style="5" customWidth="1"/>
    <col min="15619" max="15619" width="14.77734375" style="5" bestFit="1" customWidth="1"/>
    <col min="15620" max="15620" width="20.44140625" style="5" bestFit="1" customWidth="1"/>
    <col min="15621" max="15621" width="11.77734375" style="5" bestFit="1" customWidth="1"/>
    <col min="15622" max="15622" width="18.77734375" style="5" customWidth="1"/>
    <col min="15623" max="15624" width="14.77734375" style="5" bestFit="1" customWidth="1"/>
    <col min="15625" max="15625" width="17.5546875" style="5" bestFit="1" customWidth="1"/>
    <col min="15626" max="15626" width="11.5546875" style="5" customWidth="1"/>
    <col min="15627" max="15627" width="8.77734375" style="5"/>
    <col min="15628" max="15628" width="17.44140625" style="5" bestFit="1" customWidth="1"/>
    <col min="15629" max="15629" width="8.77734375" style="5"/>
    <col min="15630" max="15630" width="7.21875" style="5" bestFit="1" customWidth="1"/>
    <col min="15631" max="15873" width="8.77734375" style="5"/>
    <col min="15874" max="15874" width="30.5546875" style="5" customWidth="1"/>
    <col min="15875" max="15875" width="14.77734375" style="5" bestFit="1" customWidth="1"/>
    <col min="15876" max="15876" width="20.44140625" style="5" bestFit="1" customWidth="1"/>
    <col min="15877" max="15877" width="11.77734375" style="5" bestFit="1" customWidth="1"/>
    <col min="15878" max="15878" width="18.77734375" style="5" customWidth="1"/>
    <col min="15879" max="15880" width="14.77734375" style="5" bestFit="1" customWidth="1"/>
    <col min="15881" max="15881" width="17.5546875" style="5" bestFit="1" customWidth="1"/>
    <col min="15882" max="15882" width="11.5546875" style="5" customWidth="1"/>
    <col min="15883" max="15883" width="8.77734375" style="5"/>
    <col min="15884" max="15884" width="17.44140625" style="5" bestFit="1" customWidth="1"/>
    <col min="15885" max="15885" width="8.77734375" style="5"/>
    <col min="15886" max="15886" width="7.21875" style="5" bestFit="1" customWidth="1"/>
    <col min="15887" max="16129" width="8.77734375" style="5"/>
    <col min="16130" max="16130" width="30.5546875" style="5" customWidth="1"/>
    <col min="16131" max="16131" width="14.77734375" style="5" bestFit="1" customWidth="1"/>
    <col min="16132" max="16132" width="20.44140625" style="5" bestFit="1" customWidth="1"/>
    <col min="16133" max="16133" width="11.77734375" style="5" bestFit="1" customWidth="1"/>
    <col min="16134" max="16134" width="18.77734375" style="5" customWidth="1"/>
    <col min="16135" max="16136" width="14.77734375" style="5" bestFit="1" customWidth="1"/>
    <col min="16137" max="16137" width="17.5546875" style="5" bestFit="1" customWidth="1"/>
    <col min="16138" max="16138" width="11.5546875" style="5" customWidth="1"/>
    <col min="16139" max="16139" width="8.77734375" style="5"/>
    <col min="16140" max="16140" width="17.44140625" style="5" bestFit="1" customWidth="1"/>
    <col min="16141" max="16141" width="8.77734375" style="5"/>
    <col min="16142" max="16142" width="7.21875" style="5" bestFit="1" customWidth="1"/>
    <col min="16143" max="16384" width="8.77734375" style="5"/>
  </cols>
  <sheetData>
    <row r="1" spans="1:17" x14ac:dyDescent="0.25">
      <c r="B1" s="53" t="s">
        <v>240</v>
      </c>
    </row>
    <row r="2" spans="1:17" x14ac:dyDescent="0.25">
      <c r="B2" s="43" t="str">
        <f>'PepsiCo-IS'!A2</f>
        <v>(in USD million except per Share Data)</v>
      </c>
    </row>
    <row r="3" spans="1:17" x14ac:dyDescent="0.25">
      <c r="C3" s="3"/>
    </row>
    <row r="4" spans="1:17" x14ac:dyDescent="0.25">
      <c r="B4" s="2" t="s">
        <v>18</v>
      </c>
      <c r="C4" s="3"/>
      <c r="D4" s="3"/>
      <c r="E4" s="4"/>
      <c r="F4" s="2" t="s">
        <v>19</v>
      </c>
      <c r="G4" s="3"/>
      <c r="K4" s="6" t="s">
        <v>20</v>
      </c>
    </row>
    <row r="5" spans="1:17" x14ac:dyDescent="0.25">
      <c r="B5" s="7" t="s">
        <v>21</v>
      </c>
      <c r="C5" s="8" t="s">
        <v>22</v>
      </c>
      <c r="D5" s="9" t="s">
        <v>23</v>
      </c>
      <c r="E5" s="4"/>
      <c r="F5" s="7" t="s">
        <v>21</v>
      </c>
      <c r="G5" s="8" t="s">
        <v>22</v>
      </c>
      <c r="H5" s="9" t="s">
        <v>23</v>
      </c>
      <c r="K5" s="7" t="s">
        <v>21</v>
      </c>
      <c r="L5" s="9" t="s">
        <v>24</v>
      </c>
      <c r="M5" s="7" t="s">
        <v>21</v>
      </c>
      <c r="N5" s="9" t="s">
        <v>312</v>
      </c>
      <c r="O5" s="398"/>
    </row>
    <row r="6" spans="1:17" x14ac:dyDescent="0.25">
      <c r="B6" s="10" t="s">
        <v>25</v>
      </c>
      <c r="C6" s="145">
        <v>44683</v>
      </c>
      <c r="D6" s="349">
        <v>1.949E-2</v>
      </c>
      <c r="E6" s="4"/>
      <c r="F6" s="12" t="s">
        <v>26</v>
      </c>
      <c r="G6" s="13" t="s">
        <v>325</v>
      </c>
      <c r="H6" s="14">
        <f>D6+1.03%</f>
        <v>2.9790000000000001E-2</v>
      </c>
      <c r="I6" s="160"/>
      <c r="K6" s="10" t="s">
        <v>27</v>
      </c>
      <c r="L6" s="41">
        <f>D25</f>
        <v>0.15511800091664693</v>
      </c>
      <c r="M6" s="15" t="s">
        <v>28</v>
      </c>
      <c r="N6" s="14">
        <f>L6*H8</f>
        <v>3.3733046305340461E-3</v>
      </c>
      <c r="O6" s="288"/>
    </row>
    <row r="7" spans="1:17" x14ac:dyDescent="0.25">
      <c r="B7" s="10" t="s">
        <v>29</v>
      </c>
      <c r="C7" s="11"/>
      <c r="D7" s="202">
        <f>CHOOSE(E7,H24,H25)</f>
        <v>0.93635114353685878</v>
      </c>
      <c r="E7" s="397">
        <v>1</v>
      </c>
      <c r="F7" s="12" t="s">
        <v>30</v>
      </c>
      <c r="G7" s="414" t="s">
        <v>324</v>
      </c>
      <c r="H7" s="14">
        <f>G66</f>
        <v>0.27</v>
      </c>
      <c r="K7" s="286" t="s">
        <v>31</v>
      </c>
      <c r="L7" s="41">
        <f>E25</f>
        <v>0.84488199908335304</v>
      </c>
      <c r="M7" s="287" t="s">
        <v>32</v>
      </c>
      <c r="N7" s="288">
        <f>L7*D10</f>
        <v>5.4116266873118497E-2</v>
      </c>
      <c r="O7" s="288"/>
    </row>
    <row r="8" spans="1:17" x14ac:dyDescent="0.25">
      <c r="B8" s="10" t="s">
        <v>33</v>
      </c>
      <c r="C8" s="11"/>
      <c r="D8" s="203">
        <f>CHOOSE(E8,Q16,Q17)</f>
        <v>4.7590975110342056E-2</v>
      </c>
      <c r="E8" s="397">
        <v>1</v>
      </c>
      <c r="F8" s="19" t="s">
        <v>34</v>
      </c>
      <c r="G8" s="20"/>
      <c r="H8" s="18">
        <f>H6*(1-H7)</f>
        <v>2.1746700000000001E-2</v>
      </c>
      <c r="K8" s="289"/>
      <c r="L8" s="289"/>
      <c r="M8" s="291" t="s">
        <v>35</v>
      </c>
      <c r="N8" s="399">
        <f>N6+N7</f>
        <v>5.7489571503652546E-2</v>
      </c>
    </row>
    <row r="9" spans="1:17" x14ac:dyDescent="0.25">
      <c r="B9" s="163" t="s">
        <v>36</v>
      </c>
      <c r="C9" s="11"/>
      <c r="D9" s="201"/>
      <c r="E9" s="4"/>
      <c r="F9" s="22"/>
      <c r="H9" s="21"/>
      <c r="K9" s="22"/>
    </row>
    <row r="10" spans="1:17" x14ac:dyDescent="0.25">
      <c r="B10" s="17" t="s">
        <v>37</v>
      </c>
      <c r="C10" s="17"/>
      <c r="D10" s="18">
        <f>D6+(D8*D7)</f>
        <v>6.4051863966602965E-2</v>
      </c>
      <c r="E10" s="4"/>
      <c r="F10" s="22"/>
      <c r="H10" s="21"/>
      <c r="J10" s="22"/>
      <c r="K10" s="45"/>
    </row>
    <row r="11" spans="1:17" x14ac:dyDescent="0.25">
      <c r="B11" s="22"/>
      <c r="C11" s="10"/>
      <c r="D11" s="21"/>
      <c r="E11" s="4"/>
    </row>
    <row r="12" spans="1:17" x14ac:dyDescent="0.25">
      <c r="B12" s="22"/>
      <c r="C12" s="10"/>
      <c r="D12" s="21"/>
      <c r="E12" s="4"/>
      <c r="O12" s="220"/>
    </row>
    <row r="13" spans="1:17" x14ac:dyDescent="0.25">
      <c r="B13" s="23" t="s">
        <v>38</v>
      </c>
      <c r="E13" s="24"/>
      <c r="H13" s="25"/>
      <c r="I13" s="26"/>
      <c r="K13" s="26" t="s">
        <v>305</v>
      </c>
    </row>
    <row r="14" spans="1:17" s="27" customFormat="1" ht="27.6" x14ac:dyDescent="0.25">
      <c r="A14" s="356"/>
      <c r="B14" s="148" t="s">
        <v>21</v>
      </c>
      <c r="C14" s="149" t="s">
        <v>282</v>
      </c>
      <c r="D14" s="150" t="s">
        <v>217</v>
      </c>
      <c r="E14" s="150" t="s">
        <v>218</v>
      </c>
      <c r="F14" s="149" t="s">
        <v>39</v>
      </c>
      <c r="G14" s="149" t="s">
        <v>283</v>
      </c>
      <c r="H14" s="149" t="s">
        <v>40</v>
      </c>
      <c r="I14" s="149" t="s">
        <v>41</v>
      </c>
      <c r="K14" s="394" t="s">
        <v>310</v>
      </c>
      <c r="L14" s="149"/>
      <c r="M14" s="149" t="s">
        <v>308</v>
      </c>
      <c r="N14" s="149" t="s">
        <v>309</v>
      </c>
      <c r="O14" s="149" t="s">
        <v>250</v>
      </c>
      <c r="P14" s="149" t="s">
        <v>306</v>
      </c>
      <c r="Q14" s="149" t="s">
        <v>304</v>
      </c>
    </row>
    <row r="15" spans="1:17" s="26" customFormat="1" x14ac:dyDescent="0.25">
      <c r="A15" s="357"/>
      <c r="B15" s="26" t="s">
        <v>42</v>
      </c>
      <c r="M15" s="389">
        <v>26299</v>
      </c>
      <c r="N15" s="390">
        <v>44683</v>
      </c>
      <c r="O15" s="143"/>
      <c r="P15" s="391"/>
    </row>
    <row r="16" spans="1:17" x14ac:dyDescent="0.25">
      <c r="B16" s="5" t="str">
        <f>'Beta Calculation'!B4</f>
        <v>The Coca-Cola Company</v>
      </c>
      <c r="C16" s="44">
        <f>'Beta Calculation'!G4</f>
        <v>0.95322088315540221</v>
      </c>
      <c r="D16" s="30">
        <f>$C$36/($C$36+$F$36)</f>
        <v>0.17463494922333891</v>
      </c>
      <c r="E16" s="45">
        <f>1-D16</f>
        <v>0.82536505077666111</v>
      </c>
      <c r="F16" s="30">
        <f>G36</f>
        <v>0.27</v>
      </c>
      <c r="G16" s="16">
        <f>C16*(E16/(E16+D16*(1-F16)))</f>
        <v>0.82568755685990691</v>
      </c>
      <c r="H16" s="16"/>
      <c r="I16" s="30">
        <f>'Beta Calculation'!H4</f>
        <v>0.7086028838690388</v>
      </c>
      <c r="J16" s="26">
        <v>1</v>
      </c>
      <c r="K16" s="26" t="s">
        <v>311</v>
      </c>
      <c r="L16" s="26"/>
      <c r="M16" s="406">
        <v>594.55999999999995</v>
      </c>
      <c r="N16" s="143">
        <v>15615</v>
      </c>
      <c r="O16" s="392">
        <f>YEARFRAC(M15,N15)</f>
        <v>50.336111111111109</v>
      </c>
      <c r="P16" s="393">
        <f>(N16/M16)^(1/O16)-1</f>
        <v>6.7080975110342056E-2</v>
      </c>
      <c r="Q16" s="396">
        <f>P16-D6</f>
        <v>4.7590975110342056E-2</v>
      </c>
    </row>
    <row r="17" spans="1:17" x14ac:dyDescent="0.25">
      <c r="B17" s="5" t="str">
        <f>'Beta Calculation'!B11</f>
        <v>Mondelēz International</v>
      </c>
      <c r="C17" s="44">
        <f>'Beta Calculation'!G11</f>
        <v>0.65082531347120831</v>
      </c>
      <c r="D17" s="30">
        <f>$C$54/($C$54+$F$54)</f>
        <v>0.18958741306040511</v>
      </c>
      <c r="E17" s="45">
        <f t="shared" ref="E17:E18" si="0">1-D17</f>
        <v>0.81041258693959484</v>
      </c>
      <c r="F17" s="30">
        <f>G54</f>
        <v>0.27</v>
      </c>
      <c r="G17" s="16">
        <f t="shared" ref="G17:G18" si="1">C17*(E17/(E17+D17*(1-F17)))</f>
        <v>0.55589237943856751</v>
      </c>
      <c r="H17" s="16"/>
      <c r="I17" s="30">
        <f>'Beta Calculation'!H11</f>
        <v>0.53673261042896403</v>
      </c>
      <c r="J17" s="26">
        <v>2</v>
      </c>
      <c r="K17" s="388" t="s">
        <v>307</v>
      </c>
      <c r="L17" s="155"/>
      <c r="M17" s="155"/>
      <c r="N17" s="156"/>
      <c r="O17" s="156"/>
      <c r="P17" s="156"/>
      <c r="Q17" s="395">
        <v>4.24E-2</v>
      </c>
    </row>
    <row r="18" spans="1:17" x14ac:dyDescent="0.25">
      <c r="B18" s="5" t="str">
        <f>'Beta Calculation'!B12</f>
        <v>Monster Beverage Corporation</v>
      </c>
      <c r="C18" s="44">
        <f>'Beta Calculation'!G12</f>
        <v>0.82878648891375828</v>
      </c>
      <c r="D18" s="30">
        <f>$C$60/($C$60+$F$60)</f>
        <v>0</v>
      </c>
      <c r="E18" s="45">
        <f t="shared" si="0"/>
        <v>1</v>
      </c>
      <c r="F18" s="30">
        <f>G60</f>
        <v>0.27</v>
      </c>
      <c r="G18" s="16">
        <f t="shared" si="1"/>
        <v>0.82878648891375828</v>
      </c>
      <c r="H18" s="16"/>
      <c r="I18" s="30">
        <f>'Beta Calculation'!H12</f>
        <v>0.57453356578981496</v>
      </c>
    </row>
    <row r="19" spans="1:17" ht="13.5" customHeight="1" x14ac:dyDescent="0.25">
      <c r="B19" s="151"/>
      <c r="C19" s="152"/>
      <c r="D19" s="153"/>
      <c r="E19" s="154"/>
      <c r="F19" s="151"/>
      <c r="G19" s="155"/>
      <c r="H19" s="155"/>
      <c r="I19" s="156"/>
    </row>
    <row r="20" spans="1:17" ht="13.5" customHeight="1" x14ac:dyDescent="0.25">
      <c r="D20" s="284"/>
      <c r="E20" s="284"/>
      <c r="F20" s="26" t="s">
        <v>220</v>
      </c>
      <c r="G20" s="142">
        <f>MEDIAN(G16:G18)</f>
        <v>0.82568755685990691</v>
      </c>
      <c r="H20" s="30"/>
      <c r="I20" s="30"/>
      <c r="J20" s="44"/>
      <c r="K20" s="44"/>
    </row>
    <row r="21" spans="1:17" ht="13.5" customHeight="1" x14ac:dyDescent="0.25">
      <c r="D21" s="284"/>
      <c r="E21" s="284"/>
      <c r="F21" s="26"/>
      <c r="G21" s="142"/>
      <c r="H21" s="30"/>
      <c r="I21" s="30"/>
      <c r="J21" s="44"/>
      <c r="K21" s="44"/>
    </row>
    <row r="22" spans="1:17" ht="13.5" customHeight="1" x14ac:dyDescent="0.25">
      <c r="C22" s="149" t="str">
        <f>C14</f>
        <v>Regression Beta</v>
      </c>
      <c r="D22" s="149" t="s">
        <v>301</v>
      </c>
      <c r="E22" s="149" t="s">
        <v>302</v>
      </c>
      <c r="F22" s="149" t="s">
        <v>216</v>
      </c>
      <c r="G22" s="149" t="s">
        <v>303</v>
      </c>
      <c r="H22" s="149" t="str">
        <f>H14</f>
        <v>Relevered beta</v>
      </c>
      <c r="I22" s="149"/>
      <c r="J22" s="44"/>
      <c r="K22" s="44"/>
    </row>
    <row r="23" spans="1:17" ht="13.5" customHeight="1" x14ac:dyDescent="0.25">
      <c r="B23" s="26" t="s">
        <v>219</v>
      </c>
      <c r="D23" s="140"/>
      <c r="E23" s="140"/>
      <c r="H23" s="142"/>
      <c r="I23" s="30"/>
      <c r="J23" s="44"/>
      <c r="K23" s="44"/>
    </row>
    <row r="24" spans="1:17" ht="13.5" customHeight="1" x14ac:dyDescent="0.25">
      <c r="A24" s="358">
        <v>1</v>
      </c>
      <c r="B24" s="5" t="s">
        <v>221</v>
      </c>
      <c r="D24" s="271">
        <f>C66/(C66+F66)</f>
        <v>0.15511800091664693</v>
      </c>
      <c r="E24" s="285">
        <f>1-D24</f>
        <v>0.84488199908335304</v>
      </c>
      <c r="F24" s="45">
        <f>G66</f>
        <v>0.27</v>
      </c>
      <c r="G24" s="143">
        <f>G20</f>
        <v>0.82568755685990691</v>
      </c>
      <c r="H24" s="143">
        <f>G24*((E24+D24*(1-F24))/E24)</f>
        <v>0.93635114353685878</v>
      </c>
      <c r="I24" s="30"/>
      <c r="J24" s="44"/>
      <c r="K24" s="44"/>
    </row>
    <row r="25" spans="1:17" s="26" customFormat="1" x14ac:dyDescent="0.25">
      <c r="A25" s="358">
        <v>2</v>
      </c>
      <c r="B25" s="5" t="s">
        <v>43</v>
      </c>
      <c r="C25" s="44">
        <f>'Beta Calculation'!J9</f>
        <v>0.69074340365594666</v>
      </c>
      <c r="D25" s="413">
        <f>C66/(C66+F66)</f>
        <v>0.15511800091664693</v>
      </c>
      <c r="E25" s="285">
        <f>1-D25</f>
        <v>0.84488199908335304</v>
      </c>
      <c r="F25" s="45">
        <f>F24</f>
        <v>0.27</v>
      </c>
      <c r="G25" s="44">
        <f>C25*(E25/(E25+D25*(1-F25)))</f>
        <v>0.60910721081350838</v>
      </c>
      <c r="H25" s="143">
        <f>G25*((E25+D25*(1-F25))/E25)</f>
        <v>0.69074340365594666</v>
      </c>
      <c r="I25" s="144"/>
      <c r="J25" s="44"/>
      <c r="K25" s="44"/>
    </row>
    <row r="26" spans="1:17" x14ac:dyDescent="0.25">
      <c r="A26" s="359"/>
    </row>
    <row r="30" spans="1:17" x14ac:dyDescent="0.25">
      <c r="B30" s="26" t="s">
        <v>209</v>
      </c>
      <c r="D30" s="452"/>
      <c r="E30" s="452"/>
      <c r="F30" s="452"/>
    </row>
    <row r="31" spans="1:17" s="26" customFormat="1" x14ac:dyDescent="0.25">
      <c r="A31" s="357"/>
      <c r="B31" s="455" t="s">
        <v>44</v>
      </c>
      <c r="C31" s="317" t="s">
        <v>210</v>
      </c>
      <c r="D31" s="453" t="s">
        <v>211</v>
      </c>
      <c r="E31" s="453"/>
      <c r="F31" s="453"/>
      <c r="G31" s="454" t="s">
        <v>216</v>
      </c>
    </row>
    <row r="32" spans="1:17" x14ac:dyDescent="0.25">
      <c r="A32" s="357" t="s">
        <v>279</v>
      </c>
      <c r="B32" s="455"/>
      <c r="C32" s="363"/>
      <c r="D32" s="364" t="s">
        <v>60</v>
      </c>
      <c r="E32" s="364" t="s">
        <v>212</v>
      </c>
      <c r="F32" s="364" t="s">
        <v>213</v>
      </c>
      <c r="G32" s="454"/>
      <c r="Q32" s="257"/>
    </row>
    <row r="33" spans="1:17" x14ac:dyDescent="0.25">
      <c r="B33" s="354">
        <v>44469</v>
      </c>
      <c r="C33" s="379">
        <f>1866+448+39394</f>
        <v>41708</v>
      </c>
      <c r="D33" s="381">
        <v>52.47</v>
      </c>
      <c r="E33" s="366">
        <f>4319420236/10^6</f>
        <v>4319.4202359999999</v>
      </c>
      <c r="F33" s="375">
        <f>E33*D33</f>
        <v>226639.97978291998</v>
      </c>
      <c r="G33" s="360">
        <v>0.27</v>
      </c>
      <c r="Q33" s="257"/>
    </row>
    <row r="34" spans="1:17" x14ac:dyDescent="0.25">
      <c r="B34" s="354">
        <v>44104</v>
      </c>
      <c r="C34" s="379">
        <f>5857+7508+39502</f>
        <v>52867</v>
      </c>
      <c r="D34" s="381">
        <v>47.49</v>
      </c>
      <c r="E34" s="366">
        <f>4297434612/10^6</f>
        <v>4297.434612</v>
      </c>
      <c r="F34" s="375">
        <f t="shared" ref="F34:F35" si="2">E34*D34</f>
        <v>204085.16972388001</v>
      </c>
      <c r="G34" s="360">
        <v>0.27</v>
      </c>
      <c r="Q34" s="257"/>
    </row>
    <row r="35" spans="1:17" x14ac:dyDescent="0.25">
      <c r="B35" s="354">
        <v>43738</v>
      </c>
      <c r="C35" s="379">
        <f>10972+492+31012</f>
        <v>42476</v>
      </c>
      <c r="D35" s="381">
        <v>50.65</v>
      </c>
      <c r="E35" s="366">
        <f>4284491377/10^6</f>
        <v>4284.4913770000003</v>
      </c>
      <c r="F35" s="375">
        <f t="shared" si="2"/>
        <v>217009.48824505002</v>
      </c>
      <c r="G35" s="360">
        <v>0.27</v>
      </c>
      <c r="Q35" s="257"/>
    </row>
    <row r="36" spans="1:17" x14ac:dyDescent="0.25">
      <c r="B36" s="361" t="s">
        <v>298</v>
      </c>
      <c r="C36" s="377">
        <f>AVERAGE(C33:C35)</f>
        <v>45683.666666666664</v>
      </c>
      <c r="D36" s="371"/>
      <c r="E36" s="367"/>
      <c r="F36" s="377">
        <f>AVERAGE(F33:F35)</f>
        <v>215911.54591728337</v>
      </c>
      <c r="G36" s="362">
        <f>AVERAGE(G33:G35)</f>
        <v>0.27</v>
      </c>
      <c r="Q36" s="257"/>
    </row>
    <row r="37" spans="1:17" x14ac:dyDescent="0.25">
      <c r="B37" s="355"/>
      <c r="C37" s="380"/>
      <c r="D37" s="372"/>
      <c r="E37" s="366"/>
      <c r="F37" s="375"/>
      <c r="G37" s="282"/>
      <c r="Q37" s="257"/>
    </row>
    <row r="38" spans="1:17" x14ac:dyDescent="0.25">
      <c r="A38" s="357" t="s">
        <v>280</v>
      </c>
      <c r="B38" s="257"/>
      <c r="C38" s="379"/>
      <c r="D38" s="370"/>
      <c r="E38" s="366"/>
      <c r="F38" s="376"/>
      <c r="G38" s="280"/>
      <c r="Q38" s="257"/>
    </row>
    <row r="39" spans="1:17" x14ac:dyDescent="0.25">
      <c r="B39" s="354">
        <v>44469</v>
      </c>
      <c r="C39" s="379">
        <f>11727+998</f>
        <v>12725</v>
      </c>
      <c r="D39" s="381">
        <v>34.159999999999997</v>
      </c>
      <c r="E39" s="368">
        <f>1417961594/10^6</f>
        <v>1417.9615940000001</v>
      </c>
      <c r="F39" s="376">
        <f>E39*D39</f>
        <v>48437.568051039998</v>
      </c>
      <c r="G39" s="360">
        <v>0.27</v>
      </c>
      <c r="Q39" s="257"/>
    </row>
    <row r="40" spans="1:17" x14ac:dyDescent="0.25">
      <c r="B40" s="354">
        <v>44104</v>
      </c>
      <c r="C40" s="379">
        <f>2183+11707</f>
        <v>13890</v>
      </c>
      <c r="D40" s="381">
        <v>27.6</v>
      </c>
      <c r="E40" s="366">
        <f>1407253294/10^6</f>
        <v>1407.2532940000001</v>
      </c>
      <c r="F40" s="376">
        <f t="shared" ref="F40:F41" si="3">E40*D40</f>
        <v>38840.190914400002</v>
      </c>
      <c r="G40" s="360">
        <v>0.27</v>
      </c>
      <c r="Q40" s="257"/>
    </row>
    <row r="41" spans="1:17" x14ac:dyDescent="0.25">
      <c r="B41" s="354">
        <v>43738</v>
      </c>
      <c r="C41" s="379">
        <f>13147+1761</f>
        <v>14908</v>
      </c>
      <c r="D41" s="381">
        <v>27.32</v>
      </c>
      <c r="E41" s="366">
        <f>1406787332/10^6</f>
        <v>1406.7873320000001</v>
      </c>
      <c r="F41" s="376">
        <f t="shared" si="3"/>
        <v>38433.429910240004</v>
      </c>
      <c r="G41" s="360">
        <v>0.27</v>
      </c>
      <c r="Q41" s="257"/>
    </row>
    <row r="42" spans="1:17" x14ac:dyDescent="0.25">
      <c r="B42" s="361" t="s">
        <v>298</v>
      </c>
      <c r="C42" s="377">
        <f>AVERAGE(C39:C41)</f>
        <v>13841</v>
      </c>
      <c r="D42" s="371"/>
      <c r="E42" s="367"/>
      <c r="F42" s="377">
        <f>AVERAGE(F39:F41)</f>
        <v>41903.729625226668</v>
      </c>
      <c r="G42" s="362">
        <f>AVERAGE(G39:G41)</f>
        <v>0.27</v>
      </c>
      <c r="Q42" s="257"/>
    </row>
    <row r="43" spans="1:17" x14ac:dyDescent="0.25">
      <c r="B43" s="257"/>
      <c r="C43" s="380"/>
      <c r="D43" s="370"/>
      <c r="E43" s="366"/>
      <c r="F43" s="375"/>
      <c r="G43" s="282"/>
      <c r="Q43" s="257"/>
    </row>
    <row r="44" spans="1:17" x14ac:dyDescent="0.25">
      <c r="A44" s="357" t="s">
        <v>206</v>
      </c>
      <c r="B44" s="257"/>
      <c r="C44" s="379"/>
      <c r="D44" s="370"/>
      <c r="E44" s="366"/>
      <c r="F44" s="376"/>
      <c r="G44" s="280"/>
    </row>
    <row r="45" spans="1:17" x14ac:dyDescent="0.25">
      <c r="B45" s="354">
        <v>44561</v>
      </c>
      <c r="C45" s="379">
        <f>(14+740+21061)</f>
        <v>21815</v>
      </c>
      <c r="D45" s="370">
        <v>35.9</v>
      </c>
      <c r="E45" s="366">
        <f>1223740203/10^6</f>
        <v>1223.7402030000001</v>
      </c>
      <c r="F45" s="376">
        <f>E45*D45</f>
        <v>43932.273287700002</v>
      </c>
      <c r="G45" s="360">
        <v>0.27</v>
      </c>
    </row>
    <row r="46" spans="1:17" x14ac:dyDescent="0.25">
      <c r="B46" s="354">
        <v>44196</v>
      </c>
      <c r="C46" s="379">
        <f>(6+230+28070)</f>
        <v>28306</v>
      </c>
      <c r="D46" s="370">
        <v>34.659999999999997</v>
      </c>
      <c r="E46" s="366">
        <f>1223175747/10^6</f>
        <v>1223.175747</v>
      </c>
      <c r="F46" s="376">
        <f t="shared" ref="F46:F47" si="4">E46*D46</f>
        <v>42395.271391019996</v>
      </c>
      <c r="G46" s="360">
        <v>0.27</v>
      </c>
    </row>
    <row r="47" spans="1:17" x14ac:dyDescent="0.25">
      <c r="B47" s="354">
        <v>43830</v>
      </c>
      <c r="C47" s="379">
        <f>(6+1022+28216)</f>
        <v>29244</v>
      </c>
      <c r="D47" s="370">
        <v>32.130000000000003</v>
      </c>
      <c r="E47" s="366">
        <f>1221399549/10^6</f>
        <v>1221.399549</v>
      </c>
      <c r="F47" s="376">
        <f t="shared" si="4"/>
        <v>39243.567509370005</v>
      </c>
      <c r="G47" s="360">
        <v>0.27</v>
      </c>
    </row>
    <row r="48" spans="1:17" s="26" customFormat="1" x14ac:dyDescent="0.25">
      <c r="A48" s="357"/>
      <c r="B48" s="361" t="s">
        <v>298</v>
      </c>
      <c r="C48" s="377">
        <f>AVERAGE(C45:C47)</f>
        <v>26455</v>
      </c>
      <c r="D48" s="374"/>
      <c r="E48" s="369"/>
      <c r="F48" s="377">
        <f>AVERAGE(F45:F47)</f>
        <v>41857.037396030006</v>
      </c>
      <c r="G48" s="362">
        <f>AVERAGE(G45:G47)</f>
        <v>0.27</v>
      </c>
    </row>
    <row r="49" spans="1:7" x14ac:dyDescent="0.25">
      <c r="B49" s="257"/>
      <c r="C49" s="380"/>
      <c r="D49" s="370"/>
      <c r="E49" s="366"/>
      <c r="F49" s="375"/>
      <c r="G49" s="282"/>
    </row>
    <row r="50" spans="1:7" x14ac:dyDescent="0.25">
      <c r="A50" s="357" t="s">
        <v>207</v>
      </c>
      <c r="B50" s="257"/>
      <c r="C50" s="380"/>
      <c r="D50" s="370"/>
      <c r="E50" s="366"/>
      <c r="F50" s="375"/>
      <c r="G50" s="282"/>
    </row>
    <row r="51" spans="1:7" x14ac:dyDescent="0.25">
      <c r="B51" s="354">
        <v>44561</v>
      </c>
      <c r="C51" s="380">
        <f>(216+1746+17550+459)</f>
        <v>19971</v>
      </c>
      <c r="D51" s="370">
        <v>66.31</v>
      </c>
      <c r="E51" s="366">
        <f>1388328044/10^6</f>
        <v>1388.3280440000001</v>
      </c>
      <c r="F51" s="376">
        <f>E51*D51</f>
        <v>92060.032597640005</v>
      </c>
      <c r="G51" s="360">
        <v>0.27</v>
      </c>
    </row>
    <row r="52" spans="1:7" x14ac:dyDescent="0.25">
      <c r="B52" s="354">
        <v>44196</v>
      </c>
      <c r="C52" s="380">
        <f>(29+2741+17276+470)</f>
        <v>20516</v>
      </c>
      <c r="D52" s="373">
        <v>58.47</v>
      </c>
      <c r="E52" s="366">
        <f>1412114559/10^6</f>
        <v>1412.1145590000001</v>
      </c>
      <c r="F52" s="376">
        <f t="shared" ref="F52:F53" si="5">E52*D52</f>
        <v>82566.338264730002</v>
      </c>
      <c r="G52" s="360">
        <v>0.27</v>
      </c>
    </row>
    <row r="53" spans="1:7" x14ac:dyDescent="0.25">
      <c r="B53" s="354">
        <v>43830</v>
      </c>
      <c r="C53" s="380">
        <f>2638+1581+14207+403</f>
        <v>18829</v>
      </c>
      <c r="D53" s="370">
        <v>55.08</v>
      </c>
      <c r="E53" s="366">
        <f>1432943006/10^6</f>
        <v>1432.943006</v>
      </c>
      <c r="F53" s="376">
        <f t="shared" si="5"/>
        <v>78926.500770479994</v>
      </c>
      <c r="G53" s="360">
        <v>0.27</v>
      </c>
    </row>
    <row r="54" spans="1:7" x14ac:dyDescent="0.25">
      <c r="B54" s="361" t="s">
        <v>298</v>
      </c>
      <c r="C54" s="377">
        <f>AVERAGE(C51:C53)</f>
        <v>19772</v>
      </c>
      <c r="D54" s="371"/>
      <c r="E54" s="367"/>
      <c r="F54" s="377">
        <f>AVERAGE(F51:F53)</f>
        <v>84517.623877616672</v>
      </c>
      <c r="G54" s="362">
        <f>AVERAGE(G51:G53)</f>
        <v>0.27</v>
      </c>
    </row>
    <row r="55" spans="1:7" x14ac:dyDescent="0.25">
      <c r="B55" s="257"/>
      <c r="C55" s="380"/>
      <c r="D55" s="370"/>
      <c r="E55" s="366"/>
      <c r="F55" s="375"/>
      <c r="G55" s="282"/>
    </row>
    <row r="56" spans="1:7" x14ac:dyDescent="0.25">
      <c r="A56" s="357" t="s">
        <v>281</v>
      </c>
      <c r="B56" s="257"/>
      <c r="C56" s="380"/>
      <c r="D56" s="370"/>
      <c r="E56" s="366"/>
      <c r="F56" s="375"/>
      <c r="G56" s="282"/>
    </row>
    <row r="57" spans="1:7" x14ac:dyDescent="0.25">
      <c r="B57" s="354">
        <v>44469</v>
      </c>
      <c r="C57" s="380">
        <v>0</v>
      </c>
      <c r="D57" s="370">
        <v>88.83</v>
      </c>
      <c r="E57" s="366">
        <f>529139115/10^6</f>
        <v>529.13911499999995</v>
      </c>
      <c r="F57" s="376">
        <f>E57*D57</f>
        <v>47003.427585449994</v>
      </c>
      <c r="G57" s="360">
        <v>0.27</v>
      </c>
    </row>
    <row r="58" spans="1:7" x14ac:dyDescent="0.25">
      <c r="B58" s="354">
        <v>44104</v>
      </c>
      <c r="C58" s="380">
        <v>0</v>
      </c>
      <c r="D58" s="370">
        <v>80.2</v>
      </c>
      <c r="E58" s="366">
        <f>527916757/10^6</f>
        <v>527.91675699999996</v>
      </c>
      <c r="F58" s="376">
        <f t="shared" ref="F58:F59" si="6">E58*D58</f>
        <v>42338.923911400001</v>
      </c>
      <c r="G58" s="360">
        <v>0.27</v>
      </c>
    </row>
    <row r="59" spans="1:7" x14ac:dyDescent="0.25">
      <c r="B59" s="354">
        <v>43738</v>
      </c>
      <c r="C59" s="380">
        <v>0</v>
      </c>
      <c r="D59" s="370">
        <v>58.06</v>
      </c>
      <c r="E59" s="366">
        <f>552963481/10^6</f>
        <v>552.963481</v>
      </c>
      <c r="F59" s="376">
        <f t="shared" si="6"/>
        <v>32105.05970686</v>
      </c>
      <c r="G59" s="360">
        <v>0.27</v>
      </c>
    </row>
    <row r="60" spans="1:7" x14ac:dyDescent="0.25">
      <c r="B60" s="361" t="s">
        <v>298</v>
      </c>
      <c r="C60" s="377">
        <f>AVERAGE(C57:C59)</f>
        <v>0</v>
      </c>
      <c r="D60" s="371"/>
      <c r="E60" s="367"/>
      <c r="F60" s="377">
        <f>AVERAGE(F57:F59)</f>
        <v>40482.470401236664</v>
      </c>
      <c r="G60" s="362">
        <f>AVERAGE(G57:G59)</f>
        <v>0.27</v>
      </c>
    </row>
    <row r="61" spans="1:7" x14ac:dyDescent="0.25">
      <c r="B61" s="257"/>
      <c r="C61" s="380"/>
      <c r="D61" s="370"/>
      <c r="E61" s="366"/>
      <c r="F61" s="375"/>
      <c r="G61" s="282"/>
    </row>
    <row r="62" spans="1:7" x14ac:dyDescent="0.25">
      <c r="A62" s="357" t="s">
        <v>208</v>
      </c>
      <c r="B62" s="257"/>
      <c r="C62" s="379"/>
      <c r="D62" s="370"/>
      <c r="E62" s="366"/>
      <c r="F62" s="376"/>
      <c r="G62" s="280"/>
    </row>
    <row r="63" spans="1:7" x14ac:dyDescent="0.25">
      <c r="B63" s="354">
        <v>44561</v>
      </c>
      <c r="C63" s="379">
        <f>SUM('PepsiCo-BS'!F24,'PepsiCo-BS'!F29)</f>
        <v>40334</v>
      </c>
      <c r="D63" s="370">
        <v>173.71</v>
      </c>
      <c r="E63" s="368">
        <f>1383451400/10^6</f>
        <v>1383.4513999999999</v>
      </c>
      <c r="F63" s="376">
        <f>E63*D63</f>
        <v>240319.34269399999</v>
      </c>
      <c r="G63" s="360">
        <v>0.27</v>
      </c>
    </row>
    <row r="64" spans="1:7" x14ac:dyDescent="0.25">
      <c r="B64" s="354">
        <v>44196</v>
      </c>
      <c r="C64" s="379">
        <f>SUM('PepsiCo-BS'!E24,'PepsiCo-BS'!E29)</f>
        <v>44150</v>
      </c>
      <c r="D64" s="373">
        <v>148.30000000000001</v>
      </c>
      <c r="E64" s="368">
        <f>1379608641/10^6</f>
        <v>1379.608641</v>
      </c>
      <c r="F64" s="376">
        <f t="shared" ref="F64:F65" si="7">E64*D64</f>
        <v>204595.96146030002</v>
      </c>
      <c r="G64" s="360">
        <v>0.27</v>
      </c>
    </row>
    <row r="65" spans="1:7" x14ac:dyDescent="0.25">
      <c r="B65" s="354">
        <v>43830</v>
      </c>
      <c r="C65" s="379">
        <f>SUM('PepsiCo-BS'!D24,'PepsiCo-BS'!D29)</f>
        <v>32068</v>
      </c>
      <c r="D65" s="370">
        <v>136.66999999999999</v>
      </c>
      <c r="E65" s="366">
        <f>1389544618/10^6</f>
        <v>1389.5446179999999</v>
      </c>
      <c r="F65" s="376">
        <f t="shared" si="7"/>
        <v>189909.06294205997</v>
      </c>
      <c r="G65" s="360">
        <v>0.27</v>
      </c>
    </row>
    <row r="66" spans="1:7" s="26" customFormat="1" x14ac:dyDescent="0.25">
      <c r="A66" s="357"/>
      <c r="B66" s="361" t="s">
        <v>298</v>
      </c>
      <c r="C66" s="378">
        <f>AVERAGE(C63:C65)</f>
        <v>38850.666666666664</v>
      </c>
      <c r="D66" s="369"/>
      <c r="E66" s="369"/>
      <c r="F66" s="378">
        <f>AVERAGE(F63:F65)</f>
        <v>211608.12236545331</v>
      </c>
      <c r="G66" s="362">
        <f>AVERAGE(G63:G65)</f>
        <v>0.27</v>
      </c>
    </row>
    <row r="67" spans="1:7" x14ac:dyDescent="0.25">
      <c r="B67" s="141"/>
      <c r="C67" s="16"/>
      <c r="D67" s="278"/>
      <c r="E67" s="278"/>
      <c r="F67" s="278"/>
      <c r="G67" s="280"/>
    </row>
    <row r="68" spans="1:7" x14ac:dyDescent="0.25">
      <c r="C68" s="219"/>
      <c r="D68" s="279"/>
      <c r="E68" s="279"/>
      <c r="F68" s="281"/>
      <c r="G68" s="282"/>
    </row>
  </sheetData>
  <mergeCells count="4">
    <mergeCell ref="D30:F30"/>
    <mergeCell ref="D31:F31"/>
    <mergeCell ref="G31:G32"/>
    <mergeCell ref="B31:B3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8" r:id="rId4" name="Drop Down 2">
              <controlPr defaultSize="0" autoLine="0" autoPict="0">
                <anchor moveWithCells="1">
                  <from>
                    <xdr:col>1</xdr:col>
                    <xdr:colOff>2034540</xdr:colOff>
                    <xdr:row>6</xdr:row>
                    <xdr:rowOff>53340</xdr:rowOff>
                  </from>
                  <to>
                    <xdr:col>2</xdr:col>
                    <xdr:colOff>990600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5" name="Drop Down 6">
              <controlPr defaultSize="0" autoLine="0" autoPict="0">
                <anchor moveWithCells="1">
                  <from>
                    <xdr:col>1</xdr:col>
                    <xdr:colOff>2026920</xdr:colOff>
                    <xdr:row>7</xdr:row>
                    <xdr:rowOff>53340</xdr:rowOff>
                  </from>
                  <to>
                    <xdr:col>2</xdr:col>
                    <xdr:colOff>982980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772"/>
  <sheetViews>
    <sheetView showGridLines="0" topLeftCell="A107" workbookViewId="0">
      <selection activeCell="A137" sqref="A137"/>
    </sheetView>
  </sheetViews>
  <sheetFormatPr defaultColWidth="8.77734375" defaultRowHeight="13.8" x14ac:dyDescent="0.25"/>
  <cols>
    <col min="1" max="1" width="10.33203125" style="5" bestFit="1" customWidth="1"/>
    <col min="2" max="6" width="11.21875" style="5" customWidth="1"/>
    <col min="7" max="7" width="18.21875" style="5" bestFit="1" customWidth="1"/>
    <col min="8" max="29" width="11.21875" style="5" customWidth="1"/>
    <col min="30" max="252" width="8.77734375" style="5"/>
    <col min="253" max="253" width="14.77734375" style="5" bestFit="1" customWidth="1"/>
    <col min="254" max="254" width="16.44140625" style="5" bestFit="1" customWidth="1"/>
    <col min="255" max="255" width="16.5546875" style="5" bestFit="1" customWidth="1"/>
    <col min="256" max="256" width="13.44140625" style="5" bestFit="1" customWidth="1"/>
    <col min="257" max="258" width="8.77734375" style="5"/>
    <col min="259" max="259" width="11.44140625" style="5" bestFit="1" customWidth="1"/>
    <col min="260" max="261" width="8.77734375" style="5"/>
    <col min="262" max="262" width="11.44140625" style="5" bestFit="1" customWidth="1"/>
    <col min="263" max="264" width="8.77734375" style="5"/>
    <col min="265" max="265" width="11.44140625" style="5" bestFit="1" customWidth="1"/>
    <col min="266" max="508" width="8.77734375" style="5"/>
    <col min="509" max="509" width="14.77734375" style="5" bestFit="1" customWidth="1"/>
    <col min="510" max="510" width="16.44140625" style="5" bestFit="1" customWidth="1"/>
    <col min="511" max="511" width="16.5546875" style="5" bestFit="1" customWidth="1"/>
    <col min="512" max="512" width="13.44140625" style="5" bestFit="1" customWidth="1"/>
    <col min="513" max="514" width="8.77734375" style="5"/>
    <col min="515" max="515" width="11.44140625" style="5" bestFit="1" customWidth="1"/>
    <col min="516" max="517" width="8.77734375" style="5"/>
    <col min="518" max="518" width="11.44140625" style="5" bestFit="1" customWidth="1"/>
    <col min="519" max="520" width="8.77734375" style="5"/>
    <col min="521" max="521" width="11.44140625" style="5" bestFit="1" customWidth="1"/>
    <col min="522" max="764" width="8.77734375" style="5"/>
    <col min="765" max="765" width="14.77734375" style="5" bestFit="1" customWidth="1"/>
    <col min="766" max="766" width="16.44140625" style="5" bestFit="1" customWidth="1"/>
    <col min="767" max="767" width="16.5546875" style="5" bestFit="1" customWidth="1"/>
    <col min="768" max="768" width="13.44140625" style="5" bestFit="1" customWidth="1"/>
    <col min="769" max="770" width="8.77734375" style="5"/>
    <col min="771" max="771" width="11.44140625" style="5" bestFit="1" customWidth="1"/>
    <col min="772" max="773" width="8.77734375" style="5"/>
    <col min="774" max="774" width="11.44140625" style="5" bestFit="1" customWidth="1"/>
    <col min="775" max="776" width="8.77734375" style="5"/>
    <col min="777" max="777" width="11.44140625" style="5" bestFit="1" customWidth="1"/>
    <col min="778" max="1020" width="8.77734375" style="5"/>
    <col min="1021" max="1021" width="14.77734375" style="5" bestFit="1" customWidth="1"/>
    <col min="1022" max="1022" width="16.44140625" style="5" bestFit="1" customWidth="1"/>
    <col min="1023" max="1023" width="16.5546875" style="5" bestFit="1" customWidth="1"/>
    <col min="1024" max="1024" width="13.44140625" style="5" bestFit="1" customWidth="1"/>
    <col min="1025" max="1026" width="8.77734375" style="5"/>
    <col min="1027" max="1027" width="11.44140625" style="5" bestFit="1" customWidth="1"/>
    <col min="1028" max="1029" width="8.77734375" style="5"/>
    <col min="1030" max="1030" width="11.44140625" style="5" bestFit="1" customWidth="1"/>
    <col min="1031" max="1032" width="8.77734375" style="5"/>
    <col min="1033" max="1033" width="11.44140625" style="5" bestFit="1" customWidth="1"/>
    <col min="1034" max="1276" width="8.77734375" style="5"/>
    <col min="1277" max="1277" width="14.77734375" style="5" bestFit="1" customWidth="1"/>
    <col min="1278" max="1278" width="16.44140625" style="5" bestFit="1" customWidth="1"/>
    <col min="1279" max="1279" width="16.5546875" style="5" bestFit="1" customWidth="1"/>
    <col min="1280" max="1280" width="13.44140625" style="5" bestFit="1" customWidth="1"/>
    <col min="1281" max="1282" width="8.77734375" style="5"/>
    <col min="1283" max="1283" width="11.44140625" style="5" bestFit="1" customWidth="1"/>
    <col min="1284" max="1285" width="8.77734375" style="5"/>
    <col min="1286" max="1286" width="11.44140625" style="5" bestFit="1" customWidth="1"/>
    <col min="1287" max="1288" width="8.77734375" style="5"/>
    <col min="1289" max="1289" width="11.44140625" style="5" bestFit="1" customWidth="1"/>
    <col min="1290" max="1532" width="8.77734375" style="5"/>
    <col min="1533" max="1533" width="14.77734375" style="5" bestFit="1" customWidth="1"/>
    <col min="1534" max="1534" width="16.44140625" style="5" bestFit="1" customWidth="1"/>
    <col min="1535" max="1535" width="16.5546875" style="5" bestFit="1" customWidth="1"/>
    <col min="1536" max="1536" width="13.44140625" style="5" bestFit="1" customWidth="1"/>
    <col min="1537" max="1538" width="8.77734375" style="5"/>
    <col min="1539" max="1539" width="11.44140625" style="5" bestFit="1" customWidth="1"/>
    <col min="1540" max="1541" width="8.77734375" style="5"/>
    <col min="1542" max="1542" width="11.44140625" style="5" bestFit="1" customWidth="1"/>
    <col min="1543" max="1544" width="8.77734375" style="5"/>
    <col min="1545" max="1545" width="11.44140625" style="5" bestFit="1" customWidth="1"/>
    <col min="1546" max="1788" width="8.77734375" style="5"/>
    <col min="1789" max="1789" width="14.77734375" style="5" bestFit="1" customWidth="1"/>
    <col min="1790" max="1790" width="16.44140625" style="5" bestFit="1" customWidth="1"/>
    <col min="1791" max="1791" width="16.5546875" style="5" bestFit="1" customWidth="1"/>
    <col min="1792" max="1792" width="13.44140625" style="5" bestFit="1" customWidth="1"/>
    <col min="1793" max="1794" width="8.77734375" style="5"/>
    <col min="1795" max="1795" width="11.44140625" style="5" bestFit="1" customWidth="1"/>
    <col min="1796" max="1797" width="8.77734375" style="5"/>
    <col min="1798" max="1798" width="11.44140625" style="5" bestFit="1" customWidth="1"/>
    <col min="1799" max="1800" width="8.77734375" style="5"/>
    <col min="1801" max="1801" width="11.44140625" style="5" bestFit="1" customWidth="1"/>
    <col min="1802" max="2044" width="8.77734375" style="5"/>
    <col min="2045" max="2045" width="14.77734375" style="5" bestFit="1" customWidth="1"/>
    <col min="2046" max="2046" width="16.44140625" style="5" bestFit="1" customWidth="1"/>
    <col min="2047" max="2047" width="16.5546875" style="5" bestFit="1" customWidth="1"/>
    <col min="2048" max="2048" width="13.44140625" style="5" bestFit="1" customWidth="1"/>
    <col min="2049" max="2050" width="8.77734375" style="5"/>
    <col min="2051" max="2051" width="11.44140625" style="5" bestFit="1" customWidth="1"/>
    <col min="2052" max="2053" width="8.77734375" style="5"/>
    <col min="2054" max="2054" width="11.44140625" style="5" bestFit="1" customWidth="1"/>
    <col min="2055" max="2056" width="8.77734375" style="5"/>
    <col min="2057" max="2057" width="11.44140625" style="5" bestFit="1" customWidth="1"/>
    <col min="2058" max="2300" width="8.77734375" style="5"/>
    <col min="2301" max="2301" width="14.77734375" style="5" bestFit="1" customWidth="1"/>
    <col min="2302" max="2302" width="16.44140625" style="5" bestFit="1" customWidth="1"/>
    <col min="2303" max="2303" width="16.5546875" style="5" bestFit="1" customWidth="1"/>
    <col min="2304" max="2304" width="13.44140625" style="5" bestFit="1" customWidth="1"/>
    <col min="2305" max="2306" width="8.77734375" style="5"/>
    <col min="2307" max="2307" width="11.44140625" style="5" bestFit="1" customWidth="1"/>
    <col min="2308" max="2309" width="8.77734375" style="5"/>
    <col min="2310" max="2310" width="11.44140625" style="5" bestFit="1" customWidth="1"/>
    <col min="2311" max="2312" width="8.77734375" style="5"/>
    <col min="2313" max="2313" width="11.44140625" style="5" bestFit="1" customWidth="1"/>
    <col min="2314" max="2556" width="8.77734375" style="5"/>
    <col min="2557" max="2557" width="14.77734375" style="5" bestFit="1" customWidth="1"/>
    <col min="2558" max="2558" width="16.44140625" style="5" bestFit="1" customWidth="1"/>
    <col min="2559" max="2559" width="16.5546875" style="5" bestFit="1" customWidth="1"/>
    <col min="2560" max="2560" width="13.44140625" style="5" bestFit="1" customWidth="1"/>
    <col min="2561" max="2562" width="8.77734375" style="5"/>
    <col min="2563" max="2563" width="11.44140625" style="5" bestFit="1" customWidth="1"/>
    <col min="2564" max="2565" width="8.77734375" style="5"/>
    <col min="2566" max="2566" width="11.44140625" style="5" bestFit="1" customWidth="1"/>
    <col min="2567" max="2568" width="8.77734375" style="5"/>
    <col min="2569" max="2569" width="11.44140625" style="5" bestFit="1" customWidth="1"/>
    <col min="2570" max="2812" width="8.77734375" style="5"/>
    <col min="2813" max="2813" width="14.77734375" style="5" bestFit="1" customWidth="1"/>
    <col min="2814" max="2814" width="16.44140625" style="5" bestFit="1" customWidth="1"/>
    <col min="2815" max="2815" width="16.5546875" style="5" bestFit="1" customWidth="1"/>
    <col min="2816" max="2816" width="13.44140625" style="5" bestFit="1" customWidth="1"/>
    <col min="2817" max="2818" width="8.77734375" style="5"/>
    <col min="2819" max="2819" width="11.44140625" style="5" bestFit="1" customWidth="1"/>
    <col min="2820" max="2821" width="8.77734375" style="5"/>
    <col min="2822" max="2822" width="11.44140625" style="5" bestFit="1" customWidth="1"/>
    <col min="2823" max="2824" width="8.77734375" style="5"/>
    <col min="2825" max="2825" width="11.44140625" style="5" bestFit="1" customWidth="1"/>
    <col min="2826" max="3068" width="8.77734375" style="5"/>
    <col min="3069" max="3069" width="14.77734375" style="5" bestFit="1" customWidth="1"/>
    <col min="3070" max="3070" width="16.44140625" style="5" bestFit="1" customWidth="1"/>
    <col min="3071" max="3071" width="16.5546875" style="5" bestFit="1" customWidth="1"/>
    <col min="3072" max="3072" width="13.44140625" style="5" bestFit="1" customWidth="1"/>
    <col min="3073" max="3074" width="8.77734375" style="5"/>
    <col min="3075" max="3075" width="11.44140625" style="5" bestFit="1" customWidth="1"/>
    <col min="3076" max="3077" width="8.77734375" style="5"/>
    <col min="3078" max="3078" width="11.44140625" style="5" bestFit="1" customWidth="1"/>
    <col min="3079" max="3080" width="8.77734375" style="5"/>
    <col min="3081" max="3081" width="11.44140625" style="5" bestFit="1" customWidth="1"/>
    <col min="3082" max="3324" width="8.77734375" style="5"/>
    <col min="3325" max="3325" width="14.77734375" style="5" bestFit="1" customWidth="1"/>
    <col min="3326" max="3326" width="16.44140625" style="5" bestFit="1" customWidth="1"/>
    <col min="3327" max="3327" width="16.5546875" style="5" bestFit="1" customWidth="1"/>
    <col min="3328" max="3328" width="13.44140625" style="5" bestFit="1" customWidth="1"/>
    <col min="3329" max="3330" width="8.77734375" style="5"/>
    <col min="3331" max="3331" width="11.44140625" style="5" bestFit="1" customWidth="1"/>
    <col min="3332" max="3333" width="8.77734375" style="5"/>
    <col min="3334" max="3334" width="11.44140625" style="5" bestFit="1" customWidth="1"/>
    <col min="3335" max="3336" width="8.77734375" style="5"/>
    <col min="3337" max="3337" width="11.44140625" style="5" bestFit="1" customWidth="1"/>
    <col min="3338" max="3580" width="8.77734375" style="5"/>
    <col min="3581" max="3581" width="14.77734375" style="5" bestFit="1" customWidth="1"/>
    <col min="3582" max="3582" width="16.44140625" style="5" bestFit="1" customWidth="1"/>
    <col min="3583" max="3583" width="16.5546875" style="5" bestFit="1" customWidth="1"/>
    <col min="3584" max="3584" width="13.44140625" style="5" bestFit="1" customWidth="1"/>
    <col min="3585" max="3586" width="8.77734375" style="5"/>
    <col min="3587" max="3587" width="11.44140625" style="5" bestFit="1" customWidth="1"/>
    <col min="3588" max="3589" width="8.77734375" style="5"/>
    <col min="3590" max="3590" width="11.44140625" style="5" bestFit="1" customWidth="1"/>
    <col min="3591" max="3592" width="8.77734375" style="5"/>
    <col min="3593" max="3593" width="11.44140625" style="5" bestFit="1" customWidth="1"/>
    <col min="3594" max="3836" width="8.77734375" style="5"/>
    <col min="3837" max="3837" width="14.77734375" style="5" bestFit="1" customWidth="1"/>
    <col min="3838" max="3838" width="16.44140625" style="5" bestFit="1" customWidth="1"/>
    <col min="3839" max="3839" width="16.5546875" style="5" bestFit="1" customWidth="1"/>
    <col min="3840" max="3840" width="13.44140625" style="5" bestFit="1" customWidth="1"/>
    <col min="3841" max="3842" width="8.77734375" style="5"/>
    <col min="3843" max="3843" width="11.44140625" style="5" bestFit="1" customWidth="1"/>
    <col min="3844" max="3845" width="8.77734375" style="5"/>
    <col min="3846" max="3846" width="11.44140625" style="5" bestFit="1" customWidth="1"/>
    <col min="3847" max="3848" width="8.77734375" style="5"/>
    <col min="3849" max="3849" width="11.44140625" style="5" bestFit="1" customWidth="1"/>
    <col min="3850" max="4092" width="8.77734375" style="5"/>
    <col min="4093" max="4093" width="14.77734375" style="5" bestFit="1" customWidth="1"/>
    <col min="4094" max="4094" width="16.44140625" style="5" bestFit="1" customWidth="1"/>
    <col min="4095" max="4095" width="16.5546875" style="5" bestFit="1" customWidth="1"/>
    <col min="4096" max="4096" width="13.44140625" style="5" bestFit="1" customWidth="1"/>
    <col min="4097" max="4098" width="8.77734375" style="5"/>
    <col min="4099" max="4099" width="11.44140625" style="5" bestFit="1" customWidth="1"/>
    <col min="4100" max="4101" width="8.77734375" style="5"/>
    <col min="4102" max="4102" width="11.44140625" style="5" bestFit="1" customWidth="1"/>
    <col min="4103" max="4104" width="8.77734375" style="5"/>
    <col min="4105" max="4105" width="11.44140625" style="5" bestFit="1" customWidth="1"/>
    <col min="4106" max="4348" width="8.77734375" style="5"/>
    <col min="4349" max="4349" width="14.77734375" style="5" bestFit="1" customWidth="1"/>
    <col min="4350" max="4350" width="16.44140625" style="5" bestFit="1" customWidth="1"/>
    <col min="4351" max="4351" width="16.5546875" style="5" bestFit="1" customWidth="1"/>
    <col min="4352" max="4352" width="13.44140625" style="5" bestFit="1" customWidth="1"/>
    <col min="4353" max="4354" width="8.77734375" style="5"/>
    <col min="4355" max="4355" width="11.44140625" style="5" bestFit="1" customWidth="1"/>
    <col min="4356" max="4357" width="8.77734375" style="5"/>
    <col min="4358" max="4358" width="11.44140625" style="5" bestFit="1" customWidth="1"/>
    <col min="4359" max="4360" width="8.77734375" style="5"/>
    <col min="4361" max="4361" width="11.44140625" style="5" bestFit="1" customWidth="1"/>
    <col min="4362" max="4604" width="8.77734375" style="5"/>
    <col min="4605" max="4605" width="14.77734375" style="5" bestFit="1" customWidth="1"/>
    <col min="4606" max="4606" width="16.44140625" style="5" bestFit="1" customWidth="1"/>
    <col min="4607" max="4607" width="16.5546875" style="5" bestFit="1" customWidth="1"/>
    <col min="4608" max="4608" width="13.44140625" style="5" bestFit="1" customWidth="1"/>
    <col min="4609" max="4610" width="8.77734375" style="5"/>
    <col min="4611" max="4611" width="11.44140625" style="5" bestFit="1" customWidth="1"/>
    <col min="4612" max="4613" width="8.77734375" style="5"/>
    <col min="4614" max="4614" width="11.44140625" style="5" bestFit="1" customWidth="1"/>
    <col min="4615" max="4616" width="8.77734375" style="5"/>
    <col min="4617" max="4617" width="11.44140625" style="5" bestFit="1" customWidth="1"/>
    <col min="4618" max="4860" width="8.77734375" style="5"/>
    <col min="4861" max="4861" width="14.77734375" style="5" bestFit="1" customWidth="1"/>
    <col min="4862" max="4862" width="16.44140625" style="5" bestFit="1" customWidth="1"/>
    <col min="4863" max="4863" width="16.5546875" style="5" bestFit="1" customWidth="1"/>
    <col min="4864" max="4864" width="13.44140625" style="5" bestFit="1" customWidth="1"/>
    <col min="4865" max="4866" width="8.77734375" style="5"/>
    <col min="4867" max="4867" width="11.44140625" style="5" bestFit="1" customWidth="1"/>
    <col min="4868" max="4869" width="8.77734375" style="5"/>
    <col min="4870" max="4870" width="11.44140625" style="5" bestFit="1" customWidth="1"/>
    <col min="4871" max="4872" width="8.77734375" style="5"/>
    <col min="4873" max="4873" width="11.44140625" style="5" bestFit="1" customWidth="1"/>
    <col min="4874" max="5116" width="8.77734375" style="5"/>
    <col min="5117" max="5117" width="14.77734375" style="5" bestFit="1" customWidth="1"/>
    <col min="5118" max="5118" width="16.44140625" style="5" bestFit="1" customWidth="1"/>
    <col min="5119" max="5119" width="16.5546875" style="5" bestFit="1" customWidth="1"/>
    <col min="5120" max="5120" width="13.44140625" style="5" bestFit="1" customWidth="1"/>
    <col min="5121" max="5122" width="8.77734375" style="5"/>
    <col min="5123" max="5123" width="11.44140625" style="5" bestFit="1" customWidth="1"/>
    <col min="5124" max="5125" width="8.77734375" style="5"/>
    <col min="5126" max="5126" width="11.44140625" style="5" bestFit="1" customWidth="1"/>
    <col min="5127" max="5128" width="8.77734375" style="5"/>
    <col min="5129" max="5129" width="11.44140625" style="5" bestFit="1" customWidth="1"/>
    <col min="5130" max="5372" width="8.77734375" style="5"/>
    <col min="5373" max="5373" width="14.77734375" style="5" bestFit="1" customWidth="1"/>
    <col min="5374" max="5374" width="16.44140625" style="5" bestFit="1" customWidth="1"/>
    <col min="5375" max="5375" width="16.5546875" style="5" bestFit="1" customWidth="1"/>
    <col min="5376" max="5376" width="13.44140625" style="5" bestFit="1" customWidth="1"/>
    <col min="5377" max="5378" width="8.77734375" style="5"/>
    <col min="5379" max="5379" width="11.44140625" style="5" bestFit="1" customWidth="1"/>
    <col min="5380" max="5381" width="8.77734375" style="5"/>
    <col min="5382" max="5382" width="11.44140625" style="5" bestFit="1" customWidth="1"/>
    <col min="5383" max="5384" width="8.77734375" style="5"/>
    <col min="5385" max="5385" width="11.44140625" style="5" bestFit="1" customWidth="1"/>
    <col min="5386" max="5628" width="8.77734375" style="5"/>
    <col min="5629" max="5629" width="14.77734375" style="5" bestFit="1" customWidth="1"/>
    <col min="5630" max="5630" width="16.44140625" style="5" bestFit="1" customWidth="1"/>
    <col min="5631" max="5631" width="16.5546875" style="5" bestFit="1" customWidth="1"/>
    <col min="5632" max="5632" width="13.44140625" style="5" bestFit="1" customWidth="1"/>
    <col min="5633" max="5634" width="8.77734375" style="5"/>
    <col min="5635" max="5635" width="11.44140625" style="5" bestFit="1" customWidth="1"/>
    <col min="5636" max="5637" width="8.77734375" style="5"/>
    <col min="5638" max="5638" width="11.44140625" style="5" bestFit="1" customWidth="1"/>
    <col min="5639" max="5640" width="8.77734375" style="5"/>
    <col min="5641" max="5641" width="11.44140625" style="5" bestFit="1" customWidth="1"/>
    <col min="5642" max="5884" width="8.77734375" style="5"/>
    <col min="5885" max="5885" width="14.77734375" style="5" bestFit="1" customWidth="1"/>
    <col min="5886" max="5886" width="16.44140625" style="5" bestFit="1" customWidth="1"/>
    <col min="5887" max="5887" width="16.5546875" style="5" bestFit="1" customWidth="1"/>
    <col min="5888" max="5888" width="13.44140625" style="5" bestFit="1" customWidth="1"/>
    <col min="5889" max="5890" width="8.77734375" style="5"/>
    <col min="5891" max="5891" width="11.44140625" style="5" bestFit="1" customWidth="1"/>
    <col min="5892" max="5893" width="8.77734375" style="5"/>
    <col min="5894" max="5894" width="11.44140625" style="5" bestFit="1" customWidth="1"/>
    <col min="5895" max="5896" width="8.77734375" style="5"/>
    <col min="5897" max="5897" width="11.44140625" style="5" bestFit="1" customWidth="1"/>
    <col min="5898" max="6140" width="8.77734375" style="5"/>
    <col min="6141" max="6141" width="14.77734375" style="5" bestFit="1" customWidth="1"/>
    <col min="6142" max="6142" width="16.44140625" style="5" bestFit="1" customWidth="1"/>
    <col min="6143" max="6143" width="16.5546875" style="5" bestFit="1" customWidth="1"/>
    <col min="6144" max="6144" width="13.44140625" style="5" bestFit="1" customWidth="1"/>
    <col min="6145" max="6146" width="8.77734375" style="5"/>
    <col min="6147" max="6147" width="11.44140625" style="5" bestFit="1" customWidth="1"/>
    <col min="6148" max="6149" width="8.77734375" style="5"/>
    <col min="6150" max="6150" width="11.44140625" style="5" bestFit="1" customWidth="1"/>
    <col min="6151" max="6152" width="8.77734375" style="5"/>
    <col min="6153" max="6153" width="11.44140625" style="5" bestFit="1" customWidth="1"/>
    <col min="6154" max="6396" width="8.77734375" style="5"/>
    <col min="6397" max="6397" width="14.77734375" style="5" bestFit="1" customWidth="1"/>
    <col min="6398" max="6398" width="16.44140625" style="5" bestFit="1" customWidth="1"/>
    <col min="6399" max="6399" width="16.5546875" style="5" bestFit="1" customWidth="1"/>
    <col min="6400" max="6400" width="13.44140625" style="5" bestFit="1" customWidth="1"/>
    <col min="6401" max="6402" width="8.77734375" style="5"/>
    <col min="6403" max="6403" width="11.44140625" style="5" bestFit="1" customWidth="1"/>
    <col min="6404" max="6405" width="8.77734375" style="5"/>
    <col min="6406" max="6406" width="11.44140625" style="5" bestFit="1" customWidth="1"/>
    <col min="6407" max="6408" width="8.77734375" style="5"/>
    <col min="6409" max="6409" width="11.44140625" style="5" bestFit="1" customWidth="1"/>
    <col min="6410" max="6652" width="8.77734375" style="5"/>
    <col min="6653" max="6653" width="14.77734375" style="5" bestFit="1" customWidth="1"/>
    <col min="6654" max="6654" width="16.44140625" style="5" bestFit="1" customWidth="1"/>
    <col min="6655" max="6655" width="16.5546875" style="5" bestFit="1" customWidth="1"/>
    <col min="6656" max="6656" width="13.44140625" style="5" bestFit="1" customWidth="1"/>
    <col min="6657" max="6658" width="8.77734375" style="5"/>
    <col min="6659" max="6659" width="11.44140625" style="5" bestFit="1" customWidth="1"/>
    <col min="6660" max="6661" width="8.77734375" style="5"/>
    <col min="6662" max="6662" width="11.44140625" style="5" bestFit="1" customWidth="1"/>
    <col min="6663" max="6664" width="8.77734375" style="5"/>
    <col min="6665" max="6665" width="11.44140625" style="5" bestFit="1" customWidth="1"/>
    <col min="6666" max="6908" width="8.77734375" style="5"/>
    <col min="6909" max="6909" width="14.77734375" style="5" bestFit="1" customWidth="1"/>
    <col min="6910" max="6910" width="16.44140625" style="5" bestFit="1" customWidth="1"/>
    <col min="6911" max="6911" width="16.5546875" style="5" bestFit="1" customWidth="1"/>
    <col min="6912" max="6912" width="13.44140625" style="5" bestFit="1" customWidth="1"/>
    <col min="6913" max="6914" width="8.77734375" style="5"/>
    <col min="6915" max="6915" width="11.44140625" style="5" bestFit="1" customWidth="1"/>
    <col min="6916" max="6917" width="8.77734375" style="5"/>
    <col min="6918" max="6918" width="11.44140625" style="5" bestFit="1" customWidth="1"/>
    <col min="6919" max="6920" width="8.77734375" style="5"/>
    <col min="6921" max="6921" width="11.44140625" style="5" bestFit="1" customWidth="1"/>
    <col min="6922" max="7164" width="8.77734375" style="5"/>
    <col min="7165" max="7165" width="14.77734375" style="5" bestFit="1" customWidth="1"/>
    <col min="7166" max="7166" width="16.44140625" style="5" bestFit="1" customWidth="1"/>
    <col min="7167" max="7167" width="16.5546875" style="5" bestFit="1" customWidth="1"/>
    <col min="7168" max="7168" width="13.44140625" style="5" bestFit="1" customWidth="1"/>
    <col min="7169" max="7170" width="8.77734375" style="5"/>
    <col min="7171" max="7171" width="11.44140625" style="5" bestFit="1" customWidth="1"/>
    <col min="7172" max="7173" width="8.77734375" style="5"/>
    <col min="7174" max="7174" width="11.44140625" style="5" bestFit="1" customWidth="1"/>
    <col min="7175" max="7176" width="8.77734375" style="5"/>
    <col min="7177" max="7177" width="11.44140625" style="5" bestFit="1" customWidth="1"/>
    <col min="7178" max="7420" width="8.77734375" style="5"/>
    <col min="7421" max="7421" width="14.77734375" style="5" bestFit="1" customWidth="1"/>
    <col min="7422" max="7422" width="16.44140625" style="5" bestFit="1" customWidth="1"/>
    <col min="7423" max="7423" width="16.5546875" style="5" bestFit="1" customWidth="1"/>
    <col min="7424" max="7424" width="13.44140625" style="5" bestFit="1" customWidth="1"/>
    <col min="7425" max="7426" width="8.77734375" style="5"/>
    <col min="7427" max="7427" width="11.44140625" style="5" bestFit="1" customWidth="1"/>
    <col min="7428" max="7429" width="8.77734375" style="5"/>
    <col min="7430" max="7430" width="11.44140625" style="5" bestFit="1" customWidth="1"/>
    <col min="7431" max="7432" width="8.77734375" style="5"/>
    <col min="7433" max="7433" width="11.44140625" style="5" bestFit="1" customWidth="1"/>
    <col min="7434" max="7676" width="8.77734375" style="5"/>
    <col min="7677" max="7677" width="14.77734375" style="5" bestFit="1" customWidth="1"/>
    <col min="7678" max="7678" width="16.44140625" style="5" bestFit="1" customWidth="1"/>
    <col min="7679" max="7679" width="16.5546875" style="5" bestFit="1" customWidth="1"/>
    <col min="7680" max="7680" width="13.44140625" style="5" bestFit="1" customWidth="1"/>
    <col min="7681" max="7682" width="8.77734375" style="5"/>
    <col min="7683" max="7683" width="11.44140625" style="5" bestFit="1" customWidth="1"/>
    <col min="7684" max="7685" width="8.77734375" style="5"/>
    <col min="7686" max="7686" width="11.44140625" style="5" bestFit="1" customWidth="1"/>
    <col min="7687" max="7688" width="8.77734375" style="5"/>
    <col min="7689" max="7689" width="11.44140625" style="5" bestFit="1" customWidth="1"/>
    <col min="7690" max="7932" width="8.77734375" style="5"/>
    <col min="7933" max="7933" width="14.77734375" style="5" bestFit="1" customWidth="1"/>
    <col min="7934" max="7934" width="16.44140625" style="5" bestFit="1" customWidth="1"/>
    <col min="7935" max="7935" width="16.5546875" style="5" bestFit="1" customWidth="1"/>
    <col min="7936" max="7936" width="13.44140625" style="5" bestFit="1" customWidth="1"/>
    <col min="7937" max="7938" width="8.77734375" style="5"/>
    <col min="7939" max="7939" width="11.44140625" style="5" bestFit="1" customWidth="1"/>
    <col min="7940" max="7941" width="8.77734375" style="5"/>
    <col min="7942" max="7942" width="11.44140625" style="5" bestFit="1" customWidth="1"/>
    <col min="7943" max="7944" width="8.77734375" style="5"/>
    <col min="7945" max="7945" width="11.44140625" style="5" bestFit="1" customWidth="1"/>
    <col min="7946" max="8188" width="8.77734375" style="5"/>
    <col min="8189" max="8189" width="14.77734375" style="5" bestFit="1" customWidth="1"/>
    <col min="8190" max="8190" width="16.44140625" style="5" bestFit="1" customWidth="1"/>
    <col min="8191" max="8191" width="16.5546875" style="5" bestFit="1" customWidth="1"/>
    <col min="8192" max="8192" width="13.44140625" style="5" bestFit="1" customWidth="1"/>
    <col min="8193" max="8194" width="8.77734375" style="5"/>
    <col min="8195" max="8195" width="11.44140625" style="5" bestFit="1" customWidth="1"/>
    <col min="8196" max="8197" width="8.77734375" style="5"/>
    <col min="8198" max="8198" width="11.44140625" style="5" bestFit="1" customWidth="1"/>
    <col min="8199" max="8200" width="8.77734375" style="5"/>
    <col min="8201" max="8201" width="11.44140625" style="5" bestFit="1" customWidth="1"/>
    <col min="8202" max="8444" width="8.77734375" style="5"/>
    <col min="8445" max="8445" width="14.77734375" style="5" bestFit="1" customWidth="1"/>
    <col min="8446" max="8446" width="16.44140625" style="5" bestFit="1" customWidth="1"/>
    <col min="8447" max="8447" width="16.5546875" style="5" bestFit="1" customWidth="1"/>
    <col min="8448" max="8448" width="13.44140625" style="5" bestFit="1" customWidth="1"/>
    <col min="8449" max="8450" width="8.77734375" style="5"/>
    <col min="8451" max="8451" width="11.44140625" style="5" bestFit="1" customWidth="1"/>
    <col min="8452" max="8453" width="8.77734375" style="5"/>
    <col min="8454" max="8454" width="11.44140625" style="5" bestFit="1" customWidth="1"/>
    <col min="8455" max="8456" width="8.77734375" style="5"/>
    <col min="8457" max="8457" width="11.44140625" style="5" bestFit="1" customWidth="1"/>
    <col min="8458" max="8700" width="8.77734375" style="5"/>
    <col min="8701" max="8701" width="14.77734375" style="5" bestFit="1" customWidth="1"/>
    <col min="8702" max="8702" width="16.44140625" style="5" bestFit="1" customWidth="1"/>
    <col min="8703" max="8703" width="16.5546875" style="5" bestFit="1" customWidth="1"/>
    <col min="8704" max="8704" width="13.44140625" style="5" bestFit="1" customWidth="1"/>
    <col min="8705" max="8706" width="8.77734375" style="5"/>
    <col min="8707" max="8707" width="11.44140625" style="5" bestFit="1" customWidth="1"/>
    <col min="8708" max="8709" width="8.77734375" style="5"/>
    <col min="8710" max="8710" width="11.44140625" style="5" bestFit="1" customWidth="1"/>
    <col min="8711" max="8712" width="8.77734375" style="5"/>
    <col min="8713" max="8713" width="11.44140625" style="5" bestFit="1" customWidth="1"/>
    <col min="8714" max="8956" width="8.77734375" style="5"/>
    <col min="8957" max="8957" width="14.77734375" style="5" bestFit="1" customWidth="1"/>
    <col min="8958" max="8958" width="16.44140625" style="5" bestFit="1" customWidth="1"/>
    <col min="8959" max="8959" width="16.5546875" style="5" bestFit="1" customWidth="1"/>
    <col min="8960" max="8960" width="13.44140625" style="5" bestFit="1" customWidth="1"/>
    <col min="8961" max="8962" width="8.77734375" style="5"/>
    <col min="8963" max="8963" width="11.44140625" style="5" bestFit="1" customWidth="1"/>
    <col min="8964" max="8965" width="8.77734375" style="5"/>
    <col min="8966" max="8966" width="11.44140625" style="5" bestFit="1" customWidth="1"/>
    <col min="8967" max="8968" width="8.77734375" style="5"/>
    <col min="8969" max="8969" width="11.44140625" style="5" bestFit="1" customWidth="1"/>
    <col min="8970" max="9212" width="8.77734375" style="5"/>
    <col min="9213" max="9213" width="14.77734375" style="5" bestFit="1" customWidth="1"/>
    <col min="9214" max="9214" width="16.44140625" style="5" bestFit="1" customWidth="1"/>
    <col min="9215" max="9215" width="16.5546875" style="5" bestFit="1" customWidth="1"/>
    <col min="9216" max="9216" width="13.44140625" style="5" bestFit="1" customWidth="1"/>
    <col min="9217" max="9218" width="8.77734375" style="5"/>
    <col min="9219" max="9219" width="11.44140625" style="5" bestFit="1" customWidth="1"/>
    <col min="9220" max="9221" width="8.77734375" style="5"/>
    <col min="9222" max="9222" width="11.44140625" style="5" bestFit="1" customWidth="1"/>
    <col min="9223" max="9224" width="8.77734375" style="5"/>
    <col min="9225" max="9225" width="11.44140625" style="5" bestFit="1" customWidth="1"/>
    <col min="9226" max="9468" width="8.77734375" style="5"/>
    <col min="9469" max="9469" width="14.77734375" style="5" bestFit="1" customWidth="1"/>
    <col min="9470" max="9470" width="16.44140625" style="5" bestFit="1" customWidth="1"/>
    <col min="9471" max="9471" width="16.5546875" style="5" bestFit="1" customWidth="1"/>
    <col min="9472" max="9472" width="13.44140625" style="5" bestFit="1" customWidth="1"/>
    <col min="9473" max="9474" width="8.77734375" style="5"/>
    <col min="9475" max="9475" width="11.44140625" style="5" bestFit="1" customWidth="1"/>
    <col min="9476" max="9477" width="8.77734375" style="5"/>
    <col min="9478" max="9478" width="11.44140625" style="5" bestFit="1" customWidth="1"/>
    <col min="9479" max="9480" width="8.77734375" style="5"/>
    <col min="9481" max="9481" width="11.44140625" style="5" bestFit="1" customWidth="1"/>
    <col min="9482" max="9724" width="8.77734375" style="5"/>
    <col min="9725" max="9725" width="14.77734375" style="5" bestFit="1" customWidth="1"/>
    <col min="9726" max="9726" width="16.44140625" style="5" bestFit="1" customWidth="1"/>
    <col min="9727" max="9727" width="16.5546875" style="5" bestFit="1" customWidth="1"/>
    <col min="9728" max="9728" width="13.44140625" style="5" bestFit="1" customWidth="1"/>
    <col min="9729" max="9730" width="8.77734375" style="5"/>
    <col min="9731" max="9731" width="11.44140625" style="5" bestFit="1" customWidth="1"/>
    <col min="9732" max="9733" width="8.77734375" style="5"/>
    <col min="9734" max="9734" width="11.44140625" style="5" bestFit="1" customWidth="1"/>
    <col min="9735" max="9736" width="8.77734375" style="5"/>
    <col min="9737" max="9737" width="11.44140625" style="5" bestFit="1" customWidth="1"/>
    <col min="9738" max="9980" width="8.77734375" style="5"/>
    <col min="9981" max="9981" width="14.77734375" style="5" bestFit="1" customWidth="1"/>
    <col min="9982" max="9982" width="16.44140625" style="5" bestFit="1" customWidth="1"/>
    <col min="9983" max="9983" width="16.5546875" style="5" bestFit="1" customWidth="1"/>
    <col min="9984" max="9984" width="13.44140625" style="5" bestFit="1" customWidth="1"/>
    <col min="9985" max="9986" width="8.77734375" style="5"/>
    <col min="9987" max="9987" width="11.44140625" style="5" bestFit="1" customWidth="1"/>
    <col min="9988" max="9989" width="8.77734375" style="5"/>
    <col min="9990" max="9990" width="11.44140625" style="5" bestFit="1" customWidth="1"/>
    <col min="9991" max="9992" width="8.77734375" style="5"/>
    <col min="9993" max="9993" width="11.44140625" style="5" bestFit="1" customWidth="1"/>
    <col min="9994" max="10236" width="8.77734375" style="5"/>
    <col min="10237" max="10237" width="14.77734375" style="5" bestFit="1" customWidth="1"/>
    <col min="10238" max="10238" width="16.44140625" style="5" bestFit="1" customWidth="1"/>
    <col min="10239" max="10239" width="16.5546875" style="5" bestFit="1" customWidth="1"/>
    <col min="10240" max="10240" width="13.44140625" style="5" bestFit="1" customWidth="1"/>
    <col min="10241" max="10242" width="8.77734375" style="5"/>
    <col min="10243" max="10243" width="11.44140625" style="5" bestFit="1" customWidth="1"/>
    <col min="10244" max="10245" width="8.77734375" style="5"/>
    <col min="10246" max="10246" width="11.44140625" style="5" bestFit="1" customWidth="1"/>
    <col min="10247" max="10248" width="8.77734375" style="5"/>
    <col min="10249" max="10249" width="11.44140625" style="5" bestFit="1" customWidth="1"/>
    <col min="10250" max="10492" width="8.77734375" style="5"/>
    <col min="10493" max="10493" width="14.77734375" style="5" bestFit="1" customWidth="1"/>
    <col min="10494" max="10494" width="16.44140625" style="5" bestFit="1" customWidth="1"/>
    <col min="10495" max="10495" width="16.5546875" style="5" bestFit="1" customWidth="1"/>
    <col min="10496" max="10496" width="13.44140625" style="5" bestFit="1" customWidth="1"/>
    <col min="10497" max="10498" width="8.77734375" style="5"/>
    <col min="10499" max="10499" width="11.44140625" style="5" bestFit="1" customWidth="1"/>
    <col min="10500" max="10501" width="8.77734375" style="5"/>
    <col min="10502" max="10502" width="11.44140625" style="5" bestFit="1" customWidth="1"/>
    <col min="10503" max="10504" width="8.77734375" style="5"/>
    <col min="10505" max="10505" width="11.44140625" style="5" bestFit="1" customWidth="1"/>
    <col min="10506" max="10748" width="8.77734375" style="5"/>
    <col min="10749" max="10749" width="14.77734375" style="5" bestFit="1" customWidth="1"/>
    <col min="10750" max="10750" width="16.44140625" style="5" bestFit="1" customWidth="1"/>
    <col min="10751" max="10751" width="16.5546875" style="5" bestFit="1" customWidth="1"/>
    <col min="10752" max="10752" width="13.44140625" style="5" bestFit="1" customWidth="1"/>
    <col min="10753" max="10754" width="8.77734375" style="5"/>
    <col min="10755" max="10755" width="11.44140625" style="5" bestFit="1" customWidth="1"/>
    <col min="10756" max="10757" width="8.77734375" style="5"/>
    <col min="10758" max="10758" width="11.44140625" style="5" bestFit="1" customWidth="1"/>
    <col min="10759" max="10760" width="8.77734375" style="5"/>
    <col min="10761" max="10761" width="11.44140625" style="5" bestFit="1" customWidth="1"/>
    <col min="10762" max="11004" width="8.77734375" style="5"/>
    <col min="11005" max="11005" width="14.77734375" style="5" bestFit="1" customWidth="1"/>
    <col min="11006" max="11006" width="16.44140625" style="5" bestFit="1" customWidth="1"/>
    <col min="11007" max="11007" width="16.5546875" style="5" bestFit="1" customWidth="1"/>
    <col min="11008" max="11008" width="13.44140625" style="5" bestFit="1" customWidth="1"/>
    <col min="11009" max="11010" width="8.77734375" style="5"/>
    <col min="11011" max="11011" width="11.44140625" style="5" bestFit="1" customWidth="1"/>
    <col min="11012" max="11013" width="8.77734375" style="5"/>
    <col min="11014" max="11014" width="11.44140625" style="5" bestFit="1" customWidth="1"/>
    <col min="11015" max="11016" width="8.77734375" style="5"/>
    <col min="11017" max="11017" width="11.44140625" style="5" bestFit="1" customWidth="1"/>
    <col min="11018" max="11260" width="8.77734375" style="5"/>
    <col min="11261" max="11261" width="14.77734375" style="5" bestFit="1" customWidth="1"/>
    <col min="11262" max="11262" width="16.44140625" style="5" bestFit="1" customWidth="1"/>
    <col min="11263" max="11263" width="16.5546875" style="5" bestFit="1" customWidth="1"/>
    <col min="11264" max="11264" width="13.44140625" style="5" bestFit="1" customWidth="1"/>
    <col min="11265" max="11266" width="8.77734375" style="5"/>
    <col min="11267" max="11267" width="11.44140625" style="5" bestFit="1" customWidth="1"/>
    <col min="11268" max="11269" width="8.77734375" style="5"/>
    <col min="11270" max="11270" width="11.44140625" style="5" bestFit="1" customWidth="1"/>
    <col min="11271" max="11272" width="8.77734375" style="5"/>
    <col min="11273" max="11273" width="11.44140625" style="5" bestFit="1" customWidth="1"/>
    <col min="11274" max="11516" width="8.77734375" style="5"/>
    <col min="11517" max="11517" width="14.77734375" style="5" bestFit="1" customWidth="1"/>
    <col min="11518" max="11518" width="16.44140625" style="5" bestFit="1" customWidth="1"/>
    <col min="11519" max="11519" width="16.5546875" style="5" bestFit="1" customWidth="1"/>
    <col min="11520" max="11520" width="13.44140625" style="5" bestFit="1" customWidth="1"/>
    <col min="11521" max="11522" width="8.77734375" style="5"/>
    <col min="11523" max="11523" width="11.44140625" style="5" bestFit="1" customWidth="1"/>
    <col min="11524" max="11525" width="8.77734375" style="5"/>
    <col min="11526" max="11526" width="11.44140625" style="5" bestFit="1" customWidth="1"/>
    <col min="11527" max="11528" width="8.77734375" style="5"/>
    <col min="11529" max="11529" width="11.44140625" style="5" bestFit="1" customWidth="1"/>
    <col min="11530" max="11772" width="8.77734375" style="5"/>
    <col min="11773" max="11773" width="14.77734375" style="5" bestFit="1" customWidth="1"/>
    <col min="11774" max="11774" width="16.44140625" style="5" bestFit="1" customWidth="1"/>
    <col min="11775" max="11775" width="16.5546875" style="5" bestFit="1" customWidth="1"/>
    <col min="11776" max="11776" width="13.44140625" style="5" bestFit="1" customWidth="1"/>
    <col min="11777" max="11778" width="8.77734375" style="5"/>
    <col min="11779" max="11779" width="11.44140625" style="5" bestFit="1" customWidth="1"/>
    <col min="11780" max="11781" width="8.77734375" style="5"/>
    <col min="11782" max="11782" width="11.44140625" style="5" bestFit="1" customWidth="1"/>
    <col min="11783" max="11784" width="8.77734375" style="5"/>
    <col min="11785" max="11785" width="11.44140625" style="5" bestFit="1" customWidth="1"/>
    <col min="11786" max="12028" width="8.77734375" style="5"/>
    <col min="12029" max="12029" width="14.77734375" style="5" bestFit="1" customWidth="1"/>
    <col min="12030" max="12030" width="16.44140625" style="5" bestFit="1" customWidth="1"/>
    <col min="12031" max="12031" width="16.5546875" style="5" bestFit="1" customWidth="1"/>
    <col min="12032" max="12032" width="13.44140625" style="5" bestFit="1" customWidth="1"/>
    <col min="12033" max="12034" width="8.77734375" style="5"/>
    <col min="12035" max="12035" width="11.44140625" style="5" bestFit="1" customWidth="1"/>
    <col min="12036" max="12037" width="8.77734375" style="5"/>
    <col min="12038" max="12038" width="11.44140625" style="5" bestFit="1" customWidth="1"/>
    <col min="12039" max="12040" width="8.77734375" style="5"/>
    <col min="12041" max="12041" width="11.44140625" style="5" bestFit="1" customWidth="1"/>
    <col min="12042" max="12284" width="8.77734375" style="5"/>
    <col min="12285" max="12285" width="14.77734375" style="5" bestFit="1" customWidth="1"/>
    <col min="12286" max="12286" width="16.44140625" style="5" bestFit="1" customWidth="1"/>
    <col min="12287" max="12287" width="16.5546875" style="5" bestFit="1" customWidth="1"/>
    <col min="12288" max="12288" width="13.44140625" style="5" bestFit="1" customWidth="1"/>
    <col min="12289" max="12290" width="8.77734375" style="5"/>
    <col min="12291" max="12291" width="11.44140625" style="5" bestFit="1" customWidth="1"/>
    <col min="12292" max="12293" width="8.77734375" style="5"/>
    <col min="12294" max="12294" width="11.44140625" style="5" bestFit="1" customWidth="1"/>
    <col min="12295" max="12296" width="8.77734375" style="5"/>
    <col min="12297" max="12297" width="11.44140625" style="5" bestFit="1" customWidth="1"/>
    <col min="12298" max="12540" width="8.77734375" style="5"/>
    <col min="12541" max="12541" width="14.77734375" style="5" bestFit="1" customWidth="1"/>
    <col min="12542" max="12542" width="16.44140625" style="5" bestFit="1" customWidth="1"/>
    <col min="12543" max="12543" width="16.5546875" style="5" bestFit="1" customWidth="1"/>
    <col min="12544" max="12544" width="13.44140625" style="5" bestFit="1" customWidth="1"/>
    <col min="12545" max="12546" width="8.77734375" style="5"/>
    <col min="12547" max="12547" width="11.44140625" style="5" bestFit="1" customWidth="1"/>
    <col min="12548" max="12549" width="8.77734375" style="5"/>
    <col min="12550" max="12550" width="11.44140625" style="5" bestFit="1" customWidth="1"/>
    <col min="12551" max="12552" width="8.77734375" style="5"/>
    <col min="12553" max="12553" width="11.44140625" style="5" bestFit="1" customWidth="1"/>
    <col min="12554" max="12796" width="8.77734375" style="5"/>
    <col min="12797" max="12797" width="14.77734375" style="5" bestFit="1" customWidth="1"/>
    <col min="12798" max="12798" width="16.44140625" style="5" bestFit="1" customWidth="1"/>
    <col min="12799" max="12799" width="16.5546875" style="5" bestFit="1" customWidth="1"/>
    <col min="12800" max="12800" width="13.44140625" style="5" bestFit="1" customWidth="1"/>
    <col min="12801" max="12802" width="8.77734375" style="5"/>
    <col min="12803" max="12803" width="11.44140625" style="5" bestFit="1" customWidth="1"/>
    <col min="12804" max="12805" width="8.77734375" style="5"/>
    <col min="12806" max="12806" width="11.44140625" style="5" bestFit="1" customWidth="1"/>
    <col min="12807" max="12808" width="8.77734375" style="5"/>
    <col min="12809" max="12809" width="11.44140625" style="5" bestFit="1" customWidth="1"/>
    <col min="12810" max="13052" width="8.77734375" style="5"/>
    <col min="13053" max="13053" width="14.77734375" style="5" bestFit="1" customWidth="1"/>
    <col min="13054" max="13054" width="16.44140625" style="5" bestFit="1" customWidth="1"/>
    <col min="13055" max="13055" width="16.5546875" style="5" bestFit="1" customWidth="1"/>
    <col min="13056" max="13056" width="13.44140625" style="5" bestFit="1" customWidth="1"/>
    <col min="13057" max="13058" width="8.77734375" style="5"/>
    <col min="13059" max="13059" width="11.44140625" style="5" bestFit="1" customWidth="1"/>
    <col min="13060" max="13061" width="8.77734375" style="5"/>
    <col min="13062" max="13062" width="11.44140625" style="5" bestFit="1" customWidth="1"/>
    <col min="13063" max="13064" width="8.77734375" style="5"/>
    <col min="13065" max="13065" width="11.44140625" style="5" bestFit="1" customWidth="1"/>
    <col min="13066" max="13308" width="8.77734375" style="5"/>
    <col min="13309" max="13309" width="14.77734375" style="5" bestFit="1" customWidth="1"/>
    <col min="13310" max="13310" width="16.44140625" style="5" bestFit="1" customWidth="1"/>
    <col min="13311" max="13311" width="16.5546875" style="5" bestFit="1" customWidth="1"/>
    <col min="13312" max="13312" width="13.44140625" style="5" bestFit="1" customWidth="1"/>
    <col min="13313" max="13314" width="8.77734375" style="5"/>
    <col min="13315" max="13315" width="11.44140625" style="5" bestFit="1" customWidth="1"/>
    <col min="13316" max="13317" width="8.77734375" style="5"/>
    <col min="13318" max="13318" width="11.44140625" style="5" bestFit="1" customWidth="1"/>
    <col min="13319" max="13320" width="8.77734375" style="5"/>
    <col min="13321" max="13321" width="11.44140625" style="5" bestFit="1" customWidth="1"/>
    <col min="13322" max="13564" width="8.77734375" style="5"/>
    <col min="13565" max="13565" width="14.77734375" style="5" bestFit="1" customWidth="1"/>
    <col min="13566" max="13566" width="16.44140625" style="5" bestFit="1" customWidth="1"/>
    <col min="13567" max="13567" width="16.5546875" style="5" bestFit="1" customWidth="1"/>
    <col min="13568" max="13568" width="13.44140625" style="5" bestFit="1" customWidth="1"/>
    <col min="13569" max="13570" width="8.77734375" style="5"/>
    <col min="13571" max="13571" width="11.44140625" style="5" bestFit="1" customWidth="1"/>
    <col min="13572" max="13573" width="8.77734375" style="5"/>
    <col min="13574" max="13574" width="11.44140625" style="5" bestFit="1" customWidth="1"/>
    <col min="13575" max="13576" width="8.77734375" style="5"/>
    <col min="13577" max="13577" width="11.44140625" style="5" bestFit="1" customWidth="1"/>
    <col min="13578" max="13820" width="8.77734375" style="5"/>
    <col min="13821" max="13821" width="14.77734375" style="5" bestFit="1" customWidth="1"/>
    <col min="13822" max="13822" width="16.44140625" style="5" bestFit="1" customWidth="1"/>
    <col min="13823" max="13823" width="16.5546875" style="5" bestFit="1" customWidth="1"/>
    <col min="13824" max="13824" width="13.44140625" style="5" bestFit="1" customWidth="1"/>
    <col min="13825" max="13826" width="8.77734375" style="5"/>
    <col min="13827" max="13827" width="11.44140625" style="5" bestFit="1" customWidth="1"/>
    <col min="13828" max="13829" width="8.77734375" style="5"/>
    <col min="13830" max="13830" width="11.44140625" style="5" bestFit="1" customWidth="1"/>
    <col min="13831" max="13832" width="8.77734375" style="5"/>
    <col min="13833" max="13833" width="11.44140625" style="5" bestFit="1" customWidth="1"/>
    <col min="13834" max="14076" width="8.77734375" style="5"/>
    <col min="14077" max="14077" width="14.77734375" style="5" bestFit="1" customWidth="1"/>
    <col min="14078" max="14078" width="16.44140625" style="5" bestFit="1" customWidth="1"/>
    <col min="14079" max="14079" width="16.5546875" style="5" bestFit="1" customWidth="1"/>
    <col min="14080" max="14080" width="13.44140625" style="5" bestFit="1" customWidth="1"/>
    <col min="14081" max="14082" width="8.77734375" style="5"/>
    <col min="14083" max="14083" width="11.44140625" style="5" bestFit="1" customWidth="1"/>
    <col min="14084" max="14085" width="8.77734375" style="5"/>
    <col min="14086" max="14086" width="11.44140625" style="5" bestFit="1" customWidth="1"/>
    <col min="14087" max="14088" width="8.77734375" style="5"/>
    <col min="14089" max="14089" width="11.44140625" style="5" bestFit="1" customWidth="1"/>
    <col min="14090" max="14332" width="8.77734375" style="5"/>
    <col min="14333" max="14333" width="14.77734375" style="5" bestFit="1" customWidth="1"/>
    <col min="14334" max="14334" width="16.44140625" style="5" bestFit="1" customWidth="1"/>
    <col min="14335" max="14335" width="16.5546875" style="5" bestFit="1" customWidth="1"/>
    <col min="14336" max="14336" width="13.44140625" style="5" bestFit="1" customWidth="1"/>
    <col min="14337" max="14338" width="8.77734375" style="5"/>
    <col min="14339" max="14339" width="11.44140625" style="5" bestFit="1" customWidth="1"/>
    <col min="14340" max="14341" width="8.77734375" style="5"/>
    <col min="14342" max="14342" width="11.44140625" style="5" bestFit="1" customWidth="1"/>
    <col min="14343" max="14344" width="8.77734375" style="5"/>
    <col min="14345" max="14345" width="11.44140625" style="5" bestFit="1" customWidth="1"/>
    <col min="14346" max="14588" width="8.77734375" style="5"/>
    <col min="14589" max="14589" width="14.77734375" style="5" bestFit="1" customWidth="1"/>
    <col min="14590" max="14590" width="16.44140625" style="5" bestFit="1" customWidth="1"/>
    <col min="14591" max="14591" width="16.5546875" style="5" bestFit="1" customWidth="1"/>
    <col min="14592" max="14592" width="13.44140625" style="5" bestFit="1" customWidth="1"/>
    <col min="14593" max="14594" width="8.77734375" style="5"/>
    <col min="14595" max="14595" width="11.44140625" style="5" bestFit="1" customWidth="1"/>
    <col min="14596" max="14597" width="8.77734375" style="5"/>
    <col min="14598" max="14598" width="11.44140625" style="5" bestFit="1" customWidth="1"/>
    <col min="14599" max="14600" width="8.77734375" style="5"/>
    <col min="14601" max="14601" width="11.44140625" style="5" bestFit="1" customWidth="1"/>
    <col min="14602" max="14844" width="8.77734375" style="5"/>
    <col min="14845" max="14845" width="14.77734375" style="5" bestFit="1" customWidth="1"/>
    <col min="14846" max="14846" width="16.44140625" style="5" bestFit="1" customWidth="1"/>
    <col min="14847" max="14847" width="16.5546875" style="5" bestFit="1" customWidth="1"/>
    <col min="14848" max="14848" width="13.44140625" style="5" bestFit="1" customWidth="1"/>
    <col min="14849" max="14850" width="8.77734375" style="5"/>
    <col min="14851" max="14851" width="11.44140625" style="5" bestFit="1" customWidth="1"/>
    <col min="14852" max="14853" width="8.77734375" style="5"/>
    <col min="14854" max="14854" width="11.44140625" style="5" bestFit="1" customWidth="1"/>
    <col min="14855" max="14856" width="8.77734375" style="5"/>
    <col min="14857" max="14857" width="11.44140625" style="5" bestFit="1" customWidth="1"/>
    <col min="14858" max="15100" width="8.77734375" style="5"/>
    <col min="15101" max="15101" width="14.77734375" style="5" bestFit="1" customWidth="1"/>
    <col min="15102" max="15102" width="16.44140625" style="5" bestFit="1" customWidth="1"/>
    <col min="15103" max="15103" width="16.5546875" style="5" bestFit="1" customWidth="1"/>
    <col min="15104" max="15104" width="13.44140625" style="5" bestFit="1" customWidth="1"/>
    <col min="15105" max="15106" width="8.77734375" style="5"/>
    <col min="15107" max="15107" width="11.44140625" style="5" bestFit="1" customWidth="1"/>
    <col min="15108" max="15109" width="8.77734375" style="5"/>
    <col min="15110" max="15110" width="11.44140625" style="5" bestFit="1" customWidth="1"/>
    <col min="15111" max="15112" width="8.77734375" style="5"/>
    <col min="15113" max="15113" width="11.44140625" style="5" bestFit="1" customWidth="1"/>
    <col min="15114" max="15356" width="8.77734375" style="5"/>
    <col min="15357" max="15357" width="14.77734375" style="5" bestFit="1" customWidth="1"/>
    <col min="15358" max="15358" width="16.44140625" style="5" bestFit="1" customWidth="1"/>
    <col min="15359" max="15359" width="16.5546875" style="5" bestFit="1" customWidth="1"/>
    <col min="15360" max="15360" width="13.44140625" style="5" bestFit="1" customWidth="1"/>
    <col min="15361" max="15362" width="8.77734375" style="5"/>
    <col min="15363" max="15363" width="11.44140625" style="5" bestFit="1" customWidth="1"/>
    <col min="15364" max="15365" width="8.77734375" style="5"/>
    <col min="15366" max="15366" width="11.44140625" style="5" bestFit="1" customWidth="1"/>
    <col min="15367" max="15368" width="8.77734375" style="5"/>
    <col min="15369" max="15369" width="11.44140625" style="5" bestFit="1" customWidth="1"/>
    <col min="15370" max="15612" width="8.77734375" style="5"/>
    <col min="15613" max="15613" width="14.77734375" style="5" bestFit="1" customWidth="1"/>
    <col min="15614" max="15614" width="16.44140625" style="5" bestFit="1" customWidth="1"/>
    <col min="15615" max="15615" width="16.5546875" style="5" bestFit="1" customWidth="1"/>
    <col min="15616" max="15616" width="13.44140625" style="5" bestFit="1" customWidth="1"/>
    <col min="15617" max="15618" width="8.77734375" style="5"/>
    <col min="15619" max="15619" width="11.44140625" style="5" bestFit="1" customWidth="1"/>
    <col min="15620" max="15621" width="8.77734375" style="5"/>
    <col min="15622" max="15622" width="11.44140625" style="5" bestFit="1" customWidth="1"/>
    <col min="15623" max="15624" width="8.77734375" style="5"/>
    <col min="15625" max="15625" width="11.44140625" style="5" bestFit="1" customWidth="1"/>
    <col min="15626" max="15868" width="8.77734375" style="5"/>
    <col min="15869" max="15869" width="14.77734375" style="5" bestFit="1" customWidth="1"/>
    <col min="15870" max="15870" width="16.44140625" style="5" bestFit="1" customWidth="1"/>
    <col min="15871" max="15871" width="16.5546875" style="5" bestFit="1" customWidth="1"/>
    <col min="15872" max="15872" width="13.44140625" style="5" bestFit="1" customWidth="1"/>
    <col min="15873" max="15874" width="8.77734375" style="5"/>
    <col min="15875" max="15875" width="11.44140625" style="5" bestFit="1" customWidth="1"/>
    <col min="15876" max="15877" width="8.77734375" style="5"/>
    <col min="15878" max="15878" width="11.44140625" style="5" bestFit="1" customWidth="1"/>
    <col min="15879" max="15880" width="8.77734375" style="5"/>
    <col min="15881" max="15881" width="11.44140625" style="5" bestFit="1" customWidth="1"/>
    <col min="15882" max="16124" width="8.77734375" style="5"/>
    <col min="16125" max="16125" width="14.77734375" style="5" bestFit="1" customWidth="1"/>
    <col min="16126" max="16126" width="16.44140625" style="5" bestFit="1" customWidth="1"/>
    <col min="16127" max="16127" width="16.5546875" style="5" bestFit="1" customWidth="1"/>
    <col min="16128" max="16128" width="13.44140625" style="5" bestFit="1" customWidth="1"/>
    <col min="16129" max="16130" width="8.77734375" style="5"/>
    <col min="16131" max="16131" width="11.44140625" style="5" bestFit="1" customWidth="1"/>
    <col min="16132" max="16133" width="8.77734375" style="5"/>
    <col min="16134" max="16134" width="11.44140625" style="5" bestFit="1" customWidth="1"/>
    <col min="16135" max="16136" width="8.77734375" style="5"/>
    <col min="16137" max="16137" width="11.44140625" style="5" bestFit="1" customWidth="1"/>
    <col min="16138" max="16376" width="8.77734375" style="5"/>
    <col min="16377" max="16384" width="8.5546875" style="5" customWidth="1"/>
  </cols>
  <sheetData>
    <row r="2" spans="1:14" s="26" customFormat="1" x14ac:dyDescent="0.25">
      <c r="B2" s="26" t="s">
        <v>202</v>
      </c>
      <c r="I2" s="5"/>
      <c r="J2" s="5"/>
    </row>
    <row r="3" spans="1:14" ht="13.5" customHeight="1" x14ac:dyDescent="0.25">
      <c r="B3" s="456" t="s">
        <v>201</v>
      </c>
      <c r="C3" s="456"/>
      <c r="D3" s="456"/>
      <c r="E3" s="7" t="s">
        <v>200</v>
      </c>
      <c r="F3" s="147" t="s">
        <v>248</v>
      </c>
      <c r="G3" s="147" t="s">
        <v>282</v>
      </c>
      <c r="H3" s="147" t="s">
        <v>300</v>
      </c>
      <c r="I3" s="343"/>
      <c r="J3" s="344"/>
    </row>
    <row r="4" spans="1:14" x14ac:dyDescent="0.25">
      <c r="A4" s="5">
        <v>1</v>
      </c>
      <c r="B4" s="5" t="s">
        <v>199</v>
      </c>
      <c r="E4" s="5" t="s">
        <v>192</v>
      </c>
      <c r="F4" s="29" t="s">
        <v>249</v>
      </c>
      <c r="G4" s="278">
        <f>SLOPE($E$22:$E$125,$U$22:$U$125)</f>
        <v>0.95322088315540221</v>
      </c>
      <c r="H4" s="444">
        <f>RSQ($E$22:$E$125,$U$22:$U$125)</f>
        <v>0.7086028838690388</v>
      </c>
      <c r="I4" s="385"/>
      <c r="J4" s="386"/>
      <c r="K4" s="387"/>
      <c r="L4" s="31"/>
      <c r="M4" s="210"/>
      <c r="N4" s="210"/>
    </row>
    <row r="5" spans="1:14" x14ac:dyDescent="0.25">
      <c r="A5" s="5">
        <v>2</v>
      </c>
      <c r="B5" s="5" t="s">
        <v>198</v>
      </c>
      <c r="E5" s="5" t="s">
        <v>192</v>
      </c>
      <c r="F5" s="29" t="s">
        <v>249</v>
      </c>
      <c r="G5" s="278">
        <f>SLOPE($G$22:$G$125,$U$22:$U$125)</f>
        <v>0.13922509665392582</v>
      </c>
      <c r="H5" s="444">
        <f>RSQ($G$22:$G$125,$U$22:$U$125)</f>
        <v>1.9963199469951978E-2</v>
      </c>
    </row>
    <row r="6" spans="1:14" x14ac:dyDescent="0.25">
      <c r="A6" s="5">
        <v>3</v>
      </c>
      <c r="B6" s="5" t="s">
        <v>197</v>
      </c>
      <c r="E6" s="5" t="s">
        <v>192</v>
      </c>
      <c r="F6" s="29" t="s">
        <v>249</v>
      </c>
      <c r="G6" s="278">
        <f>SLOPE($I$22:$I$125,$U$22:$U$125)</f>
        <v>0.3253250448913057</v>
      </c>
      <c r="H6" s="444">
        <f>RSQ($I$22:$I$125,$U$22:$U$125)</f>
        <v>0.10467451171059675</v>
      </c>
      <c r="I6" s="283"/>
      <c r="J6" s="345"/>
      <c r="M6" s="210"/>
    </row>
    <row r="7" spans="1:14" x14ac:dyDescent="0.25">
      <c r="A7" s="5">
        <v>4</v>
      </c>
      <c r="B7" s="5" t="s">
        <v>196</v>
      </c>
      <c r="E7" s="5" t="s">
        <v>192</v>
      </c>
      <c r="F7" s="29" t="s">
        <v>249</v>
      </c>
      <c r="G7" s="278">
        <f>SLOPE($K$22:$K$125,$U$22:$U$125)</f>
        <v>0.35052147368602071</v>
      </c>
      <c r="H7" s="444">
        <f>RSQ($K$22:$K$125,$U$22:$U$125)</f>
        <v>0.18414241948076238</v>
      </c>
      <c r="I7" s="283"/>
      <c r="J7" s="345"/>
    </row>
    <row r="8" spans="1:14" x14ac:dyDescent="0.25">
      <c r="A8" s="5">
        <v>5</v>
      </c>
      <c r="B8" s="5" t="s">
        <v>188</v>
      </c>
      <c r="C8" s="28"/>
      <c r="D8" s="28"/>
      <c r="E8" s="24" t="s">
        <v>192</v>
      </c>
      <c r="F8" s="29" t="s">
        <v>249</v>
      </c>
      <c r="G8" s="278">
        <f>SLOPE($M$22:$M$125,$U$22:$U$125)</f>
        <v>0.53261672320769249</v>
      </c>
      <c r="H8" s="444">
        <f>RSQ($M$22:$M$125,$U$22:$U$125)</f>
        <v>0.40255984046680837</v>
      </c>
      <c r="I8" s="283"/>
      <c r="J8" s="345"/>
      <c r="L8" s="28"/>
    </row>
    <row r="9" spans="1:14" x14ac:dyDescent="0.25">
      <c r="A9" s="5">
        <v>6</v>
      </c>
      <c r="B9" s="5" t="s">
        <v>195</v>
      </c>
      <c r="C9" s="28"/>
      <c r="D9" s="28"/>
      <c r="E9" s="24" t="s">
        <v>192</v>
      </c>
      <c r="F9" s="29" t="s">
        <v>249</v>
      </c>
      <c r="G9" s="278">
        <f>SLOPE($O$22:$O$125,$U$22:$U$125)</f>
        <v>0.64652515742453787</v>
      </c>
      <c r="H9" s="444">
        <f>RSQ($O$22:$O$125,$U$22:$U$125)</f>
        <v>0.43034872674958297</v>
      </c>
      <c r="I9" s="384" t="s">
        <v>208</v>
      </c>
      <c r="J9" s="447">
        <f>SLOPE($C$22:$C$125,$U$22:$U$125)</f>
        <v>0.69074340365594666</v>
      </c>
      <c r="L9" s="28"/>
    </row>
    <row r="10" spans="1:14" x14ac:dyDescent="0.25">
      <c r="A10" s="5">
        <v>7</v>
      </c>
      <c r="B10" s="5" t="s">
        <v>194</v>
      </c>
      <c r="E10" s="24"/>
      <c r="F10" s="29" t="s">
        <v>189</v>
      </c>
      <c r="G10" s="411"/>
      <c r="H10" s="444"/>
      <c r="I10" s="283"/>
      <c r="J10" s="345"/>
    </row>
    <row r="11" spans="1:14" x14ac:dyDescent="0.25">
      <c r="A11" s="5">
        <v>8</v>
      </c>
      <c r="B11" s="5" t="s">
        <v>193</v>
      </c>
      <c r="E11" s="24" t="s">
        <v>192</v>
      </c>
      <c r="F11" s="29" t="s">
        <v>249</v>
      </c>
      <c r="G11" s="278">
        <f>SLOPE($Q$22:$Q$125,$U$22:$U$125)</f>
        <v>0.65082531347120831</v>
      </c>
      <c r="H11" s="444">
        <f>RSQ($Q$22:$Q$125,$U$22:$U$125)</f>
        <v>0.53673261042896403</v>
      </c>
      <c r="I11" s="283"/>
      <c r="J11" s="345"/>
    </row>
    <row r="12" spans="1:14" x14ac:dyDescent="0.25">
      <c r="A12" s="5">
        <v>9</v>
      </c>
      <c r="B12" s="5" t="s">
        <v>214</v>
      </c>
      <c r="E12" s="5" t="s">
        <v>192</v>
      </c>
      <c r="F12" s="29" t="s">
        <v>249</v>
      </c>
      <c r="G12" s="278">
        <f>SLOPE($S$22:$S$125,$U$22:$U$125)</f>
        <v>0.82878648891375828</v>
      </c>
      <c r="H12" s="444">
        <f>RSQ($S$22:$S$125,$U$22:$U$125)</f>
        <v>0.57453356578981496</v>
      </c>
      <c r="I12" s="283"/>
      <c r="J12" s="345"/>
    </row>
    <row r="13" spans="1:14" x14ac:dyDescent="0.25">
      <c r="A13" s="5">
        <v>10</v>
      </c>
      <c r="B13" s="5" t="s">
        <v>191</v>
      </c>
      <c r="E13" s="5" t="s">
        <v>71</v>
      </c>
      <c r="F13" s="29" t="s">
        <v>249</v>
      </c>
      <c r="G13" s="411"/>
      <c r="H13" s="445"/>
      <c r="I13" s="269"/>
    </row>
    <row r="14" spans="1:14" x14ac:dyDescent="0.25">
      <c r="A14" s="5">
        <v>11</v>
      </c>
      <c r="B14" s="204" t="s">
        <v>190</v>
      </c>
      <c r="C14" s="204"/>
      <c r="D14" s="204"/>
      <c r="E14" s="19" t="s">
        <v>71</v>
      </c>
      <c r="F14" s="205" t="s">
        <v>189</v>
      </c>
      <c r="G14" s="412"/>
      <c r="H14" s="446"/>
    </row>
    <row r="15" spans="1:14" x14ac:dyDescent="0.25">
      <c r="B15" s="146" t="s">
        <v>297</v>
      </c>
    </row>
    <row r="16" spans="1:14" x14ac:dyDescent="0.25">
      <c r="B16" s="30"/>
      <c r="D16" s="30"/>
    </row>
    <row r="17" spans="1:21" x14ac:dyDescent="0.25">
      <c r="A17" s="353" t="s">
        <v>29</v>
      </c>
      <c r="B17" s="342"/>
      <c r="C17" s="352"/>
      <c r="D17" s="342"/>
      <c r="E17" s="352"/>
      <c r="F17" s="342"/>
      <c r="G17" s="352"/>
      <c r="H17" s="342"/>
      <c r="I17" s="352"/>
      <c r="J17" s="342"/>
      <c r="K17" s="352"/>
      <c r="L17" s="33"/>
      <c r="M17" s="352"/>
      <c r="N17" s="33"/>
      <c r="O17" s="352"/>
      <c r="P17" s="33"/>
      <c r="Q17" s="352"/>
      <c r="R17" s="33"/>
      <c r="S17" s="352"/>
      <c r="T17" s="33"/>
      <c r="U17" s="352"/>
    </row>
    <row r="18" spans="1:21" x14ac:dyDescent="0.25">
      <c r="A18" s="353" t="s">
        <v>296</v>
      </c>
      <c r="B18" s="342"/>
      <c r="C18" s="352"/>
      <c r="D18" s="342"/>
      <c r="E18" s="352"/>
      <c r="F18" s="342"/>
      <c r="G18" s="352"/>
      <c r="H18" s="342"/>
      <c r="I18" s="352"/>
      <c r="J18" s="342"/>
      <c r="K18" s="352"/>
      <c r="L18" s="33"/>
      <c r="M18" s="352"/>
      <c r="N18" s="33"/>
      <c r="O18" s="352"/>
      <c r="P18" s="33"/>
      <c r="Q18" s="352"/>
      <c r="R18" s="33"/>
      <c r="S18" s="352"/>
      <c r="T18" s="33"/>
      <c r="U18" s="352"/>
    </row>
    <row r="19" spans="1:21" s="28" customFormat="1" x14ac:dyDescent="0.25">
      <c r="A19" s="458" t="s">
        <v>44</v>
      </c>
      <c r="B19" s="457" t="s">
        <v>208</v>
      </c>
      <c r="C19" s="458"/>
      <c r="D19" s="460" t="s">
        <v>187</v>
      </c>
      <c r="E19" s="461"/>
      <c r="F19" s="457" t="s">
        <v>203</v>
      </c>
      <c r="G19" s="458"/>
      <c r="H19" s="457" t="s">
        <v>204</v>
      </c>
      <c r="I19" s="458"/>
      <c r="J19" s="457" t="s">
        <v>205</v>
      </c>
      <c r="K19" s="458"/>
      <c r="L19" s="457" t="s">
        <v>188</v>
      </c>
      <c r="M19" s="458"/>
      <c r="N19" s="457" t="s">
        <v>206</v>
      </c>
      <c r="O19" s="458"/>
      <c r="P19" s="457" t="s">
        <v>207</v>
      </c>
      <c r="Q19" s="458"/>
      <c r="R19" s="457" t="s">
        <v>215</v>
      </c>
      <c r="S19" s="458"/>
      <c r="T19" s="457" t="s">
        <v>278</v>
      </c>
      <c r="U19" s="458"/>
    </row>
    <row r="20" spans="1:21" s="28" customFormat="1" x14ac:dyDescent="0.25">
      <c r="A20" s="459"/>
      <c r="B20" s="348" t="s">
        <v>45</v>
      </c>
      <c r="C20" s="347" t="s">
        <v>46</v>
      </c>
      <c r="D20" s="348" t="s">
        <v>45</v>
      </c>
      <c r="E20" s="347" t="s">
        <v>46</v>
      </c>
      <c r="F20" s="346" t="s">
        <v>45</v>
      </c>
      <c r="G20" s="348" t="s">
        <v>46</v>
      </c>
      <c r="H20" s="346" t="s">
        <v>45</v>
      </c>
      <c r="I20" s="348" t="s">
        <v>46</v>
      </c>
      <c r="J20" s="346" t="s">
        <v>45</v>
      </c>
      <c r="K20" s="348" t="s">
        <v>46</v>
      </c>
      <c r="L20" s="346" t="s">
        <v>45</v>
      </c>
      <c r="M20" s="348" t="s">
        <v>46</v>
      </c>
      <c r="N20" s="346" t="s">
        <v>45</v>
      </c>
      <c r="O20" s="348" t="s">
        <v>46</v>
      </c>
      <c r="P20" s="348" t="s">
        <v>45</v>
      </c>
      <c r="Q20" s="347" t="s">
        <v>46</v>
      </c>
      <c r="R20" s="346" t="s">
        <v>45</v>
      </c>
      <c r="S20" s="348" t="s">
        <v>46</v>
      </c>
      <c r="T20" s="346" t="s">
        <v>45</v>
      </c>
      <c r="U20" s="348" t="s">
        <v>46</v>
      </c>
    </row>
    <row r="21" spans="1:21" x14ac:dyDescent="0.25">
      <c r="A21" s="351">
        <v>43871</v>
      </c>
      <c r="B21" s="350">
        <v>146.990005</v>
      </c>
      <c r="C21" s="271"/>
      <c r="D21" s="350">
        <v>59.950001</v>
      </c>
      <c r="E21" s="271"/>
      <c r="F21" s="350">
        <v>48.639999000000003</v>
      </c>
      <c r="G21" s="271"/>
      <c r="H21" s="350">
        <v>32.689999</v>
      </c>
      <c r="I21" s="271"/>
      <c r="J21" s="350">
        <v>67.709998999999996</v>
      </c>
      <c r="K21" s="271"/>
      <c r="L21" s="350">
        <v>28.870000999999998</v>
      </c>
      <c r="M21" s="271"/>
      <c r="N21" s="350">
        <v>26.879999000000002</v>
      </c>
      <c r="O21" s="271"/>
      <c r="P21" s="350">
        <v>59.68</v>
      </c>
      <c r="Q21" s="271"/>
      <c r="R21" s="350">
        <v>69.860000999999997</v>
      </c>
      <c r="S21" s="271"/>
      <c r="T21" s="350">
        <v>14097.339844</v>
      </c>
      <c r="U21" s="273"/>
    </row>
    <row r="22" spans="1:21" x14ac:dyDescent="0.25">
      <c r="A22" s="351">
        <v>43878</v>
      </c>
      <c r="B22" s="350">
        <v>145.85000600000001</v>
      </c>
      <c r="C22" s="271">
        <f>B22/B21-1</f>
        <v>-7.7556225676703727E-3</v>
      </c>
      <c r="D22" s="350">
        <v>60.130001</v>
      </c>
      <c r="E22" s="271">
        <f>D22/D21-1</f>
        <v>3.0025020349875309E-3</v>
      </c>
      <c r="F22" s="350">
        <v>47.959999000000003</v>
      </c>
      <c r="G22" s="271">
        <f>F22/F21-1</f>
        <v>-1.3980263445317886E-2</v>
      </c>
      <c r="H22" s="350">
        <v>29.59</v>
      </c>
      <c r="I22" s="271">
        <f>H22/H21-1</f>
        <v>-9.4830195620379198E-2</v>
      </c>
      <c r="J22" s="350">
        <v>65.519997000000004</v>
      </c>
      <c r="K22" s="271">
        <f>J22/J21-1</f>
        <v>-3.2343849244481526E-2</v>
      </c>
      <c r="L22" s="350">
        <v>29.5</v>
      </c>
      <c r="M22" s="271">
        <f>L22/L21-1</f>
        <v>2.1821925118741925E-2</v>
      </c>
      <c r="N22" s="350">
        <v>27.26</v>
      </c>
      <c r="O22" s="271">
        <f>N22/N21-1</f>
        <v>1.4136942490213578E-2</v>
      </c>
      <c r="P22" s="350">
        <v>58.75</v>
      </c>
      <c r="Q22" s="271">
        <f>P22/P21-1</f>
        <v>-1.5583109919571014E-2</v>
      </c>
      <c r="R22" s="350">
        <v>69.739998</v>
      </c>
      <c r="S22" s="271">
        <f>R22/R21-1</f>
        <v>-1.7177640750390966E-3</v>
      </c>
      <c r="T22" s="350">
        <v>13975.780273</v>
      </c>
      <c r="U22" s="273">
        <f>T22/T21-1</f>
        <v>-8.6228729920090341E-3</v>
      </c>
    </row>
    <row r="23" spans="1:21" x14ac:dyDescent="0.25">
      <c r="A23" s="351">
        <v>43885</v>
      </c>
      <c r="B23" s="350">
        <v>132.029999</v>
      </c>
      <c r="C23" s="271">
        <f t="shared" ref="C23:E86" si="0">B23/B22-1</f>
        <v>-9.4754929252454101E-2</v>
      </c>
      <c r="D23" s="350">
        <v>53.490001999999997</v>
      </c>
      <c r="E23" s="271">
        <f t="shared" si="0"/>
        <v>-0.11042738881710645</v>
      </c>
      <c r="F23" s="350">
        <v>45.119999</v>
      </c>
      <c r="G23" s="271">
        <f t="shared" ref="G23:I23" si="1">F23/F22-1</f>
        <v>-5.9216014579149712E-2</v>
      </c>
      <c r="H23" s="350">
        <v>26.690000999999999</v>
      </c>
      <c r="I23" s="271">
        <f t="shared" si="1"/>
        <v>-9.8006049340993662E-2</v>
      </c>
      <c r="J23" s="350">
        <v>60.470001000000003</v>
      </c>
      <c r="K23" s="271">
        <f t="shared" ref="K23:M23" si="2">J23/J22-1</f>
        <v>-7.7075644554745582E-2</v>
      </c>
      <c r="L23" s="350">
        <v>27.879999000000002</v>
      </c>
      <c r="M23" s="271">
        <f t="shared" si="2"/>
        <v>-5.491528813559321E-2</v>
      </c>
      <c r="N23" s="350">
        <v>24.77</v>
      </c>
      <c r="O23" s="271">
        <f t="shared" ref="O23" si="3">N23/N22-1</f>
        <v>-9.1342626559061002E-2</v>
      </c>
      <c r="P23" s="350">
        <v>52.799999</v>
      </c>
      <c r="Q23" s="271">
        <f t="shared" ref="Q23:S23" si="4">P23/P22-1</f>
        <v>-0.10127661276595745</v>
      </c>
      <c r="R23" s="350">
        <v>62.41</v>
      </c>
      <c r="S23" s="271">
        <f t="shared" si="4"/>
        <v>-0.10510464884154436</v>
      </c>
      <c r="T23" s="350">
        <v>12380.969727</v>
      </c>
      <c r="U23" s="273">
        <f t="shared" ref="U23" si="5">T23/T22-1</f>
        <v>-0.11411245131558323</v>
      </c>
    </row>
    <row r="24" spans="1:21" x14ac:dyDescent="0.25">
      <c r="A24" s="351">
        <v>43892</v>
      </c>
      <c r="B24" s="350">
        <v>137.259995</v>
      </c>
      <c r="C24" s="271">
        <f t="shared" si="0"/>
        <v>3.9612179350239973E-2</v>
      </c>
      <c r="D24" s="350">
        <v>55.259998000000003</v>
      </c>
      <c r="E24" s="271">
        <f t="shared" si="0"/>
        <v>3.3090221234241213E-2</v>
      </c>
      <c r="F24" s="350">
        <v>51.759998000000003</v>
      </c>
      <c r="G24" s="271">
        <f t="shared" ref="G24:I24" si="6">F24/F23-1</f>
        <v>0.14716310166584901</v>
      </c>
      <c r="H24" s="350">
        <v>28.25</v>
      </c>
      <c r="I24" s="271">
        <f t="shared" si="6"/>
        <v>5.8448817592775759E-2</v>
      </c>
      <c r="J24" s="350">
        <v>63.189999</v>
      </c>
      <c r="K24" s="271">
        <f t="shared" ref="K24:M24" si="7">J24/J23-1</f>
        <v>4.4980948487167938E-2</v>
      </c>
      <c r="L24" s="350">
        <v>26.629999000000002</v>
      </c>
      <c r="M24" s="271">
        <f t="shared" si="7"/>
        <v>-4.4835008781743513E-2</v>
      </c>
      <c r="N24" s="350">
        <v>26.030000999999999</v>
      </c>
      <c r="O24" s="271">
        <f t="shared" ref="O24" si="8">N24/N23-1</f>
        <v>5.0868025837706776E-2</v>
      </c>
      <c r="P24" s="350">
        <v>55.66</v>
      </c>
      <c r="Q24" s="271">
        <f t="shared" ref="Q24:S24" si="9">P24/P23-1</f>
        <v>5.4166686631944794E-2</v>
      </c>
      <c r="R24" s="350">
        <v>66.190002000000007</v>
      </c>
      <c r="S24" s="271">
        <f t="shared" si="9"/>
        <v>6.0567248838327314E-2</v>
      </c>
      <c r="T24" s="350">
        <v>12352.030273</v>
      </c>
      <c r="U24" s="273">
        <f t="shared" ref="U24" si="10">T24/T23-1</f>
        <v>-2.3374141636812729E-3</v>
      </c>
    </row>
    <row r="25" spans="1:21" x14ac:dyDescent="0.25">
      <c r="A25" s="351">
        <v>43899</v>
      </c>
      <c r="B25" s="350">
        <v>127.449997</v>
      </c>
      <c r="C25" s="271">
        <f t="shared" si="0"/>
        <v>-7.1470190567907377E-2</v>
      </c>
      <c r="D25" s="350">
        <v>48.470001000000003</v>
      </c>
      <c r="E25" s="271">
        <f t="shared" si="0"/>
        <v>-0.1228736381785609</v>
      </c>
      <c r="F25" s="350">
        <v>49.279998999999997</v>
      </c>
      <c r="G25" s="271">
        <f t="shared" ref="G25:I25" si="11">F25/F24-1</f>
        <v>-4.7913429208401581E-2</v>
      </c>
      <c r="H25" s="350">
        <v>24.790001</v>
      </c>
      <c r="I25" s="271">
        <f t="shared" si="11"/>
        <v>-0.12247784070796464</v>
      </c>
      <c r="J25" s="350">
        <v>63.66</v>
      </c>
      <c r="K25" s="271">
        <f t="shared" ref="K25:M25" si="12">J25/J24-1</f>
        <v>7.4379016844103862E-3</v>
      </c>
      <c r="L25" s="350">
        <v>23.469999000000001</v>
      </c>
      <c r="M25" s="271">
        <f t="shared" si="12"/>
        <v>-0.11866316630353613</v>
      </c>
      <c r="N25" s="350">
        <v>23.969999000000001</v>
      </c>
      <c r="O25" s="271">
        <f t="shared" ref="O25" si="13">N25/N24-1</f>
        <v>-7.9139528269706827E-2</v>
      </c>
      <c r="P25" s="350">
        <v>50.919998</v>
      </c>
      <c r="Q25" s="271">
        <f t="shared" ref="Q25:S25" si="14">P25/P24-1</f>
        <v>-8.5159935321595381E-2</v>
      </c>
      <c r="R25" s="350">
        <v>62.389999000000003</v>
      </c>
      <c r="S25" s="271">
        <f t="shared" si="14"/>
        <v>-5.7410528556865792E-2</v>
      </c>
      <c r="T25" s="350">
        <v>10851.740234000001</v>
      </c>
      <c r="U25" s="273">
        <f t="shared" ref="U25" si="15">T25/T24-1</f>
        <v>-0.12146100728715392</v>
      </c>
    </row>
    <row r="26" spans="1:21" x14ac:dyDescent="0.25">
      <c r="A26" s="351">
        <v>43906</v>
      </c>
      <c r="B26" s="350">
        <v>103.93</v>
      </c>
      <c r="C26" s="271">
        <f t="shared" si="0"/>
        <v>-0.18454293882800166</v>
      </c>
      <c r="D26" s="350">
        <v>38.299999</v>
      </c>
      <c r="E26" s="271">
        <f t="shared" si="0"/>
        <v>-0.20982054446419351</v>
      </c>
      <c r="F26" s="350">
        <v>45.299999</v>
      </c>
      <c r="G26" s="271">
        <f t="shared" ref="G26:I26" si="16">F26/F25-1</f>
        <v>-8.0762988651846279E-2</v>
      </c>
      <c r="H26" s="350">
        <v>26.049999</v>
      </c>
      <c r="I26" s="271">
        <f t="shared" si="16"/>
        <v>5.0826863621344698E-2</v>
      </c>
      <c r="J26" s="350">
        <v>55.810001</v>
      </c>
      <c r="K26" s="271">
        <f t="shared" ref="K26:M26" si="17">J26/J25-1</f>
        <v>-0.12331132579327675</v>
      </c>
      <c r="L26" s="350">
        <v>23.530000999999999</v>
      </c>
      <c r="M26" s="271">
        <f t="shared" si="17"/>
        <v>2.5565403730949399E-3</v>
      </c>
      <c r="N26" s="350">
        <v>22.280000999999999</v>
      </c>
      <c r="O26" s="271">
        <f t="shared" ref="O26" si="18">N26/N25-1</f>
        <v>-7.0504717167489406E-2</v>
      </c>
      <c r="P26" s="350">
        <v>43.32</v>
      </c>
      <c r="Q26" s="271">
        <f t="shared" ref="Q26:S26" si="19">P26/P25-1</f>
        <v>-0.14925369792826781</v>
      </c>
      <c r="R26" s="350">
        <v>52.099997999999999</v>
      </c>
      <c r="S26" s="271">
        <f t="shared" si="19"/>
        <v>-0.16493029595977404</v>
      </c>
      <c r="T26" s="350">
        <v>9133.1601559999999</v>
      </c>
      <c r="U26" s="273">
        <f t="shared" ref="U26" si="20">T26/T25-1</f>
        <v>-0.15836907638237152</v>
      </c>
    </row>
    <row r="27" spans="1:21" x14ac:dyDescent="0.25">
      <c r="A27" s="351">
        <v>43913</v>
      </c>
      <c r="B27" s="350">
        <v>120.459999</v>
      </c>
      <c r="C27" s="271">
        <f t="shared" si="0"/>
        <v>0.15904935052439129</v>
      </c>
      <c r="D27" s="350">
        <v>42.810001</v>
      </c>
      <c r="E27" s="271">
        <f t="shared" si="0"/>
        <v>0.11775462448445495</v>
      </c>
      <c r="F27" s="350">
        <v>44.189999</v>
      </c>
      <c r="G27" s="271">
        <f t="shared" ref="G27:I27" si="21">F27/F26-1</f>
        <v>-2.4503311799190075E-2</v>
      </c>
      <c r="H27" s="350">
        <v>27.92</v>
      </c>
      <c r="I27" s="271">
        <f t="shared" si="21"/>
        <v>7.1785069934167778E-2</v>
      </c>
      <c r="J27" s="350">
        <v>59.470001000000003</v>
      </c>
      <c r="K27" s="271">
        <f t="shared" ref="K27:M27" si="22">J27/J26-1</f>
        <v>6.5579644049818198E-2</v>
      </c>
      <c r="L27" s="350">
        <v>24.379999000000002</v>
      </c>
      <c r="M27" s="271">
        <f t="shared" si="22"/>
        <v>3.612401036447066E-2</v>
      </c>
      <c r="N27" s="350">
        <v>24.24</v>
      </c>
      <c r="O27" s="271">
        <f t="shared" ref="O27" si="23">N27/N26-1</f>
        <v>8.7971225854074131E-2</v>
      </c>
      <c r="P27" s="350">
        <v>47.889999000000003</v>
      </c>
      <c r="Q27" s="271">
        <f t="shared" ref="Q27:S27" si="24">P27/P26-1</f>
        <v>0.10549397506925207</v>
      </c>
      <c r="R27" s="350">
        <v>56.389999000000003</v>
      </c>
      <c r="S27" s="271">
        <f t="shared" si="24"/>
        <v>8.234167302655182E-2</v>
      </c>
      <c r="T27" s="350">
        <v>10187.209961</v>
      </c>
      <c r="U27" s="273">
        <f t="shared" ref="U27" si="25">T27/T26-1</f>
        <v>0.11540910123070014</v>
      </c>
    </row>
    <row r="28" spans="1:21" x14ac:dyDescent="0.25">
      <c r="A28" s="351">
        <v>43920</v>
      </c>
      <c r="B28" s="350">
        <v>124.589996</v>
      </c>
      <c r="C28" s="271">
        <f t="shared" si="0"/>
        <v>3.4285215293750726E-2</v>
      </c>
      <c r="D28" s="350">
        <v>43.830002</v>
      </c>
      <c r="E28" s="271">
        <f t="shared" si="0"/>
        <v>2.3826231632183337E-2</v>
      </c>
      <c r="F28" s="350">
        <v>49.529998999999997</v>
      </c>
      <c r="G28" s="271">
        <f t="shared" ref="G28:I28" si="26">F28/F27-1</f>
        <v>0.1208418221507539</v>
      </c>
      <c r="H28" s="350">
        <v>31.209999</v>
      </c>
      <c r="I28" s="271">
        <f t="shared" si="26"/>
        <v>0.11783664040114616</v>
      </c>
      <c r="J28" s="350">
        <v>63.580002</v>
      </c>
      <c r="K28" s="271">
        <f t="shared" ref="K28:M28" si="27">J28/J27-1</f>
        <v>6.9110491523280748E-2</v>
      </c>
      <c r="L28" s="350">
        <v>23.799999</v>
      </c>
      <c r="M28" s="271">
        <f t="shared" si="27"/>
        <v>-2.3789992772354163E-2</v>
      </c>
      <c r="N28" s="350">
        <v>25.32</v>
      </c>
      <c r="O28" s="271">
        <f t="shared" ref="O28" si="28">N28/N27-1</f>
        <v>4.4554455445544594E-2</v>
      </c>
      <c r="P28" s="350">
        <v>50.790000999999997</v>
      </c>
      <c r="Q28" s="271">
        <f t="shared" ref="Q28:S28" si="29">P28/P27-1</f>
        <v>6.0555482575808561E-2</v>
      </c>
      <c r="R28" s="350">
        <v>54.220001000000003</v>
      </c>
      <c r="S28" s="271">
        <f t="shared" si="29"/>
        <v>-3.8481965569816756E-2</v>
      </c>
      <c r="T28" s="350">
        <v>9880.6298829999996</v>
      </c>
      <c r="U28" s="273">
        <f t="shared" ref="U28" si="30">T28/T27-1</f>
        <v>-3.0094606783770073E-2</v>
      </c>
    </row>
    <row r="29" spans="1:21" x14ac:dyDescent="0.25">
      <c r="A29" s="351">
        <v>43927</v>
      </c>
      <c r="B29" s="350">
        <v>133.63000500000001</v>
      </c>
      <c r="C29" s="271">
        <f t="shared" si="0"/>
        <v>7.2558064774318032E-2</v>
      </c>
      <c r="D29" s="350">
        <v>49</v>
      </c>
      <c r="E29" s="271">
        <f t="shared" si="0"/>
        <v>0.11795568706567705</v>
      </c>
      <c r="F29" s="350">
        <v>47.75</v>
      </c>
      <c r="G29" s="271">
        <f t="shared" ref="G29:I29" si="31">F29/F28-1</f>
        <v>-3.5937796001166866E-2</v>
      </c>
      <c r="H29" s="350">
        <v>32.459999000000003</v>
      </c>
      <c r="I29" s="271">
        <f t="shared" si="31"/>
        <v>4.0051266903276872E-2</v>
      </c>
      <c r="J29" s="350">
        <v>62.740001999999997</v>
      </c>
      <c r="K29" s="271">
        <f t="shared" ref="K29:M29" si="32">J29/J28-1</f>
        <v>-1.3211701377423779E-2</v>
      </c>
      <c r="L29" s="350">
        <v>26.860001</v>
      </c>
      <c r="M29" s="271">
        <f t="shared" si="32"/>
        <v>0.12857151800720668</v>
      </c>
      <c r="N29" s="350">
        <v>28.110001</v>
      </c>
      <c r="O29" s="271">
        <f t="shared" ref="O29" si="33">N29/N28-1</f>
        <v>0.11018961295418639</v>
      </c>
      <c r="P29" s="350">
        <v>52.34</v>
      </c>
      <c r="Q29" s="271">
        <f t="shared" ref="Q29:S29" si="34">P29/P28-1</f>
        <v>3.0517798178425037E-2</v>
      </c>
      <c r="R29" s="350">
        <v>60.509998000000003</v>
      </c>
      <c r="S29" s="271">
        <f t="shared" si="34"/>
        <v>0.11600879535210629</v>
      </c>
      <c r="T29" s="350">
        <v>11136.610352</v>
      </c>
      <c r="U29" s="273">
        <f t="shared" ref="U29" si="35">T29/T28-1</f>
        <v>0.12711542521807861</v>
      </c>
    </row>
    <row r="30" spans="1:21" x14ac:dyDescent="0.25">
      <c r="A30" s="351">
        <v>43934</v>
      </c>
      <c r="B30" s="350">
        <v>137.550003</v>
      </c>
      <c r="C30" s="271">
        <f t="shared" si="0"/>
        <v>2.9334714160940134E-2</v>
      </c>
      <c r="D30" s="350">
        <v>48.060001</v>
      </c>
      <c r="E30" s="271">
        <f t="shared" si="0"/>
        <v>-1.9183653061224493E-2</v>
      </c>
      <c r="F30" s="350">
        <v>50.34</v>
      </c>
      <c r="G30" s="271">
        <f t="shared" ref="G30:I30" si="36">F30/F29-1</f>
        <v>5.4240837696335253E-2</v>
      </c>
      <c r="H30" s="350">
        <v>33.580002</v>
      </c>
      <c r="I30" s="271">
        <f t="shared" si="36"/>
        <v>3.450409841355806E-2</v>
      </c>
      <c r="J30" s="350">
        <v>65.019997000000004</v>
      </c>
      <c r="K30" s="271">
        <f t="shared" ref="K30:M30" si="37">J30/J29-1</f>
        <v>3.6340371809360228E-2</v>
      </c>
      <c r="L30" s="350">
        <v>26.15</v>
      </c>
      <c r="M30" s="271">
        <f t="shared" si="37"/>
        <v>-2.6433394399352439E-2</v>
      </c>
      <c r="N30" s="350">
        <v>29.33</v>
      </c>
      <c r="O30" s="271">
        <f t="shared" ref="O30" si="38">N30/N29-1</f>
        <v>4.3400887819249778E-2</v>
      </c>
      <c r="P30" s="350">
        <v>53.48</v>
      </c>
      <c r="Q30" s="271">
        <f t="shared" ref="Q30:S30" si="39">P30/P29-1</f>
        <v>2.1780664883454204E-2</v>
      </c>
      <c r="R30" s="350">
        <v>62.189999</v>
      </c>
      <c r="S30" s="271">
        <f t="shared" si="39"/>
        <v>2.7764023393290982E-2</v>
      </c>
      <c r="T30" s="350">
        <v>11208.290039</v>
      </c>
      <c r="U30" s="273">
        <f t="shared" ref="U30" si="40">T30/T29-1</f>
        <v>6.4364007300594661E-3</v>
      </c>
    </row>
    <row r="31" spans="1:21" x14ac:dyDescent="0.25">
      <c r="A31" s="351">
        <v>43941</v>
      </c>
      <c r="B31" s="350">
        <v>134.36000100000001</v>
      </c>
      <c r="C31" s="271">
        <f t="shared" si="0"/>
        <v>-2.3191580737370043E-2</v>
      </c>
      <c r="D31" s="350">
        <v>45.43</v>
      </c>
      <c r="E31" s="271">
        <f t="shared" si="0"/>
        <v>-5.4723282257110206E-2</v>
      </c>
      <c r="F31" s="350">
        <v>50.75</v>
      </c>
      <c r="G31" s="271">
        <f t="shared" ref="G31:I31" si="41">F31/F30-1</f>
        <v>8.1446166070717751E-3</v>
      </c>
      <c r="H31" s="350">
        <v>34.18</v>
      </c>
      <c r="I31" s="271">
        <f t="shared" si="41"/>
        <v>1.786771781609775E-2</v>
      </c>
      <c r="J31" s="350">
        <v>64.099997999999999</v>
      </c>
      <c r="K31" s="271">
        <f t="shared" ref="K31:M31" si="42">J31/J30-1</f>
        <v>-1.4149477736826177E-2</v>
      </c>
      <c r="L31" s="350">
        <v>26.290001</v>
      </c>
      <c r="M31" s="271">
        <f t="shared" si="42"/>
        <v>5.3537667304015546E-3</v>
      </c>
      <c r="N31" s="350">
        <v>29.23</v>
      </c>
      <c r="O31" s="271">
        <f t="shared" ref="O31" si="43">N31/N30-1</f>
        <v>-3.4094783498124226E-3</v>
      </c>
      <c r="P31" s="350">
        <v>51.41</v>
      </c>
      <c r="Q31" s="271">
        <f t="shared" ref="Q31:S31" si="44">P31/P30-1</f>
        <v>-3.8706058339566196E-2</v>
      </c>
      <c r="R31" s="350">
        <v>59.799999</v>
      </c>
      <c r="S31" s="271">
        <f t="shared" si="44"/>
        <v>-3.8430616472593937E-2</v>
      </c>
      <c r="T31" s="350">
        <v>11017.900390999999</v>
      </c>
      <c r="U31" s="273">
        <f t="shared" ref="U31" si="45">T31/T30-1</f>
        <v>-1.6986502609900977E-2</v>
      </c>
    </row>
    <row r="32" spans="1:21" x14ac:dyDescent="0.25">
      <c r="A32" s="351">
        <v>43948</v>
      </c>
      <c r="B32" s="350">
        <v>130.13999899999999</v>
      </c>
      <c r="C32" s="271">
        <f t="shared" si="0"/>
        <v>-3.1408171841261212E-2</v>
      </c>
      <c r="D32" s="350">
        <v>45.599997999999999</v>
      </c>
      <c r="E32" s="271">
        <f t="shared" si="0"/>
        <v>3.7419766674002819E-3</v>
      </c>
      <c r="F32" s="350">
        <v>50.41</v>
      </c>
      <c r="G32" s="271">
        <f t="shared" ref="G32:I32" si="46">F32/F31-1</f>
        <v>-6.6995073891625845E-3</v>
      </c>
      <c r="H32" s="350">
        <v>33.279998999999997</v>
      </c>
      <c r="I32" s="271">
        <f t="shared" si="46"/>
        <v>-2.6331217086015268E-2</v>
      </c>
      <c r="J32" s="350">
        <v>64.860000999999997</v>
      </c>
      <c r="K32" s="271">
        <f t="shared" ref="K32:M32" si="47">J32/J31-1</f>
        <v>1.1856521430780642E-2</v>
      </c>
      <c r="L32" s="350">
        <v>25.9</v>
      </c>
      <c r="M32" s="271">
        <f t="shared" si="47"/>
        <v>-1.4834575320099908E-2</v>
      </c>
      <c r="N32" s="350">
        <v>29.379999000000002</v>
      </c>
      <c r="O32" s="271">
        <f t="shared" ref="O32" si="48">N32/N31-1</f>
        <v>5.131679781047005E-3</v>
      </c>
      <c r="P32" s="350">
        <v>50.700001</v>
      </c>
      <c r="Q32" s="271">
        <f t="shared" ref="Q32:S32" si="49">P32/P31-1</f>
        <v>-1.3810523244504935E-2</v>
      </c>
      <c r="R32" s="350">
        <v>59.52</v>
      </c>
      <c r="S32" s="271">
        <f t="shared" si="49"/>
        <v>-4.682257603382145E-3</v>
      </c>
      <c r="T32" s="350">
        <v>11058.570313</v>
      </c>
      <c r="U32" s="273">
        <f t="shared" ref="U32" si="50">T32/T31-1</f>
        <v>3.6912588203485974E-3</v>
      </c>
    </row>
    <row r="33" spans="1:21" x14ac:dyDescent="0.25">
      <c r="A33" s="351">
        <v>43955</v>
      </c>
      <c r="B33" s="350">
        <v>134.229996</v>
      </c>
      <c r="C33" s="271">
        <f t="shared" si="0"/>
        <v>3.1427670442812916E-2</v>
      </c>
      <c r="D33" s="350">
        <v>46.110000999999997</v>
      </c>
      <c r="E33" s="271">
        <f t="shared" si="0"/>
        <v>1.1184276806327942E-2</v>
      </c>
      <c r="F33" s="350">
        <v>51.259998000000003</v>
      </c>
      <c r="G33" s="271">
        <f t="shared" ref="G33:I33" si="51">F33/F32-1</f>
        <v>1.6861694108311953E-2</v>
      </c>
      <c r="H33" s="350">
        <v>33.520000000000003</v>
      </c>
      <c r="I33" s="271">
        <f t="shared" si="51"/>
        <v>7.2115687263094586E-3</v>
      </c>
      <c r="J33" s="350">
        <v>63.68</v>
      </c>
      <c r="K33" s="271">
        <f t="shared" ref="K33:M33" si="52">J33/J32-1</f>
        <v>-1.8193046281328229E-2</v>
      </c>
      <c r="L33" s="350">
        <v>26.34</v>
      </c>
      <c r="M33" s="271">
        <f t="shared" si="52"/>
        <v>1.6988416988417132E-2</v>
      </c>
      <c r="N33" s="350">
        <v>29.559999000000001</v>
      </c>
      <c r="O33" s="271">
        <f t="shared" ref="O33" si="53">N33/N32-1</f>
        <v>6.1266169546159155E-3</v>
      </c>
      <c r="P33" s="350">
        <v>50.900002000000001</v>
      </c>
      <c r="Q33" s="271">
        <f t="shared" ref="Q33:S33" si="54">P33/P32-1</f>
        <v>3.9447928216016503E-3</v>
      </c>
      <c r="R33" s="350">
        <v>65.779999000000004</v>
      </c>
      <c r="S33" s="271">
        <f t="shared" si="54"/>
        <v>0.10517471438172032</v>
      </c>
      <c r="T33" s="350">
        <v>11354.339844</v>
      </c>
      <c r="U33" s="273">
        <f t="shared" ref="U33" si="55">T33/T32-1</f>
        <v>2.6745729567980936E-2</v>
      </c>
    </row>
    <row r="34" spans="1:21" x14ac:dyDescent="0.25">
      <c r="A34" s="351">
        <v>43962</v>
      </c>
      <c r="B34" s="350">
        <v>135.949997</v>
      </c>
      <c r="C34" s="271">
        <f t="shared" si="0"/>
        <v>1.2813834845081917E-2</v>
      </c>
      <c r="D34" s="350">
        <v>43.259998000000003</v>
      </c>
      <c r="E34" s="271">
        <f t="shared" si="0"/>
        <v>-6.1808782003713092E-2</v>
      </c>
      <c r="F34" s="350">
        <v>53.529998999999997</v>
      </c>
      <c r="G34" s="271">
        <f t="shared" ref="G34:I34" si="56">F34/F33-1</f>
        <v>4.428406337432933E-2</v>
      </c>
      <c r="H34" s="350">
        <v>34.169998</v>
      </c>
      <c r="I34" s="271">
        <f t="shared" si="56"/>
        <v>1.9391348448687173E-2</v>
      </c>
      <c r="J34" s="350">
        <v>64.069999999999993</v>
      </c>
      <c r="K34" s="271">
        <f t="shared" ref="K34:M34" si="57">J34/J33-1</f>
        <v>6.1243718592964846E-3</v>
      </c>
      <c r="L34" s="350">
        <v>26.299999</v>
      </c>
      <c r="M34" s="271">
        <f t="shared" si="57"/>
        <v>-1.5186408504176407E-3</v>
      </c>
      <c r="N34" s="350">
        <v>29.200001</v>
      </c>
      <c r="O34" s="271">
        <f t="shared" ref="O34" si="58">N34/N33-1</f>
        <v>-1.2178552509423346E-2</v>
      </c>
      <c r="P34" s="350">
        <v>49.959999000000003</v>
      </c>
      <c r="Q34" s="271">
        <f t="shared" ref="Q34:S34" si="59">P34/P33-1</f>
        <v>-1.8467641710505189E-2</v>
      </c>
      <c r="R34" s="350">
        <v>66.010002</v>
      </c>
      <c r="S34" s="271">
        <f t="shared" si="59"/>
        <v>3.496549156225992E-3</v>
      </c>
      <c r="T34" s="350">
        <v>10947.320313</v>
      </c>
      <c r="U34" s="273">
        <f t="shared" ref="U34" si="60">T34/T33-1</f>
        <v>-3.5847044970657826E-2</v>
      </c>
    </row>
    <row r="35" spans="1:21" x14ac:dyDescent="0.25">
      <c r="A35" s="351">
        <v>43969</v>
      </c>
      <c r="B35" s="350">
        <v>130.479996</v>
      </c>
      <c r="C35" s="271">
        <f t="shared" si="0"/>
        <v>-4.0235388898169688E-2</v>
      </c>
      <c r="D35" s="350">
        <v>45.029998999999997</v>
      </c>
      <c r="E35" s="271">
        <f t="shared" si="0"/>
        <v>4.0915420291974813E-2</v>
      </c>
      <c r="F35" s="350">
        <v>48.349997999999999</v>
      </c>
      <c r="G35" s="271">
        <f t="shared" ref="G35:I35" si="61">F35/F34-1</f>
        <v>-9.6768187871626887E-2</v>
      </c>
      <c r="H35" s="350">
        <v>32.68</v>
      </c>
      <c r="I35" s="271">
        <f t="shared" si="61"/>
        <v>-4.3605445923643349E-2</v>
      </c>
      <c r="J35" s="350">
        <v>62.09</v>
      </c>
      <c r="K35" s="271">
        <f t="shared" ref="K35:M35" si="62">J35/J34-1</f>
        <v>-3.0903699079132041E-2</v>
      </c>
      <c r="L35" s="350">
        <v>27.16</v>
      </c>
      <c r="M35" s="271">
        <f t="shared" si="62"/>
        <v>3.2699659038009976E-2</v>
      </c>
      <c r="N35" s="350">
        <v>29.950001</v>
      </c>
      <c r="O35" s="271">
        <f t="shared" ref="O35" si="63">N35/N34-1</f>
        <v>2.5684930627228431E-2</v>
      </c>
      <c r="P35" s="350">
        <v>49.700001</v>
      </c>
      <c r="Q35" s="271">
        <f t="shared" ref="Q35:S35" si="64">P35/P34-1</f>
        <v>-5.204123402804739E-3</v>
      </c>
      <c r="R35" s="350">
        <v>68.709998999999996</v>
      </c>
      <c r="S35" s="271">
        <f t="shared" si="64"/>
        <v>4.0902846814032667E-2</v>
      </c>
      <c r="T35" s="350">
        <v>11331.969727</v>
      </c>
      <c r="U35" s="273">
        <f t="shared" ref="U35" si="65">T35/T34-1</f>
        <v>3.513639895447529E-2</v>
      </c>
    </row>
    <row r="36" spans="1:21" x14ac:dyDescent="0.25">
      <c r="A36" s="351">
        <v>43976</v>
      </c>
      <c r="B36" s="350">
        <v>131.550003</v>
      </c>
      <c r="C36" s="271">
        <f t="shared" si="0"/>
        <v>8.200544396092857E-3</v>
      </c>
      <c r="D36" s="350">
        <v>46.68</v>
      </c>
      <c r="E36" s="271">
        <f t="shared" si="0"/>
        <v>3.6642261528808895E-2</v>
      </c>
      <c r="F36" s="350">
        <v>50.98</v>
      </c>
      <c r="G36" s="271">
        <f t="shared" ref="G36:I36" si="66">F36/F35-1</f>
        <v>5.4395079809517188E-2</v>
      </c>
      <c r="H36" s="350">
        <v>34.790000999999997</v>
      </c>
      <c r="I36" s="271">
        <f t="shared" si="66"/>
        <v>6.4565514075887398E-2</v>
      </c>
      <c r="J36" s="350">
        <v>65.309997999999993</v>
      </c>
      <c r="K36" s="271">
        <f t="shared" ref="K36:M36" si="67">J36/J35-1</f>
        <v>5.1860170719922438E-2</v>
      </c>
      <c r="L36" s="350">
        <v>27.92</v>
      </c>
      <c r="M36" s="271">
        <f t="shared" si="67"/>
        <v>2.7982326951399239E-2</v>
      </c>
      <c r="N36" s="350">
        <v>30.469999000000001</v>
      </c>
      <c r="O36" s="271">
        <f t="shared" ref="O36" si="68">N36/N35-1</f>
        <v>1.7362203093081785E-2</v>
      </c>
      <c r="P36" s="350">
        <v>52.119999</v>
      </c>
      <c r="Q36" s="271">
        <f t="shared" ref="Q36:S36" si="69">P36/P35-1</f>
        <v>4.8692111696335694E-2</v>
      </c>
      <c r="R36" s="350">
        <v>71.910004000000001</v>
      </c>
      <c r="S36" s="271">
        <f t="shared" si="69"/>
        <v>4.657262475000179E-2</v>
      </c>
      <c r="T36" s="350">
        <v>11802.950194999999</v>
      </c>
      <c r="U36" s="273">
        <f t="shared" ref="U36" si="70">T36/T35-1</f>
        <v>4.1562100795047296E-2</v>
      </c>
    </row>
    <row r="37" spans="1:21" x14ac:dyDescent="0.25">
      <c r="A37" s="351">
        <v>43983</v>
      </c>
      <c r="B37" s="350">
        <v>132.44000199999999</v>
      </c>
      <c r="C37" s="271">
        <f t="shared" si="0"/>
        <v>6.7654806514902965E-3</v>
      </c>
      <c r="D37" s="350">
        <v>49.09</v>
      </c>
      <c r="E37" s="271">
        <f t="shared" si="0"/>
        <v>5.1628106255355632E-2</v>
      </c>
      <c r="F37" s="350">
        <v>48.18</v>
      </c>
      <c r="G37" s="271">
        <f t="shared" ref="G37:I37" si="71">F37/F36-1</f>
        <v>-5.4923499411533849E-2</v>
      </c>
      <c r="H37" s="350">
        <v>33.419998</v>
      </c>
      <c r="I37" s="271">
        <f t="shared" si="71"/>
        <v>-3.9379217034227643E-2</v>
      </c>
      <c r="J37" s="350">
        <v>65.620002999999997</v>
      </c>
      <c r="K37" s="271">
        <f t="shared" ref="K37:M37" si="72">J37/J36-1</f>
        <v>4.7466698743430236E-3</v>
      </c>
      <c r="L37" s="350">
        <v>28.690000999999999</v>
      </c>
      <c r="M37" s="271">
        <f t="shared" si="72"/>
        <v>2.7578832378223339E-2</v>
      </c>
      <c r="N37" s="350">
        <v>32.619999</v>
      </c>
      <c r="O37" s="271">
        <f t="shared" ref="O37" si="73">N37/N36-1</f>
        <v>7.056121006108329E-2</v>
      </c>
      <c r="P37" s="350">
        <v>52.529998999999997</v>
      </c>
      <c r="Q37" s="271">
        <f t="shared" ref="Q37:S37" si="74">P37/P36-1</f>
        <v>7.8664621616741925E-3</v>
      </c>
      <c r="R37" s="350">
        <v>72.230002999999996</v>
      </c>
      <c r="S37" s="271">
        <f t="shared" si="74"/>
        <v>4.4499927993328914E-3</v>
      </c>
      <c r="T37" s="350">
        <v>12641.440430000001</v>
      </c>
      <c r="U37" s="273">
        <f t="shared" ref="U37" si="75">T37/T36-1</f>
        <v>7.1040733134263734E-2</v>
      </c>
    </row>
    <row r="38" spans="1:21" x14ac:dyDescent="0.25">
      <c r="A38" s="351">
        <v>43990</v>
      </c>
      <c r="B38" s="350">
        <v>129</v>
      </c>
      <c r="C38" s="271">
        <f t="shared" si="0"/>
        <v>-2.597404068296516E-2</v>
      </c>
      <c r="D38" s="350">
        <v>45.599997999999999</v>
      </c>
      <c r="E38" s="271">
        <f t="shared" si="0"/>
        <v>-7.1093949887960917E-2</v>
      </c>
      <c r="F38" s="350">
        <v>47.07</v>
      </c>
      <c r="G38" s="271">
        <f t="shared" ref="G38:I38" si="76">F38/F37-1</f>
        <v>-2.3038605230386033E-2</v>
      </c>
      <c r="H38" s="350">
        <v>32.409999999999997</v>
      </c>
      <c r="I38" s="271">
        <f t="shared" si="76"/>
        <v>-3.0221366261003468E-2</v>
      </c>
      <c r="J38" s="350">
        <v>63.59</v>
      </c>
      <c r="K38" s="271">
        <f t="shared" ref="K38:M38" si="77">J38/J37-1</f>
        <v>-3.0935734641767576E-2</v>
      </c>
      <c r="L38" s="350">
        <v>28.120000999999998</v>
      </c>
      <c r="M38" s="271">
        <f t="shared" si="77"/>
        <v>-1.9867548976383764E-2</v>
      </c>
      <c r="N38" s="350">
        <v>31.799999</v>
      </c>
      <c r="O38" s="271">
        <f t="shared" ref="O38" si="78">N38/N37-1</f>
        <v>-2.5137952947208886E-2</v>
      </c>
      <c r="P38" s="350">
        <v>50.73</v>
      </c>
      <c r="Q38" s="271">
        <f t="shared" ref="Q38:S38" si="79">P38/P37-1</f>
        <v>-3.4266115253495433E-2</v>
      </c>
      <c r="R38" s="350">
        <v>68.300003000000004</v>
      </c>
      <c r="S38" s="271">
        <f t="shared" si="79"/>
        <v>-5.4409522868218541E-2</v>
      </c>
      <c r="T38" s="350">
        <v>11867.169921999999</v>
      </c>
      <c r="U38" s="273">
        <f t="shared" ref="U38" si="80">T38/T37-1</f>
        <v>-6.1248598392517284E-2</v>
      </c>
    </row>
    <row r="39" spans="1:21" x14ac:dyDescent="0.25">
      <c r="A39" s="351">
        <v>43997</v>
      </c>
      <c r="B39" s="350">
        <v>131.279999</v>
      </c>
      <c r="C39" s="271">
        <f t="shared" si="0"/>
        <v>1.7674410852713152E-2</v>
      </c>
      <c r="D39" s="350">
        <v>46.02</v>
      </c>
      <c r="E39" s="271">
        <f t="shared" si="0"/>
        <v>9.2105705794109927E-3</v>
      </c>
      <c r="F39" s="350">
        <v>49.139999000000003</v>
      </c>
      <c r="G39" s="271">
        <f t="shared" ref="G39:I39" si="81">F39/F38-1</f>
        <v>4.3977034204376597E-2</v>
      </c>
      <c r="H39" s="350">
        <v>33.549999</v>
      </c>
      <c r="I39" s="271">
        <f t="shared" si="81"/>
        <v>3.5174298056155573E-2</v>
      </c>
      <c r="J39" s="350">
        <v>67.779999000000004</v>
      </c>
      <c r="K39" s="271">
        <f t="shared" ref="K39:M39" si="82">J39/J38-1</f>
        <v>6.589084761754993E-2</v>
      </c>
      <c r="L39" s="350">
        <v>28.709999</v>
      </c>
      <c r="M39" s="271">
        <f t="shared" si="82"/>
        <v>2.0981435953718597E-2</v>
      </c>
      <c r="N39" s="350">
        <v>33.479999999999997</v>
      </c>
      <c r="O39" s="271">
        <f t="shared" ref="O39" si="83">N39/N38-1</f>
        <v>5.2830221787113718E-2</v>
      </c>
      <c r="P39" s="350">
        <v>52.560001</v>
      </c>
      <c r="Q39" s="271">
        <f t="shared" ref="Q39:S39" si="84">P39/P38-1</f>
        <v>3.6073349103094898E-2</v>
      </c>
      <c r="R39" s="350">
        <v>70.080001999999993</v>
      </c>
      <c r="S39" s="271">
        <f t="shared" si="84"/>
        <v>2.6061477625410889E-2</v>
      </c>
      <c r="T39" s="350">
        <v>11980.120117</v>
      </c>
      <c r="U39" s="273">
        <f t="shared" ref="U39" si="85">T39/T38-1</f>
        <v>9.5178712146530842E-3</v>
      </c>
    </row>
    <row r="40" spans="1:21" x14ac:dyDescent="0.25">
      <c r="A40" s="351">
        <v>44004</v>
      </c>
      <c r="B40" s="350">
        <v>128.929993</v>
      </c>
      <c r="C40" s="271">
        <f t="shared" si="0"/>
        <v>-1.790071616316824E-2</v>
      </c>
      <c r="D40" s="350">
        <v>43.57</v>
      </c>
      <c r="E40" s="271">
        <f t="shared" si="0"/>
        <v>-5.3237722729248205E-2</v>
      </c>
      <c r="F40" s="350">
        <v>48.400002000000001</v>
      </c>
      <c r="G40" s="271">
        <f t="shared" ref="G40:I40" si="86">F40/F39-1</f>
        <v>-1.5058954315404049E-2</v>
      </c>
      <c r="H40" s="350">
        <v>32.639999000000003</v>
      </c>
      <c r="I40" s="271">
        <f t="shared" si="86"/>
        <v>-2.7123696784610796E-2</v>
      </c>
      <c r="J40" s="350">
        <v>63.860000999999997</v>
      </c>
      <c r="K40" s="271">
        <f t="shared" ref="K40:M40" si="87">J40/J39-1</f>
        <v>-5.7834140717529459E-2</v>
      </c>
      <c r="L40" s="350">
        <v>28.219999000000001</v>
      </c>
      <c r="M40" s="271">
        <f t="shared" si="87"/>
        <v>-1.7067224558245275E-2</v>
      </c>
      <c r="N40" s="350">
        <v>30.9</v>
      </c>
      <c r="O40" s="271">
        <f t="shared" ref="O40" si="88">N40/N39-1</f>
        <v>-7.7060931899641583E-2</v>
      </c>
      <c r="P40" s="350">
        <v>50.080002</v>
      </c>
      <c r="Q40" s="271">
        <f t="shared" ref="Q40:S40" si="89">P40/P39-1</f>
        <v>-4.7184150548246762E-2</v>
      </c>
      <c r="R40" s="350">
        <v>67.900002000000001</v>
      </c>
      <c r="S40" s="271">
        <f t="shared" si="89"/>
        <v>-3.1107305048307388E-2</v>
      </c>
      <c r="T40" s="350">
        <v>11604.429688</v>
      </c>
      <c r="U40" s="273">
        <f t="shared" ref="U40" si="90">T40/T39-1</f>
        <v>-3.1359487662138585E-2</v>
      </c>
    </row>
    <row r="41" spans="1:21" x14ac:dyDescent="0.25">
      <c r="A41" s="351">
        <v>44011</v>
      </c>
      <c r="B41" s="350">
        <v>132.85000600000001</v>
      </c>
      <c r="C41" s="271">
        <f t="shared" si="0"/>
        <v>3.0404197726125792E-2</v>
      </c>
      <c r="D41" s="350">
        <v>44.880001</v>
      </c>
      <c r="E41" s="271">
        <f t="shared" si="0"/>
        <v>3.0066582510901885E-2</v>
      </c>
      <c r="F41" s="350">
        <v>49.32</v>
      </c>
      <c r="G41" s="271">
        <f t="shared" ref="G41:I41" si="91">F41/F40-1</f>
        <v>1.9008222355032078E-2</v>
      </c>
      <c r="H41" s="350">
        <v>35.409999999999997</v>
      </c>
      <c r="I41" s="271">
        <f t="shared" si="91"/>
        <v>8.4865229315723711E-2</v>
      </c>
      <c r="J41" s="350">
        <v>66.309997999999993</v>
      </c>
      <c r="K41" s="271">
        <f t="shared" ref="K41:M41" si="92">J41/J40-1</f>
        <v>3.8365126239193081E-2</v>
      </c>
      <c r="L41" s="350">
        <v>28.530000999999999</v>
      </c>
      <c r="M41" s="271">
        <f t="shared" si="92"/>
        <v>1.0985188199333251E-2</v>
      </c>
      <c r="N41" s="350">
        <v>31.809999000000001</v>
      </c>
      <c r="O41" s="271">
        <f t="shared" ref="O41" si="93">N41/N40-1</f>
        <v>2.9449805825242814E-2</v>
      </c>
      <c r="P41" s="350">
        <v>51.490001999999997</v>
      </c>
      <c r="Q41" s="271">
        <f t="shared" ref="Q41:S41" si="94">P41/P40-1</f>
        <v>2.8154950952278268E-2</v>
      </c>
      <c r="R41" s="350">
        <v>69.260002</v>
      </c>
      <c r="S41" s="271">
        <f t="shared" si="94"/>
        <v>2.0029454491032217E-2</v>
      </c>
      <c r="T41" s="350">
        <v>11991.519531</v>
      </c>
      <c r="U41" s="273">
        <f t="shared" ref="U41" si="95">T41/T40-1</f>
        <v>3.3357075996615748E-2</v>
      </c>
    </row>
    <row r="42" spans="1:21" x14ac:dyDescent="0.25">
      <c r="A42" s="351">
        <v>44018</v>
      </c>
      <c r="B42" s="350">
        <v>134.46000699999999</v>
      </c>
      <c r="C42" s="271">
        <f t="shared" si="0"/>
        <v>1.2118938105279309E-2</v>
      </c>
      <c r="D42" s="350">
        <v>45.150002000000001</v>
      </c>
      <c r="E42" s="271">
        <f t="shared" si="0"/>
        <v>6.0160649283407253E-3</v>
      </c>
      <c r="F42" s="350">
        <v>50.279998999999997</v>
      </c>
      <c r="G42" s="271">
        <f t="shared" ref="G42:I42" si="96">F42/F41-1</f>
        <v>1.9464699918896988E-2</v>
      </c>
      <c r="H42" s="350">
        <v>36.310001</v>
      </c>
      <c r="I42" s="271">
        <f t="shared" si="96"/>
        <v>2.5416577238068339E-2</v>
      </c>
      <c r="J42" s="350">
        <v>67.190002000000007</v>
      </c>
      <c r="K42" s="271">
        <f t="shared" ref="K42:M42" si="97">J42/J41-1</f>
        <v>1.3271060572193294E-2</v>
      </c>
      <c r="L42" s="350">
        <v>29.200001</v>
      </c>
      <c r="M42" s="271">
        <f t="shared" si="97"/>
        <v>2.3484051052083732E-2</v>
      </c>
      <c r="N42" s="350">
        <v>32.279998999999997</v>
      </c>
      <c r="O42" s="271">
        <f t="shared" ref="O42" si="98">N42/N41-1</f>
        <v>1.4775228380233374E-2</v>
      </c>
      <c r="P42" s="350">
        <v>51.439999</v>
      </c>
      <c r="Q42" s="271">
        <f t="shared" ref="Q42:S42" si="99">P42/P41-1</f>
        <v>-9.71120568222128E-4</v>
      </c>
      <c r="R42" s="350">
        <v>71.650002000000001</v>
      </c>
      <c r="S42" s="271">
        <f t="shared" si="99"/>
        <v>3.450765132810707E-2</v>
      </c>
      <c r="T42" s="350">
        <v>12075.580078000001</v>
      </c>
      <c r="U42" s="273">
        <f t="shared" ref="U42" si="100">T42/T41-1</f>
        <v>7.0099995903514234E-3</v>
      </c>
    </row>
    <row r="43" spans="1:21" x14ac:dyDescent="0.25">
      <c r="A43" s="351">
        <v>44025</v>
      </c>
      <c r="B43" s="350">
        <v>134.66000399999999</v>
      </c>
      <c r="C43" s="271">
        <f t="shared" si="0"/>
        <v>1.4874088174039457E-3</v>
      </c>
      <c r="D43" s="350">
        <v>46.82</v>
      </c>
      <c r="E43" s="271">
        <f t="shared" si="0"/>
        <v>3.6987772447939271E-2</v>
      </c>
      <c r="F43" s="350">
        <v>49.599997999999999</v>
      </c>
      <c r="G43" s="271">
        <f t="shared" ref="G43:I43" si="101">F43/F42-1</f>
        <v>-1.3524284278525922E-2</v>
      </c>
      <c r="H43" s="350">
        <v>36.580002</v>
      </c>
      <c r="I43" s="271">
        <f t="shared" si="101"/>
        <v>7.4359953887084274E-3</v>
      </c>
      <c r="J43" s="350">
        <v>68.629997000000003</v>
      </c>
      <c r="K43" s="271">
        <f t="shared" ref="K43:M43" si="102">J43/J42-1</f>
        <v>2.1431685624893948E-2</v>
      </c>
      <c r="L43" s="350">
        <v>29.780000999999999</v>
      </c>
      <c r="M43" s="271">
        <f t="shared" si="102"/>
        <v>1.9863013018389886E-2</v>
      </c>
      <c r="N43" s="350">
        <v>35.009998000000003</v>
      </c>
      <c r="O43" s="271">
        <f t="shared" ref="O43" si="103">N43/N42-1</f>
        <v>8.4572462347350275E-2</v>
      </c>
      <c r="P43" s="350">
        <v>54.07</v>
      </c>
      <c r="Q43" s="271">
        <f t="shared" ref="Q43:S43" si="104">P43/P42-1</f>
        <v>5.1127547650224425E-2</v>
      </c>
      <c r="R43" s="350">
        <v>74.220000999999996</v>
      </c>
      <c r="S43" s="271">
        <f t="shared" si="104"/>
        <v>3.5868791741275885E-2</v>
      </c>
      <c r="T43" s="350">
        <v>12402.740234000001</v>
      </c>
      <c r="U43" s="273">
        <f t="shared" ref="U43" si="105">T43/T42-1</f>
        <v>2.7092707256029858E-2</v>
      </c>
    </row>
    <row r="44" spans="1:21" x14ac:dyDescent="0.25">
      <c r="A44" s="351">
        <v>44032</v>
      </c>
      <c r="B44" s="350">
        <v>136.05999800000001</v>
      </c>
      <c r="C44" s="271">
        <f t="shared" si="0"/>
        <v>1.0396509419382083E-2</v>
      </c>
      <c r="D44" s="350">
        <v>48.490001999999997</v>
      </c>
      <c r="E44" s="271">
        <f t="shared" si="0"/>
        <v>3.5668560444254593E-2</v>
      </c>
      <c r="F44" s="350">
        <v>49.400002000000001</v>
      </c>
      <c r="G44" s="271">
        <f t="shared" ref="G44:I44" si="106">F44/F43-1</f>
        <v>-4.0321775819426309E-3</v>
      </c>
      <c r="H44" s="350">
        <v>36.610000999999997</v>
      </c>
      <c r="I44" s="271">
        <f t="shared" si="106"/>
        <v>8.2009290212714525E-4</v>
      </c>
      <c r="J44" s="350">
        <v>68.680000000000007</v>
      </c>
      <c r="K44" s="271">
        <f t="shared" ref="K44:M44" si="107">J44/J43-1</f>
        <v>7.2858811286269365E-4</v>
      </c>
      <c r="L44" s="350">
        <v>30.34</v>
      </c>
      <c r="M44" s="271">
        <f t="shared" si="107"/>
        <v>1.8804532612339386E-2</v>
      </c>
      <c r="N44" s="350">
        <v>34.68</v>
      </c>
      <c r="O44" s="271">
        <f t="shared" ref="O44" si="108">N44/N43-1</f>
        <v>-9.4258217324092453E-3</v>
      </c>
      <c r="P44" s="350">
        <v>54.869999</v>
      </c>
      <c r="Q44" s="271">
        <f t="shared" ref="Q44:S44" si="109">P44/P43-1</f>
        <v>1.4795616793046085E-2</v>
      </c>
      <c r="R44" s="350">
        <v>74.879997000000003</v>
      </c>
      <c r="S44" s="271">
        <f t="shared" si="109"/>
        <v>8.8924277971917931E-3</v>
      </c>
      <c r="T44" s="350">
        <v>12461.780273</v>
      </c>
      <c r="U44" s="273">
        <f t="shared" ref="U44" si="110">T44/T43-1</f>
        <v>4.7602415180922897E-3</v>
      </c>
    </row>
    <row r="45" spans="1:21" x14ac:dyDescent="0.25">
      <c r="A45" s="351">
        <v>44039</v>
      </c>
      <c r="B45" s="350">
        <v>137.66000399999999</v>
      </c>
      <c r="C45" s="271">
        <f t="shared" si="0"/>
        <v>1.1759562130817969E-2</v>
      </c>
      <c r="D45" s="350">
        <v>47.240001999999997</v>
      </c>
      <c r="E45" s="271">
        <f t="shared" si="0"/>
        <v>-2.5778509969952124E-2</v>
      </c>
      <c r="F45" s="350">
        <v>49.57</v>
      </c>
      <c r="G45" s="271">
        <f t="shared" ref="G45:I45" si="111">F45/F44-1</f>
        <v>3.4412549214066779E-3</v>
      </c>
      <c r="H45" s="350">
        <v>37.450001</v>
      </c>
      <c r="I45" s="271">
        <f t="shared" si="111"/>
        <v>2.2944550042487188E-2</v>
      </c>
      <c r="J45" s="350">
        <v>68.989998</v>
      </c>
      <c r="K45" s="271">
        <f t="shared" ref="K45:M45" si="112">J45/J44-1</f>
        <v>4.5136575422246583E-3</v>
      </c>
      <c r="L45" s="350">
        <v>30.59</v>
      </c>
      <c r="M45" s="271">
        <f t="shared" si="112"/>
        <v>8.2399472643375216E-3</v>
      </c>
      <c r="N45" s="350">
        <v>34.380001</v>
      </c>
      <c r="O45" s="271">
        <f t="shared" ref="O45" si="113">N45/N44-1</f>
        <v>-8.6504901960784419E-3</v>
      </c>
      <c r="P45" s="350">
        <v>55.490001999999997</v>
      </c>
      <c r="Q45" s="271">
        <f t="shared" ref="Q45:S45" si="114">P45/P44-1</f>
        <v>1.1299489908866089E-2</v>
      </c>
      <c r="R45" s="350">
        <v>78.480002999999996</v>
      </c>
      <c r="S45" s="271">
        <f t="shared" si="114"/>
        <v>4.8077005131290207E-2</v>
      </c>
      <c r="T45" s="350">
        <v>12465.049805000001</v>
      </c>
      <c r="U45" s="273">
        <f t="shared" ref="U45" si="115">T45/T44-1</f>
        <v>2.6236476076246795E-4</v>
      </c>
    </row>
    <row r="46" spans="1:21" x14ac:dyDescent="0.25">
      <c r="A46" s="351">
        <v>44046</v>
      </c>
      <c r="B46" s="350">
        <v>136.740005</v>
      </c>
      <c r="C46" s="271">
        <f t="shared" si="0"/>
        <v>-6.6831248966111589E-3</v>
      </c>
      <c r="D46" s="350">
        <v>47.799999</v>
      </c>
      <c r="E46" s="271">
        <f t="shared" si="0"/>
        <v>1.1854296703882605E-2</v>
      </c>
      <c r="F46" s="350">
        <v>49.970001000000003</v>
      </c>
      <c r="G46" s="271">
        <f t="shared" ref="G46:I46" si="116">F46/F45-1</f>
        <v>8.0694169860804354E-3</v>
      </c>
      <c r="H46" s="350">
        <v>37.840000000000003</v>
      </c>
      <c r="I46" s="271">
        <f t="shared" si="116"/>
        <v>1.0413858199897152E-2</v>
      </c>
      <c r="J46" s="350">
        <v>69.519997000000004</v>
      </c>
      <c r="K46" s="271">
        <f t="shared" ref="K46:M46" si="117">J46/J45-1</f>
        <v>7.6822585210105654E-3</v>
      </c>
      <c r="L46" s="350">
        <v>29.629999000000002</v>
      </c>
      <c r="M46" s="271">
        <f t="shared" si="117"/>
        <v>-3.1382837528604046E-2</v>
      </c>
      <c r="N46" s="350">
        <v>35.409999999999997</v>
      </c>
      <c r="O46" s="271">
        <f t="shared" ref="O46" si="118">N46/N45-1</f>
        <v>2.9959248692284612E-2</v>
      </c>
      <c r="P46" s="350">
        <v>55.599997999999999</v>
      </c>
      <c r="Q46" s="271">
        <f t="shared" ref="Q46:S46" si="119">P46/P45-1</f>
        <v>1.9822670037028534E-3</v>
      </c>
      <c r="R46" s="350">
        <v>83.190002000000007</v>
      </c>
      <c r="S46" s="271">
        <f t="shared" si="119"/>
        <v>6.0015275483616071E-2</v>
      </c>
      <c r="T46" s="350">
        <v>12765.839844</v>
      </c>
      <c r="U46" s="273">
        <f t="shared" ref="U46" si="120">T46/T45-1</f>
        <v>2.4130672857748614E-2</v>
      </c>
    </row>
    <row r="47" spans="1:21" x14ac:dyDescent="0.25">
      <c r="A47" s="351">
        <v>44053</v>
      </c>
      <c r="B47" s="350">
        <v>137.55999800000001</v>
      </c>
      <c r="C47" s="271">
        <f t="shared" si="0"/>
        <v>5.9967308031034783E-3</v>
      </c>
      <c r="D47" s="350">
        <v>48.450001</v>
      </c>
      <c r="E47" s="271">
        <f t="shared" si="0"/>
        <v>1.3598368485321588E-2</v>
      </c>
      <c r="F47" s="350">
        <v>51.630001</v>
      </c>
      <c r="G47" s="271">
        <f t="shared" ref="G47:I47" si="121">F47/F46-1</f>
        <v>3.3219931294377947E-2</v>
      </c>
      <c r="H47" s="350">
        <v>37.779998999999997</v>
      </c>
      <c r="I47" s="271">
        <f t="shared" si="121"/>
        <v>-1.585650105708436E-3</v>
      </c>
      <c r="J47" s="350">
        <v>69.099997999999999</v>
      </c>
      <c r="K47" s="271">
        <f t="shared" ref="K47:M47" si="122">J47/J46-1</f>
        <v>-6.0414128038585035E-3</v>
      </c>
      <c r="L47" s="350">
        <v>29.889999</v>
      </c>
      <c r="M47" s="271">
        <f t="shared" si="122"/>
        <v>8.7748906100197921E-3</v>
      </c>
      <c r="N47" s="350">
        <v>35.590000000000003</v>
      </c>
      <c r="O47" s="271">
        <f t="shared" ref="O47" si="123">N47/N46-1</f>
        <v>5.0833097994917864E-3</v>
      </c>
      <c r="P47" s="350">
        <v>56.119999</v>
      </c>
      <c r="Q47" s="271">
        <f t="shared" ref="Q47:S47" si="124">P47/P46-1</f>
        <v>9.3525363076452095E-3</v>
      </c>
      <c r="R47" s="350">
        <v>83.32</v>
      </c>
      <c r="S47" s="271">
        <f t="shared" si="124"/>
        <v>1.5626637441357172E-3</v>
      </c>
      <c r="T47" s="350">
        <v>12902.5</v>
      </c>
      <c r="U47" s="273">
        <f t="shared" ref="U47" si="125">T47/T46-1</f>
        <v>1.0705144171476499E-2</v>
      </c>
    </row>
    <row r="48" spans="1:21" x14ac:dyDescent="0.25">
      <c r="A48" s="351">
        <v>44060</v>
      </c>
      <c r="B48" s="350">
        <v>136.46000699999999</v>
      </c>
      <c r="C48" s="271">
        <f t="shared" si="0"/>
        <v>-7.9964453038158245E-3</v>
      </c>
      <c r="D48" s="350">
        <v>47.279998999999997</v>
      </c>
      <c r="E48" s="271">
        <f t="shared" si="0"/>
        <v>-2.4148647592391215E-2</v>
      </c>
      <c r="F48" s="350">
        <v>52.540000999999997</v>
      </c>
      <c r="G48" s="271">
        <f t="shared" ref="G48:I48" si="126">F48/F47-1</f>
        <v>1.7625411241033895E-2</v>
      </c>
      <c r="H48" s="350">
        <v>37.82</v>
      </c>
      <c r="I48" s="271">
        <f t="shared" si="126"/>
        <v>1.0587877463947848E-3</v>
      </c>
      <c r="J48" s="350">
        <v>68.889999000000003</v>
      </c>
      <c r="K48" s="271">
        <f t="shared" ref="K48:M48" si="127">J48/J47-1</f>
        <v>-3.0390594222592382E-3</v>
      </c>
      <c r="L48" s="350">
        <v>28.93</v>
      </c>
      <c r="M48" s="271">
        <f t="shared" si="127"/>
        <v>-3.2117732757368067E-2</v>
      </c>
      <c r="N48" s="350">
        <v>34.560001</v>
      </c>
      <c r="O48" s="271">
        <f t="shared" ref="O48" si="128">N48/N47-1</f>
        <v>-2.8940685585838843E-2</v>
      </c>
      <c r="P48" s="350">
        <v>57.470001000000003</v>
      </c>
      <c r="Q48" s="271">
        <f t="shared" ref="Q48:S48" si="129">P48/P47-1</f>
        <v>2.4055631219808138E-2</v>
      </c>
      <c r="R48" s="350">
        <v>82.730002999999996</v>
      </c>
      <c r="S48" s="271">
        <f t="shared" si="129"/>
        <v>-7.0810969755160658E-3</v>
      </c>
      <c r="T48" s="350">
        <v>12809.070313</v>
      </c>
      <c r="U48" s="273">
        <f t="shared" ref="U48" si="130">T48/T47-1</f>
        <v>-7.2412080604533635E-3</v>
      </c>
    </row>
    <row r="49" spans="1:21" x14ac:dyDescent="0.25">
      <c r="A49" s="351">
        <v>44067</v>
      </c>
      <c r="B49" s="350">
        <v>139.94000199999999</v>
      </c>
      <c r="C49" s="271">
        <f t="shared" si="0"/>
        <v>2.550194065283895E-2</v>
      </c>
      <c r="D49" s="350">
        <v>49.830002</v>
      </c>
      <c r="E49" s="271">
        <f t="shared" si="0"/>
        <v>5.3934074744798721E-2</v>
      </c>
      <c r="F49" s="350">
        <v>52.139999000000003</v>
      </c>
      <c r="G49" s="271">
        <f t="shared" ref="G49:I49" si="131">F49/F48-1</f>
        <v>-7.6132849711973982E-3</v>
      </c>
      <c r="H49" s="350">
        <v>38.159999999999997</v>
      </c>
      <c r="I49" s="271">
        <f t="shared" si="131"/>
        <v>8.9899524061343161E-3</v>
      </c>
      <c r="J49" s="350">
        <v>70.540001000000004</v>
      </c>
      <c r="K49" s="271">
        <f t="shared" ref="K49:M49" si="132">J49/J48-1</f>
        <v>2.3951255972583185E-2</v>
      </c>
      <c r="L49" s="350">
        <v>30.07</v>
      </c>
      <c r="M49" s="271">
        <f t="shared" si="132"/>
        <v>3.9405461458693392E-2</v>
      </c>
      <c r="N49" s="350">
        <v>34.880001</v>
      </c>
      <c r="O49" s="271">
        <f t="shared" ref="O49" si="133">N49/N48-1</f>
        <v>9.2592589913409462E-3</v>
      </c>
      <c r="P49" s="350">
        <v>58.310001</v>
      </c>
      <c r="Q49" s="271">
        <f t="shared" ref="Q49:S49" si="134">P49/P48-1</f>
        <v>1.4616321304744551E-2</v>
      </c>
      <c r="R49" s="350">
        <v>84.540001000000004</v>
      </c>
      <c r="S49" s="271">
        <f t="shared" si="134"/>
        <v>2.1878374644807019E-2</v>
      </c>
      <c r="T49" s="350">
        <v>13170.959961</v>
      </c>
      <c r="U49" s="273">
        <f t="shared" ref="U49" si="135">T49/T48-1</f>
        <v>2.8252608437375537E-2</v>
      </c>
    </row>
    <row r="50" spans="1:21" x14ac:dyDescent="0.25">
      <c r="A50" s="351">
        <v>44074</v>
      </c>
      <c r="B50" s="350">
        <v>138.759995</v>
      </c>
      <c r="C50" s="271">
        <f t="shared" si="0"/>
        <v>-8.4322351231636006E-3</v>
      </c>
      <c r="D50" s="350">
        <v>51.040000999999997</v>
      </c>
      <c r="E50" s="271">
        <f t="shared" si="0"/>
        <v>2.4282539663554426E-2</v>
      </c>
      <c r="F50" s="350">
        <v>47.580002</v>
      </c>
      <c r="G50" s="271">
        <f t="shared" ref="G50:I50" si="136">F50/F49-1</f>
        <v>-8.7456791090464003E-2</v>
      </c>
      <c r="H50" s="350">
        <v>37.130001</v>
      </c>
      <c r="I50" s="271">
        <f t="shared" si="136"/>
        <v>-2.699158805031443E-2</v>
      </c>
      <c r="J50" s="350">
        <v>69.220000999999996</v>
      </c>
      <c r="K50" s="271">
        <f t="shared" ref="K50:M50" si="137">J50/J49-1</f>
        <v>-1.8712786805886283E-2</v>
      </c>
      <c r="L50" s="350">
        <v>29.540001</v>
      </c>
      <c r="M50" s="271">
        <f t="shared" si="137"/>
        <v>-1.7625507149983344E-2</v>
      </c>
      <c r="N50" s="350">
        <v>33.470001000000003</v>
      </c>
      <c r="O50" s="271">
        <f t="shared" ref="O50" si="138">N50/N49-1</f>
        <v>-4.0424310767651517E-2</v>
      </c>
      <c r="P50" s="350">
        <v>57.880001</v>
      </c>
      <c r="Q50" s="271">
        <f t="shared" ref="Q50:S50" si="139">P50/P49-1</f>
        <v>-7.3743781962891664E-3</v>
      </c>
      <c r="R50" s="350">
        <v>82.269997000000004</v>
      </c>
      <c r="S50" s="271">
        <f t="shared" si="139"/>
        <v>-2.6851241697998129E-2</v>
      </c>
      <c r="T50" s="350">
        <v>12966.139648</v>
      </c>
      <c r="U50" s="273">
        <f t="shared" ref="U50" si="140">T50/T49-1</f>
        <v>-1.5550902410035872E-2</v>
      </c>
    </row>
    <row r="51" spans="1:21" x14ac:dyDescent="0.25">
      <c r="A51" s="351">
        <v>44081</v>
      </c>
      <c r="B51" s="350">
        <v>135.80999800000001</v>
      </c>
      <c r="C51" s="271">
        <f t="shared" si="0"/>
        <v>-2.1259708174535485E-2</v>
      </c>
      <c r="D51" s="350">
        <v>51.060001</v>
      </c>
      <c r="E51" s="271">
        <f t="shared" si="0"/>
        <v>3.9184952210336021E-4</v>
      </c>
      <c r="F51" s="350">
        <v>45.5</v>
      </c>
      <c r="G51" s="271">
        <f t="shared" ref="G51:I51" si="141">F51/F50-1</f>
        <v>-4.3715887191429714E-2</v>
      </c>
      <c r="H51" s="350">
        <v>34.470001000000003</v>
      </c>
      <c r="I51" s="271">
        <f t="shared" si="141"/>
        <v>-7.1640181210875675E-2</v>
      </c>
      <c r="J51" s="350">
        <v>65.440002000000007</v>
      </c>
      <c r="K51" s="271">
        <f t="shared" ref="K51:M51" si="142">J51/J50-1</f>
        <v>-5.4608479419120393E-2</v>
      </c>
      <c r="L51" s="350">
        <v>28.83</v>
      </c>
      <c r="M51" s="271">
        <f t="shared" si="142"/>
        <v>-2.4035239538414466E-2</v>
      </c>
      <c r="N51" s="350">
        <v>31.709999</v>
      </c>
      <c r="O51" s="271">
        <f t="shared" ref="O51" si="143">N51/N50-1</f>
        <v>-5.2584462127742482E-2</v>
      </c>
      <c r="P51" s="350">
        <v>57.549999</v>
      </c>
      <c r="Q51" s="271">
        <f t="shared" ref="Q51:S51" si="144">P51/P50-1</f>
        <v>-5.7014857342521097E-3</v>
      </c>
      <c r="R51" s="350">
        <v>81.339995999999999</v>
      </c>
      <c r="S51" s="271">
        <f t="shared" si="144"/>
        <v>-1.1304254696885452E-2</v>
      </c>
      <c r="T51" s="350">
        <v>12773.040039</v>
      </c>
      <c r="U51" s="273">
        <f t="shared" ref="U51" si="145">T51/T50-1</f>
        <v>-1.489260599084985E-2</v>
      </c>
    </row>
    <row r="52" spans="1:21" x14ac:dyDescent="0.25">
      <c r="A52" s="351">
        <v>44088</v>
      </c>
      <c r="B52" s="350">
        <v>131.470001</v>
      </c>
      <c r="C52" s="271">
        <f t="shared" si="0"/>
        <v>-3.1956388070928377E-2</v>
      </c>
      <c r="D52" s="350">
        <v>50.450001</v>
      </c>
      <c r="E52" s="271">
        <f t="shared" si="0"/>
        <v>-1.1946729104059362E-2</v>
      </c>
      <c r="F52" s="350">
        <v>45.439999</v>
      </c>
      <c r="G52" s="271">
        <f t="shared" ref="G52:I52" si="146">F52/F51-1</f>
        <v>-1.3187032967032497E-3</v>
      </c>
      <c r="H52" s="350">
        <v>34.549999</v>
      </c>
      <c r="I52" s="271">
        <f t="shared" si="146"/>
        <v>2.3208006289294758E-3</v>
      </c>
      <c r="J52" s="350">
        <v>62.919998</v>
      </c>
      <c r="K52" s="271">
        <f t="shared" ref="K52:M52" si="147">J52/J51-1</f>
        <v>-3.850861740499345E-2</v>
      </c>
      <c r="L52" s="350">
        <v>28.049999</v>
      </c>
      <c r="M52" s="271">
        <f t="shared" si="147"/>
        <v>-2.7055185570586171E-2</v>
      </c>
      <c r="N52" s="350">
        <v>29.74</v>
      </c>
      <c r="O52" s="271">
        <f t="shared" ref="O52" si="148">N52/N51-1</f>
        <v>-6.2125482880021621E-2</v>
      </c>
      <c r="P52" s="350">
        <v>56.52</v>
      </c>
      <c r="Q52" s="271">
        <f t="shared" ref="Q52:S52" si="149">P52/P51-1</f>
        <v>-1.7897463386576162E-2</v>
      </c>
      <c r="R52" s="350">
        <v>78.989998</v>
      </c>
      <c r="S52" s="271">
        <f t="shared" si="149"/>
        <v>-2.8891051334696383E-2</v>
      </c>
      <c r="T52" s="350">
        <v>12833.570313</v>
      </c>
      <c r="U52" s="273">
        <f t="shared" ref="U52" si="150">T52/T51-1</f>
        <v>4.7389089688267827E-3</v>
      </c>
    </row>
    <row r="53" spans="1:21" x14ac:dyDescent="0.25">
      <c r="A53" s="351">
        <v>44095</v>
      </c>
      <c r="B53" s="350">
        <v>133.550003</v>
      </c>
      <c r="C53" s="271">
        <f t="shared" si="0"/>
        <v>1.5821114962948801E-2</v>
      </c>
      <c r="D53" s="350">
        <v>48.720001000000003</v>
      </c>
      <c r="E53" s="271">
        <f t="shared" si="0"/>
        <v>-3.429137692187556E-2</v>
      </c>
      <c r="F53" s="350">
        <v>47.560001</v>
      </c>
      <c r="G53" s="271">
        <f t="shared" ref="G53:I53" si="151">F53/F52-1</f>
        <v>4.6654974618287381E-2</v>
      </c>
      <c r="H53" s="350">
        <v>35.119999</v>
      </c>
      <c r="I53" s="271">
        <f t="shared" si="151"/>
        <v>1.6497829710501621E-2</v>
      </c>
      <c r="J53" s="350">
        <v>63.080002</v>
      </c>
      <c r="K53" s="271">
        <f t="shared" ref="K53:M53" si="152">J53/J52-1</f>
        <v>2.5429752874435163E-3</v>
      </c>
      <c r="L53" s="350">
        <v>27.879999000000002</v>
      </c>
      <c r="M53" s="271">
        <f t="shared" si="152"/>
        <v>-6.0606062766703772E-3</v>
      </c>
      <c r="N53" s="350">
        <v>29.129999000000002</v>
      </c>
      <c r="O53" s="271">
        <f t="shared" ref="O53" si="153">N53/N52-1</f>
        <v>-2.0511129791526472E-2</v>
      </c>
      <c r="P53" s="350">
        <v>56.16</v>
      </c>
      <c r="Q53" s="271">
        <f t="shared" ref="Q53:S53" si="154">P53/P52-1</f>
        <v>-6.3694267515924663E-3</v>
      </c>
      <c r="R53" s="350">
        <v>78.790001000000004</v>
      </c>
      <c r="S53" s="271">
        <f t="shared" si="154"/>
        <v>-2.5319281562711238E-3</v>
      </c>
      <c r="T53" s="350">
        <v>12485.379883</v>
      </c>
      <c r="U53" s="273">
        <f t="shared" ref="U53" si="155">T53/T52-1</f>
        <v>-2.7131220814467727E-2</v>
      </c>
    </row>
    <row r="54" spans="1:21" x14ac:dyDescent="0.25">
      <c r="A54" s="351">
        <v>44102</v>
      </c>
      <c r="B54" s="350">
        <v>138.05999800000001</v>
      </c>
      <c r="C54" s="271">
        <f t="shared" si="0"/>
        <v>3.3770085351476853E-2</v>
      </c>
      <c r="D54" s="350">
        <v>49.360000999999997</v>
      </c>
      <c r="E54" s="271">
        <f t="shared" si="0"/>
        <v>1.3136288728729628E-2</v>
      </c>
      <c r="F54" s="350">
        <v>48.810001</v>
      </c>
      <c r="G54" s="271">
        <f t="shared" ref="G54:I54" si="156">F54/F53-1</f>
        <v>2.628258985949139E-2</v>
      </c>
      <c r="H54" s="350">
        <v>36.880001</v>
      </c>
      <c r="I54" s="271">
        <f t="shared" si="156"/>
        <v>5.011395359094406E-2</v>
      </c>
      <c r="J54" s="350">
        <v>64.709998999999996</v>
      </c>
      <c r="K54" s="271">
        <f t="shared" ref="K54:M54" si="157">J54/J53-1</f>
        <v>2.5840154538993243E-2</v>
      </c>
      <c r="L54" s="350">
        <v>28.09</v>
      </c>
      <c r="M54" s="271">
        <f t="shared" si="157"/>
        <v>7.5323173433399226E-3</v>
      </c>
      <c r="N54" s="350">
        <v>30.469999000000001</v>
      </c>
      <c r="O54" s="271">
        <f t="shared" ref="O54" si="158">N54/N53-1</f>
        <v>4.600068815656333E-2</v>
      </c>
      <c r="P54" s="350">
        <v>56.860000999999997</v>
      </c>
      <c r="Q54" s="271">
        <f t="shared" ref="Q54:S54" si="159">P54/P53-1</f>
        <v>1.2464405270655288E-2</v>
      </c>
      <c r="R54" s="350">
        <v>79.550003000000004</v>
      </c>
      <c r="S54" s="271">
        <f t="shared" si="159"/>
        <v>9.6459194105100732E-3</v>
      </c>
      <c r="T54" s="350">
        <v>12749.790039</v>
      </c>
      <c r="U54" s="273">
        <f t="shared" ref="U54" si="160">T54/T53-1</f>
        <v>2.117758197810371E-2</v>
      </c>
    </row>
    <row r="55" spans="1:21" x14ac:dyDescent="0.25">
      <c r="A55" s="351">
        <v>44109</v>
      </c>
      <c r="B55" s="350">
        <v>138.44000199999999</v>
      </c>
      <c r="C55" s="271">
        <f t="shared" si="0"/>
        <v>2.7524554940234758E-3</v>
      </c>
      <c r="D55" s="350">
        <v>50.810001</v>
      </c>
      <c r="E55" s="271">
        <f t="shared" si="0"/>
        <v>2.9376012370826432E-2</v>
      </c>
      <c r="F55" s="350">
        <v>48.470001000000003</v>
      </c>
      <c r="G55" s="271">
        <f t="shared" ref="G55:I55" si="161">F55/F54-1</f>
        <v>-6.9657855569393856E-3</v>
      </c>
      <c r="H55" s="350">
        <v>37.32</v>
      </c>
      <c r="I55" s="271">
        <f t="shared" si="161"/>
        <v>1.1930558244833023E-2</v>
      </c>
      <c r="J55" s="350">
        <v>65.849997999999999</v>
      </c>
      <c r="K55" s="271">
        <f t="shared" ref="K55:M55" si="162">J55/J54-1</f>
        <v>1.7617045551183041E-2</v>
      </c>
      <c r="L55" s="350">
        <v>29.25</v>
      </c>
      <c r="M55" s="271">
        <f t="shared" si="162"/>
        <v>4.129583481666077E-2</v>
      </c>
      <c r="N55" s="350">
        <v>31.110001</v>
      </c>
      <c r="O55" s="271">
        <f t="shared" ref="O55" si="163">N55/N54-1</f>
        <v>2.100433281930858E-2</v>
      </c>
      <c r="P55" s="350">
        <v>57.299999</v>
      </c>
      <c r="Q55" s="271">
        <f t="shared" ref="Q55:S55" si="164">P55/P54-1</f>
        <v>7.7382692976035727E-3</v>
      </c>
      <c r="R55" s="350">
        <v>80.949996999999996</v>
      </c>
      <c r="S55" s="271">
        <f t="shared" si="164"/>
        <v>1.7598918255226081E-2</v>
      </c>
      <c r="T55" s="350">
        <v>13252.620117</v>
      </c>
      <c r="U55" s="273">
        <f t="shared" ref="U55" si="165">T55/T54-1</f>
        <v>3.9438302627879063E-2</v>
      </c>
    </row>
    <row r="56" spans="1:21" x14ac:dyDescent="0.25">
      <c r="A56" s="351">
        <v>44116</v>
      </c>
      <c r="B56" s="350">
        <v>141.729996</v>
      </c>
      <c r="C56" s="271">
        <f t="shared" si="0"/>
        <v>2.3764764175602915E-2</v>
      </c>
      <c r="D56" s="350">
        <v>50.029998999999997</v>
      </c>
      <c r="E56" s="271">
        <f t="shared" si="0"/>
        <v>-1.5351347857678665E-2</v>
      </c>
      <c r="F56" s="350">
        <v>48.939999</v>
      </c>
      <c r="G56" s="271">
        <f t="shared" ref="G56:I56" si="166">F56/F55-1</f>
        <v>9.6966781576917072E-3</v>
      </c>
      <c r="H56" s="350">
        <v>37.909999999999997</v>
      </c>
      <c r="I56" s="271">
        <f t="shared" si="166"/>
        <v>1.5809217577706258E-2</v>
      </c>
      <c r="J56" s="350">
        <v>67.099997999999999</v>
      </c>
      <c r="K56" s="271">
        <f t="shared" ref="K56:M56" si="167">J56/J55-1</f>
        <v>1.898253664335714E-2</v>
      </c>
      <c r="L56" s="350">
        <v>29.76</v>
      </c>
      <c r="M56" s="271">
        <f t="shared" si="167"/>
        <v>1.7435897435897463E-2</v>
      </c>
      <c r="N56" s="350">
        <v>32.159999999999997</v>
      </c>
      <c r="O56" s="271">
        <f t="shared" ref="O56" si="168">N56/N55-1</f>
        <v>3.3751172171289756E-2</v>
      </c>
      <c r="P56" s="350">
        <v>57.970001000000003</v>
      </c>
      <c r="Q56" s="271">
        <f t="shared" ref="Q56:S56" si="169">P56/P55-1</f>
        <v>1.1692879785216048E-2</v>
      </c>
      <c r="R56" s="350">
        <v>80.760002</v>
      </c>
      <c r="S56" s="271">
        <f t="shared" si="169"/>
        <v>-2.3470661771611834E-3</v>
      </c>
      <c r="T56" s="350">
        <v>13169.320313</v>
      </c>
      <c r="U56" s="273">
        <f t="shared" ref="U56" si="170">T56/T55-1</f>
        <v>-6.285534729328468E-3</v>
      </c>
    </row>
    <row r="57" spans="1:21" x14ac:dyDescent="0.25">
      <c r="A57" s="351">
        <v>44123</v>
      </c>
      <c r="B57" s="350">
        <v>139.55999800000001</v>
      </c>
      <c r="C57" s="271">
        <f t="shared" si="0"/>
        <v>-1.5310788550364385E-2</v>
      </c>
      <c r="D57" s="350">
        <v>50.52</v>
      </c>
      <c r="E57" s="271">
        <f t="shared" si="0"/>
        <v>9.7941437096571438E-3</v>
      </c>
      <c r="F57" s="350">
        <v>48.549999</v>
      </c>
      <c r="G57" s="271">
        <f t="shared" ref="G57:I57" si="171">F57/F56-1</f>
        <v>-7.9689417239260374E-3</v>
      </c>
      <c r="H57" s="350">
        <v>38</v>
      </c>
      <c r="I57" s="271">
        <f t="shared" si="171"/>
        <v>2.3740437879189447E-3</v>
      </c>
      <c r="J57" s="350">
        <v>66.760002</v>
      </c>
      <c r="K57" s="271">
        <f t="shared" ref="K57:M57" si="172">J57/J56-1</f>
        <v>-5.0670046219672971E-3</v>
      </c>
      <c r="L57" s="350">
        <v>29.209999</v>
      </c>
      <c r="M57" s="271">
        <f t="shared" si="172"/>
        <v>-1.8481216397849498E-2</v>
      </c>
      <c r="N57" s="350">
        <v>31.370000999999998</v>
      </c>
      <c r="O57" s="271">
        <f t="shared" ref="O57" si="173">N57/N56-1</f>
        <v>-2.4564645522388018E-2</v>
      </c>
      <c r="P57" s="350">
        <v>56.610000999999997</v>
      </c>
      <c r="Q57" s="271">
        <f t="shared" ref="Q57:S57" si="174">P57/P56-1</f>
        <v>-2.3460410152485678E-2</v>
      </c>
      <c r="R57" s="350">
        <v>80.389999000000003</v>
      </c>
      <c r="S57" s="271">
        <f t="shared" si="174"/>
        <v>-4.5815130118496139E-3</v>
      </c>
      <c r="T57" s="350">
        <v>13199.860352</v>
      </c>
      <c r="U57" s="273">
        <f t="shared" ref="U57" si="175">T57/T56-1</f>
        <v>2.3190292493571185E-3</v>
      </c>
    </row>
    <row r="58" spans="1:21" x14ac:dyDescent="0.25">
      <c r="A58" s="351">
        <v>44130</v>
      </c>
      <c r="B58" s="350">
        <v>133.28999300000001</v>
      </c>
      <c r="C58" s="271">
        <f t="shared" si="0"/>
        <v>-4.4926949626353463E-2</v>
      </c>
      <c r="D58" s="350">
        <v>48.060001</v>
      </c>
      <c r="E58" s="271">
        <f t="shared" si="0"/>
        <v>-4.8693566904196461E-2</v>
      </c>
      <c r="F58" s="350">
        <v>46.669998</v>
      </c>
      <c r="G58" s="271">
        <f t="shared" ref="G58:I58" si="176">F58/F57-1</f>
        <v>-3.8722987409330334E-2</v>
      </c>
      <c r="H58" s="350">
        <v>35.090000000000003</v>
      </c>
      <c r="I58" s="271">
        <f t="shared" si="176"/>
        <v>-7.6578947368420969E-2</v>
      </c>
      <c r="J58" s="350">
        <v>62.889999000000003</v>
      </c>
      <c r="K58" s="271">
        <f t="shared" ref="K58:M58" si="177">J58/J57-1</f>
        <v>-5.7968886819386167E-2</v>
      </c>
      <c r="L58" s="350">
        <v>26.9</v>
      </c>
      <c r="M58" s="271">
        <f t="shared" si="177"/>
        <v>-7.9082474463624597E-2</v>
      </c>
      <c r="N58" s="350">
        <v>30.59</v>
      </c>
      <c r="O58" s="271">
        <f t="shared" ref="O58" si="178">N58/N57-1</f>
        <v>-2.4864551327237749E-2</v>
      </c>
      <c r="P58" s="350">
        <v>53.119999</v>
      </c>
      <c r="Q58" s="271">
        <f t="shared" ref="Q58:S58" si="179">P58/P57-1</f>
        <v>-6.1649919419715205E-2</v>
      </c>
      <c r="R58" s="350">
        <v>76.569999999999993</v>
      </c>
      <c r="S58" s="271">
        <f t="shared" si="179"/>
        <v>-4.7518336204980027E-2</v>
      </c>
      <c r="T58" s="350">
        <v>12429.330078000001</v>
      </c>
      <c r="U58" s="273">
        <f t="shared" ref="U58" si="180">T58/T57-1</f>
        <v>-5.8374123168905334E-2</v>
      </c>
    </row>
    <row r="59" spans="1:21" x14ac:dyDescent="0.25">
      <c r="A59" s="351">
        <v>44137</v>
      </c>
      <c r="B59" s="350">
        <v>138.38000500000001</v>
      </c>
      <c r="C59" s="271">
        <f t="shared" si="0"/>
        <v>3.8187502943300533E-2</v>
      </c>
      <c r="D59" s="350">
        <v>49.450001</v>
      </c>
      <c r="E59" s="271">
        <f t="shared" si="0"/>
        <v>2.8922180005780618E-2</v>
      </c>
      <c r="F59" s="350">
        <v>47.990001999999997</v>
      </c>
      <c r="G59" s="271">
        <f t="shared" ref="G59:I59" si="181">F59/F58-1</f>
        <v>2.8283780942094605E-2</v>
      </c>
      <c r="H59" s="350">
        <v>36.07</v>
      </c>
      <c r="I59" s="271">
        <f t="shared" si="181"/>
        <v>2.7928184667996403E-2</v>
      </c>
      <c r="J59" s="350">
        <v>64.349997999999999</v>
      </c>
      <c r="K59" s="271">
        <f t="shared" ref="K59:M59" si="182">J59/J58-1</f>
        <v>2.3215122010098899E-2</v>
      </c>
      <c r="L59" s="350">
        <v>28.66</v>
      </c>
      <c r="M59" s="271">
        <f t="shared" si="182"/>
        <v>6.5427509293680464E-2</v>
      </c>
      <c r="N59" s="350">
        <v>31.540001</v>
      </c>
      <c r="O59" s="271">
        <f t="shared" ref="O59" si="183">N59/N58-1</f>
        <v>3.1055933311539663E-2</v>
      </c>
      <c r="P59" s="350">
        <v>55.84</v>
      </c>
      <c r="Q59" s="271">
        <f t="shared" ref="Q59:S59" si="184">P59/P58-1</f>
        <v>5.12048390663562E-2</v>
      </c>
      <c r="R59" s="350">
        <v>83.260002</v>
      </c>
      <c r="S59" s="271">
        <f t="shared" si="184"/>
        <v>8.7371059161551523E-2</v>
      </c>
      <c r="T59" s="350">
        <v>13218.669921999999</v>
      </c>
      <c r="U59" s="273">
        <f t="shared" ref="U59" si="185">T59/T58-1</f>
        <v>6.3506225922596915E-2</v>
      </c>
    </row>
    <row r="60" spans="1:21" x14ac:dyDescent="0.25">
      <c r="A60" s="351">
        <v>44144</v>
      </c>
      <c r="B60" s="350">
        <v>144.71000699999999</v>
      </c>
      <c r="C60" s="271">
        <f t="shared" si="0"/>
        <v>4.5743617367263179E-2</v>
      </c>
      <c r="D60" s="350">
        <v>53.450001</v>
      </c>
      <c r="E60" s="271">
        <f t="shared" si="0"/>
        <v>8.088978602851804E-2</v>
      </c>
      <c r="F60" s="350">
        <v>49.189999</v>
      </c>
      <c r="G60" s="271">
        <f t="shared" ref="G60:I60" si="186">F60/F59-1</f>
        <v>2.5005145863507217E-2</v>
      </c>
      <c r="H60" s="350">
        <v>36.029998999999997</v>
      </c>
      <c r="I60" s="271">
        <f t="shared" si="186"/>
        <v>-1.1089825339618553E-3</v>
      </c>
      <c r="J60" s="350">
        <v>65.760002</v>
      </c>
      <c r="K60" s="271">
        <f t="shared" ref="K60:M60" si="187">J60/J59-1</f>
        <v>2.1911484752493715E-2</v>
      </c>
      <c r="L60" s="350">
        <v>29.299999</v>
      </c>
      <c r="M60" s="271">
        <f t="shared" si="187"/>
        <v>2.2330739706908576E-2</v>
      </c>
      <c r="N60" s="350">
        <v>31.610001</v>
      </c>
      <c r="O60" s="271">
        <f t="shared" ref="O60" si="188">N60/N59-1</f>
        <v>2.2194038611476063E-3</v>
      </c>
      <c r="P60" s="350">
        <v>58.060001</v>
      </c>
      <c r="Q60" s="271">
        <f t="shared" ref="Q60:S60" si="189">P60/P59-1</f>
        <v>3.9756464899713295E-2</v>
      </c>
      <c r="R60" s="350">
        <v>84.019997000000004</v>
      </c>
      <c r="S60" s="271">
        <f t="shared" si="189"/>
        <v>9.1279723966377624E-3</v>
      </c>
      <c r="T60" s="350">
        <v>13761.320313</v>
      </c>
      <c r="U60" s="273">
        <f t="shared" ref="U60" si="190">T60/T59-1</f>
        <v>4.1051814910429085E-2</v>
      </c>
    </row>
    <row r="61" spans="1:21" x14ac:dyDescent="0.25">
      <c r="A61" s="351">
        <v>44151</v>
      </c>
      <c r="B61" s="350">
        <v>143.41999799999999</v>
      </c>
      <c r="C61" s="271">
        <f t="shared" si="0"/>
        <v>-8.9144422472455798E-3</v>
      </c>
      <c r="D61" s="350">
        <v>52.669998</v>
      </c>
      <c r="E61" s="271">
        <f t="shared" si="0"/>
        <v>-1.4593133496854427E-2</v>
      </c>
      <c r="F61" s="350">
        <v>48.98</v>
      </c>
      <c r="G61" s="271">
        <f t="shared" ref="G61:I61" si="191">F61/F60-1</f>
        <v>-4.2691401559086239E-3</v>
      </c>
      <c r="H61" s="350">
        <v>35.860000999999997</v>
      </c>
      <c r="I61" s="271">
        <f t="shared" si="191"/>
        <v>-4.7182349352826725E-3</v>
      </c>
      <c r="J61" s="350">
        <v>65.010002</v>
      </c>
      <c r="K61" s="271">
        <f t="shared" ref="K61:M61" si="192">J61/J60-1</f>
        <v>-1.1405109142180403E-2</v>
      </c>
      <c r="L61" s="350">
        <v>29.84</v>
      </c>
      <c r="M61" s="271">
        <f t="shared" si="192"/>
        <v>1.8430068888398266E-2</v>
      </c>
      <c r="N61" s="350">
        <v>32.259998000000003</v>
      </c>
      <c r="O61" s="271">
        <f t="shared" ref="O61" si="193">N61/N60-1</f>
        <v>2.0563017381745707E-2</v>
      </c>
      <c r="P61" s="350">
        <v>57.139999000000003</v>
      </c>
      <c r="Q61" s="271">
        <f t="shared" ref="Q61:S61" si="194">P61/P60-1</f>
        <v>-1.5845711060184065E-2</v>
      </c>
      <c r="R61" s="350">
        <v>83.519997000000004</v>
      </c>
      <c r="S61" s="271">
        <f t="shared" si="194"/>
        <v>-5.9509642686609299E-3</v>
      </c>
      <c r="T61" s="350">
        <v>13827</v>
      </c>
      <c r="U61" s="273">
        <f t="shared" ref="U61" si="195">T61/T60-1</f>
        <v>4.7727751048678435E-3</v>
      </c>
    </row>
    <row r="62" spans="1:21" x14ac:dyDescent="0.25">
      <c r="A62" s="351">
        <v>44158</v>
      </c>
      <c r="B62" s="350">
        <v>144.60000600000001</v>
      </c>
      <c r="C62" s="271">
        <f t="shared" si="0"/>
        <v>8.2276392166733547E-3</v>
      </c>
      <c r="D62" s="350">
        <v>52.700001</v>
      </c>
      <c r="E62" s="271">
        <f t="shared" si="0"/>
        <v>5.6964118358227012E-4</v>
      </c>
      <c r="F62" s="350">
        <v>48.98</v>
      </c>
      <c r="G62" s="271">
        <f t="shared" ref="G62:I62" si="196">F62/F61-1</f>
        <v>0</v>
      </c>
      <c r="H62" s="350">
        <v>35.939999</v>
      </c>
      <c r="I62" s="271">
        <f t="shared" si="196"/>
        <v>2.2308421017613878E-3</v>
      </c>
      <c r="J62" s="350">
        <v>63.48</v>
      </c>
      <c r="K62" s="271">
        <f t="shared" ref="K62:M62" si="197">J62/J61-1</f>
        <v>-2.3534870834183375E-2</v>
      </c>
      <c r="L62" s="350">
        <v>30.76</v>
      </c>
      <c r="M62" s="271">
        <f t="shared" si="197"/>
        <v>3.0831099195710587E-2</v>
      </c>
      <c r="N62" s="350">
        <v>32.840000000000003</v>
      </c>
      <c r="O62" s="271">
        <f t="shared" ref="O62" si="198">N62/N61-1</f>
        <v>1.797898437563461E-2</v>
      </c>
      <c r="P62" s="350">
        <v>57.459999000000003</v>
      </c>
      <c r="Q62" s="271">
        <f t="shared" ref="Q62:S62" si="199">P62/P61-1</f>
        <v>5.600280112010525E-3</v>
      </c>
      <c r="R62" s="350">
        <v>84.150002000000001</v>
      </c>
      <c r="S62" s="271">
        <f t="shared" si="199"/>
        <v>7.5431635851230805E-3</v>
      </c>
      <c r="T62" s="350">
        <v>14198.5</v>
      </c>
      <c r="U62" s="273">
        <f t="shared" ref="U62" si="200">T62/T61-1</f>
        <v>2.6867722571779939E-2</v>
      </c>
    </row>
    <row r="63" spans="1:21" x14ac:dyDescent="0.25">
      <c r="A63" s="351">
        <v>44165</v>
      </c>
      <c r="B63" s="350">
        <v>145.85000600000001</v>
      </c>
      <c r="C63" s="271">
        <f t="shared" si="0"/>
        <v>8.6445362941409698E-3</v>
      </c>
      <c r="D63" s="350">
        <v>53.849997999999999</v>
      </c>
      <c r="E63" s="271">
        <f t="shared" si="0"/>
        <v>2.1821574538489985E-2</v>
      </c>
      <c r="F63" s="350">
        <v>48.5</v>
      </c>
      <c r="G63" s="271">
        <f t="shared" ref="G63:I63" si="201">F63/F62-1</f>
        <v>-9.7999183340138352E-3</v>
      </c>
      <c r="H63" s="350">
        <v>35.490001999999997</v>
      </c>
      <c r="I63" s="271">
        <f t="shared" si="201"/>
        <v>-1.2520784989448752E-2</v>
      </c>
      <c r="J63" s="350">
        <v>62.369999</v>
      </c>
      <c r="K63" s="271">
        <f t="shared" ref="K63:M63" si="202">J63/J62-1</f>
        <v>-1.7485838059231207E-2</v>
      </c>
      <c r="L63" s="350">
        <v>30.530000999999999</v>
      </c>
      <c r="M63" s="271">
        <f t="shared" si="202"/>
        <v>-7.4772106631990631E-3</v>
      </c>
      <c r="N63" s="350">
        <v>34.119999</v>
      </c>
      <c r="O63" s="271">
        <f t="shared" ref="O63" si="203">N63/N62-1</f>
        <v>3.8976827040194673E-2</v>
      </c>
      <c r="P63" s="350">
        <v>59.029998999999997</v>
      </c>
      <c r="Q63" s="271">
        <f t="shared" ref="Q63:S63" si="204">P63/P62-1</f>
        <v>2.7323355853173581E-2</v>
      </c>
      <c r="R63" s="350">
        <v>87.440002000000007</v>
      </c>
      <c r="S63" s="271">
        <f t="shared" si="204"/>
        <v>3.9096849932338751E-2</v>
      </c>
      <c r="T63" s="350">
        <v>14417.330078000001</v>
      </c>
      <c r="U63" s="273">
        <f t="shared" ref="U63" si="205">T63/T62-1</f>
        <v>1.5412196922210075E-2</v>
      </c>
    </row>
    <row r="64" spans="1:21" x14ac:dyDescent="0.25">
      <c r="A64" s="351">
        <v>44172</v>
      </c>
      <c r="B64" s="350">
        <v>144.970001</v>
      </c>
      <c r="C64" s="271">
        <f t="shared" si="0"/>
        <v>-6.0336301940228099E-3</v>
      </c>
      <c r="D64" s="350">
        <v>53.349997999999999</v>
      </c>
      <c r="E64" s="271">
        <f t="shared" si="0"/>
        <v>-9.2850514126295858E-3</v>
      </c>
      <c r="F64" s="350">
        <v>47.209999000000003</v>
      </c>
      <c r="G64" s="271">
        <f t="shared" ref="G64:I64" si="206">F64/F63-1</f>
        <v>-2.6597958762886509E-2</v>
      </c>
      <c r="H64" s="350">
        <v>35.349997999999999</v>
      </c>
      <c r="I64" s="271">
        <f t="shared" si="206"/>
        <v>-3.9448856610376781E-3</v>
      </c>
      <c r="J64" s="350">
        <v>62.110000999999997</v>
      </c>
      <c r="K64" s="271">
        <f t="shared" ref="K64:M64" si="207">J64/J63-1</f>
        <v>-4.168638835476024E-3</v>
      </c>
      <c r="L64" s="350">
        <v>30.360001</v>
      </c>
      <c r="M64" s="271">
        <f t="shared" si="207"/>
        <v>-5.5682932994335355E-3</v>
      </c>
      <c r="N64" s="350">
        <v>34.07</v>
      </c>
      <c r="O64" s="271">
        <f t="shared" ref="O64" si="208">N64/N63-1</f>
        <v>-1.4653869128190555E-3</v>
      </c>
      <c r="P64" s="350">
        <v>57.400002000000001</v>
      </c>
      <c r="Q64" s="271">
        <f t="shared" ref="Q64:S64" si="209">P64/P63-1</f>
        <v>-2.761302774204677E-2</v>
      </c>
      <c r="R64" s="350">
        <v>88.019997000000004</v>
      </c>
      <c r="S64" s="271">
        <f t="shared" si="209"/>
        <v>6.6330625198292026E-3</v>
      </c>
      <c r="T64" s="350">
        <v>14355.290039</v>
      </c>
      <c r="U64" s="273">
        <f t="shared" ref="U64" si="210">T64/T63-1</f>
        <v>-4.3031572880939395E-3</v>
      </c>
    </row>
    <row r="65" spans="1:21" x14ac:dyDescent="0.25">
      <c r="A65" s="351">
        <v>44179</v>
      </c>
      <c r="B65" s="350">
        <v>146.929993</v>
      </c>
      <c r="C65" s="271">
        <f t="shared" si="0"/>
        <v>1.3519983351589993E-2</v>
      </c>
      <c r="D65" s="350">
        <v>53.740001999999997</v>
      </c>
      <c r="E65" s="271">
        <f t="shared" si="0"/>
        <v>7.3102908082582907E-3</v>
      </c>
      <c r="F65" s="350">
        <v>47.57</v>
      </c>
      <c r="G65" s="271">
        <f t="shared" ref="G65:I65" si="211">F65/F64-1</f>
        <v>7.6255244148595303E-3</v>
      </c>
      <c r="H65" s="350">
        <v>36.119999</v>
      </c>
      <c r="I65" s="271">
        <f t="shared" si="211"/>
        <v>2.1782207738738846E-2</v>
      </c>
      <c r="J65" s="350">
        <v>62.080002</v>
      </c>
      <c r="K65" s="271">
        <f t="shared" ref="K65:M65" si="212">J65/J64-1</f>
        <v>-4.8299789916272928E-4</v>
      </c>
      <c r="L65" s="350">
        <v>30.93</v>
      </c>
      <c r="M65" s="271">
        <f t="shared" si="212"/>
        <v>1.8774670000834215E-2</v>
      </c>
      <c r="N65" s="350">
        <v>34.770000000000003</v>
      </c>
      <c r="O65" s="271">
        <f t="shared" ref="O65" si="213">N65/N64-1</f>
        <v>2.0545934840035196E-2</v>
      </c>
      <c r="P65" s="350">
        <v>58.32</v>
      </c>
      <c r="Q65" s="271">
        <f t="shared" ref="Q65:S65" si="214">P65/P64-1</f>
        <v>1.6027839162793045E-2</v>
      </c>
      <c r="R65" s="350">
        <v>90.129997000000003</v>
      </c>
      <c r="S65" s="271">
        <f t="shared" si="214"/>
        <v>2.3971825402357094E-2</v>
      </c>
      <c r="T65" s="350">
        <v>14467.820313</v>
      </c>
      <c r="U65" s="273">
        <f t="shared" ref="U65" si="215">T65/T64-1</f>
        <v>7.8389411634514072E-3</v>
      </c>
    </row>
    <row r="66" spans="1:21" x14ac:dyDescent="0.25">
      <c r="A66" s="351">
        <v>44186</v>
      </c>
      <c r="B66" s="350">
        <v>145.05999800000001</v>
      </c>
      <c r="C66" s="271">
        <f t="shared" si="0"/>
        <v>-1.2727115559040381E-2</v>
      </c>
      <c r="D66" s="350">
        <v>53.439999</v>
      </c>
      <c r="E66" s="271">
        <f t="shared" si="0"/>
        <v>-5.5824895577785139E-3</v>
      </c>
      <c r="F66" s="350">
        <v>48.549999</v>
      </c>
      <c r="G66" s="271">
        <f t="shared" ref="G66:I66" si="216">F66/F65-1</f>
        <v>2.0601198234181162E-2</v>
      </c>
      <c r="H66" s="350">
        <v>36.380001</v>
      </c>
      <c r="I66" s="271">
        <f t="shared" si="216"/>
        <v>7.1982836987343202E-3</v>
      </c>
      <c r="J66" s="350">
        <v>61.779998999999997</v>
      </c>
      <c r="K66" s="271">
        <f t="shared" ref="K66:M66" si="217">J66/J65-1</f>
        <v>-4.8325223958595176E-3</v>
      </c>
      <c r="L66" s="350">
        <v>31.879999000000002</v>
      </c>
      <c r="M66" s="271">
        <f t="shared" si="217"/>
        <v>3.0714484319431135E-2</v>
      </c>
      <c r="N66" s="350">
        <v>34.979999999999997</v>
      </c>
      <c r="O66" s="271">
        <f t="shared" ref="O66" si="218">N66/N65-1</f>
        <v>6.0396893874028468E-3</v>
      </c>
      <c r="P66" s="350">
        <v>57.849997999999999</v>
      </c>
      <c r="Q66" s="271">
        <f t="shared" ref="Q66:S66" si="219">P66/P65-1</f>
        <v>-8.0590192043895614E-3</v>
      </c>
      <c r="R66" s="350">
        <v>89.809997999999993</v>
      </c>
      <c r="S66" s="271">
        <f t="shared" si="219"/>
        <v>-3.5504161838595394E-3</v>
      </c>
      <c r="T66" s="350">
        <v>14382.5</v>
      </c>
      <c r="U66" s="273">
        <f t="shared" ref="U66" si="220">T66/T65-1</f>
        <v>-5.8972472116850527E-3</v>
      </c>
    </row>
    <row r="67" spans="1:21" x14ac:dyDescent="0.25">
      <c r="A67" s="351">
        <v>44193</v>
      </c>
      <c r="B67" s="350">
        <v>148.300003</v>
      </c>
      <c r="C67" s="271">
        <f t="shared" si="0"/>
        <v>2.2335620051504357E-2</v>
      </c>
      <c r="D67" s="350">
        <v>54.84</v>
      </c>
      <c r="E67" s="271">
        <f t="shared" si="0"/>
        <v>2.6197623993219121E-2</v>
      </c>
      <c r="F67" s="350">
        <v>48.349997999999999</v>
      </c>
      <c r="G67" s="271">
        <f t="shared" ref="G67:I67" si="221">F67/F66-1</f>
        <v>-4.1194851517916131E-3</v>
      </c>
      <c r="H67" s="350">
        <v>36.259998000000003</v>
      </c>
      <c r="I67" s="271">
        <f t="shared" si="221"/>
        <v>-3.2985980401704085E-3</v>
      </c>
      <c r="J67" s="350">
        <v>62.23</v>
      </c>
      <c r="K67" s="271">
        <f t="shared" ref="K67:M67" si="222">J67/J66-1</f>
        <v>7.2839269550650787E-3</v>
      </c>
      <c r="L67" s="350">
        <v>32</v>
      </c>
      <c r="M67" s="271">
        <f t="shared" si="222"/>
        <v>3.764146918574296E-3</v>
      </c>
      <c r="N67" s="350">
        <v>34.659999999999997</v>
      </c>
      <c r="O67" s="271">
        <f t="shared" ref="O67" si="223">N67/N66-1</f>
        <v>-9.1480846197827814E-3</v>
      </c>
      <c r="P67" s="350">
        <v>58.470001000000003</v>
      </c>
      <c r="Q67" s="271">
        <f t="shared" ref="Q67:S67" si="224">P67/P66-1</f>
        <v>1.0717424743904136E-2</v>
      </c>
      <c r="R67" s="350">
        <v>92.480002999999996</v>
      </c>
      <c r="S67" s="271">
        <f t="shared" si="224"/>
        <v>2.9729485129261546E-2</v>
      </c>
      <c r="T67" s="350">
        <v>14524.799805000001</v>
      </c>
      <c r="U67" s="273">
        <f t="shared" ref="U67" si="225">T67/T66-1</f>
        <v>9.8939548061880433E-3</v>
      </c>
    </row>
    <row r="68" spans="1:21" x14ac:dyDescent="0.25">
      <c r="A68" s="351">
        <v>44200</v>
      </c>
      <c r="B68" s="350">
        <v>144.179993</v>
      </c>
      <c r="C68" s="271">
        <f t="shared" si="0"/>
        <v>-2.7781590806845835E-2</v>
      </c>
      <c r="D68" s="350">
        <v>51.080002</v>
      </c>
      <c r="E68" s="271">
        <f t="shared" si="0"/>
        <v>-6.8563056163384428E-2</v>
      </c>
      <c r="F68" s="350">
        <v>46.860000999999997</v>
      </c>
      <c r="G68" s="271">
        <f t="shared" ref="G68:I68" si="226">F68/F67-1</f>
        <v>-3.0816898896252387E-2</v>
      </c>
      <c r="H68" s="350">
        <v>34.07</v>
      </c>
      <c r="I68" s="271">
        <f t="shared" si="226"/>
        <v>-6.039707999983901E-2</v>
      </c>
      <c r="J68" s="350">
        <v>60.200001</v>
      </c>
      <c r="K68" s="271">
        <f t="shared" ref="K68:M68" si="227">J68/J67-1</f>
        <v>-3.2620906315281917E-2</v>
      </c>
      <c r="L68" s="350">
        <v>32</v>
      </c>
      <c r="M68" s="271">
        <f t="shared" si="227"/>
        <v>0</v>
      </c>
      <c r="N68" s="350">
        <v>33.619999</v>
      </c>
      <c r="O68" s="271">
        <f t="shared" ref="O68" si="228">N68/N67-1</f>
        <v>-3.0005799192152294E-2</v>
      </c>
      <c r="P68" s="350">
        <v>58.189999</v>
      </c>
      <c r="Q68" s="271">
        <f t="shared" ref="Q68:S68" si="229">P68/P67-1</f>
        <v>-4.7888146949065513E-3</v>
      </c>
      <c r="R68" s="350">
        <v>94.989998</v>
      </c>
      <c r="S68" s="271">
        <f t="shared" si="229"/>
        <v>2.7140948514026375E-2</v>
      </c>
      <c r="T68" s="350">
        <v>14966.830078000001</v>
      </c>
      <c r="U68" s="273">
        <f t="shared" ref="U68" si="230">T68/T67-1</f>
        <v>3.0432796247410909E-2</v>
      </c>
    </row>
    <row r="69" spans="1:21" x14ac:dyDescent="0.25">
      <c r="A69" s="351">
        <v>44207</v>
      </c>
      <c r="B69" s="350">
        <v>141.38999899999999</v>
      </c>
      <c r="C69" s="271">
        <f t="shared" si="0"/>
        <v>-1.9350770810482754E-2</v>
      </c>
      <c r="D69" s="350">
        <v>48.700001</v>
      </c>
      <c r="E69" s="271">
        <f t="shared" si="0"/>
        <v>-4.6593596452874086E-2</v>
      </c>
      <c r="F69" s="350">
        <v>46.419998</v>
      </c>
      <c r="G69" s="271">
        <f t="shared" ref="G69:I69" si="231">F69/F68-1</f>
        <v>-9.389735181610348E-3</v>
      </c>
      <c r="H69" s="350">
        <v>33.860000999999997</v>
      </c>
      <c r="I69" s="271">
        <f t="shared" si="231"/>
        <v>-6.16375110067513E-3</v>
      </c>
      <c r="J69" s="350">
        <v>59.029998999999997</v>
      </c>
      <c r="K69" s="271">
        <f t="shared" ref="K69:M69" si="232">J69/J68-1</f>
        <v>-1.9435248846590647E-2</v>
      </c>
      <c r="L69" s="350">
        <v>31.860001</v>
      </c>
      <c r="M69" s="271">
        <f t="shared" si="232"/>
        <v>-4.3749687499999856E-3</v>
      </c>
      <c r="N69" s="350">
        <v>31.99</v>
      </c>
      <c r="O69" s="271">
        <f t="shared" ref="O69" si="233">N69/N68-1</f>
        <v>-4.848301750395656E-2</v>
      </c>
      <c r="P69" s="350">
        <v>57.220001000000003</v>
      </c>
      <c r="Q69" s="271">
        <f t="shared" ref="Q69:S69" si="234">P69/P68-1</f>
        <v>-1.6669496763524583E-2</v>
      </c>
      <c r="R69" s="350">
        <v>91.650002000000001</v>
      </c>
      <c r="S69" s="271">
        <f t="shared" si="234"/>
        <v>-3.5161554588094668E-2</v>
      </c>
      <c r="T69" s="350">
        <v>14894.169921999999</v>
      </c>
      <c r="U69" s="273">
        <f t="shared" ref="U69" si="235">T69/T68-1</f>
        <v>-4.8547458360475026E-3</v>
      </c>
    </row>
    <row r="70" spans="1:21" x14ac:dyDescent="0.25">
      <c r="A70" s="351">
        <v>44214</v>
      </c>
      <c r="B70" s="350">
        <v>138.58999600000001</v>
      </c>
      <c r="C70" s="271">
        <f t="shared" si="0"/>
        <v>-1.9803402077964383E-2</v>
      </c>
      <c r="D70" s="350">
        <v>48.490001999999997</v>
      </c>
      <c r="E70" s="271">
        <f t="shared" si="0"/>
        <v>-4.3120943673081724E-3</v>
      </c>
      <c r="F70" s="350">
        <v>46.580002</v>
      </c>
      <c r="G70" s="271">
        <f t="shared" ref="G70:I70" si="236">F70/F69-1</f>
        <v>3.4468764949107111E-3</v>
      </c>
      <c r="H70" s="350">
        <v>34.380001</v>
      </c>
      <c r="I70" s="271">
        <f t="shared" si="236"/>
        <v>1.5357353356250769E-2</v>
      </c>
      <c r="J70" s="350">
        <v>58.299999</v>
      </c>
      <c r="K70" s="271">
        <f t="shared" ref="K70:M70" si="237">J70/J69-1</f>
        <v>-1.236659346716229E-2</v>
      </c>
      <c r="L70" s="350">
        <v>31.469999000000001</v>
      </c>
      <c r="M70" s="271">
        <f t="shared" si="237"/>
        <v>-1.2241117004359148E-2</v>
      </c>
      <c r="N70" s="350">
        <v>32.909999999999997</v>
      </c>
      <c r="O70" s="271">
        <f t="shared" ref="O70" si="238">N70/N69-1</f>
        <v>2.8758987183494789E-2</v>
      </c>
      <c r="P70" s="350">
        <v>56.25</v>
      </c>
      <c r="Q70" s="271">
        <f t="shared" ref="Q70:S70" si="239">P70/P69-1</f>
        <v>-1.6952131825373473E-2</v>
      </c>
      <c r="R70" s="350">
        <v>88.199996999999996</v>
      </c>
      <c r="S70" s="271">
        <f t="shared" si="239"/>
        <v>-3.7643261589890731E-2</v>
      </c>
      <c r="T70" s="350">
        <v>14951.839844</v>
      </c>
      <c r="U70" s="273">
        <f t="shared" ref="U70" si="240">T70/T69-1</f>
        <v>3.8719795934929468E-3</v>
      </c>
    </row>
    <row r="71" spans="1:21" x14ac:dyDescent="0.25">
      <c r="A71" s="351">
        <v>44221</v>
      </c>
      <c r="B71" s="350">
        <v>136.570007</v>
      </c>
      <c r="C71" s="271">
        <f t="shared" si="0"/>
        <v>-1.4575287237904355E-2</v>
      </c>
      <c r="D71" s="350">
        <v>48.150002000000001</v>
      </c>
      <c r="E71" s="271">
        <f t="shared" si="0"/>
        <v>-7.0117547118269119E-3</v>
      </c>
      <c r="F71" s="350">
        <v>48.110000999999997</v>
      </c>
      <c r="G71" s="271">
        <f t="shared" ref="G71:I71" si="241">F71/F70-1</f>
        <v>3.2846692449691073E-2</v>
      </c>
      <c r="H71" s="350">
        <v>34.599997999999999</v>
      </c>
      <c r="I71" s="271">
        <f t="shared" si="241"/>
        <v>6.3989817801342053E-3</v>
      </c>
      <c r="J71" s="350">
        <v>58.939999</v>
      </c>
      <c r="K71" s="271">
        <f t="shared" ref="K71:M71" si="242">J71/J70-1</f>
        <v>1.0977701732036049E-2</v>
      </c>
      <c r="L71" s="350">
        <v>31.799999</v>
      </c>
      <c r="M71" s="271">
        <f t="shared" si="242"/>
        <v>1.04861776449372E-2</v>
      </c>
      <c r="N71" s="350">
        <v>33.509998000000003</v>
      </c>
      <c r="O71" s="271">
        <f t="shared" ref="O71" si="243">N71/N70-1</f>
        <v>1.8231479793376026E-2</v>
      </c>
      <c r="P71" s="350">
        <v>55.439999</v>
      </c>
      <c r="Q71" s="271">
        <f t="shared" ref="Q71:S71" si="244">P71/P70-1</f>
        <v>-1.4400017777777774E-2</v>
      </c>
      <c r="R71" s="350">
        <v>86.830001999999993</v>
      </c>
      <c r="S71" s="271">
        <f t="shared" si="244"/>
        <v>-1.553282365757902E-2</v>
      </c>
      <c r="T71" s="350">
        <v>14397.200194999999</v>
      </c>
      <c r="U71" s="273">
        <f t="shared" ref="U71" si="245">T71/T70-1</f>
        <v>-3.7095076912729952E-2</v>
      </c>
    </row>
    <row r="72" spans="1:21" x14ac:dyDescent="0.25">
      <c r="A72" s="351">
        <v>44228</v>
      </c>
      <c r="B72" s="350">
        <v>140.96000699999999</v>
      </c>
      <c r="C72" s="271">
        <f t="shared" si="0"/>
        <v>3.2144686058337646E-2</v>
      </c>
      <c r="D72" s="350">
        <v>49.650002000000001</v>
      </c>
      <c r="E72" s="271">
        <f t="shared" si="0"/>
        <v>3.1152646681094742E-2</v>
      </c>
      <c r="F72" s="350">
        <v>47.5</v>
      </c>
      <c r="G72" s="271">
        <f t="shared" ref="G72:I72" si="246">F72/F71-1</f>
        <v>-1.2679297179810867E-2</v>
      </c>
      <c r="H72" s="350">
        <v>34.619999</v>
      </c>
      <c r="I72" s="271">
        <f t="shared" si="246"/>
        <v>5.7806361722922972E-4</v>
      </c>
      <c r="J72" s="350">
        <v>58.029998999999997</v>
      </c>
      <c r="K72" s="271">
        <f t="shared" ref="K72:M72" si="247">J72/J71-1</f>
        <v>-1.5439430190692827E-2</v>
      </c>
      <c r="L72" s="350">
        <v>32.529998999999997</v>
      </c>
      <c r="M72" s="271">
        <f t="shared" si="247"/>
        <v>2.2955975564653119E-2</v>
      </c>
      <c r="N72" s="350">
        <v>33.799999</v>
      </c>
      <c r="O72" s="271">
        <f t="shared" ref="O72" si="248">N72/N71-1</f>
        <v>8.6541634529491152E-3</v>
      </c>
      <c r="P72" s="350">
        <v>56.209999000000003</v>
      </c>
      <c r="Q72" s="271">
        <f t="shared" ref="Q72:S72" si="249">P72/P71-1</f>
        <v>1.3888889139409999E-2</v>
      </c>
      <c r="R72" s="350">
        <v>91.099997999999999</v>
      </c>
      <c r="S72" s="271">
        <f t="shared" si="249"/>
        <v>4.9176504683254629E-2</v>
      </c>
      <c r="T72" s="350">
        <v>15069.599609000001</v>
      </c>
      <c r="U72" s="273">
        <f t="shared" ref="U72" si="250">T72/T71-1</f>
        <v>4.6703484350625324E-2</v>
      </c>
    </row>
    <row r="73" spans="1:21" x14ac:dyDescent="0.25">
      <c r="A73" s="351">
        <v>44235</v>
      </c>
      <c r="B73" s="350">
        <v>133.86999499999999</v>
      </c>
      <c r="C73" s="271">
        <f t="shared" si="0"/>
        <v>-5.0298039499955483E-2</v>
      </c>
      <c r="D73" s="350">
        <v>50.689999</v>
      </c>
      <c r="E73" s="271">
        <f t="shared" si="0"/>
        <v>2.0946565117963223E-2</v>
      </c>
      <c r="F73" s="350">
        <v>46.75</v>
      </c>
      <c r="G73" s="271">
        <f t="shared" ref="G73:I73" si="251">F73/F72-1</f>
        <v>-1.5789473684210575E-2</v>
      </c>
      <c r="H73" s="350">
        <v>34.549999</v>
      </c>
      <c r="I73" s="271">
        <f t="shared" si="251"/>
        <v>-2.0219526869426074E-3</v>
      </c>
      <c r="J73" s="350">
        <v>57.380001</v>
      </c>
      <c r="K73" s="271">
        <f t="shared" ref="K73:M73" si="252">J73/J72-1</f>
        <v>-1.1201068605911857E-2</v>
      </c>
      <c r="L73" s="350">
        <v>31.77</v>
      </c>
      <c r="M73" s="271">
        <f t="shared" si="252"/>
        <v>-2.3363019470120427E-2</v>
      </c>
      <c r="N73" s="350">
        <v>35.389999000000003</v>
      </c>
      <c r="O73" s="271">
        <f t="shared" ref="O73" si="253">N73/N72-1</f>
        <v>4.7041421510101378E-2</v>
      </c>
      <c r="P73" s="350">
        <v>55.189999</v>
      </c>
      <c r="Q73" s="271">
        <f t="shared" ref="Q73:S73" si="254">P73/P72-1</f>
        <v>-1.8146237647148955E-2</v>
      </c>
      <c r="R73" s="350">
        <v>91.730002999999996</v>
      </c>
      <c r="S73" s="271">
        <f t="shared" si="254"/>
        <v>6.9155325338206008E-3</v>
      </c>
      <c r="T73" s="350">
        <v>15369.599609000001</v>
      </c>
      <c r="U73" s="273">
        <f t="shared" ref="U73" si="255">T73/T72-1</f>
        <v>1.99076291198097E-2</v>
      </c>
    </row>
    <row r="74" spans="1:21" x14ac:dyDescent="0.25">
      <c r="A74" s="351">
        <v>44242</v>
      </c>
      <c r="B74" s="350">
        <v>132.509995</v>
      </c>
      <c r="C74" s="271">
        <f t="shared" si="0"/>
        <v>-1.0159109963363999E-2</v>
      </c>
      <c r="D74" s="350">
        <v>50.110000999999997</v>
      </c>
      <c r="E74" s="271">
        <f t="shared" si="0"/>
        <v>-1.1442059803552285E-2</v>
      </c>
      <c r="F74" s="350">
        <v>46.32</v>
      </c>
      <c r="G74" s="271">
        <f t="shared" ref="G74:I74" si="256">F74/F73-1</f>
        <v>-9.1978609625668062E-3</v>
      </c>
      <c r="H74" s="350">
        <v>34.099997999999999</v>
      </c>
      <c r="I74" s="271">
        <f t="shared" si="256"/>
        <v>-1.3024631346588489E-2</v>
      </c>
      <c r="J74" s="350">
        <v>57.91</v>
      </c>
      <c r="K74" s="271">
        <f t="shared" ref="K74:M74" si="257">J74/J73-1</f>
        <v>9.2366502398630868E-3</v>
      </c>
      <c r="L74" s="350">
        <v>31.24</v>
      </c>
      <c r="M74" s="271">
        <f t="shared" si="257"/>
        <v>-1.6682404784387872E-2</v>
      </c>
      <c r="N74" s="350">
        <v>37.479999999999997</v>
      </c>
      <c r="O74" s="271">
        <f t="shared" ref="O74" si="258">N74/N73-1</f>
        <v>5.9056260498905111E-2</v>
      </c>
      <c r="P74" s="350">
        <v>54.310001</v>
      </c>
      <c r="Q74" s="271">
        <f t="shared" ref="Q74:S74" si="259">P74/P73-1</f>
        <v>-1.5944881607988459E-2</v>
      </c>
      <c r="R74" s="350">
        <v>89.650002000000001</v>
      </c>
      <c r="S74" s="271">
        <f t="shared" si="259"/>
        <v>-2.267525271965809E-2</v>
      </c>
      <c r="T74" s="350">
        <v>15362.690430000001</v>
      </c>
      <c r="U74" s="273">
        <f t="shared" ref="U74" si="260">T74/T73-1</f>
        <v>-4.495353929685475E-4</v>
      </c>
    </row>
    <row r="75" spans="1:21" x14ac:dyDescent="0.25">
      <c r="A75" s="351">
        <v>44249</v>
      </c>
      <c r="B75" s="350">
        <v>129.19000199999999</v>
      </c>
      <c r="C75" s="271">
        <f t="shared" si="0"/>
        <v>-2.5054660971046028E-2</v>
      </c>
      <c r="D75" s="350">
        <v>48.990001999999997</v>
      </c>
      <c r="E75" s="271">
        <f t="shared" si="0"/>
        <v>-2.2350807775876946E-2</v>
      </c>
      <c r="F75" s="350">
        <v>45.48</v>
      </c>
      <c r="G75" s="271">
        <f t="shared" ref="G75:I75" si="261">F75/F74-1</f>
        <v>-1.81347150259068E-2</v>
      </c>
      <c r="H75" s="350">
        <v>33.93</v>
      </c>
      <c r="I75" s="271">
        <f t="shared" si="261"/>
        <v>-4.9852788847670748E-3</v>
      </c>
      <c r="J75" s="350">
        <v>57.709999000000003</v>
      </c>
      <c r="K75" s="271">
        <f t="shared" ref="K75:M75" si="262">J75/J74-1</f>
        <v>-3.4536522189603236E-3</v>
      </c>
      <c r="L75" s="350">
        <v>30.52</v>
      </c>
      <c r="M75" s="271">
        <f t="shared" si="262"/>
        <v>-2.3047375160051176E-2</v>
      </c>
      <c r="N75" s="350">
        <v>36.380001</v>
      </c>
      <c r="O75" s="271">
        <f t="shared" ref="O75" si="263">N75/N74-1</f>
        <v>-2.9348959445037237E-2</v>
      </c>
      <c r="P75" s="350">
        <v>53.16</v>
      </c>
      <c r="Q75" s="271">
        <f t="shared" ref="Q75:S75" si="264">P75/P74-1</f>
        <v>-2.1174755640310239E-2</v>
      </c>
      <c r="R75" s="350">
        <v>87.739998</v>
      </c>
      <c r="S75" s="271">
        <f t="shared" si="264"/>
        <v>-2.1305119435468645E-2</v>
      </c>
      <c r="T75" s="350">
        <v>15010.469727</v>
      </c>
      <c r="U75" s="273">
        <f t="shared" ref="U75" si="265">T75/T74-1</f>
        <v>-2.2927019496024603E-2</v>
      </c>
    </row>
    <row r="76" spans="1:21" x14ac:dyDescent="0.25">
      <c r="A76" s="351">
        <v>44256</v>
      </c>
      <c r="B76" s="350">
        <v>133.029999</v>
      </c>
      <c r="C76" s="271">
        <f t="shared" si="0"/>
        <v>2.9723639140434521E-2</v>
      </c>
      <c r="D76" s="350">
        <v>50.790000999999997</v>
      </c>
      <c r="E76" s="271">
        <f t="shared" si="0"/>
        <v>3.6742170371824034E-2</v>
      </c>
      <c r="F76" s="350">
        <v>46.59</v>
      </c>
      <c r="G76" s="271">
        <f t="shared" ref="G76:I76" si="266">F76/F75-1</f>
        <v>2.4406332453825952E-2</v>
      </c>
      <c r="H76" s="350">
        <v>35.5</v>
      </c>
      <c r="I76" s="271">
        <f t="shared" si="266"/>
        <v>4.6271735926908253E-2</v>
      </c>
      <c r="J76" s="350">
        <v>59.240001999999997</v>
      </c>
      <c r="K76" s="271">
        <f t="shared" ref="K76:M76" si="267">J76/J75-1</f>
        <v>2.6511922136751354E-2</v>
      </c>
      <c r="L76" s="350">
        <v>31.530000999999999</v>
      </c>
      <c r="M76" s="271">
        <f t="shared" si="267"/>
        <v>3.3093086500655344E-2</v>
      </c>
      <c r="N76" s="350">
        <v>37.849997999999999</v>
      </c>
      <c r="O76" s="271">
        <f t="shared" ref="O76" si="268">N76/N75-1</f>
        <v>4.0406733358803404E-2</v>
      </c>
      <c r="P76" s="350">
        <v>55.580002</v>
      </c>
      <c r="Q76" s="271">
        <f t="shared" ref="Q76:S76" si="269">P76/P75-1</f>
        <v>4.5522987208427512E-2</v>
      </c>
      <c r="R76" s="350">
        <v>86.419998000000007</v>
      </c>
      <c r="S76" s="271">
        <f t="shared" si="269"/>
        <v>-1.5044449852848141E-2</v>
      </c>
      <c r="T76" s="350">
        <v>15251.830078000001</v>
      </c>
      <c r="U76" s="273">
        <f t="shared" ref="U76" si="270">T76/T75-1</f>
        <v>1.6079466891422811E-2</v>
      </c>
    </row>
    <row r="77" spans="1:21" x14ac:dyDescent="0.25">
      <c r="A77" s="351">
        <v>44263</v>
      </c>
      <c r="B77" s="350">
        <v>133.03999300000001</v>
      </c>
      <c r="C77" s="271">
        <f t="shared" si="0"/>
        <v>7.5125912013307428E-5</v>
      </c>
      <c r="D77" s="350">
        <v>50.360000999999997</v>
      </c>
      <c r="E77" s="271">
        <f t="shared" si="0"/>
        <v>-8.4662333438426662E-3</v>
      </c>
      <c r="F77" s="350">
        <v>47.959999000000003</v>
      </c>
      <c r="G77" s="271">
        <f t="shared" ref="G77:I77" si="271">F77/F76-1</f>
        <v>2.940543034986054E-2</v>
      </c>
      <c r="H77" s="350">
        <v>37.080002</v>
      </c>
      <c r="I77" s="271">
        <f t="shared" si="271"/>
        <v>4.4507098591549221E-2</v>
      </c>
      <c r="J77" s="350">
        <v>60.639999000000003</v>
      </c>
      <c r="K77" s="271">
        <f t="shared" ref="K77:M77" si="272">J77/J76-1</f>
        <v>2.3632629181882914E-2</v>
      </c>
      <c r="L77" s="350">
        <v>33.369999</v>
      </c>
      <c r="M77" s="271">
        <f t="shared" si="272"/>
        <v>5.8357054920486817E-2</v>
      </c>
      <c r="N77" s="350">
        <v>38.110000999999997</v>
      </c>
      <c r="O77" s="271">
        <f t="shared" ref="O77" si="273">N77/N76-1</f>
        <v>6.8693002308743978E-3</v>
      </c>
      <c r="P77" s="350">
        <v>56.869999</v>
      </c>
      <c r="Q77" s="271">
        <f t="shared" ref="Q77:S77" si="274">P77/P76-1</f>
        <v>2.3209732881981582E-2</v>
      </c>
      <c r="R77" s="350">
        <v>88.940002000000007</v>
      </c>
      <c r="S77" s="271">
        <f t="shared" si="274"/>
        <v>2.9159963646377296E-2</v>
      </c>
      <c r="T77" s="350">
        <v>15715.209961</v>
      </c>
      <c r="U77" s="273">
        <f t="shared" ref="U77" si="275">T77/T76-1</f>
        <v>3.0381920112551031E-2</v>
      </c>
    </row>
    <row r="78" spans="1:21" x14ac:dyDescent="0.25">
      <c r="A78" s="351">
        <v>44270</v>
      </c>
      <c r="B78" s="350">
        <v>134.5</v>
      </c>
      <c r="C78" s="271">
        <f t="shared" si="0"/>
        <v>1.0974196308022988E-2</v>
      </c>
      <c r="D78" s="350">
        <v>50.810001</v>
      </c>
      <c r="E78" s="271">
        <f t="shared" si="0"/>
        <v>8.9356630473458321E-3</v>
      </c>
      <c r="F78" s="350">
        <v>49.790000999999997</v>
      </c>
      <c r="G78" s="271">
        <f t="shared" ref="G78:I78" si="276">F78/F77-1</f>
        <v>3.8156839828124234E-2</v>
      </c>
      <c r="H78" s="350">
        <v>37.849997999999999</v>
      </c>
      <c r="I78" s="271">
        <f t="shared" si="276"/>
        <v>2.0765802547691337E-2</v>
      </c>
      <c r="J78" s="350">
        <v>60.810001</v>
      </c>
      <c r="K78" s="271">
        <f t="shared" ref="K78:M78" si="277">J78/J77-1</f>
        <v>2.8034631069171478E-3</v>
      </c>
      <c r="L78" s="350">
        <v>34.139999000000003</v>
      </c>
      <c r="M78" s="271">
        <f t="shared" si="277"/>
        <v>2.3074618611765629E-2</v>
      </c>
      <c r="N78" s="350">
        <v>39.139999000000003</v>
      </c>
      <c r="O78" s="271">
        <f t="shared" ref="O78" si="278">N78/N77-1</f>
        <v>2.7026973838179869E-2</v>
      </c>
      <c r="P78" s="350">
        <v>58.099997999999999</v>
      </c>
      <c r="Q78" s="271">
        <f t="shared" ref="Q78:S78" si="279">P78/P77-1</f>
        <v>2.1628257809535034E-2</v>
      </c>
      <c r="R78" s="350">
        <v>87.919998000000007</v>
      </c>
      <c r="S78" s="271">
        <f t="shared" si="279"/>
        <v>-1.1468450382989603E-2</v>
      </c>
      <c r="T78" s="350">
        <v>15562.259765999999</v>
      </c>
      <c r="U78" s="273">
        <f t="shared" ref="U78" si="280">T78/T77-1</f>
        <v>-9.7326217963090711E-3</v>
      </c>
    </row>
    <row r="79" spans="1:21" x14ac:dyDescent="0.25">
      <c r="A79" s="351">
        <v>44277</v>
      </c>
      <c r="B79" s="350">
        <v>142.699997</v>
      </c>
      <c r="C79" s="271">
        <f t="shared" si="0"/>
        <v>6.0966520446096517E-2</v>
      </c>
      <c r="D79" s="350">
        <v>53.040000999999997</v>
      </c>
      <c r="E79" s="271">
        <f t="shared" si="0"/>
        <v>4.3888997364908366E-2</v>
      </c>
      <c r="F79" s="350">
        <v>50.869999</v>
      </c>
      <c r="G79" s="271">
        <f t="shared" ref="G79:I79" si="281">F79/F78-1</f>
        <v>2.1691062026691021E-2</v>
      </c>
      <c r="H79" s="350">
        <v>38.5</v>
      </c>
      <c r="I79" s="271">
        <f t="shared" si="281"/>
        <v>1.7173105266742761E-2</v>
      </c>
      <c r="J79" s="350">
        <v>63.709999000000003</v>
      </c>
      <c r="K79" s="271">
        <f t="shared" ref="K79:M79" si="282">J79/J78-1</f>
        <v>4.7689491075653789E-2</v>
      </c>
      <c r="L79" s="350">
        <v>35.240001999999997</v>
      </c>
      <c r="M79" s="271">
        <f t="shared" si="282"/>
        <v>3.2220358295850904E-2</v>
      </c>
      <c r="N79" s="350">
        <v>40.029998999999997</v>
      </c>
      <c r="O79" s="271">
        <f t="shared" ref="O79" si="283">N79/N78-1</f>
        <v>2.2738886631039401E-2</v>
      </c>
      <c r="P79" s="350">
        <v>59.439999</v>
      </c>
      <c r="Q79" s="271">
        <f t="shared" ref="Q79:S79" si="284">P79/P78-1</f>
        <v>2.3063701310282347E-2</v>
      </c>
      <c r="R79" s="350">
        <v>91.650002000000001</v>
      </c>
      <c r="S79" s="271">
        <f t="shared" si="284"/>
        <v>4.242497821712865E-2</v>
      </c>
      <c r="T79" s="350">
        <v>15682.540039</v>
      </c>
      <c r="U79" s="273">
        <f t="shared" ref="U79" si="285">T79/T78-1</f>
        <v>7.7289721935360767E-3</v>
      </c>
    </row>
    <row r="80" spans="1:21" x14ac:dyDescent="0.25">
      <c r="A80" s="351">
        <v>44284</v>
      </c>
      <c r="B80" s="350">
        <v>141.279999</v>
      </c>
      <c r="C80" s="271">
        <f t="shared" si="0"/>
        <v>-9.9509322344274453E-3</v>
      </c>
      <c r="D80" s="350">
        <v>52.509998000000003</v>
      </c>
      <c r="E80" s="271">
        <f t="shared" si="0"/>
        <v>-9.9925148945603226E-3</v>
      </c>
      <c r="F80" s="350">
        <v>49.970001000000003</v>
      </c>
      <c r="G80" s="271">
        <f t="shared" ref="G80:I80" si="286">F80/F79-1</f>
        <v>-1.7692117509182537E-2</v>
      </c>
      <c r="H80" s="350">
        <v>37.290000999999997</v>
      </c>
      <c r="I80" s="271">
        <f t="shared" si="286"/>
        <v>-3.1428545454545542E-2</v>
      </c>
      <c r="J80" s="350">
        <v>63.34</v>
      </c>
      <c r="K80" s="271">
        <f t="shared" ref="K80:M80" si="287">J80/J79-1</f>
        <v>-5.807549926346689E-3</v>
      </c>
      <c r="L80" s="350">
        <v>34.5</v>
      </c>
      <c r="M80" s="271">
        <f t="shared" si="287"/>
        <v>-2.0998920488142891E-2</v>
      </c>
      <c r="N80" s="350">
        <v>40.029998999999997</v>
      </c>
      <c r="O80" s="271">
        <f t="shared" ref="O80" si="288">N80/N79-1</f>
        <v>0</v>
      </c>
      <c r="P80" s="350">
        <v>58.439999</v>
      </c>
      <c r="Q80" s="271">
        <f t="shared" ref="Q80:S80" si="289">P80/P79-1</f>
        <v>-1.6823688035391804E-2</v>
      </c>
      <c r="R80" s="350">
        <v>91.360000999999997</v>
      </c>
      <c r="S80" s="271">
        <f t="shared" si="289"/>
        <v>-3.1642225168746485E-3</v>
      </c>
      <c r="T80" s="350">
        <v>15751.700194999999</v>
      </c>
      <c r="U80" s="273">
        <f t="shared" ref="U80" si="290">T80/T79-1</f>
        <v>4.4100098471300253E-3</v>
      </c>
    </row>
    <row r="81" spans="1:21" x14ac:dyDescent="0.25">
      <c r="A81" s="351">
        <v>44291</v>
      </c>
      <c r="B81" s="350">
        <v>142.570007</v>
      </c>
      <c r="C81" s="271">
        <f t="shared" si="0"/>
        <v>9.130860766781268E-3</v>
      </c>
      <c r="D81" s="350">
        <v>53.18</v>
      </c>
      <c r="E81" s="271">
        <f t="shared" si="0"/>
        <v>1.2759512959798602E-2</v>
      </c>
      <c r="F81" s="350">
        <v>48.07</v>
      </c>
      <c r="G81" s="271">
        <f t="shared" ref="G81:I81" si="291">F81/F80-1</f>
        <v>-3.8022832939306972E-2</v>
      </c>
      <c r="H81" s="350">
        <v>36.189999</v>
      </c>
      <c r="I81" s="271">
        <f t="shared" si="291"/>
        <v>-2.9498577916369451E-2</v>
      </c>
      <c r="J81" s="350">
        <v>62.66</v>
      </c>
      <c r="K81" s="271">
        <f t="shared" ref="K81:M81" si="292">J81/J80-1</f>
        <v>-1.0735712030312761E-2</v>
      </c>
      <c r="L81" s="350">
        <v>35.169998</v>
      </c>
      <c r="M81" s="271">
        <f t="shared" si="292"/>
        <v>1.9420231884057948E-2</v>
      </c>
      <c r="N81" s="350">
        <v>40.139999000000003</v>
      </c>
      <c r="O81" s="271">
        <f t="shared" ref="O81" si="293">N81/N80-1</f>
        <v>2.747939114362774E-3</v>
      </c>
      <c r="P81" s="350">
        <v>58.849997999999999</v>
      </c>
      <c r="Q81" s="271">
        <f t="shared" ref="Q81:S81" si="294">P81/P80-1</f>
        <v>7.0157256505085641E-3</v>
      </c>
      <c r="R81" s="350">
        <v>95.290001000000004</v>
      </c>
      <c r="S81" s="271">
        <f t="shared" si="294"/>
        <v>4.3016637007261105E-2</v>
      </c>
      <c r="T81" s="350">
        <v>15956.370117</v>
      </c>
      <c r="U81" s="273">
        <f t="shared" ref="U81" si="295">T81/T80-1</f>
        <v>1.299351304724361E-2</v>
      </c>
    </row>
    <row r="82" spans="1:21" x14ac:dyDescent="0.25">
      <c r="A82" s="351">
        <v>44298</v>
      </c>
      <c r="B82" s="350">
        <v>144.16000399999999</v>
      </c>
      <c r="C82" s="271">
        <f t="shared" si="0"/>
        <v>1.115239476701424E-2</v>
      </c>
      <c r="D82" s="350">
        <v>53.68</v>
      </c>
      <c r="E82" s="271">
        <f t="shared" si="0"/>
        <v>9.4020308386610907E-3</v>
      </c>
      <c r="F82" s="350">
        <v>49.400002000000001</v>
      </c>
      <c r="G82" s="271">
        <f t="shared" ref="G82:I82" si="296">F82/F81-1</f>
        <v>2.7668025795714479E-2</v>
      </c>
      <c r="H82" s="350">
        <v>37.549999</v>
      </c>
      <c r="I82" s="271">
        <f t="shared" si="296"/>
        <v>3.7579442873153956E-2</v>
      </c>
      <c r="J82" s="350">
        <v>63.349997999999999</v>
      </c>
      <c r="K82" s="271">
        <f t="shared" ref="K82:M82" si="297">J82/J81-1</f>
        <v>1.1011777848707327E-2</v>
      </c>
      <c r="L82" s="350">
        <v>36.009998000000003</v>
      </c>
      <c r="M82" s="271">
        <f t="shared" si="297"/>
        <v>2.3883993396871972E-2</v>
      </c>
      <c r="N82" s="350">
        <v>41</v>
      </c>
      <c r="O82" s="271">
        <f t="shared" ref="O82" si="298">N82/N81-1</f>
        <v>2.142503790296546E-2</v>
      </c>
      <c r="P82" s="350">
        <v>58.77</v>
      </c>
      <c r="Q82" s="271">
        <f t="shared" ref="Q82:S82" si="299">P82/P81-1</f>
        <v>-1.3593543367664829E-3</v>
      </c>
      <c r="R82" s="350">
        <v>98.169998000000007</v>
      </c>
      <c r="S82" s="271">
        <f t="shared" si="299"/>
        <v>3.0223496377127734E-2</v>
      </c>
      <c r="T82" s="350">
        <v>16186.290039</v>
      </c>
      <c r="U82" s="273">
        <f t="shared" ref="U82" si="300">T82/T81-1</f>
        <v>1.4409287345061195E-2</v>
      </c>
    </row>
    <row r="83" spans="1:21" x14ac:dyDescent="0.25">
      <c r="A83" s="351">
        <v>44305</v>
      </c>
      <c r="B83" s="350">
        <v>145.83000200000001</v>
      </c>
      <c r="C83" s="271">
        <f t="shared" si="0"/>
        <v>1.1584336526516914E-2</v>
      </c>
      <c r="D83" s="350">
        <v>54.470001000000003</v>
      </c>
      <c r="E83" s="271">
        <f t="shared" si="0"/>
        <v>1.4716859165424756E-2</v>
      </c>
      <c r="F83" s="350">
        <v>48.77</v>
      </c>
      <c r="G83" s="271">
        <f t="shared" ref="G83:I83" si="301">F83/F82-1</f>
        <v>-1.2753076406757935E-2</v>
      </c>
      <c r="H83" s="350">
        <v>37.610000999999997</v>
      </c>
      <c r="I83" s="271">
        <f t="shared" si="301"/>
        <v>1.5979228121949518E-3</v>
      </c>
      <c r="J83" s="350">
        <v>63.279998999999997</v>
      </c>
      <c r="K83" s="271">
        <f t="shared" ref="K83:M83" si="302">J83/J82-1</f>
        <v>-1.1049566252552268E-3</v>
      </c>
      <c r="L83" s="350">
        <v>36.18</v>
      </c>
      <c r="M83" s="271">
        <f t="shared" si="302"/>
        <v>4.7209666604257627E-3</v>
      </c>
      <c r="N83" s="350">
        <v>40.409999999999997</v>
      </c>
      <c r="O83" s="271">
        <f t="shared" ref="O83" si="303">N83/N82-1</f>
        <v>-1.4390243902439148E-2</v>
      </c>
      <c r="P83" s="350">
        <v>59.509998000000003</v>
      </c>
      <c r="Q83" s="271">
        <f t="shared" ref="Q83:S83" si="304">P83/P82-1</f>
        <v>1.259142419601833E-2</v>
      </c>
      <c r="R83" s="350">
        <v>98.68</v>
      </c>
      <c r="S83" s="271">
        <f t="shared" si="304"/>
        <v>5.1950902555788492E-3</v>
      </c>
      <c r="T83" s="350">
        <v>16206</v>
      </c>
      <c r="U83" s="273">
        <f t="shared" ref="U83" si="305">T83/T82-1</f>
        <v>1.2176947869160237E-3</v>
      </c>
    </row>
    <row r="84" spans="1:21" x14ac:dyDescent="0.25">
      <c r="A84" s="351">
        <v>44312</v>
      </c>
      <c r="B84" s="350">
        <v>144.16000399999999</v>
      </c>
      <c r="C84" s="271">
        <f t="shared" si="0"/>
        <v>-1.1451676452696069E-2</v>
      </c>
      <c r="D84" s="350">
        <v>53.98</v>
      </c>
      <c r="E84" s="271">
        <f t="shared" si="0"/>
        <v>-8.9957956857759092E-3</v>
      </c>
      <c r="F84" s="350">
        <v>47.75</v>
      </c>
      <c r="G84" s="271">
        <f t="shared" ref="G84:I84" si="306">F84/F83-1</f>
        <v>-2.0914496616772693E-2</v>
      </c>
      <c r="H84" s="350">
        <v>37.090000000000003</v>
      </c>
      <c r="I84" s="271">
        <f t="shared" si="306"/>
        <v>-1.382613629816154E-2</v>
      </c>
      <c r="J84" s="350">
        <v>62.419998</v>
      </c>
      <c r="K84" s="271">
        <f t="shared" ref="K84:M84" si="307">J84/J83-1</f>
        <v>-1.359040792652344E-2</v>
      </c>
      <c r="L84" s="350">
        <v>35.849997999999999</v>
      </c>
      <c r="M84" s="271">
        <f t="shared" si="307"/>
        <v>-9.1211166390271492E-3</v>
      </c>
      <c r="N84" s="350">
        <v>41.290000999999997</v>
      </c>
      <c r="O84" s="271">
        <f t="shared" ref="O84" si="308">N84/N83-1</f>
        <v>2.1776812670131207E-2</v>
      </c>
      <c r="P84" s="350">
        <v>60.810001</v>
      </c>
      <c r="Q84" s="271">
        <f t="shared" ref="Q84:S84" si="309">P84/P83-1</f>
        <v>2.1845119201650665E-2</v>
      </c>
      <c r="R84" s="350">
        <v>97.050003000000004</v>
      </c>
      <c r="S84" s="271">
        <f t="shared" si="309"/>
        <v>-1.6518007701662007E-2</v>
      </c>
      <c r="T84" s="350">
        <v>16219.330078000001</v>
      </c>
      <c r="U84" s="273">
        <f t="shared" ref="U84" si="310">T84/T83-1</f>
        <v>8.2253967666301442E-4</v>
      </c>
    </row>
    <row r="85" spans="1:21" x14ac:dyDescent="0.25">
      <c r="A85" s="351">
        <v>44319</v>
      </c>
      <c r="B85" s="350">
        <v>145.55999800000001</v>
      </c>
      <c r="C85" s="271">
        <f t="shared" si="0"/>
        <v>9.7113898526253184E-3</v>
      </c>
      <c r="D85" s="350">
        <v>54.509998000000003</v>
      </c>
      <c r="E85" s="271">
        <f t="shared" si="0"/>
        <v>9.8184142274917452E-3</v>
      </c>
      <c r="F85" s="350">
        <v>49.549999</v>
      </c>
      <c r="G85" s="271">
        <f t="shared" ref="G85:I85" si="311">F85/F84-1</f>
        <v>3.769631413612573E-2</v>
      </c>
      <c r="H85" s="350">
        <v>37.950001</v>
      </c>
      <c r="I85" s="271">
        <f t="shared" si="311"/>
        <v>2.3186869776219865E-2</v>
      </c>
      <c r="J85" s="350">
        <v>66.949996999999996</v>
      </c>
      <c r="K85" s="271">
        <f t="shared" ref="K85:M85" si="312">J85/J84-1</f>
        <v>7.2572879608230556E-2</v>
      </c>
      <c r="L85" s="350">
        <v>36.599997999999999</v>
      </c>
      <c r="M85" s="271">
        <f t="shared" si="312"/>
        <v>2.0920503259163281E-2</v>
      </c>
      <c r="N85" s="350">
        <v>43.48</v>
      </c>
      <c r="O85" s="271">
        <f t="shared" ref="O85" si="313">N85/N84-1</f>
        <v>5.3039451367414614E-2</v>
      </c>
      <c r="P85" s="350">
        <v>61.849997999999999</v>
      </c>
      <c r="Q85" s="271">
        <f t="shared" ref="Q85:S85" si="314">P85/P84-1</f>
        <v>1.7102400639657844E-2</v>
      </c>
      <c r="R85" s="350">
        <v>91.25</v>
      </c>
      <c r="S85" s="271">
        <f t="shared" si="314"/>
        <v>-5.9763037822883947E-2</v>
      </c>
      <c r="T85" s="350">
        <v>16590.429688</v>
      </c>
      <c r="U85" s="273">
        <f t="shared" ref="U85" si="315">T85/T84-1</f>
        <v>2.2880082482775288E-2</v>
      </c>
    </row>
    <row r="86" spans="1:21" x14ac:dyDescent="0.25">
      <c r="A86" s="351">
        <v>44326</v>
      </c>
      <c r="B86" s="350">
        <v>146.58999600000001</v>
      </c>
      <c r="C86" s="271">
        <f t="shared" si="0"/>
        <v>7.0761061703230599E-3</v>
      </c>
      <c r="D86" s="350">
        <v>54.73</v>
      </c>
      <c r="E86" s="271">
        <f t="shared" si="0"/>
        <v>4.0359935437896954E-3</v>
      </c>
      <c r="F86" s="350">
        <v>49.27</v>
      </c>
      <c r="G86" s="271">
        <f t="shared" ref="G86:I86" si="316">F86/F85-1</f>
        <v>-5.6508376518836778E-3</v>
      </c>
      <c r="H86" s="350">
        <v>37.560001</v>
      </c>
      <c r="I86" s="271">
        <f t="shared" si="316"/>
        <v>-1.027667957110201E-2</v>
      </c>
      <c r="J86" s="350">
        <v>66.540001000000004</v>
      </c>
      <c r="K86" s="271">
        <f t="shared" ref="K86:M86" si="317">J86/J85-1</f>
        <v>-6.1239136425950136E-3</v>
      </c>
      <c r="L86" s="350">
        <v>36.049999</v>
      </c>
      <c r="M86" s="271">
        <f t="shared" si="317"/>
        <v>-1.5027295903130899E-2</v>
      </c>
      <c r="N86" s="350">
        <v>43.73</v>
      </c>
      <c r="O86" s="271">
        <f t="shared" ref="O86" si="318">N86/N85-1</f>
        <v>5.7497700091997395E-3</v>
      </c>
      <c r="P86" s="350">
        <v>62.369999</v>
      </c>
      <c r="Q86" s="271">
        <f t="shared" ref="Q86:S86" si="319">P86/P85-1</f>
        <v>8.4074537884382128E-3</v>
      </c>
      <c r="R86" s="350">
        <v>92.139999000000003</v>
      </c>
      <c r="S86" s="271">
        <f t="shared" si="319"/>
        <v>9.7534136986301423E-3</v>
      </c>
      <c r="T86" s="350">
        <v>16415.359375</v>
      </c>
      <c r="U86" s="273">
        <f t="shared" ref="U86" si="320">T86/T85-1</f>
        <v>-1.0552488168924845E-2</v>
      </c>
    </row>
    <row r="87" spans="1:21" x14ac:dyDescent="0.25">
      <c r="A87" s="351">
        <v>44333</v>
      </c>
      <c r="B87" s="350">
        <v>147.10000600000001</v>
      </c>
      <c r="C87" s="271">
        <f t="shared" ref="C87:E125" si="321">B87/B86-1</f>
        <v>3.4791596556151827E-3</v>
      </c>
      <c r="D87" s="350">
        <v>54.619999</v>
      </c>
      <c r="E87" s="271">
        <f t="shared" si="321"/>
        <v>-2.0098848894573029E-3</v>
      </c>
      <c r="F87" s="350">
        <v>48.869999</v>
      </c>
      <c r="G87" s="271">
        <f t="shared" ref="G87:I87" si="322">F87/F86-1</f>
        <v>-8.1185508422976227E-3</v>
      </c>
      <c r="H87" s="350">
        <v>38.169998</v>
      </c>
      <c r="I87" s="271">
        <f t="shared" si="322"/>
        <v>1.6240601271549471E-2</v>
      </c>
      <c r="J87" s="350">
        <v>66.5</v>
      </c>
      <c r="K87" s="271">
        <f t="shared" ref="K87:M87" si="323">J87/J86-1</f>
        <v>-6.0115718964304232E-4</v>
      </c>
      <c r="L87" s="350">
        <v>36.240001999999997</v>
      </c>
      <c r="M87" s="271">
        <f t="shared" si="323"/>
        <v>5.270541061596079E-3</v>
      </c>
      <c r="N87" s="350">
        <v>44.130001</v>
      </c>
      <c r="O87" s="271">
        <f t="shared" ref="O87" si="324">N87/N86-1</f>
        <v>9.1470615138349309E-3</v>
      </c>
      <c r="P87" s="350">
        <v>63.360000999999997</v>
      </c>
      <c r="Q87" s="271">
        <f t="shared" ref="Q87:S87" si="325">P87/P86-1</f>
        <v>1.5873048194212647E-2</v>
      </c>
      <c r="R87" s="350">
        <v>92.010002</v>
      </c>
      <c r="S87" s="271">
        <f t="shared" si="325"/>
        <v>-1.4108639180688831E-3</v>
      </c>
      <c r="T87" s="350">
        <v>16375</v>
      </c>
      <c r="U87" s="273">
        <f t="shared" ref="U87" si="326">T87/T86-1</f>
        <v>-2.4586348722566154E-3</v>
      </c>
    </row>
    <row r="88" spans="1:21" x14ac:dyDescent="0.25">
      <c r="A88" s="351">
        <v>44340</v>
      </c>
      <c r="B88" s="350">
        <v>147.94000199999999</v>
      </c>
      <c r="C88" s="271">
        <f t="shared" si="321"/>
        <v>5.7103736623911328E-3</v>
      </c>
      <c r="D88" s="350">
        <v>55.290000999999997</v>
      </c>
      <c r="E88" s="271">
        <f t="shared" si="321"/>
        <v>1.226660586354078E-2</v>
      </c>
      <c r="F88" s="350">
        <v>48.669998</v>
      </c>
      <c r="G88" s="271">
        <f t="shared" ref="G88:I88" si="327">F88/F87-1</f>
        <v>-4.0925108265298382E-3</v>
      </c>
      <c r="H88" s="350">
        <v>38.099997999999999</v>
      </c>
      <c r="I88" s="271">
        <f t="shared" si="327"/>
        <v>-1.8339010654389032E-3</v>
      </c>
      <c r="J88" s="350">
        <v>65.489998</v>
      </c>
      <c r="K88" s="271">
        <f t="shared" ref="K88:M88" si="328">J88/J87-1</f>
        <v>-1.5187999999999979E-2</v>
      </c>
      <c r="L88" s="350">
        <v>36.959999000000003</v>
      </c>
      <c r="M88" s="271">
        <f t="shared" si="328"/>
        <v>1.9867465790978978E-2</v>
      </c>
      <c r="N88" s="350">
        <v>43.59</v>
      </c>
      <c r="O88" s="271">
        <f t="shared" ref="O88" si="329">N88/N87-1</f>
        <v>-1.2236596142383926E-2</v>
      </c>
      <c r="P88" s="350">
        <v>63.529998999999997</v>
      </c>
      <c r="Q88" s="271">
        <f t="shared" ref="Q88:S88" si="330">P88/P87-1</f>
        <v>2.6830492000782247E-3</v>
      </c>
      <c r="R88" s="350">
        <v>94.269997000000004</v>
      </c>
      <c r="S88" s="271">
        <f t="shared" si="330"/>
        <v>2.4562492673350977E-2</v>
      </c>
      <c r="T88" s="350">
        <v>16555.660156000002</v>
      </c>
      <c r="U88" s="273">
        <f t="shared" ref="U88" si="331">T88/T87-1</f>
        <v>1.1032681282442836E-2</v>
      </c>
    </row>
    <row r="89" spans="1:21" x14ac:dyDescent="0.25">
      <c r="A89" s="351">
        <v>44347</v>
      </c>
      <c r="B89" s="350">
        <v>147.83999600000001</v>
      </c>
      <c r="C89" s="271">
        <f t="shared" si="321"/>
        <v>-6.7599025718534378E-4</v>
      </c>
      <c r="D89" s="350">
        <v>56.240001999999997</v>
      </c>
      <c r="E89" s="271">
        <f t="shared" si="321"/>
        <v>1.7182148359881522E-2</v>
      </c>
      <c r="F89" s="350">
        <v>49.68</v>
      </c>
      <c r="G89" s="271">
        <f t="shared" ref="G89:I89" si="332">F89/F88-1</f>
        <v>2.075204523328722E-2</v>
      </c>
      <c r="H89" s="350">
        <v>38.919998</v>
      </c>
      <c r="I89" s="271">
        <f t="shared" si="332"/>
        <v>2.1522310841066261E-2</v>
      </c>
      <c r="J89" s="350">
        <v>66.629997000000003</v>
      </c>
      <c r="K89" s="271">
        <f t="shared" ref="K89:M89" si="333">J89/J88-1</f>
        <v>1.7407223008313544E-2</v>
      </c>
      <c r="L89" s="350">
        <v>36.909999999999997</v>
      </c>
      <c r="M89" s="271">
        <f t="shared" si="333"/>
        <v>-1.3527868331383308E-3</v>
      </c>
      <c r="N89" s="350">
        <v>43.959999000000003</v>
      </c>
      <c r="O89" s="271">
        <f t="shared" ref="O89" si="334">N89/N88-1</f>
        <v>8.4881624225738861E-3</v>
      </c>
      <c r="P89" s="350">
        <v>64.019997000000004</v>
      </c>
      <c r="Q89" s="271">
        <f t="shared" ref="Q89:S89" si="335">P89/P88-1</f>
        <v>7.7128601875156022E-3</v>
      </c>
      <c r="R89" s="350">
        <v>95.370002999999997</v>
      </c>
      <c r="S89" s="271">
        <f t="shared" si="335"/>
        <v>1.1668675453548438E-2</v>
      </c>
      <c r="T89" s="350">
        <v>16708.740234000001</v>
      </c>
      <c r="U89" s="273">
        <f t="shared" ref="U89" si="336">T89/T88-1</f>
        <v>9.2463892443770401E-3</v>
      </c>
    </row>
    <row r="90" spans="1:21" x14ac:dyDescent="0.25">
      <c r="A90" s="351">
        <v>44354</v>
      </c>
      <c r="B90" s="350">
        <v>147.69000199999999</v>
      </c>
      <c r="C90" s="271">
        <f t="shared" si="321"/>
        <v>-1.0145698326454733E-3</v>
      </c>
      <c r="D90" s="350">
        <v>56.16</v>
      </c>
      <c r="E90" s="271">
        <f t="shared" si="321"/>
        <v>-1.4225106179761582E-3</v>
      </c>
      <c r="F90" s="350">
        <v>46.110000999999997</v>
      </c>
      <c r="G90" s="271">
        <f t="shared" ref="G90:I90" si="337">F90/F89-1</f>
        <v>-7.1859883252818113E-2</v>
      </c>
      <c r="H90" s="350">
        <v>37.330002</v>
      </c>
      <c r="I90" s="271">
        <f t="shared" si="337"/>
        <v>-4.0852931184631625E-2</v>
      </c>
      <c r="J90" s="350">
        <v>65.160004000000001</v>
      </c>
      <c r="K90" s="271">
        <f t="shared" ref="K90:M90" si="338">J90/J89-1</f>
        <v>-2.2062030109351483E-2</v>
      </c>
      <c r="L90" s="350">
        <v>35.229999999999997</v>
      </c>
      <c r="M90" s="271">
        <f t="shared" si="338"/>
        <v>-4.5516120292603657E-2</v>
      </c>
      <c r="N90" s="350">
        <v>43.419998</v>
      </c>
      <c r="O90" s="271">
        <f t="shared" ref="O90" si="339">N90/N89-1</f>
        <v>-1.2283917476886286E-2</v>
      </c>
      <c r="P90" s="350">
        <v>63.779998999999997</v>
      </c>
      <c r="Q90" s="271">
        <f t="shared" ref="Q90:S90" si="340">P90/P89-1</f>
        <v>-3.7487974265292268E-3</v>
      </c>
      <c r="R90" s="350">
        <v>93.5</v>
      </c>
      <c r="S90" s="271">
        <f t="shared" si="340"/>
        <v>-1.9607873976893897E-2</v>
      </c>
      <c r="T90" s="350">
        <v>16694.929688</v>
      </c>
      <c r="U90" s="273">
        <f t="shared" ref="U90" si="341">T90/T89-1</f>
        <v>-8.2654621512989745E-4</v>
      </c>
    </row>
    <row r="91" spans="1:21" x14ac:dyDescent="0.25">
      <c r="A91" s="351">
        <v>44361</v>
      </c>
      <c r="B91" s="350">
        <v>145.41999799999999</v>
      </c>
      <c r="C91" s="271">
        <f t="shared" si="321"/>
        <v>-1.5370058699030964E-2</v>
      </c>
      <c r="D91" s="350">
        <v>53.77</v>
      </c>
      <c r="E91" s="271">
        <f t="shared" si="321"/>
        <v>-4.2556980056979943E-2</v>
      </c>
      <c r="F91" s="350">
        <v>45.27</v>
      </c>
      <c r="G91" s="271">
        <f t="shared" ref="G91:I91" si="342">F91/F90-1</f>
        <v>-1.8217327733304423E-2</v>
      </c>
      <c r="H91" s="350">
        <v>35.68</v>
      </c>
      <c r="I91" s="271">
        <f t="shared" si="342"/>
        <v>-4.4200426241605917E-2</v>
      </c>
      <c r="J91" s="350">
        <v>63.59</v>
      </c>
      <c r="K91" s="271">
        <f t="shared" ref="K91:M91" si="343">J91/J90-1</f>
        <v>-2.4094596433726356E-2</v>
      </c>
      <c r="L91" s="350">
        <v>34.520000000000003</v>
      </c>
      <c r="M91" s="271">
        <f t="shared" si="343"/>
        <v>-2.0153278455861345E-2</v>
      </c>
      <c r="N91" s="350">
        <v>40.5</v>
      </c>
      <c r="O91" s="271">
        <f t="shared" ref="O91" si="344">N91/N90-1</f>
        <v>-6.7250072190238264E-2</v>
      </c>
      <c r="P91" s="350">
        <v>62.139999000000003</v>
      </c>
      <c r="Q91" s="271">
        <f t="shared" ref="Q91:S91" si="345">P91/P90-1</f>
        <v>-2.5713390180517104E-2</v>
      </c>
      <c r="R91" s="350">
        <v>91.760002</v>
      </c>
      <c r="S91" s="271">
        <f t="shared" si="345"/>
        <v>-1.8609604278074898E-2</v>
      </c>
      <c r="T91" s="350">
        <v>16143.950194999999</v>
      </c>
      <c r="U91" s="273">
        <f t="shared" ref="U91" si="346">T91/T90-1</f>
        <v>-3.3002804042716938E-2</v>
      </c>
    </row>
    <row r="92" spans="1:21" x14ac:dyDescent="0.25">
      <c r="A92" s="351">
        <v>44368</v>
      </c>
      <c r="B92" s="350">
        <v>146.41000399999999</v>
      </c>
      <c r="C92" s="271">
        <f t="shared" si="321"/>
        <v>6.8079082218113207E-3</v>
      </c>
      <c r="D92" s="350">
        <v>54.32</v>
      </c>
      <c r="E92" s="271">
        <f t="shared" si="321"/>
        <v>1.0228752092244608E-2</v>
      </c>
      <c r="F92" s="350">
        <v>45.759998000000003</v>
      </c>
      <c r="G92" s="271">
        <f t="shared" ref="G92:I92" si="347">F92/F91-1</f>
        <v>1.0823901038215178E-2</v>
      </c>
      <c r="H92" s="350">
        <v>35.650002000000001</v>
      </c>
      <c r="I92" s="271">
        <f t="shared" si="347"/>
        <v>-8.4075112107617755E-4</v>
      </c>
      <c r="J92" s="350">
        <v>63.93</v>
      </c>
      <c r="K92" s="271">
        <f t="shared" ref="K92:M92" si="348">J92/J91-1</f>
        <v>5.3467526340618132E-3</v>
      </c>
      <c r="L92" s="350">
        <v>34.860000999999997</v>
      </c>
      <c r="M92" s="271">
        <f t="shared" si="348"/>
        <v>9.8493916570101536E-3</v>
      </c>
      <c r="N92" s="350">
        <v>40.689999</v>
      </c>
      <c r="O92" s="271">
        <f t="shared" ref="O92" si="349">N92/N91-1</f>
        <v>4.6913333333333807E-3</v>
      </c>
      <c r="P92" s="350">
        <v>63.18</v>
      </c>
      <c r="Q92" s="271">
        <f t="shared" ref="Q92:S92" si="350">P92/P91-1</f>
        <v>1.6736418035668166E-2</v>
      </c>
      <c r="R92" s="350">
        <v>92.120002999999997</v>
      </c>
      <c r="S92" s="271">
        <f t="shared" si="350"/>
        <v>3.9232889293092654E-3</v>
      </c>
      <c r="T92" s="350">
        <v>16658.789063</v>
      </c>
      <c r="U92" s="273">
        <f t="shared" ref="U92" si="351">T92/T91-1</f>
        <v>3.1890513894142991E-2</v>
      </c>
    </row>
    <row r="93" spans="1:21" x14ac:dyDescent="0.25">
      <c r="A93" s="351">
        <v>44375</v>
      </c>
      <c r="B93" s="350">
        <v>148.91000399999999</v>
      </c>
      <c r="C93" s="271">
        <f t="shared" si="321"/>
        <v>1.707533591761945E-2</v>
      </c>
      <c r="D93" s="350">
        <v>54.18</v>
      </c>
      <c r="E93" s="271">
        <f t="shared" si="321"/>
        <v>-2.5773195876288568E-3</v>
      </c>
      <c r="F93" s="350">
        <v>45.66</v>
      </c>
      <c r="G93" s="271">
        <f t="shared" ref="G93:I93" si="352">F93/F92-1</f>
        <v>-2.1852710745312587E-3</v>
      </c>
      <c r="H93" s="350">
        <v>35.860000999999997</v>
      </c>
      <c r="I93" s="271">
        <f t="shared" si="352"/>
        <v>5.8905747045960855E-3</v>
      </c>
      <c r="J93" s="350">
        <v>64.019997000000004</v>
      </c>
      <c r="K93" s="271">
        <f t="shared" ref="K93:M93" si="353">J93/J92-1</f>
        <v>1.407742843735349E-3</v>
      </c>
      <c r="L93" s="350">
        <v>35.18</v>
      </c>
      <c r="M93" s="271">
        <f t="shared" si="353"/>
        <v>9.1795464951365258E-3</v>
      </c>
      <c r="N93" s="350">
        <v>40.380001</v>
      </c>
      <c r="O93" s="271">
        <f t="shared" ref="O93" si="354">N93/N92-1</f>
        <v>-7.618530538671231E-3</v>
      </c>
      <c r="P93" s="350">
        <v>62.599997999999999</v>
      </c>
      <c r="Q93" s="271">
        <f t="shared" ref="Q93:S93" si="355">P93/P92-1</f>
        <v>-9.1801519468186488E-3</v>
      </c>
      <c r="R93" s="350">
        <v>90.860000999999997</v>
      </c>
      <c r="S93" s="271">
        <f t="shared" si="355"/>
        <v>-1.3677832815528701E-2</v>
      </c>
      <c r="T93" s="350">
        <v>16674.849609000001</v>
      </c>
      <c r="U93" s="273">
        <f t="shared" ref="U93" si="356">T93/T92-1</f>
        <v>9.6408844239892488E-4</v>
      </c>
    </row>
    <row r="94" spans="1:21" x14ac:dyDescent="0.25">
      <c r="A94" s="351">
        <v>44382</v>
      </c>
      <c r="B94" s="350">
        <v>149.479996</v>
      </c>
      <c r="C94" s="271">
        <f t="shared" si="321"/>
        <v>3.827761632455573E-3</v>
      </c>
      <c r="D94" s="350">
        <v>54.459999000000003</v>
      </c>
      <c r="E94" s="271">
        <f t="shared" si="321"/>
        <v>5.1679401993356411E-3</v>
      </c>
      <c r="F94" s="350">
        <v>45.639999000000003</v>
      </c>
      <c r="G94" s="271">
        <f t="shared" ref="G94:I94" si="357">F94/F93-1</f>
        <v>-4.3804204993413975E-4</v>
      </c>
      <c r="H94" s="350">
        <v>36.119999</v>
      </c>
      <c r="I94" s="271">
        <f t="shared" si="357"/>
        <v>7.2503623187294419E-3</v>
      </c>
      <c r="J94" s="350">
        <v>64.279999000000004</v>
      </c>
      <c r="K94" s="271">
        <f t="shared" ref="K94:M94" si="358">J94/J93-1</f>
        <v>4.0612622959042E-3</v>
      </c>
      <c r="L94" s="350">
        <v>35</v>
      </c>
      <c r="M94" s="271">
        <f t="shared" si="358"/>
        <v>-5.1165434906196294E-3</v>
      </c>
      <c r="N94" s="350">
        <v>39.950001</v>
      </c>
      <c r="O94" s="271">
        <f t="shared" ref="O94" si="359">N94/N93-1</f>
        <v>-1.0648835793738542E-2</v>
      </c>
      <c r="P94" s="350">
        <v>63.02</v>
      </c>
      <c r="Q94" s="271">
        <f t="shared" ref="Q94:S94" si="360">P94/P93-1</f>
        <v>6.7092973389553112E-3</v>
      </c>
      <c r="R94" s="350">
        <v>90.239998</v>
      </c>
      <c r="S94" s="271">
        <f t="shared" si="360"/>
        <v>-6.823717732514667E-3</v>
      </c>
      <c r="T94" s="350">
        <v>16633.300781000002</v>
      </c>
      <c r="U94" s="273">
        <f t="shared" ref="U94" si="361">T94/T93-1</f>
        <v>-2.4917063106568715E-3</v>
      </c>
    </row>
    <row r="95" spans="1:21" x14ac:dyDescent="0.25">
      <c r="A95" s="351">
        <v>44389</v>
      </c>
      <c r="B95" s="350">
        <v>155.820007</v>
      </c>
      <c r="C95" s="271">
        <f t="shared" si="321"/>
        <v>4.2413775552951005E-2</v>
      </c>
      <c r="D95" s="350">
        <v>56.400002000000001</v>
      </c>
      <c r="E95" s="271">
        <f t="shared" si="321"/>
        <v>3.562253095157053E-2</v>
      </c>
      <c r="F95" s="350">
        <v>45.529998999999997</v>
      </c>
      <c r="G95" s="271">
        <f t="shared" ref="G95:I95" si="362">F95/F94-1</f>
        <v>-2.4101665734043154E-3</v>
      </c>
      <c r="H95" s="350">
        <v>34.860000999999997</v>
      </c>
      <c r="I95" s="271">
        <f t="shared" si="362"/>
        <v>-3.4883666525018509E-2</v>
      </c>
      <c r="J95" s="350">
        <v>64.260002</v>
      </c>
      <c r="K95" s="271">
        <f t="shared" ref="K95:M95" si="363">J95/J94-1</f>
        <v>-3.1109210191504477E-4</v>
      </c>
      <c r="L95" s="350">
        <v>35.880001</v>
      </c>
      <c r="M95" s="271">
        <f t="shared" si="363"/>
        <v>2.514288571428569E-2</v>
      </c>
      <c r="N95" s="350">
        <v>39.299999</v>
      </c>
      <c r="O95" s="271">
        <f t="shared" ref="O95" si="364">N95/N94-1</f>
        <v>-1.6270387577712486E-2</v>
      </c>
      <c r="P95" s="350">
        <v>64.260002</v>
      </c>
      <c r="Q95" s="271">
        <f t="shared" ref="Q95:S95" si="365">P95/P94-1</f>
        <v>1.9676324976197979E-2</v>
      </c>
      <c r="R95" s="350">
        <v>93.07</v>
      </c>
      <c r="S95" s="271">
        <f t="shared" si="365"/>
        <v>3.1360838461011342E-2</v>
      </c>
      <c r="T95" s="350">
        <v>16364.660156</v>
      </c>
      <c r="U95" s="273">
        <f t="shared" ref="U95" si="366">T95/T94-1</f>
        <v>-1.6150770585887986E-2</v>
      </c>
    </row>
    <row r="96" spans="1:21" x14ac:dyDescent="0.25">
      <c r="A96" s="351">
        <v>44396</v>
      </c>
      <c r="B96" s="350">
        <v>157.179993</v>
      </c>
      <c r="C96" s="271">
        <f t="shared" si="321"/>
        <v>8.7279292703406064E-3</v>
      </c>
      <c r="D96" s="350">
        <v>57.009998000000003</v>
      </c>
      <c r="E96" s="271">
        <f t="shared" si="321"/>
        <v>1.0815531531364275E-2</v>
      </c>
      <c r="F96" s="350">
        <v>44.57</v>
      </c>
      <c r="G96" s="271">
        <f t="shared" ref="G96:I96" si="367">F96/F95-1</f>
        <v>-2.1084977401383154E-2</v>
      </c>
      <c r="H96" s="350">
        <v>34.25</v>
      </c>
      <c r="I96" s="271">
        <f t="shared" si="367"/>
        <v>-1.7498593875542312E-2</v>
      </c>
      <c r="J96" s="350">
        <v>63.43</v>
      </c>
      <c r="K96" s="271">
        <f t="shared" ref="K96:M96" si="368">J96/J95-1</f>
        <v>-1.2916308343719041E-2</v>
      </c>
      <c r="L96" s="350">
        <v>36.07</v>
      </c>
      <c r="M96" s="271">
        <f t="shared" si="368"/>
        <v>5.295401190206217E-3</v>
      </c>
      <c r="N96" s="350">
        <v>39.220001000000003</v>
      </c>
      <c r="O96" s="271">
        <f t="shared" ref="O96" si="369">N96/N95-1</f>
        <v>-2.0355725708796069E-3</v>
      </c>
      <c r="P96" s="350">
        <v>64.889999000000003</v>
      </c>
      <c r="Q96" s="271">
        <f t="shared" ref="Q96:S96" si="370">P96/P95-1</f>
        <v>9.8038745781552361E-3</v>
      </c>
      <c r="R96" s="350">
        <v>96.290001000000004</v>
      </c>
      <c r="S96" s="271">
        <f t="shared" si="370"/>
        <v>3.4597625443214985E-2</v>
      </c>
      <c r="T96" s="350">
        <v>16552.380859000001</v>
      </c>
      <c r="U96" s="273">
        <f t="shared" ref="U96" si="371">T96/T95-1</f>
        <v>1.1471103048307008E-2</v>
      </c>
    </row>
    <row r="97" spans="1:21" x14ac:dyDescent="0.25">
      <c r="A97" s="351">
        <v>44403</v>
      </c>
      <c r="B97" s="350">
        <v>156.949997</v>
      </c>
      <c r="C97" s="271">
        <f t="shared" si="321"/>
        <v>-1.4632651116099904E-3</v>
      </c>
      <c r="D97" s="350">
        <v>57.029998999999997</v>
      </c>
      <c r="E97" s="271">
        <f t="shared" si="321"/>
        <v>3.5083319946771496E-4</v>
      </c>
      <c r="F97" s="350">
        <v>43.720001000000003</v>
      </c>
      <c r="G97" s="271">
        <f t="shared" ref="G97:I97" si="372">F97/F96-1</f>
        <v>-1.9071101637872956E-2</v>
      </c>
      <c r="H97" s="350">
        <v>33.490001999999997</v>
      </c>
      <c r="I97" s="271">
        <f t="shared" si="372"/>
        <v>-2.2189722627737329E-2</v>
      </c>
      <c r="J97" s="350">
        <v>63.360000999999997</v>
      </c>
      <c r="K97" s="271">
        <f t="shared" ref="K97:M97" si="373">J97/J96-1</f>
        <v>-1.1035629828157756E-3</v>
      </c>
      <c r="L97" s="350">
        <v>35.209999000000003</v>
      </c>
      <c r="M97" s="271">
        <f t="shared" si="373"/>
        <v>-2.384255614083719E-2</v>
      </c>
      <c r="N97" s="350">
        <v>38.470001000000003</v>
      </c>
      <c r="O97" s="271">
        <f t="shared" ref="O97" si="374">N97/N96-1</f>
        <v>-1.9122895993806788E-2</v>
      </c>
      <c r="P97" s="350">
        <v>63.259998000000003</v>
      </c>
      <c r="Q97" s="271">
        <f t="shared" ref="Q97:S97" si="375">P97/P96-1</f>
        <v>-2.5119448684226331E-2</v>
      </c>
      <c r="R97" s="350">
        <v>94.32</v>
      </c>
      <c r="S97" s="271">
        <f t="shared" si="375"/>
        <v>-2.0459040186322275E-2</v>
      </c>
      <c r="T97" s="350">
        <v>16602.289063</v>
      </c>
      <c r="U97" s="273">
        <f t="shared" ref="U97" si="376">T97/T96-1</f>
        <v>3.0151676924992099E-3</v>
      </c>
    </row>
    <row r="98" spans="1:21" x14ac:dyDescent="0.25">
      <c r="A98" s="351">
        <v>44410</v>
      </c>
      <c r="B98" s="350">
        <v>154.33000200000001</v>
      </c>
      <c r="C98" s="271">
        <f t="shared" si="321"/>
        <v>-1.6693182861290512E-2</v>
      </c>
      <c r="D98" s="350">
        <v>56.639999000000003</v>
      </c>
      <c r="E98" s="271">
        <f t="shared" si="321"/>
        <v>-6.8385061693582161E-3</v>
      </c>
      <c r="F98" s="350">
        <v>42.299999</v>
      </c>
      <c r="G98" s="271">
        <f t="shared" ref="G98:I98" si="377">F98/F97-1</f>
        <v>-3.247945945838393E-2</v>
      </c>
      <c r="H98" s="350">
        <v>32.759998000000003</v>
      </c>
      <c r="I98" s="271">
        <f t="shared" si="377"/>
        <v>-2.1797669644809003E-2</v>
      </c>
      <c r="J98" s="350">
        <v>63.220001000000003</v>
      </c>
      <c r="K98" s="271">
        <f t="shared" ref="K98:M98" si="378">J98/J97-1</f>
        <v>-2.2095959247221408E-3</v>
      </c>
      <c r="L98" s="350">
        <v>34.290000999999997</v>
      </c>
      <c r="M98" s="271">
        <f t="shared" si="378"/>
        <v>-2.6128884581905432E-2</v>
      </c>
      <c r="N98" s="350">
        <v>37.200001</v>
      </c>
      <c r="O98" s="271">
        <f t="shared" ref="O98" si="379">N98/N97-1</f>
        <v>-3.3012736339674165E-2</v>
      </c>
      <c r="P98" s="350">
        <v>61.77</v>
      </c>
      <c r="Q98" s="271">
        <f t="shared" ref="Q98:S98" si="380">P98/P97-1</f>
        <v>-2.3553557494579769E-2</v>
      </c>
      <c r="R98" s="350">
        <v>96.970000999999996</v>
      </c>
      <c r="S98" s="271">
        <f t="shared" si="380"/>
        <v>2.8095854537743881E-2</v>
      </c>
      <c r="T98" s="350">
        <v>16748.080077999999</v>
      </c>
      <c r="U98" s="273">
        <f t="shared" ref="U98" si="381">T98/T97-1</f>
        <v>8.7813803534424473E-3</v>
      </c>
    </row>
    <row r="99" spans="1:21" x14ac:dyDescent="0.25">
      <c r="A99" s="351">
        <v>44417</v>
      </c>
      <c r="B99" s="350">
        <v>156.520004</v>
      </c>
      <c r="C99" s="271">
        <f t="shared" si="321"/>
        <v>1.4190384057663596E-2</v>
      </c>
      <c r="D99" s="350">
        <v>57.23</v>
      </c>
      <c r="E99" s="271">
        <f t="shared" si="321"/>
        <v>1.0416684505944129E-2</v>
      </c>
      <c r="F99" s="350">
        <v>43.18</v>
      </c>
      <c r="G99" s="271">
        <f t="shared" ref="G99:I99" si="382">F99/F98-1</f>
        <v>2.0803806638387767E-2</v>
      </c>
      <c r="H99" s="350">
        <v>34.049999</v>
      </c>
      <c r="I99" s="271">
        <f t="shared" si="382"/>
        <v>3.9377322306307638E-2</v>
      </c>
      <c r="J99" s="350">
        <v>65.569999999999993</v>
      </c>
      <c r="K99" s="271">
        <f t="shared" ref="K99:M99" si="383">J99/J98-1</f>
        <v>3.7171764676181995E-2</v>
      </c>
      <c r="L99" s="350">
        <v>34.450001</v>
      </c>
      <c r="M99" s="271">
        <f t="shared" si="383"/>
        <v>4.6660832701639343E-3</v>
      </c>
      <c r="N99" s="350">
        <v>37.869999</v>
      </c>
      <c r="O99" s="271">
        <f t="shared" ref="O99" si="384">N99/N98-1</f>
        <v>1.801069844057257E-2</v>
      </c>
      <c r="P99" s="350">
        <v>63.360000999999997</v>
      </c>
      <c r="Q99" s="271">
        <f t="shared" ref="Q99:S99" si="385">P99/P98-1</f>
        <v>2.5740666990448302E-2</v>
      </c>
      <c r="R99" s="350">
        <v>98.120002999999997</v>
      </c>
      <c r="S99" s="271">
        <f t="shared" si="385"/>
        <v>1.1859358442205314E-2</v>
      </c>
      <c r="T99" s="350">
        <v>16868.109375</v>
      </c>
      <c r="U99" s="273">
        <f t="shared" ref="U99" si="386">T99/T98-1</f>
        <v>7.1667496477803017E-3</v>
      </c>
    </row>
    <row r="100" spans="1:21" x14ac:dyDescent="0.25">
      <c r="A100" s="351">
        <v>44424</v>
      </c>
      <c r="B100" s="350">
        <v>158.35000600000001</v>
      </c>
      <c r="C100" s="271">
        <f t="shared" si="321"/>
        <v>1.1691809054643398E-2</v>
      </c>
      <c r="D100" s="350">
        <v>56.639999000000003</v>
      </c>
      <c r="E100" s="271">
        <f t="shared" si="321"/>
        <v>-1.0309295823868525E-2</v>
      </c>
      <c r="F100" s="350">
        <v>43.279998999999997</v>
      </c>
      <c r="G100" s="271">
        <f t="shared" ref="G100:I100" si="387">F100/F99-1</f>
        <v>2.3158638258451436E-3</v>
      </c>
      <c r="H100" s="350">
        <v>33.729999999999997</v>
      </c>
      <c r="I100" s="271">
        <f t="shared" si="387"/>
        <v>-9.3979151071341693E-3</v>
      </c>
      <c r="J100" s="350">
        <v>66.160004000000001</v>
      </c>
      <c r="K100" s="271">
        <f t="shared" ref="K100:M100" si="388">J100/J99-1</f>
        <v>8.9980783895076133E-3</v>
      </c>
      <c r="L100" s="350">
        <v>34.82</v>
      </c>
      <c r="M100" s="271">
        <f t="shared" si="388"/>
        <v>1.0740173853696078E-2</v>
      </c>
      <c r="N100" s="350">
        <v>36.599997999999999</v>
      </c>
      <c r="O100" s="271">
        <f t="shared" ref="O100" si="389">N100/N99-1</f>
        <v>-3.3535807592706801E-2</v>
      </c>
      <c r="P100" s="350">
        <v>63.490001999999997</v>
      </c>
      <c r="Q100" s="271">
        <f t="shared" ref="Q100:S100" si="390">P100/P99-1</f>
        <v>2.0517834272129054E-3</v>
      </c>
      <c r="R100" s="350">
        <v>96.739998</v>
      </c>
      <c r="S100" s="271">
        <f t="shared" si="390"/>
        <v>-1.4064461453389909E-2</v>
      </c>
      <c r="T100" s="350">
        <v>16516.679688</v>
      </c>
      <c r="U100" s="273">
        <f t="shared" ref="U100" si="391">T100/T99-1</f>
        <v>-2.0833970137806301E-2</v>
      </c>
    </row>
    <row r="101" spans="1:21" x14ac:dyDescent="0.25">
      <c r="A101" s="351">
        <v>44431</v>
      </c>
      <c r="B101" s="350">
        <v>154.94000199999999</v>
      </c>
      <c r="C101" s="271">
        <f t="shared" si="321"/>
        <v>-2.1534599752399242E-2</v>
      </c>
      <c r="D101" s="350">
        <v>55.650002000000001</v>
      </c>
      <c r="E101" s="271">
        <f t="shared" si="321"/>
        <v>-1.7478760901814328E-2</v>
      </c>
      <c r="F101" s="350">
        <v>41.400002000000001</v>
      </c>
      <c r="G101" s="271">
        <f t="shared" ref="G101:I101" si="392">F101/F100-1</f>
        <v>-4.3438009321580484E-2</v>
      </c>
      <c r="H101" s="350">
        <v>33.049999</v>
      </c>
      <c r="I101" s="271">
        <f t="shared" si="392"/>
        <v>-2.0160124518232903E-2</v>
      </c>
      <c r="J101" s="350">
        <v>63.279998999999997</v>
      </c>
      <c r="K101" s="271">
        <f t="shared" ref="K101:M101" si="393">J101/J100-1</f>
        <v>-4.3530907283500175E-2</v>
      </c>
      <c r="L101" s="350">
        <v>35.130001</v>
      </c>
      <c r="M101" s="271">
        <f t="shared" si="393"/>
        <v>8.9029580700745736E-3</v>
      </c>
      <c r="N101" s="350">
        <v>36.380001</v>
      </c>
      <c r="O101" s="271">
        <f t="shared" ref="O101" si="394">N101/N100-1</f>
        <v>-6.0108473229970594E-3</v>
      </c>
      <c r="P101" s="350">
        <v>61.889999000000003</v>
      </c>
      <c r="Q101" s="271">
        <f t="shared" ref="Q101:S101" si="395">P101/P100-1</f>
        <v>-2.5200865484300894E-2</v>
      </c>
      <c r="R101" s="350">
        <v>97.330001999999993</v>
      </c>
      <c r="S101" s="271">
        <f t="shared" si="395"/>
        <v>6.0988630576568337E-3</v>
      </c>
      <c r="T101" s="350">
        <v>16844.75</v>
      </c>
      <c r="U101" s="273">
        <f t="shared" ref="U101" si="396">T101/T100-1</f>
        <v>1.9862969930836361E-2</v>
      </c>
    </row>
    <row r="102" spans="1:21" x14ac:dyDescent="0.25">
      <c r="A102" s="351">
        <v>44438</v>
      </c>
      <c r="B102" s="350">
        <v>157.08999600000001</v>
      </c>
      <c r="C102" s="271">
        <f t="shared" si="321"/>
        <v>1.3876300324302537E-2</v>
      </c>
      <c r="D102" s="350">
        <v>56.73</v>
      </c>
      <c r="E102" s="271">
        <f t="shared" si="321"/>
        <v>1.9406971449884125E-2</v>
      </c>
      <c r="F102" s="350">
        <v>43.049999</v>
      </c>
      <c r="G102" s="271">
        <f t="shared" ref="G102:I102" si="397">F102/F101-1</f>
        <v>3.985499807463766E-2</v>
      </c>
      <c r="H102" s="350">
        <v>33.490001999999997</v>
      </c>
      <c r="I102" s="271">
        <f t="shared" si="397"/>
        <v>1.3313253050325269E-2</v>
      </c>
      <c r="J102" s="350">
        <v>63.439999</v>
      </c>
      <c r="K102" s="271">
        <f t="shared" ref="K102:M102" si="398">J102/J101-1</f>
        <v>2.5284450462776942E-3</v>
      </c>
      <c r="L102" s="350">
        <v>35.240001999999997</v>
      </c>
      <c r="M102" s="271">
        <f t="shared" si="398"/>
        <v>3.1312552481850275E-3</v>
      </c>
      <c r="N102" s="350">
        <v>35.830002</v>
      </c>
      <c r="O102" s="271">
        <f t="shared" ref="O102" si="399">N102/N101-1</f>
        <v>-1.5118168908241691E-2</v>
      </c>
      <c r="P102" s="350">
        <v>61.720001000000003</v>
      </c>
      <c r="Q102" s="271">
        <f t="shared" ref="Q102:S102" si="400">P102/P101-1</f>
        <v>-2.7467765834023883E-3</v>
      </c>
      <c r="R102" s="350">
        <v>97.580001999999993</v>
      </c>
      <c r="S102" s="271">
        <f t="shared" si="400"/>
        <v>2.568581063010722E-3</v>
      </c>
      <c r="T102" s="350">
        <v>16909.720702999999</v>
      </c>
      <c r="U102" s="273">
        <f t="shared" ref="U102" si="401">T102/T101-1</f>
        <v>3.8570298164115613E-3</v>
      </c>
    </row>
    <row r="103" spans="1:21" x14ac:dyDescent="0.25">
      <c r="A103" s="351">
        <v>44445</v>
      </c>
      <c r="B103" s="350">
        <v>155.46000699999999</v>
      </c>
      <c r="C103" s="271">
        <f t="shared" si="321"/>
        <v>-1.0376147695617899E-2</v>
      </c>
      <c r="D103" s="350">
        <v>55.610000999999997</v>
      </c>
      <c r="E103" s="271">
        <f t="shared" si="321"/>
        <v>-1.9742622950819633E-2</v>
      </c>
      <c r="F103" s="350">
        <v>43.150002000000001</v>
      </c>
      <c r="G103" s="271">
        <f t="shared" ref="G103:I103" si="402">F103/F102-1</f>
        <v>2.32295011203143E-3</v>
      </c>
      <c r="H103" s="350">
        <v>33.090000000000003</v>
      </c>
      <c r="I103" s="271">
        <f t="shared" si="402"/>
        <v>-1.1943922845988331E-2</v>
      </c>
      <c r="J103" s="350">
        <v>62.740001999999997</v>
      </c>
      <c r="K103" s="271">
        <f t="shared" ref="K103:M103" si="403">J103/J102-1</f>
        <v>-1.1034000804445165E-2</v>
      </c>
      <c r="L103" s="350">
        <v>34.830002</v>
      </c>
      <c r="M103" s="271">
        <f t="shared" si="403"/>
        <v>-1.1634505582604593E-2</v>
      </c>
      <c r="N103" s="350">
        <v>36.330002</v>
      </c>
      <c r="O103" s="271">
        <f t="shared" ref="O103" si="404">N103/N102-1</f>
        <v>1.3954785712822382E-2</v>
      </c>
      <c r="P103" s="350">
        <v>60.23</v>
      </c>
      <c r="Q103" s="271">
        <f t="shared" ref="Q103:S103" si="405">P103/P102-1</f>
        <v>-2.4141299025578489E-2</v>
      </c>
      <c r="R103" s="350">
        <v>95.919998000000007</v>
      </c>
      <c r="S103" s="271">
        <f t="shared" si="405"/>
        <v>-1.7011723365203291E-2</v>
      </c>
      <c r="T103" s="350">
        <v>16563.480468999998</v>
      </c>
      <c r="U103" s="273">
        <f t="shared" ref="U103" si="406">T103/T102-1</f>
        <v>-2.0475810338994704E-2</v>
      </c>
    </row>
    <row r="104" spans="1:21" x14ac:dyDescent="0.25">
      <c r="A104" s="351">
        <v>44452</v>
      </c>
      <c r="B104" s="350">
        <v>154.13000500000001</v>
      </c>
      <c r="C104" s="271">
        <f t="shared" si="321"/>
        <v>-8.5552678509783764E-3</v>
      </c>
      <c r="D104" s="350">
        <v>54.439999</v>
      </c>
      <c r="E104" s="271">
        <f t="shared" si="321"/>
        <v>-2.1039416992637672E-2</v>
      </c>
      <c r="F104" s="350">
        <v>43.189999</v>
      </c>
      <c r="G104" s="271">
        <f t="shared" ref="G104:I104" si="407">F104/F103-1</f>
        <v>9.269292733751211E-4</v>
      </c>
      <c r="H104" s="350">
        <v>33.470001000000003</v>
      </c>
      <c r="I104" s="271">
        <f t="shared" si="407"/>
        <v>1.1483862194016314E-2</v>
      </c>
      <c r="J104" s="350">
        <v>63.560001</v>
      </c>
      <c r="K104" s="271">
        <f t="shared" ref="K104:M104" si="408">J104/J103-1</f>
        <v>1.3069795566790221E-2</v>
      </c>
      <c r="L104" s="350">
        <v>34.909999999999997</v>
      </c>
      <c r="M104" s="271">
        <f t="shared" si="408"/>
        <v>2.29681296027473E-3</v>
      </c>
      <c r="N104" s="350">
        <v>36.549999</v>
      </c>
      <c r="O104" s="271">
        <f t="shared" ref="O104" si="409">N104/N103-1</f>
        <v>6.0555185215789287E-3</v>
      </c>
      <c r="P104" s="350">
        <v>60.939999</v>
      </c>
      <c r="Q104" s="271">
        <f t="shared" ref="Q104:S104" si="410">P104/P103-1</f>
        <v>1.1788128839448797E-2</v>
      </c>
      <c r="R104" s="350">
        <v>94.639999000000003</v>
      </c>
      <c r="S104" s="271">
        <f t="shared" si="410"/>
        <v>-1.3344443564312858E-2</v>
      </c>
      <c r="T104" s="350">
        <v>16460.349609000001</v>
      </c>
      <c r="U104" s="273">
        <f t="shared" ref="U104" si="411">T104/T103-1</f>
        <v>-6.22640031441557E-3</v>
      </c>
    </row>
    <row r="105" spans="1:21" x14ac:dyDescent="0.25">
      <c r="A105" s="351">
        <v>44459</v>
      </c>
      <c r="B105" s="350">
        <v>154.199997</v>
      </c>
      <c r="C105" s="271">
        <f t="shared" si="321"/>
        <v>4.5411015201080041E-4</v>
      </c>
      <c r="D105" s="350">
        <v>53.889999000000003</v>
      </c>
      <c r="E105" s="271">
        <f t="shared" si="321"/>
        <v>-1.0102865725622023E-2</v>
      </c>
      <c r="F105" s="350">
        <v>42.43</v>
      </c>
      <c r="G105" s="271">
        <f t="shared" ref="G105:I105" si="412">F105/F104-1</f>
        <v>-1.7596643148799385E-2</v>
      </c>
      <c r="H105" s="350">
        <v>33.349997999999999</v>
      </c>
      <c r="I105" s="271">
        <f t="shared" si="412"/>
        <v>-3.5853897942819124E-3</v>
      </c>
      <c r="J105" s="350">
        <v>63.779998999999997</v>
      </c>
      <c r="K105" s="271">
        <f t="shared" ref="K105:M105" si="413">J105/J104-1</f>
        <v>3.461264892050453E-3</v>
      </c>
      <c r="L105" s="350">
        <v>33.869999</v>
      </c>
      <c r="M105" s="271">
        <f t="shared" si="413"/>
        <v>-2.9790919507304392E-2</v>
      </c>
      <c r="N105" s="350">
        <v>36.389999000000003</v>
      </c>
      <c r="O105" s="271">
        <f t="shared" ref="O105" si="414">N105/N104-1</f>
        <v>-4.3775650992492476E-3</v>
      </c>
      <c r="P105" s="350">
        <v>60.360000999999997</v>
      </c>
      <c r="Q105" s="271">
        <f t="shared" ref="Q105:S105" si="415">P105/P104-1</f>
        <v>-9.5175255910325829E-3</v>
      </c>
      <c r="R105" s="350">
        <v>92.739998</v>
      </c>
      <c r="S105" s="271">
        <f t="shared" si="415"/>
        <v>-2.0076088546873372E-2</v>
      </c>
      <c r="T105" s="350">
        <v>16539.150390999999</v>
      </c>
      <c r="U105" s="273">
        <f t="shared" ref="U105" si="416">T105/T104-1</f>
        <v>4.7873091320558281E-3</v>
      </c>
    </row>
    <row r="106" spans="1:21" x14ac:dyDescent="0.25">
      <c r="A106" s="351">
        <v>44466</v>
      </c>
      <c r="B106" s="350">
        <v>150.949997</v>
      </c>
      <c r="C106" s="271">
        <f t="shared" si="321"/>
        <v>-2.1076524404861074E-2</v>
      </c>
      <c r="D106" s="350">
        <v>53.02</v>
      </c>
      <c r="E106" s="271">
        <f t="shared" si="321"/>
        <v>-1.614397877424345E-2</v>
      </c>
      <c r="F106" s="350">
        <v>41.529998999999997</v>
      </c>
      <c r="G106" s="271">
        <f t="shared" ref="G106:I106" si="417">F106/F105-1</f>
        <v>-2.1211430591562608E-2</v>
      </c>
      <c r="H106" s="350">
        <v>33.700001</v>
      </c>
      <c r="I106" s="271">
        <f t="shared" si="417"/>
        <v>1.0494843208086468E-2</v>
      </c>
      <c r="J106" s="350">
        <v>63.869999</v>
      </c>
      <c r="K106" s="271">
        <f t="shared" ref="K106:M106" si="418">J106/J105-1</f>
        <v>1.4111006806380999E-3</v>
      </c>
      <c r="L106" s="350">
        <v>33.200001</v>
      </c>
      <c r="M106" s="271">
        <f t="shared" si="418"/>
        <v>-1.9781459101903098E-2</v>
      </c>
      <c r="N106" s="350">
        <v>36.68</v>
      </c>
      <c r="O106" s="271">
        <f t="shared" ref="O106" si="419">N106/N105-1</f>
        <v>7.9692500128949462E-3</v>
      </c>
      <c r="P106" s="350">
        <v>58.209999000000003</v>
      </c>
      <c r="Q106" s="271">
        <f t="shared" ref="Q106:S106" si="420">P106/P105-1</f>
        <v>-3.5619648183902397E-2</v>
      </c>
      <c r="R106" s="350">
        <v>89.879997000000003</v>
      </c>
      <c r="S106" s="271">
        <f t="shared" si="420"/>
        <v>-3.0838915911988618E-2</v>
      </c>
      <c r="T106" s="350">
        <v>16323.740234000001</v>
      </c>
      <c r="U106" s="273">
        <f t="shared" ref="U106" si="421">T106/T105-1</f>
        <v>-1.3024257710191445E-2</v>
      </c>
    </row>
    <row r="107" spans="1:21" x14ac:dyDescent="0.25">
      <c r="A107" s="351">
        <v>44473</v>
      </c>
      <c r="B107" s="350">
        <v>156.029999</v>
      </c>
      <c r="C107" s="271">
        <f t="shared" si="321"/>
        <v>3.3653541576420309E-2</v>
      </c>
      <c r="D107" s="350">
        <v>54.119999</v>
      </c>
      <c r="E107" s="271">
        <f t="shared" si="321"/>
        <v>2.0746869105997767E-2</v>
      </c>
      <c r="F107" s="350">
        <v>42.209999000000003</v>
      </c>
      <c r="G107" s="271">
        <f t="shared" ref="G107:I107" si="422">F107/F106-1</f>
        <v>1.6373706149138245E-2</v>
      </c>
      <c r="H107" s="350">
        <v>33.720001000000003</v>
      </c>
      <c r="I107" s="271">
        <f t="shared" si="422"/>
        <v>5.9347179247870585E-4</v>
      </c>
      <c r="J107" s="350">
        <v>62.689999</v>
      </c>
      <c r="K107" s="271">
        <f t="shared" ref="K107:M107" si="423">J107/J106-1</f>
        <v>-1.8475027688664936E-2</v>
      </c>
      <c r="L107" s="350">
        <v>35.040000999999997</v>
      </c>
      <c r="M107" s="271">
        <f t="shared" si="423"/>
        <v>5.5421685077659877E-2</v>
      </c>
      <c r="N107" s="350">
        <v>36.779998999999997</v>
      </c>
      <c r="O107" s="271">
        <f t="shared" ref="O107" si="424">N107/N106-1</f>
        <v>2.7262540894219534E-3</v>
      </c>
      <c r="P107" s="350">
        <v>59.540000999999997</v>
      </c>
      <c r="Q107" s="271">
        <f t="shared" ref="Q107:S107" si="425">P107/P106-1</f>
        <v>2.2848342601758054E-2</v>
      </c>
      <c r="R107" s="350">
        <v>89.269997000000004</v>
      </c>
      <c r="S107" s="271">
        <f t="shared" si="425"/>
        <v>-6.7868271068144415E-3</v>
      </c>
      <c r="T107" s="350">
        <v>16517.230468999998</v>
      </c>
      <c r="U107" s="273">
        <f t="shared" ref="U107" si="426">T107/T106-1</f>
        <v>1.1853302749634809E-2</v>
      </c>
    </row>
    <row r="108" spans="1:21" x14ac:dyDescent="0.25">
      <c r="A108" s="351">
        <v>44480</v>
      </c>
      <c r="B108" s="350">
        <v>158.80999800000001</v>
      </c>
      <c r="C108" s="271">
        <f t="shared" si="321"/>
        <v>1.7817080162898735E-2</v>
      </c>
      <c r="D108" s="350">
        <v>54.48</v>
      </c>
      <c r="E108" s="271">
        <f t="shared" si="321"/>
        <v>6.6519033010328243E-3</v>
      </c>
      <c r="F108" s="350">
        <v>41.16</v>
      </c>
      <c r="G108" s="271">
        <f t="shared" ref="G108:I108" si="427">F108/F107-1</f>
        <v>-2.4875598788808517E-2</v>
      </c>
      <c r="H108" s="350">
        <v>33.25</v>
      </c>
      <c r="I108" s="271">
        <f t="shared" si="427"/>
        <v>-1.3938344782374212E-2</v>
      </c>
      <c r="J108" s="350">
        <v>61.790000999999997</v>
      </c>
      <c r="K108" s="271">
        <f t="shared" ref="K108:M108" si="428">J108/J107-1</f>
        <v>-1.4356325001696146E-2</v>
      </c>
      <c r="L108" s="350">
        <v>35.310001</v>
      </c>
      <c r="M108" s="271">
        <f t="shared" si="428"/>
        <v>7.7054792321495924E-3</v>
      </c>
      <c r="N108" s="350">
        <v>36.979999999999997</v>
      </c>
      <c r="O108" s="271">
        <f t="shared" ref="O108" si="429">N108/N107-1</f>
        <v>5.4377652375683372E-3</v>
      </c>
      <c r="P108" s="350">
        <v>60.150002000000001</v>
      </c>
      <c r="Q108" s="271">
        <f t="shared" ref="Q108:S108" si="430">P108/P107-1</f>
        <v>1.0245229925340604E-2</v>
      </c>
      <c r="R108" s="350">
        <v>85.580001999999993</v>
      </c>
      <c r="S108" s="271">
        <f t="shared" si="430"/>
        <v>-4.1335220387651694E-2</v>
      </c>
      <c r="T108" s="350">
        <v>16871.740234000001</v>
      </c>
      <c r="U108" s="273">
        <f t="shared" ref="U108" si="431">T108/T107-1</f>
        <v>2.1463027089520637E-2</v>
      </c>
    </row>
    <row r="109" spans="1:21" x14ac:dyDescent="0.25">
      <c r="A109" s="351">
        <v>44487</v>
      </c>
      <c r="B109" s="350">
        <v>159.970001</v>
      </c>
      <c r="C109" s="271">
        <f t="shared" si="321"/>
        <v>7.3043449065466337E-3</v>
      </c>
      <c r="D109" s="350">
        <v>54.450001</v>
      </c>
      <c r="E109" s="271">
        <f t="shared" si="321"/>
        <v>-5.506424375917307E-4</v>
      </c>
      <c r="F109" s="350">
        <v>40.700001</v>
      </c>
      <c r="G109" s="271">
        <f t="shared" ref="G109:I109" si="432">F109/F108-1</f>
        <v>-1.1175874635568461E-2</v>
      </c>
      <c r="H109" s="350">
        <v>33.340000000000003</v>
      </c>
      <c r="I109" s="271">
        <f t="shared" si="432"/>
        <v>2.706766917293324E-3</v>
      </c>
      <c r="J109" s="350">
        <v>62.119999</v>
      </c>
      <c r="K109" s="271">
        <f t="shared" ref="K109:M109" si="433">J109/J108-1</f>
        <v>5.3406375571996012E-3</v>
      </c>
      <c r="L109" s="350">
        <v>34.659999999999997</v>
      </c>
      <c r="M109" s="271">
        <f t="shared" si="433"/>
        <v>-1.8408410693616317E-2</v>
      </c>
      <c r="N109" s="350">
        <v>36.380001</v>
      </c>
      <c r="O109" s="271">
        <f t="shared" ref="O109" si="434">N109/N108-1</f>
        <v>-1.622495943753377E-2</v>
      </c>
      <c r="P109" s="350">
        <v>60.52</v>
      </c>
      <c r="Q109" s="271">
        <f t="shared" ref="Q109:S109" si="435">P109/P108-1</f>
        <v>6.1512549908144809E-3</v>
      </c>
      <c r="R109" s="350">
        <v>84.730002999999996</v>
      </c>
      <c r="S109" s="271">
        <f t="shared" si="435"/>
        <v>-9.9322152387890661E-3</v>
      </c>
      <c r="T109" s="350">
        <v>17122.240234000001</v>
      </c>
      <c r="U109" s="273">
        <f t="shared" ref="U109" si="436">T109/T108-1</f>
        <v>1.4847312519380207E-2</v>
      </c>
    </row>
    <row r="110" spans="1:21" x14ac:dyDescent="0.25">
      <c r="A110" s="351">
        <v>44494</v>
      </c>
      <c r="B110" s="350">
        <v>161.60000600000001</v>
      </c>
      <c r="C110" s="271">
        <f t="shared" si="321"/>
        <v>1.018944170663616E-2</v>
      </c>
      <c r="D110" s="350">
        <v>56.369999</v>
      </c>
      <c r="E110" s="271">
        <f t="shared" si="321"/>
        <v>3.5261670610437612E-2</v>
      </c>
      <c r="F110" s="350">
        <v>39.950001</v>
      </c>
      <c r="G110" s="271">
        <f t="shared" ref="G110:I110" si="437">F110/F109-1</f>
        <v>-1.8427517974753838E-2</v>
      </c>
      <c r="H110" s="350">
        <v>32.200001</v>
      </c>
      <c r="I110" s="271">
        <f t="shared" si="437"/>
        <v>-3.4193131373725372E-2</v>
      </c>
      <c r="J110" s="350">
        <v>61.299999</v>
      </c>
      <c r="K110" s="271">
        <f t="shared" ref="K110:M110" si="438">J110/J109-1</f>
        <v>-1.3200257778497426E-2</v>
      </c>
      <c r="L110" s="350">
        <v>36.090000000000003</v>
      </c>
      <c r="M110" s="271">
        <f t="shared" si="438"/>
        <v>4.1257934218118963E-2</v>
      </c>
      <c r="N110" s="350">
        <v>35.889999000000003</v>
      </c>
      <c r="O110" s="271">
        <f t="shared" ref="O110" si="439">N110/N109-1</f>
        <v>-1.3468993582490429E-2</v>
      </c>
      <c r="P110" s="350">
        <v>60.740001999999997</v>
      </c>
      <c r="Q110" s="271">
        <f t="shared" ref="Q110:S110" si="440">P110/P109-1</f>
        <v>3.635194976867151E-3</v>
      </c>
      <c r="R110" s="350">
        <v>85</v>
      </c>
      <c r="S110" s="271">
        <f t="shared" si="440"/>
        <v>3.1865571868325837E-3</v>
      </c>
      <c r="T110" s="350">
        <v>17016.410156000002</v>
      </c>
      <c r="U110" s="273">
        <f t="shared" ref="U110" si="441">T110/T109-1</f>
        <v>-6.1808546401451725E-3</v>
      </c>
    </row>
    <row r="111" spans="1:21" x14ac:dyDescent="0.25">
      <c r="A111" s="351">
        <v>44501</v>
      </c>
      <c r="B111" s="350">
        <v>166</v>
      </c>
      <c r="C111" s="271">
        <f t="shared" si="321"/>
        <v>2.7227684632635363E-2</v>
      </c>
      <c r="D111" s="350">
        <v>56.84</v>
      </c>
      <c r="E111" s="271">
        <f t="shared" si="321"/>
        <v>8.337786204324793E-3</v>
      </c>
      <c r="F111" s="350">
        <v>40.729999999999997</v>
      </c>
      <c r="G111" s="271">
        <f t="shared" ref="G111:I111" si="442">F111/F110-1</f>
        <v>1.9524379986874063E-2</v>
      </c>
      <c r="H111" s="350">
        <v>32.590000000000003</v>
      </c>
      <c r="I111" s="271">
        <f t="shared" si="442"/>
        <v>1.2111769810193573E-2</v>
      </c>
      <c r="J111" s="350">
        <v>62.560001</v>
      </c>
      <c r="K111" s="271">
        <f t="shared" ref="K111:M111" si="443">J111/J110-1</f>
        <v>2.0554682227645671E-2</v>
      </c>
      <c r="L111" s="350">
        <v>36.380001</v>
      </c>
      <c r="M111" s="271">
        <f t="shared" si="443"/>
        <v>8.0354945968410529E-3</v>
      </c>
      <c r="N111" s="350">
        <v>37.840000000000003</v>
      </c>
      <c r="O111" s="271">
        <f t="shared" ref="O111" si="444">N111/N110-1</f>
        <v>5.4332712575444697E-2</v>
      </c>
      <c r="P111" s="350">
        <v>62.259998000000003</v>
      </c>
      <c r="Q111" s="271">
        <f t="shared" ref="Q111:S111" si="445">P111/P110-1</f>
        <v>2.5024628744661603E-2</v>
      </c>
      <c r="R111" s="350">
        <v>91.629997000000003</v>
      </c>
      <c r="S111" s="271">
        <f t="shared" si="445"/>
        <v>7.7999964705882441E-2</v>
      </c>
      <c r="T111" s="350">
        <v>17242.359375</v>
      </c>
      <c r="U111" s="273">
        <f t="shared" ref="U111" si="446">T111/T110-1</f>
        <v>1.3278312930199876E-2</v>
      </c>
    </row>
    <row r="112" spans="1:21" x14ac:dyDescent="0.25">
      <c r="A112" s="351">
        <v>44508</v>
      </c>
      <c r="B112" s="350">
        <v>162.64999399999999</v>
      </c>
      <c r="C112" s="271">
        <f t="shared" si="321"/>
        <v>-2.018075903614458E-2</v>
      </c>
      <c r="D112" s="350">
        <v>56.610000999999997</v>
      </c>
      <c r="E112" s="271">
        <f t="shared" si="321"/>
        <v>-4.046428571428673E-3</v>
      </c>
      <c r="F112" s="350">
        <v>41.549999</v>
      </c>
      <c r="G112" s="271">
        <f t="shared" ref="G112:I112" si="447">F112/F111-1</f>
        <v>2.0132555855634671E-2</v>
      </c>
      <c r="H112" s="350">
        <v>32.25</v>
      </c>
      <c r="I112" s="271">
        <f t="shared" si="447"/>
        <v>-1.0432648051549642E-2</v>
      </c>
      <c r="J112" s="350">
        <v>63.220001000000003</v>
      </c>
      <c r="K112" s="271">
        <f t="shared" ref="K112:M112" si="448">J112/J111-1</f>
        <v>1.0549871954126155E-2</v>
      </c>
      <c r="L112" s="350">
        <v>35.669998</v>
      </c>
      <c r="M112" s="271">
        <f t="shared" si="448"/>
        <v>-1.9516299628469014E-2</v>
      </c>
      <c r="N112" s="350">
        <v>37.220001000000003</v>
      </c>
      <c r="O112" s="271">
        <f t="shared" ref="O112" si="449">N112/N111-1</f>
        <v>-1.6384751585623691E-2</v>
      </c>
      <c r="P112" s="350">
        <v>62.779998999999997</v>
      </c>
      <c r="Q112" s="271">
        <f t="shared" ref="Q112:S112" si="450">P112/P111-1</f>
        <v>8.3520882862859747E-3</v>
      </c>
      <c r="R112" s="350">
        <v>92.059997999999993</v>
      </c>
      <c r="S112" s="271">
        <f t="shared" si="450"/>
        <v>4.6927972724912781E-3</v>
      </c>
      <c r="T112" s="350">
        <v>17297.660156000002</v>
      </c>
      <c r="U112" s="273">
        <f t="shared" ref="U112" si="451">T112/T111-1</f>
        <v>3.2072629851447321E-3</v>
      </c>
    </row>
    <row r="113" spans="1:21" x14ac:dyDescent="0.25">
      <c r="A113" s="351">
        <v>44515</v>
      </c>
      <c r="B113" s="350">
        <v>163.80999800000001</v>
      </c>
      <c r="C113" s="271">
        <f t="shared" si="321"/>
        <v>7.1319031219885254E-3</v>
      </c>
      <c r="D113" s="350">
        <v>55.130001</v>
      </c>
      <c r="E113" s="271">
        <f t="shared" si="321"/>
        <v>-2.6143790387850308E-2</v>
      </c>
      <c r="F113" s="350">
        <v>40.580002</v>
      </c>
      <c r="G113" s="271">
        <f t="shared" ref="G113:I113" si="452">F113/F112-1</f>
        <v>-2.3345295387371734E-2</v>
      </c>
      <c r="H113" s="350">
        <v>30.719999000000001</v>
      </c>
      <c r="I113" s="271">
        <f t="shared" si="452"/>
        <v>-4.7441891472868147E-2</v>
      </c>
      <c r="J113" s="350">
        <v>61.93</v>
      </c>
      <c r="K113" s="271">
        <f t="shared" ref="K113:M113" si="453">J113/J112-1</f>
        <v>-2.0404950642123554E-2</v>
      </c>
      <c r="L113" s="350">
        <v>35.159999999999997</v>
      </c>
      <c r="M113" s="271">
        <f t="shared" si="453"/>
        <v>-1.4297673916326081E-2</v>
      </c>
      <c r="N113" s="350">
        <v>35.340000000000003</v>
      </c>
      <c r="O113" s="271">
        <f t="shared" ref="O113" si="454">N113/N112-1</f>
        <v>-5.0510503747702717E-2</v>
      </c>
      <c r="P113" s="350">
        <v>60.52</v>
      </c>
      <c r="Q113" s="271">
        <f t="shared" ref="Q113:S113" si="455">P113/P112-1</f>
        <v>-3.5998710353595142E-2</v>
      </c>
      <c r="R113" s="350">
        <v>89.300003000000004</v>
      </c>
      <c r="S113" s="271">
        <f t="shared" si="455"/>
        <v>-2.998039387313467E-2</v>
      </c>
      <c r="T113" s="350">
        <v>16973.960938</v>
      </c>
      <c r="U113" s="273">
        <f t="shared" ref="U113" si="456">T113/T112-1</f>
        <v>-1.8713468473810946E-2</v>
      </c>
    </row>
    <row r="114" spans="1:21" x14ac:dyDescent="0.25">
      <c r="A114" s="351">
        <v>44522</v>
      </c>
      <c r="B114" s="350">
        <v>161.13999899999999</v>
      </c>
      <c r="C114" s="271">
        <f t="shared" si="321"/>
        <v>-1.6299365317128056E-2</v>
      </c>
      <c r="D114" s="350">
        <v>53.73</v>
      </c>
      <c r="E114" s="271">
        <f t="shared" si="321"/>
        <v>-2.539453971713157E-2</v>
      </c>
      <c r="F114" s="350">
        <v>41.52</v>
      </c>
      <c r="G114" s="271">
        <f t="shared" ref="G114:I114" si="457">F114/F113-1</f>
        <v>2.3164069829272105E-2</v>
      </c>
      <c r="H114" s="350">
        <v>31.6</v>
      </c>
      <c r="I114" s="271">
        <f t="shared" si="457"/>
        <v>2.8645866817899268E-2</v>
      </c>
      <c r="J114" s="350">
        <v>63.639999000000003</v>
      </c>
      <c r="K114" s="271">
        <f t="shared" ref="K114:M114" si="458">J114/J113-1</f>
        <v>2.7611803649281397E-2</v>
      </c>
      <c r="L114" s="350">
        <v>34.979999999999997</v>
      </c>
      <c r="M114" s="271">
        <f t="shared" si="458"/>
        <v>-5.1194539249146409E-3</v>
      </c>
      <c r="N114" s="350">
        <v>34.830002</v>
      </c>
      <c r="O114" s="271">
        <f t="shared" ref="O114" si="459">N114/N113-1</f>
        <v>-1.4431182795698994E-2</v>
      </c>
      <c r="P114" s="350">
        <v>60.25</v>
      </c>
      <c r="Q114" s="271">
        <f t="shared" ref="Q114:S114" si="460">P114/P113-1</f>
        <v>-4.4613350958361275E-3</v>
      </c>
      <c r="R114" s="350">
        <v>87.050003000000004</v>
      </c>
      <c r="S114" s="271">
        <f t="shared" si="460"/>
        <v>-2.5195967798567698E-2</v>
      </c>
      <c r="T114" s="350">
        <v>16624.869140999999</v>
      </c>
      <c r="U114" s="273">
        <f t="shared" ref="U114" si="461">T114/T113-1</f>
        <v>-2.0566313206158093E-2</v>
      </c>
    </row>
    <row r="115" spans="1:21" x14ac:dyDescent="0.25">
      <c r="A115" s="351">
        <v>44529</v>
      </c>
      <c r="B115" s="350">
        <v>164.71000699999999</v>
      </c>
      <c r="C115" s="271">
        <f t="shared" si="321"/>
        <v>2.2154697915816701E-2</v>
      </c>
      <c r="D115" s="350">
        <v>53.540000999999997</v>
      </c>
      <c r="E115" s="271">
        <f t="shared" si="321"/>
        <v>-3.5361809045225678E-3</v>
      </c>
      <c r="F115" s="350">
        <v>41.130001</v>
      </c>
      <c r="G115" s="271">
        <f t="shared" ref="G115:I115" si="462">F115/F114-1</f>
        <v>-9.3930394990366928E-3</v>
      </c>
      <c r="H115" s="350">
        <v>31.370000999999998</v>
      </c>
      <c r="I115" s="271">
        <f t="shared" si="462"/>
        <v>-7.2784493670886574E-3</v>
      </c>
      <c r="J115" s="350">
        <v>63</v>
      </c>
      <c r="K115" s="271">
        <f t="shared" ref="K115:M115" si="463">J115/J114-1</f>
        <v>-1.0056552640737793E-2</v>
      </c>
      <c r="L115" s="350">
        <v>34.470001000000003</v>
      </c>
      <c r="M115" s="271">
        <f t="shared" si="463"/>
        <v>-1.4579731275014107E-2</v>
      </c>
      <c r="N115" s="350">
        <v>33.639999000000003</v>
      </c>
      <c r="O115" s="271">
        <f t="shared" ref="O115" si="464">N115/N114-1</f>
        <v>-3.4166033065401447E-2</v>
      </c>
      <c r="P115" s="350">
        <v>60.259998000000003</v>
      </c>
      <c r="Q115" s="271">
        <f t="shared" ref="Q115:S115" si="465">P115/P114-1</f>
        <v>1.6594190871366266E-4</v>
      </c>
      <c r="R115" s="350">
        <v>83.699996999999996</v>
      </c>
      <c r="S115" s="271">
        <f t="shared" si="465"/>
        <v>-3.8483697697287877E-2</v>
      </c>
      <c r="T115" s="350">
        <v>16347.870117</v>
      </c>
      <c r="U115" s="273">
        <f t="shared" ref="U115" si="466">T115/T114-1</f>
        <v>-1.6661726576654212E-2</v>
      </c>
    </row>
    <row r="116" spans="1:21" x14ac:dyDescent="0.25">
      <c r="A116" s="351">
        <v>44536</v>
      </c>
      <c r="B116" s="350">
        <v>168.970001</v>
      </c>
      <c r="C116" s="271">
        <f t="shared" si="321"/>
        <v>2.5863601596471275E-2</v>
      </c>
      <c r="D116" s="350">
        <v>56.279998999999997</v>
      </c>
      <c r="E116" s="271">
        <f t="shared" si="321"/>
        <v>5.1176652013883883E-2</v>
      </c>
      <c r="F116" s="350">
        <v>43.150002000000001</v>
      </c>
      <c r="G116" s="271">
        <f t="shared" ref="G116:I116" si="467">F116/F115-1</f>
        <v>4.9112593019387418E-2</v>
      </c>
      <c r="H116" s="350">
        <v>32.080002</v>
      </c>
      <c r="I116" s="271">
        <f t="shared" si="467"/>
        <v>2.2633120094577075E-2</v>
      </c>
      <c r="J116" s="350">
        <v>62.619999</v>
      </c>
      <c r="K116" s="271">
        <f t="shared" ref="K116:M116" si="468">J116/J115-1</f>
        <v>-6.0317619047619564E-3</v>
      </c>
      <c r="L116" s="350">
        <v>35.32</v>
      </c>
      <c r="M116" s="271">
        <f t="shared" si="468"/>
        <v>2.4659094149721561E-2</v>
      </c>
      <c r="N116" s="350">
        <v>34.150002000000001</v>
      </c>
      <c r="O116" s="271">
        <f t="shared" ref="O116" si="469">N116/N115-1</f>
        <v>1.5160612816902841E-2</v>
      </c>
      <c r="P116" s="350">
        <v>62.259998000000003</v>
      </c>
      <c r="Q116" s="271">
        <f t="shared" ref="Q116:S116" si="470">P116/P115-1</f>
        <v>3.3189513215715616E-2</v>
      </c>
      <c r="R116" s="350">
        <v>89.550003000000004</v>
      </c>
      <c r="S116" s="271">
        <f t="shared" si="470"/>
        <v>6.9892547307976782E-2</v>
      </c>
      <c r="T116" s="350">
        <v>16856.630859000001</v>
      </c>
      <c r="U116" s="273">
        <f t="shared" ref="U116" si="471">T116/T115-1</f>
        <v>3.1120919016290882E-2</v>
      </c>
    </row>
    <row r="117" spans="1:21" x14ac:dyDescent="0.25">
      <c r="A117" s="351">
        <v>44543</v>
      </c>
      <c r="B117" s="350">
        <v>168.300003</v>
      </c>
      <c r="C117" s="271">
        <f t="shared" si="321"/>
        <v>-3.9651890633533027E-3</v>
      </c>
      <c r="D117" s="350">
        <v>57.73</v>
      </c>
      <c r="E117" s="271">
        <f t="shared" si="321"/>
        <v>2.5764055184151591E-2</v>
      </c>
      <c r="F117" s="350">
        <v>43.119999</v>
      </c>
      <c r="G117" s="271">
        <f t="shared" ref="G117:I117" si="472">F117/F116-1</f>
        <v>-6.9531862362370855E-4</v>
      </c>
      <c r="H117" s="350">
        <v>34.580002</v>
      </c>
      <c r="I117" s="271">
        <f t="shared" si="472"/>
        <v>7.7930169705101582E-2</v>
      </c>
      <c r="J117" s="350">
        <v>64.449996999999996</v>
      </c>
      <c r="K117" s="271">
        <f t="shared" ref="K117:M117" si="473">J117/J116-1</f>
        <v>2.9223858658956381E-2</v>
      </c>
      <c r="L117" s="350">
        <v>35.68</v>
      </c>
      <c r="M117" s="271">
        <f t="shared" si="473"/>
        <v>1.0192525481313774E-2</v>
      </c>
      <c r="N117" s="350">
        <v>35.509998000000003</v>
      </c>
      <c r="O117" s="271">
        <f t="shared" ref="O117" si="474">N117/N116-1</f>
        <v>3.9824185076182461E-2</v>
      </c>
      <c r="P117" s="350">
        <v>64.959998999999996</v>
      </c>
      <c r="Q117" s="271">
        <f t="shared" ref="Q117:S117" si="475">P117/P116-1</f>
        <v>4.336654492022296E-2</v>
      </c>
      <c r="R117" s="350">
        <v>91.620002999999997</v>
      </c>
      <c r="S117" s="271">
        <f t="shared" si="475"/>
        <v>2.3115577115055963E-2</v>
      </c>
      <c r="T117" s="350">
        <v>16668.640625</v>
      </c>
      <c r="U117" s="273">
        <f t="shared" ref="U117" si="476">T117/T116-1</f>
        <v>-1.1152301760207872E-2</v>
      </c>
    </row>
    <row r="118" spans="1:21" x14ac:dyDescent="0.25">
      <c r="A118" s="351">
        <v>44550</v>
      </c>
      <c r="B118" s="350">
        <v>169.779999</v>
      </c>
      <c r="C118" s="271">
        <f t="shared" si="321"/>
        <v>8.7937966346915974E-3</v>
      </c>
      <c r="D118" s="350">
        <v>58.220001000000003</v>
      </c>
      <c r="E118" s="271">
        <f t="shared" si="321"/>
        <v>8.4878053005370546E-3</v>
      </c>
      <c r="F118" s="350">
        <v>41.959999000000003</v>
      </c>
      <c r="G118" s="271">
        <f t="shared" ref="G118:I118" si="477">F118/F117-1</f>
        <v>-2.6901670382691756E-2</v>
      </c>
      <c r="H118" s="350">
        <v>33.330002</v>
      </c>
      <c r="I118" s="271">
        <f t="shared" si="477"/>
        <v>-3.6148060373160207E-2</v>
      </c>
      <c r="J118" s="350">
        <v>62.869999</v>
      </c>
      <c r="K118" s="271">
        <f t="shared" ref="K118:M118" si="478">J118/J117-1</f>
        <v>-2.4515098115520439E-2</v>
      </c>
      <c r="L118" s="350">
        <v>35.939999</v>
      </c>
      <c r="M118" s="271">
        <f t="shared" si="478"/>
        <v>7.2869674887892089E-3</v>
      </c>
      <c r="N118" s="350">
        <v>35.25</v>
      </c>
      <c r="O118" s="271">
        <f t="shared" ref="O118" si="479">N118/N117-1</f>
        <v>-7.3218252504548831E-3</v>
      </c>
      <c r="P118" s="350">
        <v>64.940002000000007</v>
      </c>
      <c r="Q118" s="271">
        <f t="shared" ref="Q118:S118" si="480">P118/P117-1</f>
        <v>-3.0783559587166387E-4</v>
      </c>
      <c r="R118" s="350">
        <v>93.839995999999999</v>
      </c>
      <c r="S118" s="271">
        <f t="shared" si="480"/>
        <v>2.4230440158357069E-2</v>
      </c>
      <c r="T118" s="350">
        <v>16963.439452999999</v>
      </c>
      <c r="U118" s="273">
        <f t="shared" ref="U118" si="481">T118/T117-1</f>
        <v>1.7685835013915518E-2</v>
      </c>
    </row>
    <row r="119" spans="1:21" x14ac:dyDescent="0.25">
      <c r="A119" s="351">
        <v>44557</v>
      </c>
      <c r="B119" s="350">
        <v>173.71000699999999</v>
      </c>
      <c r="C119" s="271">
        <f t="shared" si="321"/>
        <v>2.3147650036209333E-2</v>
      </c>
      <c r="D119" s="350">
        <v>59.209999000000003</v>
      </c>
      <c r="E119" s="271">
        <f t="shared" si="321"/>
        <v>1.7004431174777901E-2</v>
      </c>
      <c r="F119" s="350">
        <v>43.459999000000003</v>
      </c>
      <c r="G119" s="271">
        <f t="shared" ref="G119:I119" si="482">F119/F118-1</f>
        <v>3.5748332596480692E-2</v>
      </c>
      <c r="H119" s="350">
        <v>34.150002000000001</v>
      </c>
      <c r="I119" s="271">
        <f t="shared" si="482"/>
        <v>2.4602458769729552E-2</v>
      </c>
      <c r="J119" s="350">
        <v>64.419998000000007</v>
      </c>
      <c r="K119" s="271">
        <f t="shared" ref="K119:M119" si="483">J119/J118-1</f>
        <v>2.4654032521934877E-2</v>
      </c>
      <c r="L119" s="350">
        <v>36.860000999999997</v>
      </c>
      <c r="M119" s="271">
        <f t="shared" si="483"/>
        <v>2.5598275614865607E-2</v>
      </c>
      <c r="N119" s="350">
        <v>35.900002000000001</v>
      </c>
      <c r="O119" s="271">
        <f t="shared" ref="O119" si="484">N119/N118-1</f>
        <v>1.8439773049645503E-2</v>
      </c>
      <c r="P119" s="350">
        <v>66.309997999999993</v>
      </c>
      <c r="Q119" s="271">
        <f t="shared" ref="Q119:S119" si="485">P119/P118-1</f>
        <v>2.1096334428816199E-2</v>
      </c>
      <c r="R119" s="350">
        <v>96.040001000000004</v>
      </c>
      <c r="S119" s="271">
        <f t="shared" si="485"/>
        <v>2.3444214554314335E-2</v>
      </c>
      <c r="T119" s="350">
        <v>17164.130859000001</v>
      </c>
      <c r="U119" s="273">
        <f t="shared" ref="U119" si="486">T119/T118-1</f>
        <v>1.1830820427428668E-2</v>
      </c>
    </row>
    <row r="120" spans="1:21" x14ac:dyDescent="0.25">
      <c r="A120" s="351">
        <v>44564</v>
      </c>
      <c r="B120" s="350">
        <v>174.08000200000001</v>
      </c>
      <c r="C120" s="271">
        <f t="shared" si="321"/>
        <v>2.129957890105949E-3</v>
      </c>
      <c r="D120" s="350">
        <v>60.330002</v>
      </c>
      <c r="E120" s="271">
        <f t="shared" si="321"/>
        <v>1.8915774681907971E-2</v>
      </c>
      <c r="F120" s="350">
        <v>45.849997999999999</v>
      </c>
      <c r="G120" s="271">
        <f t="shared" ref="G120:I120" si="487">F120/F119-1</f>
        <v>5.4993075356490451E-2</v>
      </c>
      <c r="H120" s="350">
        <v>34.75</v>
      </c>
      <c r="I120" s="271">
        <f t="shared" si="487"/>
        <v>1.7569486525945033E-2</v>
      </c>
      <c r="J120" s="350">
        <v>66.599997999999999</v>
      </c>
      <c r="K120" s="271">
        <f t="shared" ref="K120:M120" si="488">J120/J119-1</f>
        <v>3.3840423279739795E-2</v>
      </c>
      <c r="L120" s="350">
        <v>37.299999</v>
      </c>
      <c r="M120" s="271">
        <f t="shared" si="488"/>
        <v>1.1937004559495312E-2</v>
      </c>
      <c r="N120" s="350">
        <v>37.349997999999999</v>
      </c>
      <c r="O120" s="271">
        <f t="shared" ref="O120" si="489">N120/N119-1</f>
        <v>4.038985847410248E-2</v>
      </c>
      <c r="P120" s="350">
        <v>67.550003000000004</v>
      </c>
      <c r="Q120" s="271">
        <f t="shared" ref="Q120:S120" si="490">P120/P119-1</f>
        <v>1.8700121209474396E-2</v>
      </c>
      <c r="R120" s="350">
        <v>94.059997999999993</v>
      </c>
      <c r="S120" s="271">
        <f t="shared" si="490"/>
        <v>-2.0616440851557338E-2</v>
      </c>
      <c r="T120" s="350">
        <v>17166.279297000001</v>
      </c>
      <c r="U120" s="273">
        <f t="shared" ref="U120" si="491">T120/T119-1</f>
        <v>1.2517021791835781E-4</v>
      </c>
    </row>
    <row r="121" spans="1:21" x14ac:dyDescent="0.25">
      <c r="A121" s="351">
        <v>44571</v>
      </c>
      <c r="B121" s="350">
        <v>175.63999899999999</v>
      </c>
      <c r="C121" s="271">
        <f t="shared" si="321"/>
        <v>8.9613797224106229E-3</v>
      </c>
      <c r="D121" s="350">
        <v>61.389999000000003</v>
      </c>
      <c r="E121" s="271">
        <f t="shared" si="321"/>
        <v>1.756998118448605E-2</v>
      </c>
      <c r="F121" s="350">
        <v>46.380001</v>
      </c>
      <c r="G121" s="271">
        <f t="shared" ref="G121:I121" si="492">F121/F120-1</f>
        <v>1.1559498868462414E-2</v>
      </c>
      <c r="H121" s="350">
        <v>35.110000999999997</v>
      </c>
      <c r="I121" s="271">
        <f t="shared" si="492"/>
        <v>1.0359741007194057E-2</v>
      </c>
      <c r="J121" s="350">
        <v>67.529999000000004</v>
      </c>
      <c r="K121" s="271">
        <f t="shared" ref="K121:M121" si="493">J121/J120-1</f>
        <v>1.3963979398317727E-2</v>
      </c>
      <c r="L121" s="350">
        <v>39.279998999999997</v>
      </c>
      <c r="M121" s="271">
        <f t="shared" si="493"/>
        <v>5.3083111342710598E-2</v>
      </c>
      <c r="N121" s="350">
        <v>38.020000000000003</v>
      </c>
      <c r="O121" s="271">
        <f t="shared" ref="O121" si="494">N121/N120-1</f>
        <v>1.7938474856143305E-2</v>
      </c>
      <c r="P121" s="350">
        <v>68.099997999999999</v>
      </c>
      <c r="Q121" s="271">
        <f t="shared" ref="Q121:S121" si="495">P121/P120-1</f>
        <v>8.142042569561303E-3</v>
      </c>
      <c r="R121" s="350">
        <v>89.910004000000001</v>
      </c>
      <c r="S121" s="271">
        <f t="shared" si="495"/>
        <v>-4.4120711123127987E-2</v>
      </c>
      <c r="T121" s="350">
        <v>17219.060547000001</v>
      </c>
      <c r="U121" s="273">
        <f t="shared" ref="U121" si="496">T121/T120-1</f>
        <v>3.0747053037418759E-3</v>
      </c>
    </row>
    <row r="122" spans="1:21" x14ac:dyDescent="0.25">
      <c r="A122" s="351">
        <v>44578</v>
      </c>
      <c r="B122" s="350">
        <v>174.220001</v>
      </c>
      <c r="C122" s="271">
        <f t="shared" si="321"/>
        <v>-8.0847074019853027E-3</v>
      </c>
      <c r="D122" s="350">
        <v>60.450001</v>
      </c>
      <c r="E122" s="271">
        <f t="shared" si="321"/>
        <v>-1.5311907726208052E-2</v>
      </c>
      <c r="F122" s="350">
        <v>45.299999</v>
      </c>
      <c r="G122" s="271">
        <f t="shared" ref="G122:I122" si="497">F122/F121-1</f>
        <v>-2.3285941714404013E-2</v>
      </c>
      <c r="H122" s="350">
        <v>35.25</v>
      </c>
      <c r="I122" s="271">
        <f t="shared" si="497"/>
        <v>3.987439362362899E-3</v>
      </c>
      <c r="J122" s="350">
        <v>66.610000999999997</v>
      </c>
      <c r="K122" s="271">
        <f t="shared" ref="K122:M122" si="498">J122/J121-1</f>
        <v>-1.3623545292811401E-2</v>
      </c>
      <c r="L122" s="350">
        <v>37.830002</v>
      </c>
      <c r="M122" s="271">
        <f t="shared" si="498"/>
        <v>-3.6914384850162407E-2</v>
      </c>
      <c r="N122" s="350">
        <v>37</v>
      </c>
      <c r="O122" s="271">
        <f t="shared" ref="O122" si="499">N122/N121-1</f>
        <v>-2.6827985270910126E-2</v>
      </c>
      <c r="P122" s="350">
        <v>68.360000999999997</v>
      </c>
      <c r="Q122" s="271">
        <f t="shared" ref="Q122:S122" si="500">P122/P121-1</f>
        <v>3.8179589961220284E-3</v>
      </c>
      <c r="R122" s="350">
        <v>85.620002999999997</v>
      </c>
      <c r="S122" s="271">
        <f t="shared" si="500"/>
        <v>-4.7714390047185473E-2</v>
      </c>
      <c r="T122" s="350">
        <v>16397.339843999998</v>
      </c>
      <c r="U122" s="273">
        <f t="shared" ref="U122" si="501">T122/T121-1</f>
        <v>-4.77215757942826E-2</v>
      </c>
    </row>
    <row r="123" spans="1:21" x14ac:dyDescent="0.25">
      <c r="A123" s="351">
        <v>44585</v>
      </c>
      <c r="B123" s="350">
        <v>172.66999799999999</v>
      </c>
      <c r="C123" s="271">
        <f t="shared" si="321"/>
        <v>-8.8968143215657491E-3</v>
      </c>
      <c r="D123" s="350">
        <v>60.84</v>
      </c>
      <c r="E123" s="271">
        <f t="shared" si="321"/>
        <v>6.4515962539024585E-3</v>
      </c>
      <c r="F123" s="350">
        <v>44.220001000000003</v>
      </c>
      <c r="G123" s="271">
        <f t="shared" ref="G123:I123" si="502">F123/F122-1</f>
        <v>-2.384101597883026E-2</v>
      </c>
      <c r="H123" s="350">
        <v>35.340000000000003</v>
      </c>
      <c r="I123" s="271">
        <f t="shared" si="502"/>
        <v>2.553191489361728E-3</v>
      </c>
      <c r="J123" s="350">
        <v>65.260002</v>
      </c>
      <c r="K123" s="271">
        <f t="shared" ref="K123:M123" si="503">J123/J122-1</f>
        <v>-2.0267211826043963E-2</v>
      </c>
      <c r="L123" s="350">
        <v>37.639999000000003</v>
      </c>
      <c r="M123" s="271">
        <f t="shared" si="503"/>
        <v>-5.0225479766032866E-3</v>
      </c>
      <c r="N123" s="350">
        <v>36.049999</v>
      </c>
      <c r="O123" s="271">
        <f t="shared" ref="O123" si="504">N123/N122-1</f>
        <v>-2.5675702702702696E-2</v>
      </c>
      <c r="P123" s="350">
        <v>66.419998000000007</v>
      </c>
      <c r="Q123" s="271">
        <f t="shared" ref="Q123:S123" si="505">P123/P122-1</f>
        <v>-2.8379212574908941E-2</v>
      </c>
      <c r="R123" s="350">
        <v>85.309997999999993</v>
      </c>
      <c r="S123" s="271">
        <f t="shared" si="505"/>
        <v>-3.62070765169209E-3</v>
      </c>
      <c r="T123" s="350">
        <v>16397.859375</v>
      </c>
      <c r="U123" s="273">
        <f t="shared" ref="U123" si="506">T123/T122-1</f>
        <v>3.1683858781050844E-5</v>
      </c>
    </row>
    <row r="124" spans="1:21" x14ac:dyDescent="0.25">
      <c r="A124" s="351">
        <v>44592</v>
      </c>
      <c r="B124" s="350">
        <v>172.490005</v>
      </c>
      <c r="C124" s="271">
        <f t="shared" si="321"/>
        <v>-1.042410390251991E-3</v>
      </c>
      <c r="D124" s="350">
        <v>60.959999000000003</v>
      </c>
      <c r="E124" s="271">
        <f t="shared" si="321"/>
        <v>1.9723701512162073E-3</v>
      </c>
      <c r="F124" s="350">
        <v>43.09</v>
      </c>
      <c r="G124" s="271">
        <f t="shared" ref="G124:I124" si="507">F124/F123-1</f>
        <v>-2.5554069978424465E-2</v>
      </c>
      <c r="H124" s="350">
        <v>34.729999999999997</v>
      </c>
      <c r="I124" s="271">
        <f t="shared" si="507"/>
        <v>-1.7260894170911367E-2</v>
      </c>
      <c r="J124" s="350">
        <v>61.580002</v>
      </c>
      <c r="K124" s="271">
        <f t="shared" ref="K124:M124" si="508">J124/J123-1</f>
        <v>-5.6389823585969223E-2</v>
      </c>
      <c r="L124" s="350">
        <v>38.240001999999997</v>
      </c>
      <c r="M124" s="271">
        <f t="shared" si="508"/>
        <v>1.5940568967602653E-2</v>
      </c>
      <c r="N124" s="350">
        <v>34.75</v>
      </c>
      <c r="O124" s="271">
        <f t="shared" ref="O124" si="509">N124/N123-1</f>
        <v>-3.6060999613342526E-2</v>
      </c>
      <c r="P124" s="350">
        <v>67.019997000000004</v>
      </c>
      <c r="Q124" s="271">
        <f t="shared" ref="Q124:S124" si="510">P124/P123-1</f>
        <v>9.0334088838726068E-3</v>
      </c>
      <c r="R124" s="350">
        <v>84.290001000000004</v>
      </c>
      <c r="S124" s="271">
        <f t="shared" si="510"/>
        <v>-1.1956359441011699E-2</v>
      </c>
      <c r="T124" s="350">
        <v>16701.580077999999</v>
      </c>
      <c r="U124" s="273">
        <f t="shared" ref="U124" si="511">T124/T123-1</f>
        <v>1.8521972658397612E-2</v>
      </c>
    </row>
    <row r="125" spans="1:21" x14ac:dyDescent="0.25">
      <c r="A125" s="351">
        <v>44599</v>
      </c>
      <c r="B125" s="350">
        <v>168.36999499999999</v>
      </c>
      <c r="C125" s="271">
        <f t="shared" si="321"/>
        <v>-2.3885499916357467E-2</v>
      </c>
      <c r="D125" s="350">
        <v>61.380001</v>
      </c>
      <c r="E125" s="271">
        <f t="shared" si="321"/>
        <v>6.8897967009480254E-3</v>
      </c>
      <c r="F125" s="350">
        <v>43.189999</v>
      </c>
      <c r="G125" s="271">
        <f t="shared" ref="G125:I125" si="512">F125/F124-1</f>
        <v>2.3207008586678679E-3</v>
      </c>
      <c r="H125" s="350">
        <v>34.919998</v>
      </c>
      <c r="I125" s="271">
        <f t="shared" si="512"/>
        <v>5.4707169594012672E-3</v>
      </c>
      <c r="J125" s="350">
        <v>61.66</v>
      </c>
      <c r="K125" s="271">
        <f t="shared" ref="K125:M125" si="513">J125/J124-1</f>
        <v>1.2990905716436796E-3</v>
      </c>
      <c r="L125" s="350">
        <v>38.68</v>
      </c>
      <c r="M125" s="271">
        <f t="shared" si="513"/>
        <v>1.1506223247582437E-2</v>
      </c>
      <c r="N125" s="350">
        <v>34.950001</v>
      </c>
      <c r="O125" s="271">
        <f t="shared" ref="O125" si="514">N125/N124-1</f>
        <v>5.7554244604316462E-3</v>
      </c>
      <c r="P125" s="350">
        <v>67.959998999999996</v>
      </c>
      <c r="Q125" s="271">
        <f t="shared" ref="Q125:S125" si="515">P125/P124-1</f>
        <v>1.4025694450568116E-2</v>
      </c>
      <c r="R125" s="350">
        <v>82.800003000000004</v>
      </c>
      <c r="S125" s="271">
        <f t="shared" si="515"/>
        <v>-1.7677043330441955E-2</v>
      </c>
      <c r="T125" s="350">
        <v>16664.990234000001</v>
      </c>
      <c r="U125" s="273">
        <f t="shared" ref="U125" si="516">T125/T124-1</f>
        <v>-2.1908013391017667E-3</v>
      </c>
    </row>
    <row r="126" spans="1:21" x14ac:dyDescent="0.25">
      <c r="A126" s="267"/>
      <c r="B126" s="270"/>
      <c r="C126" s="271"/>
      <c r="D126" s="270"/>
      <c r="E126" s="271"/>
      <c r="F126" s="272"/>
      <c r="G126" s="271"/>
      <c r="H126" s="270"/>
      <c r="I126" s="271"/>
      <c r="J126" s="270"/>
      <c r="K126" s="271"/>
      <c r="L126" s="270"/>
      <c r="M126" s="271"/>
      <c r="N126" s="270"/>
      <c r="O126" s="271"/>
      <c r="P126" s="270"/>
      <c r="Q126" s="271"/>
      <c r="R126" s="270"/>
      <c r="S126" s="271"/>
      <c r="T126" s="270"/>
      <c r="U126" s="273"/>
    </row>
    <row r="127" spans="1:21" x14ac:dyDescent="0.25">
      <c r="A127" s="267"/>
      <c r="B127" s="270"/>
      <c r="C127" s="271"/>
      <c r="D127" s="270"/>
      <c r="E127" s="271"/>
      <c r="F127" s="272"/>
      <c r="G127" s="271"/>
      <c r="H127" s="270"/>
      <c r="I127" s="271"/>
      <c r="J127" s="270"/>
      <c r="K127" s="271"/>
      <c r="L127" s="270"/>
      <c r="M127" s="271"/>
      <c r="N127" s="270"/>
      <c r="O127" s="271"/>
      <c r="P127" s="270"/>
      <c r="Q127" s="271"/>
      <c r="R127" s="270"/>
      <c r="S127" s="271"/>
      <c r="T127" s="270"/>
      <c r="U127" s="273"/>
    </row>
    <row r="128" spans="1:21" x14ac:dyDescent="0.25">
      <c r="A128" s="267"/>
      <c r="B128" s="270"/>
      <c r="C128" s="271"/>
      <c r="D128" s="270"/>
      <c r="E128" s="271"/>
      <c r="F128" s="272"/>
      <c r="G128" s="271"/>
      <c r="H128" s="270"/>
      <c r="I128" s="271"/>
      <c r="J128" s="270"/>
      <c r="K128" s="271"/>
      <c r="L128" s="270"/>
      <c r="M128" s="271"/>
      <c r="N128" s="270"/>
      <c r="O128" s="271"/>
      <c r="P128" s="270"/>
      <c r="Q128" s="271"/>
      <c r="R128" s="270"/>
      <c r="S128" s="271"/>
      <c r="T128" s="270"/>
      <c r="U128" s="273"/>
    </row>
    <row r="129" spans="1:21" x14ac:dyDescent="0.25">
      <c r="A129" s="267"/>
      <c r="B129" s="270"/>
      <c r="C129" s="271"/>
      <c r="D129" s="270"/>
      <c r="E129" s="271"/>
      <c r="F129" s="272"/>
      <c r="G129" s="271"/>
      <c r="H129" s="270"/>
      <c r="I129" s="271"/>
      <c r="J129" s="270"/>
      <c r="K129" s="271"/>
      <c r="L129" s="270"/>
      <c r="M129" s="271"/>
      <c r="N129" s="270"/>
      <c r="O129" s="271"/>
      <c r="P129" s="270"/>
      <c r="Q129" s="271"/>
      <c r="R129" s="270"/>
      <c r="S129" s="271"/>
      <c r="T129" s="270"/>
      <c r="U129" s="273"/>
    </row>
    <row r="130" spans="1:21" x14ac:dyDescent="0.25">
      <c r="A130" s="267"/>
      <c r="B130" s="270"/>
      <c r="C130" s="271"/>
      <c r="D130" s="270"/>
      <c r="E130" s="271"/>
      <c r="F130" s="272"/>
      <c r="G130" s="271"/>
      <c r="H130" s="270"/>
      <c r="I130" s="271"/>
      <c r="J130" s="270"/>
      <c r="K130" s="271"/>
      <c r="L130" s="270"/>
      <c r="M130" s="271"/>
      <c r="N130" s="270"/>
      <c r="O130" s="271"/>
      <c r="P130" s="270"/>
      <c r="Q130" s="271"/>
      <c r="R130" s="270"/>
      <c r="S130" s="271"/>
      <c r="T130" s="270"/>
      <c r="U130" s="273"/>
    </row>
    <row r="131" spans="1:21" x14ac:dyDescent="0.25">
      <c r="A131" s="267"/>
      <c r="B131" s="270"/>
      <c r="C131" s="271"/>
      <c r="D131" s="270"/>
      <c r="E131" s="271"/>
      <c r="F131" s="272"/>
      <c r="G131" s="271"/>
      <c r="H131" s="270"/>
      <c r="I131" s="271"/>
      <c r="J131" s="270"/>
      <c r="K131" s="271"/>
      <c r="L131" s="270"/>
      <c r="M131" s="271"/>
      <c r="N131" s="270"/>
      <c r="O131" s="271"/>
      <c r="P131" s="270"/>
      <c r="Q131" s="271"/>
      <c r="R131" s="270"/>
      <c r="S131" s="271"/>
      <c r="T131" s="270"/>
      <c r="U131" s="273"/>
    </row>
    <row r="132" spans="1:21" x14ac:dyDescent="0.25">
      <c r="A132" s="267"/>
      <c r="B132" s="270"/>
      <c r="C132" s="271"/>
      <c r="D132" s="270"/>
      <c r="E132" s="271"/>
      <c r="F132" s="272"/>
      <c r="G132" s="271"/>
      <c r="H132" s="270"/>
      <c r="I132" s="271"/>
      <c r="J132" s="270"/>
      <c r="K132" s="271"/>
      <c r="L132" s="270"/>
      <c r="M132" s="271"/>
      <c r="N132" s="270"/>
      <c r="O132" s="271"/>
      <c r="P132" s="270"/>
      <c r="Q132" s="271"/>
      <c r="R132" s="270"/>
      <c r="S132" s="271"/>
      <c r="T132" s="270"/>
      <c r="U132" s="273"/>
    </row>
    <row r="133" spans="1:21" x14ac:dyDescent="0.25">
      <c r="A133" s="267"/>
      <c r="B133" s="270"/>
      <c r="C133" s="271"/>
      <c r="D133" s="270"/>
      <c r="E133" s="271"/>
      <c r="F133" s="272"/>
      <c r="G133" s="271"/>
      <c r="H133" s="270"/>
      <c r="I133" s="271"/>
      <c r="J133" s="270"/>
      <c r="K133" s="271"/>
      <c r="L133" s="270"/>
      <c r="M133" s="271"/>
      <c r="N133" s="270"/>
      <c r="O133" s="271"/>
      <c r="P133" s="270"/>
      <c r="Q133" s="271"/>
      <c r="R133" s="270"/>
      <c r="S133" s="271"/>
      <c r="T133" s="270"/>
      <c r="U133" s="273"/>
    </row>
    <row r="134" spans="1:21" x14ac:dyDescent="0.25">
      <c r="A134" s="267"/>
      <c r="B134" s="270"/>
      <c r="C134" s="271"/>
      <c r="D134" s="270"/>
      <c r="E134" s="271"/>
      <c r="F134" s="272"/>
      <c r="G134" s="271"/>
      <c r="H134" s="270"/>
      <c r="I134" s="271"/>
      <c r="J134" s="270"/>
      <c r="K134" s="271"/>
      <c r="L134" s="270"/>
      <c r="M134" s="271"/>
      <c r="N134" s="270"/>
      <c r="O134" s="271"/>
      <c r="P134" s="270"/>
      <c r="Q134" s="271"/>
      <c r="R134" s="270"/>
      <c r="S134" s="271"/>
      <c r="T134" s="270"/>
      <c r="U134" s="273"/>
    </row>
    <row r="135" spans="1:21" x14ac:dyDescent="0.25">
      <c r="A135" s="267"/>
      <c r="B135" s="270"/>
      <c r="C135" s="271"/>
      <c r="D135" s="270"/>
      <c r="E135" s="271"/>
      <c r="F135" s="272"/>
      <c r="G135" s="271"/>
      <c r="H135" s="270"/>
      <c r="I135" s="271"/>
      <c r="J135" s="270"/>
      <c r="K135" s="271"/>
      <c r="L135" s="270"/>
      <c r="M135" s="271"/>
      <c r="N135" s="270"/>
      <c r="O135" s="271"/>
      <c r="P135" s="270"/>
      <c r="Q135" s="271"/>
      <c r="R135" s="270"/>
      <c r="S135" s="271"/>
      <c r="T135" s="270"/>
      <c r="U135" s="273"/>
    </row>
    <row r="136" spans="1:21" x14ac:dyDescent="0.25">
      <c r="A136" s="267"/>
      <c r="B136" s="270"/>
      <c r="C136" s="271"/>
      <c r="D136" s="270"/>
      <c r="E136" s="271"/>
      <c r="F136" s="272"/>
      <c r="G136" s="271"/>
      <c r="H136" s="270"/>
      <c r="I136" s="271"/>
      <c r="J136" s="270"/>
      <c r="K136" s="271"/>
      <c r="L136" s="270"/>
      <c r="M136" s="271"/>
      <c r="N136" s="270"/>
      <c r="O136" s="271"/>
      <c r="P136" s="270"/>
      <c r="Q136" s="271"/>
      <c r="R136" s="270"/>
      <c r="S136" s="271"/>
      <c r="T136" s="270"/>
      <c r="U136" s="273"/>
    </row>
    <row r="137" spans="1:21" x14ac:dyDescent="0.25">
      <c r="A137" s="267"/>
      <c r="B137" s="270"/>
      <c r="C137" s="271"/>
      <c r="D137" s="270"/>
      <c r="E137" s="271"/>
      <c r="F137" s="272"/>
      <c r="G137" s="271"/>
      <c r="H137" s="270"/>
      <c r="I137" s="271"/>
      <c r="J137" s="270"/>
      <c r="K137" s="271"/>
      <c r="L137" s="270"/>
      <c r="M137" s="271"/>
      <c r="N137" s="270"/>
      <c r="O137" s="271"/>
      <c r="P137" s="270"/>
      <c r="Q137" s="271"/>
      <c r="R137" s="270"/>
      <c r="S137" s="271"/>
      <c r="T137" s="270"/>
      <c r="U137" s="273"/>
    </row>
    <row r="138" spans="1:21" x14ac:dyDescent="0.25">
      <c r="A138" s="267"/>
      <c r="B138" s="270"/>
      <c r="C138" s="271"/>
      <c r="D138" s="270"/>
      <c r="E138" s="271"/>
      <c r="F138" s="272"/>
      <c r="G138" s="271"/>
      <c r="H138" s="270"/>
      <c r="I138" s="271"/>
      <c r="J138" s="270"/>
      <c r="K138" s="271"/>
      <c r="L138" s="270"/>
      <c r="M138" s="271"/>
      <c r="N138" s="270"/>
      <c r="O138" s="271"/>
      <c r="P138" s="270"/>
      <c r="Q138" s="271"/>
      <c r="R138" s="270"/>
      <c r="S138" s="271"/>
      <c r="T138" s="270"/>
      <c r="U138" s="273"/>
    </row>
    <row r="139" spans="1:21" x14ac:dyDescent="0.25">
      <c r="A139" s="267"/>
      <c r="B139" s="270"/>
      <c r="C139" s="271"/>
      <c r="D139" s="270"/>
      <c r="E139" s="271"/>
      <c r="F139" s="272"/>
      <c r="G139" s="271"/>
      <c r="H139" s="270"/>
      <c r="I139" s="271"/>
      <c r="J139" s="270"/>
      <c r="K139" s="271"/>
      <c r="L139" s="270"/>
      <c r="M139" s="271"/>
      <c r="N139" s="270"/>
      <c r="O139" s="271"/>
      <c r="P139" s="270"/>
      <c r="Q139" s="271"/>
      <c r="R139" s="270"/>
      <c r="S139" s="271"/>
      <c r="T139" s="270"/>
      <c r="U139" s="273"/>
    </row>
    <row r="140" spans="1:21" x14ac:dyDescent="0.25">
      <c r="A140" s="267"/>
      <c r="B140" s="270"/>
      <c r="C140" s="271"/>
      <c r="D140" s="270"/>
      <c r="E140" s="271"/>
      <c r="F140" s="272"/>
      <c r="G140" s="271"/>
      <c r="H140" s="270"/>
      <c r="I140" s="271"/>
      <c r="J140" s="270"/>
      <c r="K140" s="271"/>
      <c r="L140" s="270"/>
      <c r="M140" s="271"/>
      <c r="N140" s="270"/>
      <c r="O140" s="271"/>
      <c r="P140" s="270"/>
      <c r="Q140" s="271"/>
      <c r="R140" s="270"/>
      <c r="S140" s="271"/>
      <c r="T140" s="270"/>
      <c r="U140" s="273"/>
    </row>
    <row r="141" spans="1:21" x14ac:dyDescent="0.25">
      <c r="A141" s="267"/>
      <c r="B141" s="270"/>
      <c r="C141" s="271"/>
      <c r="D141" s="270"/>
      <c r="E141" s="271"/>
      <c r="F141" s="272"/>
      <c r="G141" s="271"/>
      <c r="H141" s="270"/>
      <c r="I141" s="271"/>
      <c r="J141" s="270"/>
      <c r="K141" s="271"/>
      <c r="L141" s="270"/>
      <c r="M141" s="271"/>
      <c r="N141" s="270"/>
      <c r="O141" s="271"/>
      <c r="P141" s="270"/>
      <c r="Q141" s="271"/>
      <c r="R141" s="270"/>
      <c r="S141" s="271"/>
      <c r="T141" s="270"/>
      <c r="U141" s="273"/>
    </row>
    <row r="142" spans="1:21" x14ac:dyDescent="0.25">
      <c r="A142" s="267"/>
      <c r="B142" s="270"/>
      <c r="C142" s="271"/>
      <c r="D142" s="270"/>
      <c r="E142" s="271"/>
      <c r="F142" s="272"/>
      <c r="G142" s="271"/>
      <c r="H142" s="270"/>
      <c r="I142" s="271"/>
      <c r="J142" s="270"/>
      <c r="K142" s="271"/>
      <c r="L142" s="270"/>
      <c r="M142" s="271"/>
      <c r="N142" s="270"/>
      <c r="O142" s="271"/>
      <c r="P142" s="270"/>
      <c r="Q142" s="271"/>
      <c r="R142" s="270"/>
      <c r="S142" s="271"/>
      <c r="T142" s="270"/>
      <c r="U142" s="273"/>
    </row>
    <row r="143" spans="1:21" x14ac:dyDescent="0.25">
      <c r="A143" s="267"/>
      <c r="B143" s="270"/>
      <c r="C143" s="271"/>
      <c r="D143" s="270"/>
      <c r="E143" s="271"/>
      <c r="F143" s="272"/>
      <c r="G143" s="271"/>
      <c r="H143" s="270"/>
      <c r="I143" s="271"/>
      <c r="J143" s="270"/>
      <c r="K143" s="271"/>
      <c r="L143" s="270"/>
      <c r="M143" s="271"/>
      <c r="N143" s="270"/>
      <c r="O143" s="271"/>
      <c r="P143" s="270"/>
      <c r="Q143" s="271"/>
      <c r="R143" s="270"/>
      <c r="S143" s="271"/>
      <c r="T143" s="270"/>
      <c r="U143" s="273"/>
    </row>
    <row r="144" spans="1:21" x14ac:dyDescent="0.25">
      <c r="A144" s="267"/>
      <c r="B144" s="270"/>
      <c r="C144" s="271"/>
      <c r="D144" s="270"/>
      <c r="E144" s="271"/>
      <c r="F144" s="272"/>
      <c r="G144" s="271"/>
      <c r="H144" s="270"/>
      <c r="I144" s="271"/>
      <c r="J144" s="270"/>
      <c r="K144" s="271"/>
      <c r="L144" s="270"/>
      <c r="M144" s="271"/>
      <c r="N144" s="270"/>
      <c r="O144" s="271"/>
      <c r="P144" s="270"/>
      <c r="Q144" s="271"/>
      <c r="R144" s="270"/>
      <c r="S144" s="271"/>
      <c r="T144" s="270"/>
      <c r="U144" s="273"/>
    </row>
    <row r="145" spans="1:21" x14ac:dyDescent="0.25">
      <c r="A145" s="267"/>
      <c r="B145" s="270"/>
      <c r="C145" s="271"/>
      <c r="D145" s="270"/>
      <c r="E145" s="271"/>
      <c r="F145" s="272"/>
      <c r="G145" s="271"/>
      <c r="H145" s="270"/>
      <c r="I145" s="271"/>
      <c r="J145" s="270"/>
      <c r="K145" s="271"/>
      <c r="L145" s="270"/>
      <c r="M145" s="271"/>
      <c r="N145" s="270"/>
      <c r="O145" s="271"/>
      <c r="P145" s="270"/>
      <c r="Q145" s="271"/>
      <c r="R145" s="270"/>
      <c r="S145" s="271"/>
      <c r="T145" s="270"/>
      <c r="U145" s="273"/>
    </row>
    <row r="146" spans="1:21" x14ac:dyDescent="0.25">
      <c r="A146" s="267"/>
      <c r="B146" s="270"/>
      <c r="C146" s="271"/>
      <c r="D146" s="270"/>
      <c r="E146" s="271"/>
      <c r="F146" s="272"/>
      <c r="G146" s="271"/>
      <c r="H146" s="270"/>
      <c r="I146" s="271"/>
      <c r="J146" s="270"/>
      <c r="K146" s="271"/>
      <c r="L146" s="270"/>
      <c r="M146" s="271"/>
      <c r="N146" s="270"/>
      <c r="O146" s="271"/>
      <c r="P146" s="270"/>
      <c r="Q146" s="271"/>
      <c r="R146" s="270"/>
      <c r="S146" s="271"/>
      <c r="T146" s="270"/>
      <c r="U146" s="273"/>
    </row>
    <row r="147" spans="1:21" x14ac:dyDescent="0.25">
      <c r="A147" s="267"/>
      <c r="B147" s="270"/>
      <c r="C147" s="271"/>
      <c r="D147" s="270"/>
      <c r="E147" s="271"/>
      <c r="F147" s="272"/>
      <c r="G147" s="271"/>
      <c r="H147" s="270"/>
      <c r="I147" s="271"/>
      <c r="J147" s="270"/>
      <c r="K147" s="271"/>
      <c r="L147" s="270"/>
      <c r="M147" s="271"/>
      <c r="N147" s="270"/>
      <c r="O147" s="271"/>
      <c r="P147" s="270"/>
      <c r="Q147" s="271"/>
      <c r="R147" s="270"/>
      <c r="S147" s="271"/>
      <c r="T147" s="270"/>
      <c r="U147" s="273"/>
    </row>
    <row r="148" spans="1:21" x14ac:dyDescent="0.25">
      <c r="A148" s="267"/>
      <c r="B148" s="270"/>
      <c r="C148" s="271"/>
      <c r="D148" s="270"/>
      <c r="E148" s="271"/>
      <c r="F148" s="272"/>
      <c r="G148" s="271"/>
      <c r="H148" s="270"/>
      <c r="I148" s="271"/>
      <c r="J148" s="270"/>
      <c r="K148" s="271"/>
      <c r="L148" s="270"/>
      <c r="M148" s="271"/>
      <c r="N148" s="270"/>
      <c r="O148" s="271"/>
      <c r="P148" s="270"/>
      <c r="Q148" s="271"/>
      <c r="R148" s="270"/>
      <c r="S148" s="271"/>
      <c r="T148" s="270"/>
      <c r="U148" s="273"/>
    </row>
    <row r="149" spans="1:21" x14ac:dyDescent="0.25">
      <c r="A149" s="267"/>
      <c r="B149" s="270"/>
      <c r="C149" s="271"/>
      <c r="D149" s="270"/>
      <c r="E149" s="271"/>
      <c r="F149" s="272"/>
      <c r="G149" s="271"/>
      <c r="H149" s="270"/>
      <c r="I149" s="271"/>
      <c r="J149" s="270"/>
      <c r="K149" s="271"/>
      <c r="L149" s="270"/>
      <c r="M149" s="271"/>
      <c r="N149" s="270"/>
      <c r="O149" s="271"/>
      <c r="P149" s="270"/>
      <c r="Q149" s="271"/>
      <c r="R149" s="270"/>
      <c r="S149" s="271"/>
      <c r="T149" s="270"/>
      <c r="U149" s="273"/>
    </row>
    <row r="150" spans="1:21" x14ac:dyDescent="0.25">
      <c r="A150" s="267"/>
      <c r="B150" s="270"/>
      <c r="C150" s="271"/>
      <c r="D150" s="270"/>
      <c r="E150" s="271"/>
      <c r="F150" s="272"/>
      <c r="G150" s="271"/>
      <c r="H150" s="270"/>
      <c r="I150" s="271"/>
      <c r="J150" s="270"/>
      <c r="K150" s="271"/>
      <c r="L150" s="270"/>
      <c r="M150" s="271"/>
      <c r="N150" s="270"/>
      <c r="O150" s="271"/>
      <c r="P150" s="270"/>
      <c r="Q150" s="271"/>
      <c r="R150" s="270"/>
      <c r="S150" s="271"/>
      <c r="T150" s="270"/>
      <c r="U150" s="273"/>
    </row>
    <row r="151" spans="1:21" x14ac:dyDescent="0.25">
      <c r="A151" s="267"/>
      <c r="B151" s="270"/>
      <c r="C151" s="271"/>
      <c r="D151" s="270"/>
      <c r="E151" s="271"/>
      <c r="F151" s="272"/>
      <c r="G151" s="271"/>
      <c r="H151" s="270"/>
      <c r="I151" s="271"/>
      <c r="J151" s="270"/>
      <c r="K151" s="271"/>
      <c r="L151" s="270"/>
      <c r="M151" s="271"/>
      <c r="N151" s="270"/>
      <c r="O151" s="271"/>
      <c r="P151" s="270"/>
      <c r="Q151" s="271"/>
      <c r="R151" s="270"/>
      <c r="S151" s="271"/>
      <c r="T151" s="270"/>
      <c r="U151" s="273"/>
    </row>
    <row r="152" spans="1:21" x14ac:dyDescent="0.25">
      <c r="A152" s="267"/>
      <c r="B152" s="270"/>
      <c r="C152" s="271"/>
      <c r="D152" s="270"/>
      <c r="E152" s="271"/>
      <c r="F152" s="272"/>
      <c r="G152" s="271"/>
      <c r="H152" s="270"/>
      <c r="I152" s="271"/>
      <c r="J152" s="270"/>
      <c r="K152" s="271"/>
      <c r="L152" s="270"/>
      <c r="M152" s="271"/>
      <c r="N152" s="270"/>
      <c r="O152" s="271"/>
      <c r="P152" s="270"/>
      <c r="Q152" s="271"/>
      <c r="R152" s="270"/>
      <c r="S152" s="271"/>
      <c r="T152" s="270"/>
      <c r="U152" s="273"/>
    </row>
    <row r="153" spans="1:21" x14ac:dyDescent="0.25">
      <c r="A153" s="267"/>
      <c r="B153" s="270"/>
      <c r="C153" s="271"/>
      <c r="D153" s="270"/>
      <c r="E153" s="271"/>
      <c r="F153" s="272"/>
      <c r="G153" s="271"/>
      <c r="H153" s="270"/>
      <c r="I153" s="271"/>
      <c r="J153" s="270"/>
      <c r="K153" s="271"/>
      <c r="L153" s="270"/>
      <c r="M153" s="271"/>
      <c r="N153" s="270"/>
      <c r="O153" s="271"/>
      <c r="P153" s="270"/>
      <c r="Q153" s="271"/>
      <c r="R153" s="270"/>
      <c r="S153" s="271"/>
      <c r="T153" s="270"/>
      <c r="U153" s="273"/>
    </row>
    <row r="154" spans="1:21" x14ac:dyDescent="0.25">
      <c r="A154" s="267"/>
      <c r="B154" s="270"/>
      <c r="C154" s="271"/>
      <c r="D154" s="270"/>
      <c r="E154" s="271"/>
      <c r="F154" s="272"/>
      <c r="G154" s="271"/>
      <c r="H154" s="270"/>
      <c r="I154" s="271"/>
      <c r="J154" s="270"/>
      <c r="K154" s="271"/>
      <c r="L154" s="270"/>
      <c r="M154" s="271"/>
      <c r="N154" s="270"/>
      <c r="O154" s="271"/>
      <c r="P154" s="270"/>
      <c r="Q154" s="271"/>
      <c r="R154" s="270"/>
      <c r="S154" s="271"/>
      <c r="T154" s="270"/>
      <c r="U154" s="273"/>
    </row>
    <row r="155" spans="1:21" x14ac:dyDescent="0.25">
      <c r="A155" s="267"/>
      <c r="B155" s="270"/>
      <c r="C155" s="271"/>
      <c r="D155" s="270"/>
      <c r="E155" s="271"/>
      <c r="F155" s="272"/>
      <c r="G155" s="271"/>
      <c r="H155" s="270"/>
      <c r="I155" s="271"/>
      <c r="J155" s="270"/>
      <c r="K155" s="271"/>
      <c r="L155" s="270"/>
      <c r="M155" s="271"/>
      <c r="N155" s="270"/>
      <c r="O155" s="271"/>
      <c r="P155" s="270"/>
      <c r="Q155" s="271"/>
      <c r="R155" s="270"/>
      <c r="S155" s="271"/>
      <c r="T155" s="270"/>
      <c r="U155" s="273"/>
    </row>
    <row r="156" spans="1:21" x14ac:dyDescent="0.25">
      <c r="A156" s="267"/>
      <c r="B156" s="270"/>
      <c r="C156" s="271"/>
      <c r="D156" s="270"/>
      <c r="E156" s="271"/>
      <c r="F156" s="272"/>
      <c r="G156" s="271"/>
      <c r="H156" s="270"/>
      <c r="I156" s="271"/>
      <c r="J156" s="270"/>
      <c r="K156" s="271"/>
      <c r="L156" s="270"/>
      <c r="M156" s="271"/>
      <c r="N156" s="270"/>
      <c r="O156" s="271"/>
      <c r="P156" s="270"/>
      <c r="Q156" s="271"/>
      <c r="R156" s="270"/>
      <c r="S156" s="271"/>
      <c r="T156" s="270"/>
      <c r="U156" s="273"/>
    </row>
    <row r="157" spans="1:21" x14ac:dyDescent="0.25">
      <c r="A157" s="267"/>
      <c r="B157" s="270"/>
      <c r="C157" s="271"/>
      <c r="D157" s="270"/>
      <c r="E157" s="271"/>
      <c r="F157" s="272"/>
      <c r="G157" s="271"/>
      <c r="H157" s="270"/>
      <c r="I157" s="271"/>
      <c r="J157" s="270"/>
      <c r="K157" s="271"/>
      <c r="L157" s="270"/>
      <c r="M157" s="271"/>
      <c r="N157" s="270"/>
      <c r="O157" s="271"/>
      <c r="P157" s="270"/>
      <c r="Q157" s="271"/>
      <c r="R157" s="270"/>
      <c r="S157" s="271"/>
      <c r="T157" s="270"/>
      <c r="U157" s="273"/>
    </row>
    <row r="158" spans="1:21" x14ac:dyDescent="0.25">
      <c r="A158" s="267"/>
      <c r="B158" s="270"/>
      <c r="C158" s="271"/>
      <c r="D158" s="270"/>
      <c r="E158" s="271"/>
      <c r="F158" s="272"/>
      <c r="G158" s="271"/>
      <c r="H158" s="270"/>
      <c r="I158" s="271"/>
      <c r="J158" s="270"/>
      <c r="K158" s="271"/>
      <c r="L158" s="270"/>
      <c r="M158" s="271"/>
      <c r="N158" s="270"/>
      <c r="O158" s="271"/>
      <c r="P158" s="270"/>
      <c r="Q158" s="271"/>
      <c r="R158" s="270"/>
      <c r="S158" s="271"/>
      <c r="T158" s="270"/>
      <c r="U158" s="273"/>
    </row>
    <row r="159" spans="1:21" x14ac:dyDescent="0.25">
      <c r="A159" s="267"/>
      <c r="B159" s="270"/>
      <c r="C159" s="271"/>
      <c r="D159" s="270"/>
      <c r="E159" s="271"/>
      <c r="F159" s="272"/>
      <c r="G159" s="271"/>
      <c r="H159" s="270"/>
      <c r="I159" s="271"/>
      <c r="J159" s="270"/>
      <c r="K159" s="271"/>
      <c r="L159" s="270"/>
      <c r="M159" s="271"/>
      <c r="N159" s="270"/>
      <c r="O159" s="271"/>
      <c r="P159" s="270"/>
      <c r="Q159" s="271"/>
      <c r="R159" s="270"/>
      <c r="S159" s="271"/>
      <c r="T159" s="270"/>
      <c r="U159" s="273"/>
    </row>
    <row r="160" spans="1:21" x14ac:dyDescent="0.25">
      <c r="A160" s="267"/>
      <c r="B160" s="270"/>
      <c r="C160" s="271"/>
      <c r="D160" s="270"/>
      <c r="E160" s="271"/>
      <c r="F160" s="272"/>
      <c r="G160" s="271"/>
      <c r="H160" s="270"/>
      <c r="I160" s="271"/>
      <c r="J160" s="270"/>
      <c r="K160" s="271"/>
      <c r="L160" s="270"/>
      <c r="M160" s="271"/>
      <c r="N160" s="270"/>
      <c r="O160" s="271"/>
      <c r="P160" s="270"/>
      <c r="Q160" s="271"/>
      <c r="R160" s="270"/>
      <c r="S160" s="271"/>
      <c r="T160" s="270"/>
      <c r="U160" s="273"/>
    </row>
    <row r="161" spans="1:21" x14ac:dyDescent="0.25">
      <c r="A161" s="267"/>
      <c r="B161" s="270"/>
      <c r="C161" s="271"/>
      <c r="D161" s="270"/>
      <c r="E161" s="271"/>
      <c r="F161" s="272"/>
      <c r="G161" s="271"/>
      <c r="H161" s="270"/>
      <c r="I161" s="271"/>
      <c r="J161" s="270"/>
      <c r="K161" s="271"/>
      <c r="L161" s="270"/>
      <c r="M161" s="271"/>
      <c r="N161" s="270"/>
      <c r="O161" s="271"/>
      <c r="P161" s="270"/>
      <c r="Q161" s="271"/>
      <c r="R161" s="270"/>
      <c r="S161" s="271"/>
      <c r="T161" s="270"/>
      <c r="U161" s="273"/>
    </row>
    <row r="162" spans="1:21" x14ac:dyDescent="0.25">
      <c r="A162" s="267"/>
      <c r="B162" s="270"/>
      <c r="C162" s="271"/>
      <c r="D162" s="270"/>
      <c r="E162" s="271"/>
      <c r="F162" s="272"/>
      <c r="G162" s="271"/>
      <c r="H162" s="270"/>
      <c r="I162" s="271"/>
      <c r="J162" s="270"/>
      <c r="K162" s="271"/>
      <c r="L162" s="270"/>
      <c r="M162" s="271"/>
      <c r="N162" s="270"/>
      <c r="O162" s="271"/>
      <c r="P162" s="270"/>
      <c r="Q162" s="271"/>
      <c r="R162" s="270"/>
      <c r="S162" s="271"/>
      <c r="T162" s="270"/>
      <c r="U162" s="273"/>
    </row>
    <row r="163" spans="1:21" x14ac:dyDescent="0.25">
      <c r="A163" s="267"/>
      <c r="B163" s="270"/>
      <c r="C163" s="271"/>
      <c r="D163" s="270"/>
      <c r="E163" s="271"/>
      <c r="F163" s="272"/>
      <c r="G163" s="271"/>
      <c r="H163" s="270"/>
      <c r="I163" s="271"/>
      <c r="J163" s="270"/>
      <c r="K163" s="271"/>
      <c r="L163" s="270"/>
      <c r="M163" s="271"/>
      <c r="N163" s="270"/>
      <c r="O163" s="271"/>
      <c r="P163" s="270"/>
      <c r="Q163" s="271"/>
      <c r="R163" s="270"/>
      <c r="S163" s="271"/>
      <c r="T163" s="270"/>
      <c r="U163" s="273"/>
    </row>
    <row r="164" spans="1:21" x14ac:dyDescent="0.25">
      <c r="A164" s="267"/>
      <c r="B164" s="270"/>
      <c r="C164" s="271"/>
      <c r="D164" s="270"/>
      <c r="E164" s="271"/>
      <c r="F164" s="272"/>
      <c r="G164" s="271"/>
      <c r="H164" s="270"/>
      <c r="I164" s="271"/>
      <c r="J164" s="270"/>
      <c r="K164" s="271"/>
      <c r="L164" s="270"/>
      <c r="M164" s="271"/>
      <c r="N164" s="270"/>
      <c r="O164" s="271"/>
      <c r="P164" s="270"/>
      <c r="Q164" s="271"/>
      <c r="R164" s="270"/>
      <c r="S164" s="271"/>
      <c r="T164" s="270"/>
      <c r="U164" s="273"/>
    </row>
    <row r="165" spans="1:21" x14ac:dyDescent="0.25">
      <c r="A165" s="267"/>
      <c r="B165" s="270"/>
      <c r="C165" s="271"/>
      <c r="D165" s="270"/>
      <c r="E165" s="271"/>
      <c r="F165" s="272"/>
      <c r="G165" s="271"/>
      <c r="H165" s="270"/>
      <c r="I165" s="271"/>
      <c r="J165" s="270"/>
      <c r="K165" s="271"/>
      <c r="L165" s="270"/>
      <c r="M165" s="271"/>
      <c r="N165" s="270"/>
      <c r="O165" s="271"/>
      <c r="P165" s="270"/>
      <c r="Q165" s="271"/>
      <c r="R165" s="270"/>
      <c r="S165" s="271"/>
      <c r="T165" s="270"/>
      <c r="U165" s="273"/>
    </row>
    <row r="166" spans="1:21" x14ac:dyDescent="0.25">
      <c r="A166" s="267"/>
      <c r="B166" s="270"/>
      <c r="C166" s="271"/>
      <c r="D166" s="270"/>
      <c r="E166" s="271"/>
      <c r="F166" s="272"/>
      <c r="G166" s="271"/>
      <c r="H166" s="270"/>
      <c r="I166" s="271"/>
      <c r="J166" s="270"/>
      <c r="K166" s="271"/>
      <c r="L166" s="270"/>
      <c r="M166" s="271"/>
      <c r="N166" s="270"/>
      <c r="O166" s="271"/>
      <c r="P166" s="270"/>
      <c r="Q166" s="271"/>
      <c r="R166" s="270"/>
      <c r="S166" s="271"/>
      <c r="T166" s="270"/>
      <c r="U166" s="273"/>
    </row>
    <row r="167" spans="1:21" x14ac:dyDescent="0.25">
      <c r="A167" s="267"/>
      <c r="B167" s="270"/>
      <c r="C167" s="271"/>
      <c r="D167" s="270"/>
      <c r="E167" s="271"/>
      <c r="F167" s="272"/>
      <c r="G167" s="271"/>
      <c r="H167" s="270"/>
      <c r="I167" s="271"/>
      <c r="J167" s="270"/>
      <c r="K167" s="271"/>
      <c r="L167" s="270"/>
      <c r="M167" s="271"/>
      <c r="N167" s="270"/>
      <c r="O167" s="271"/>
      <c r="P167" s="270"/>
      <c r="Q167" s="271"/>
      <c r="R167" s="270"/>
      <c r="S167" s="271"/>
      <c r="T167" s="270"/>
      <c r="U167" s="273"/>
    </row>
    <row r="168" spans="1:21" x14ac:dyDescent="0.25">
      <c r="A168" s="267"/>
      <c r="B168" s="270"/>
      <c r="C168" s="271"/>
      <c r="D168" s="270"/>
      <c r="E168" s="271"/>
      <c r="F168" s="272"/>
      <c r="G168" s="271"/>
      <c r="H168" s="270"/>
      <c r="I168" s="271"/>
      <c r="J168" s="270"/>
      <c r="K168" s="271"/>
      <c r="L168" s="270"/>
      <c r="M168" s="271"/>
      <c r="N168" s="270"/>
      <c r="O168" s="271"/>
      <c r="P168" s="270"/>
      <c r="Q168" s="271"/>
      <c r="R168" s="270"/>
      <c r="S168" s="271"/>
      <c r="T168" s="270"/>
      <c r="U168" s="273"/>
    </row>
    <row r="169" spans="1:21" x14ac:dyDescent="0.25">
      <c r="A169" s="267"/>
      <c r="B169" s="270"/>
      <c r="C169" s="271"/>
      <c r="D169" s="270"/>
      <c r="E169" s="271"/>
      <c r="F169" s="272"/>
      <c r="G169" s="271"/>
      <c r="H169" s="270"/>
      <c r="I169" s="271"/>
      <c r="J169" s="270"/>
      <c r="K169" s="271"/>
      <c r="L169" s="270"/>
      <c r="M169" s="271"/>
      <c r="N169" s="270"/>
      <c r="O169" s="271"/>
      <c r="P169" s="270"/>
      <c r="Q169" s="271"/>
      <c r="R169" s="270"/>
      <c r="S169" s="271"/>
      <c r="T169" s="270"/>
      <c r="U169" s="273"/>
    </row>
    <row r="170" spans="1:21" x14ac:dyDescent="0.25">
      <c r="A170" s="267"/>
      <c r="B170" s="270"/>
      <c r="C170" s="271"/>
      <c r="D170" s="270"/>
      <c r="E170" s="271"/>
      <c r="F170" s="272"/>
      <c r="G170" s="271"/>
      <c r="H170" s="270"/>
      <c r="I170" s="271"/>
      <c r="J170" s="270"/>
      <c r="K170" s="271"/>
      <c r="L170" s="270"/>
      <c r="M170" s="271"/>
      <c r="N170" s="270"/>
      <c r="O170" s="271"/>
      <c r="P170" s="270"/>
      <c r="Q170" s="271"/>
      <c r="R170" s="270"/>
      <c r="S170" s="271"/>
      <c r="T170" s="270"/>
      <c r="U170" s="273"/>
    </row>
    <row r="171" spans="1:21" x14ac:dyDescent="0.25">
      <c r="A171" s="267"/>
      <c r="B171" s="270"/>
      <c r="C171" s="271"/>
      <c r="D171" s="270"/>
      <c r="E171" s="271"/>
      <c r="F171" s="272"/>
      <c r="G171" s="271"/>
      <c r="H171" s="270"/>
      <c r="I171" s="271"/>
      <c r="J171" s="270"/>
      <c r="K171" s="271"/>
      <c r="L171" s="270"/>
      <c r="M171" s="271"/>
      <c r="N171" s="270"/>
      <c r="O171" s="271"/>
      <c r="P171" s="270"/>
      <c r="Q171" s="271"/>
      <c r="R171" s="270"/>
      <c r="S171" s="271"/>
      <c r="T171" s="270"/>
      <c r="U171" s="273"/>
    </row>
    <row r="172" spans="1:21" x14ac:dyDescent="0.25">
      <c r="A172" s="267"/>
      <c r="B172" s="270"/>
      <c r="C172" s="271"/>
      <c r="D172" s="270"/>
      <c r="E172" s="271"/>
      <c r="F172" s="272"/>
      <c r="G172" s="271"/>
      <c r="H172" s="270"/>
      <c r="I172" s="271"/>
      <c r="J172" s="270"/>
      <c r="K172" s="271"/>
      <c r="L172" s="270"/>
      <c r="M172" s="271"/>
      <c r="N172" s="270"/>
      <c r="O172" s="271"/>
      <c r="P172" s="270"/>
      <c r="Q172" s="271"/>
      <c r="R172" s="270"/>
      <c r="S172" s="271"/>
      <c r="T172" s="270"/>
      <c r="U172" s="273"/>
    </row>
    <row r="173" spans="1:21" x14ac:dyDescent="0.25">
      <c r="A173" s="267"/>
      <c r="B173" s="270"/>
      <c r="C173" s="271"/>
      <c r="D173" s="270"/>
      <c r="E173" s="271"/>
      <c r="F173" s="272"/>
      <c r="G173" s="271"/>
      <c r="H173" s="270"/>
      <c r="I173" s="271"/>
      <c r="J173" s="270"/>
      <c r="K173" s="271"/>
      <c r="L173" s="270"/>
      <c r="M173" s="271"/>
      <c r="N173" s="270"/>
      <c r="O173" s="271"/>
      <c r="P173" s="270"/>
      <c r="Q173" s="271"/>
      <c r="R173" s="270"/>
      <c r="S173" s="271"/>
      <c r="T173" s="270"/>
      <c r="U173" s="273"/>
    </row>
    <row r="174" spans="1:21" x14ac:dyDescent="0.25">
      <c r="A174" s="267"/>
      <c r="B174" s="270"/>
      <c r="C174" s="271"/>
      <c r="D174" s="270"/>
      <c r="E174" s="271"/>
      <c r="F174" s="272"/>
      <c r="G174" s="271"/>
      <c r="H174" s="270"/>
      <c r="I174" s="271"/>
      <c r="J174" s="270"/>
      <c r="K174" s="271"/>
      <c r="L174" s="270"/>
      <c r="M174" s="271"/>
      <c r="N174" s="270"/>
      <c r="O174" s="271"/>
      <c r="P174" s="270"/>
      <c r="Q174" s="271"/>
      <c r="R174" s="270"/>
      <c r="S174" s="271"/>
      <c r="T174" s="270"/>
      <c r="U174" s="273"/>
    </row>
    <row r="175" spans="1:21" x14ac:dyDescent="0.25">
      <c r="A175" s="267"/>
      <c r="B175" s="270"/>
      <c r="C175" s="271"/>
      <c r="D175" s="270"/>
      <c r="E175" s="271"/>
      <c r="F175" s="272"/>
      <c r="G175" s="271"/>
      <c r="H175" s="270"/>
      <c r="I175" s="271"/>
      <c r="J175" s="270"/>
      <c r="K175" s="271"/>
      <c r="L175" s="270"/>
      <c r="M175" s="271"/>
      <c r="N175" s="270"/>
      <c r="O175" s="271"/>
      <c r="P175" s="270"/>
      <c r="Q175" s="271"/>
      <c r="R175" s="270"/>
      <c r="S175" s="271"/>
      <c r="T175" s="270"/>
      <c r="U175" s="273"/>
    </row>
    <row r="176" spans="1:21" x14ac:dyDescent="0.25">
      <c r="A176" s="267"/>
      <c r="B176" s="270"/>
      <c r="C176" s="271"/>
      <c r="D176" s="270"/>
      <c r="E176" s="271"/>
      <c r="F176" s="272"/>
      <c r="G176" s="271"/>
      <c r="H176" s="270"/>
      <c r="I176" s="271"/>
      <c r="J176" s="270"/>
      <c r="K176" s="271"/>
      <c r="L176" s="270"/>
      <c r="M176" s="271"/>
      <c r="N176" s="270"/>
      <c r="O176" s="271"/>
      <c r="P176" s="270"/>
      <c r="Q176" s="271"/>
      <c r="R176" s="270"/>
      <c r="S176" s="271"/>
      <c r="T176" s="270"/>
      <c r="U176" s="273"/>
    </row>
    <row r="177" spans="1:21" x14ac:dyDescent="0.25">
      <c r="A177" s="267"/>
      <c r="B177" s="270"/>
      <c r="C177" s="271"/>
      <c r="D177" s="270"/>
      <c r="E177" s="271"/>
      <c r="F177" s="272"/>
      <c r="G177" s="271"/>
      <c r="H177" s="270"/>
      <c r="I177" s="271"/>
      <c r="J177" s="270"/>
      <c r="K177" s="271"/>
      <c r="L177" s="270"/>
      <c r="M177" s="271"/>
      <c r="N177" s="270"/>
      <c r="O177" s="271"/>
      <c r="P177" s="270"/>
      <c r="Q177" s="271"/>
      <c r="R177" s="270"/>
      <c r="S177" s="271"/>
      <c r="T177" s="270"/>
      <c r="U177" s="273"/>
    </row>
    <row r="178" spans="1:21" x14ac:dyDescent="0.25">
      <c r="A178" s="267"/>
      <c r="B178" s="270"/>
      <c r="C178" s="271"/>
      <c r="D178" s="270"/>
      <c r="E178" s="271"/>
      <c r="F178" s="272"/>
      <c r="G178" s="271"/>
      <c r="H178" s="270"/>
      <c r="I178" s="271"/>
      <c r="J178" s="270"/>
      <c r="K178" s="271"/>
      <c r="L178" s="270"/>
      <c r="M178" s="271"/>
      <c r="N178" s="270"/>
      <c r="O178" s="271"/>
      <c r="P178" s="270"/>
      <c r="Q178" s="271"/>
      <c r="R178" s="270"/>
      <c r="S178" s="271"/>
      <c r="T178" s="270"/>
      <c r="U178" s="273"/>
    </row>
    <row r="179" spans="1:21" x14ac:dyDescent="0.25">
      <c r="A179" s="267"/>
      <c r="B179" s="270"/>
      <c r="C179" s="271"/>
      <c r="D179" s="270"/>
      <c r="E179" s="271"/>
      <c r="F179" s="272"/>
      <c r="G179" s="271"/>
      <c r="H179" s="270"/>
      <c r="I179" s="271"/>
      <c r="J179" s="270"/>
      <c r="K179" s="271"/>
      <c r="L179" s="270"/>
      <c r="M179" s="271"/>
      <c r="N179" s="270"/>
      <c r="O179" s="271"/>
      <c r="P179" s="270"/>
      <c r="Q179" s="271"/>
      <c r="R179" s="270"/>
      <c r="S179" s="271"/>
      <c r="T179" s="270"/>
      <c r="U179" s="273"/>
    </row>
    <row r="180" spans="1:21" x14ac:dyDescent="0.25">
      <c r="A180" s="267"/>
      <c r="B180" s="270"/>
      <c r="C180" s="271"/>
      <c r="D180" s="270"/>
      <c r="E180" s="271"/>
      <c r="F180" s="272"/>
      <c r="G180" s="271"/>
      <c r="H180" s="270"/>
      <c r="I180" s="271"/>
      <c r="J180" s="270"/>
      <c r="K180" s="271"/>
      <c r="L180" s="270"/>
      <c r="M180" s="271"/>
      <c r="N180" s="270"/>
      <c r="O180" s="271"/>
      <c r="P180" s="270"/>
      <c r="Q180" s="271"/>
      <c r="R180" s="270"/>
      <c r="S180" s="271"/>
      <c r="T180" s="270"/>
      <c r="U180" s="273"/>
    </row>
    <row r="181" spans="1:21" x14ac:dyDescent="0.25">
      <c r="A181" s="267"/>
      <c r="B181" s="270"/>
      <c r="C181" s="271"/>
      <c r="D181" s="270"/>
      <c r="E181" s="271"/>
      <c r="F181" s="272"/>
      <c r="G181" s="271"/>
      <c r="H181" s="270"/>
      <c r="I181" s="271"/>
      <c r="J181" s="270"/>
      <c r="K181" s="271"/>
      <c r="L181" s="270"/>
      <c r="M181" s="271"/>
      <c r="N181" s="270"/>
      <c r="O181" s="271"/>
      <c r="P181" s="270"/>
      <c r="Q181" s="271"/>
      <c r="R181" s="270"/>
      <c r="S181" s="271"/>
      <c r="T181" s="270"/>
      <c r="U181" s="273"/>
    </row>
    <row r="182" spans="1:21" x14ac:dyDescent="0.25">
      <c r="A182" s="267"/>
      <c r="B182" s="270"/>
      <c r="C182" s="271"/>
      <c r="D182" s="270"/>
      <c r="E182" s="271"/>
      <c r="F182" s="272"/>
      <c r="G182" s="271"/>
      <c r="H182" s="270"/>
      <c r="I182" s="271"/>
      <c r="J182" s="270"/>
      <c r="K182" s="271"/>
      <c r="L182" s="270"/>
      <c r="M182" s="271"/>
      <c r="N182" s="270"/>
      <c r="O182" s="271"/>
      <c r="P182" s="270"/>
      <c r="Q182" s="271"/>
      <c r="R182" s="270"/>
      <c r="S182" s="271"/>
      <c r="T182" s="270"/>
      <c r="U182" s="273"/>
    </row>
    <row r="183" spans="1:21" x14ac:dyDescent="0.25">
      <c r="A183" s="267"/>
      <c r="B183" s="270"/>
      <c r="C183" s="271"/>
      <c r="D183" s="270"/>
      <c r="E183" s="271"/>
      <c r="F183" s="272"/>
      <c r="G183" s="271"/>
      <c r="H183" s="270"/>
      <c r="I183" s="271"/>
      <c r="J183" s="270"/>
      <c r="K183" s="271"/>
      <c r="L183" s="270"/>
      <c r="M183" s="271"/>
      <c r="N183" s="270"/>
      <c r="O183" s="271"/>
      <c r="P183" s="270"/>
      <c r="Q183" s="271"/>
      <c r="R183" s="270"/>
      <c r="S183" s="271"/>
      <c r="T183" s="270"/>
      <c r="U183" s="273"/>
    </row>
    <row r="184" spans="1:21" x14ac:dyDescent="0.25">
      <c r="A184" s="267"/>
      <c r="B184" s="270"/>
      <c r="C184" s="271"/>
      <c r="D184" s="270"/>
      <c r="E184" s="271"/>
      <c r="F184" s="272"/>
      <c r="G184" s="271"/>
      <c r="H184" s="270"/>
      <c r="I184" s="271"/>
      <c r="J184" s="270"/>
      <c r="K184" s="271"/>
      <c r="L184" s="270"/>
      <c r="M184" s="271"/>
      <c r="N184" s="270"/>
      <c r="O184" s="271"/>
      <c r="P184" s="270"/>
      <c r="Q184" s="271"/>
      <c r="R184" s="270"/>
      <c r="S184" s="271"/>
      <c r="T184" s="270"/>
      <c r="U184" s="273"/>
    </row>
    <row r="185" spans="1:21" x14ac:dyDescent="0.25">
      <c r="A185" s="267"/>
      <c r="B185" s="270"/>
      <c r="C185" s="271"/>
      <c r="D185" s="270"/>
      <c r="E185" s="271"/>
      <c r="F185" s="272"/>
      <c r="G185" s="271"/>
      <c r="H185" s="270"/>
      <c r="I185" s="271"/>
      <c r="J185" s="270"/>
      <c r="K185" s="271"/>
      <c r="L185" s="270"/>
      <c r="M185" s="271"/>
      <c r="N185" s="270"/>
      <c r="O185" s="271"/>
      <c r="P185" s="270"/>
      <c r="Q185" s="271"/>
      <c r="R185" s="270"/>
      <c r="S185" s="271"/>
      <c r="T185" s="270"/>
      <c r="U185" s="273"/>
    </row>
    <row r="186" spans="1:21" x14ac:dyDescent="0.25">
      <c r="A186" s="267"/>
      <c r="B186" s="270"/>
      <c r="C186" s="271"/>
      <c r="D186" s="270"/>
      <c r="E186" s="271"/>
      <c r="F186" s="272"/>
      <c r="G186" s="271"/>
      <c r="H186" s="270"/>
      <c r="I186" s="271"/>
      <c r="J186" s="270"/>
      <c r="K186" s="271"/>
      <c r="L186" s="270"/>
      <c r="M186" s="271"/>
      <c r="N186" s="270"/>
      <c r="O186" s="271"/>
      <c r="P186" s="270"/>
      <c r="Q186" s="271"/>
      <c r="R186" s="270"/>
      <c r="S186" s="271"/>
      <c r="T186" s="270"/>
      <c r="U186" s="273"/>
    </row>
    <row r="187" spans="1:21" x14ac:dyDescent="0.25">
      <c r="A187" s="267"/>
      <c r="B187" s="270"/>
      <c r="C187" s="271"/>
      <c r="D187" s="270"/>
      <c r="E187" s="271"/>
      <c r="F187" s="272"/>
      <c r="G187" s="271"/>
      <c r="H187" s="270"/>
      <c r="I187" s="271"/>
      <c r="J187" s="270"/>
      <c r="K187" s="271"/>
      <c r="L187" s="270"/>
      <c r="M187" s="271"/>
      <c r="N187" s="270"/>
      <c r="O187" s="271"/>
      <c r="P187" s="270"/>
      <c r="Q187" s="271"/>
      <c r="R187" s="270"/>
      <c r="S187" s="271"/>
      <c r="T187" s="270"/>
      <c r="U187" s="273"/>
    </row>
    <row r="188" spans="1:21" x14ac:dyDescent="0.25">
      <c r="A188" s="267"/>
      <c r="B188" s="270"/>
      <c r="C188" s="271"/>
      <c r="D188" s="270"/>
      <c r="E188" s="271"/>
      <c r="F188" s="272"/>
      <c r="G188" s="271"/>
      <c r="H188" s="270"/>
      <c r="I188" s="271"/>
      <c r="J188" s="270"/>
      <c r="K188" s="271"/>
      <c r="L188" s="270"/>
      <c r="M188" s="271"/>
      <c r="N188" s="270"/>
      <c r="O188" s="271"/>
      <c r="P188" s="270"/>
      <c r="Q188" s="271"/>
      <c r="R188" s="270"/>
      <c r="S188" s="271"/>
      <c r="T188" s="270"/>
      <c r="U188" s="273"/>
    </row>
    <row r="189" spans="1:21" x14ac:dyDescent="0.25">
      <c r="A189" s="267"/>
      <c r="B189" s="270"/>
      <c r="C189" s="271"/>
      <c r="D189" s="270"/>
      <c r="E189" s="271"/>
      <c r="F189" s="272"/>
      <c r="G189" s="271"/>
      <c r="H189" s="270"/>
      <c r="I189" s="271"/>
      <c r="J189" s="270"/>
      <c r="K189" s="271"/>
      <c r="L189" s="270"/>
      <c r="M189" s="271"/>
      <c r="N189" s="270"/>
      <c r="O189" s="271"/>
      <c r="P189" s="270"/>
      <c r="Q189" s="271"/>
      <c r="R189" s="270"/>
      <c r="S189" s="271"/>
      <c r="T189" s="270"/>
      <c r="U189" s="273"/>
    </row>
    <row r="190" spans="1:21" x14ac:dyDescent="0.25">
      <c r="A190" s="267"/>
      <c r="B190" s="270"/>
      <c r="C190" s="271"/>
      <c r="D190" s="270"/>
      <c r="E190" s="271"/>
      <c r="F190" s="272"/>
      <c r="G190" s="271"/>
      <c r="H190" s="270"/>
      <c r="I190" s="271"/>
      <c r="J190" s="270"/>
      <c r="K190" s="271"/>
      <c r="L190" s="270"/>
      <c r="M190" s="271"/>
      <c r="N190" s="270"/>
      <c r="O190" s="271"/>
      <c r="P190" s="270"/>
      <c r="Q190" s="271"/>
      <c r="R190" s="270"/>
      <c r="S190" s="271"/>
      <c r="T190" s="270"/>
      <c r="U190" s="273"/>
    </row>
    <row r="191" spans="1:21" x14ac:dyDescent="0.25">
      <c r="A191" s="267"/>
      <c r="B191" s="270"/>
      <c r="C191" s="271"/>
      <c r="D191" s="270"/>
      <c r="E191" s="271"/>
      <c r="F191" s="272"/>
      <c r="G191" s="271"/>
      <c r="H191" s="270"/>
      <c r="I191" s="271"/>
      <c r="J191" s="270"/>
      <c r="K191" s="271"/>
      <c r="L191" s="270"/>
      <c r="M191" s="271"/>
      <c r="N191" s="270"/>
      <c r="O191" s="271"/>
      <c r="P191" s="270"/>
      <c r="Q191" s="271"/>
      <c r="R191" s="270"/>
      <c r="S191" s="271"/>
      <c r="T191" s="270"/>
      <c r="U191" s="273"/>
    </row>
    <row r="192" spans="1:21" x14ac:dyDescent="0.25">
      <c r="A192" s="267"/>
      <c r="B192" s="270"/>
      <c r="C192" s="271"/>
      <c r="D192" s="270"/>
      <c r="E192" s="271"/>
      <c r="F192" s="272"/>
      <c r="G192" s="271"/>
      <c r="H192" s="270"/>
      <c r="I192" s="271"/>
      <c r="J192" s="270"/>
      <c r="K192" s="271"/>
      <c r="L192" s="270"/>
      <c r="M192" s="271"/>
      <c r="N192" s="270"/>
      <c r="O192" s="271"/>
      <c r="P192" s="270"/>
      <c r="Q192" s="271"/>
      <c r="R192" s="270"/>
      <c r="S192" s="271"/>
      <c r="T192" s="270"/>
      <c r="U192" s="273"/>
    </row>
    <row r="193" spans="1:21" x14ac:dyDescent="0.25">
      <c r="A193" s="267"/>
      <c r="B193" s="270"/>
      <c r="C193" s="271"/>
      <c r="D193" s="270"/>
      <c r="E193" s="271"/>
      <c r="F193" s="272"/>
      <c r="G193" s="271"/>
      <c r="H193" s="270"/>
      <c r="I193" s="271"/>
      <c r="J193" s="270"/>
      <c r="K193" s="271"/>
      <c r="L193" s="270"/>
      <c r="M193" s="271"/>
      <c r="N193" s="270"/>
      <c r="O193" s="271"/>
      <c r="P193" s="270"/>
      <c r="Q193" s="271"/>
      <c r="R193" s="270"/>
      <c r="S193" s="271"/>
      <c r="T193" s="270"/>
      <c r="U193" s="273"/>
    </row>
    <row r="194" spans="1:21" x14ac:dyDescent="0.25">
      <c r="A194" s="267"/>
      <c r="B194" s="270"/>
      <c r="C194" s="271"/>
      <c r="D194" s="270"/>
      <c r="E194" s="271"/>
      <c r="F194" s="272"/>
      <c r="G194" s="271"/>
      <c r="H194" s="270"/>
      <c r="I194" s="271"/>
      <c r="J194" s="270"/>
      <c r="K194" s="271"/>
      <c r="L194" s="270"/>
      <c r="M194" s="271"/>
      <c r="N194" s="270"/>
      <c r="O194" s="271"/>
      <c r="P194" s="270"/>
      <c r="Q194" s="271"/>
      <c r="R194" s="270"/>
      <c r="S194" s="271"/>
      <c r="T194" s="270"/>
      <c r="U194" s="273"/>
    </row>
    <row r="195" spans="1:21" x14ac:dyDescent="0.25">
      <c r="A195" s="267"/>
      <c r="B195" s="270"/>
      <c r="C195" s="271"/>
      <c r="D195" s="270"/>
      <c r="E195" s="271"/>
      <c r="F195" s="272"/>
      <c r="G195" s="271"/>
      <c r="H195" s="270"/>
      <c r="I195" s="271"/>
      <c r="J195" s="270"/>
      <c r="K195" s="271"/>
      <c r="L195" s="270"/>
      <c r="M195" s="271"/>
      <c r="N195" s="270"/>
      <c r="O195" s="271"/>
      <c r="P195" s="270"/>
      <c r="Q195" s="271"/>
      <c r="R195" s="270"/>
      <c r="S195" s="271"/>
      <c r="T195" s="270"/>
      <c r="U195" s="273"/>
    </row>
    <row r="196" spans="1:21" x14ac:dyDescent="0.25">
      <c r="A196" s="267"/>
      <c r="B196" s="270"/>
      <c r="C196" s="271"/>
      <c r="D196" s="270"/>
      <c r="E196" s="271"/>
      <c r="F196" s="272"/>
      <c r="G196" s="271"/>
      <c r="H196" s="270"/>
      <c r="I196" s="271"/>
      <c r="J196" s="270"/>
      <c r="K196" s="271"/>
      <c r="L196" s="270"/>
      <c r="M196" s="271"/>
      <c r="N196" s="270"/>
      <c r="O196" s="271"/>
      <c r="P196" s="270"/>
      <c r="Q196" s="271"/>
      <c r="R196" s="270"/>
      <c r="S196" s="271"/>
      <c r="T196" s="270"/>
      <c r="U196" s="273"/>
    </row>
    <row r="197" spans="1:21" x14ac:dyDescent="0.25">
      <c r="A197" s="267"/>
      <c r="B197" s="270"/>
      <c r="C197" s="271"/>
      <c r="D197" s="270"/>
      <c r="E197" s="271"/>
      <c r="F197" s="272"/>
      <c r="G197" s="271"/>
      <c r="H197" s="270"/>
      <c r="I197" s="271"/>
      <c r="J197" s="270"/>
      <c r="K197" s="271"/>
      <c r="L197" s="270"/>
      <c r="M197" s="271"/>
      <c r="N197" s="270"/>
      <c r="O197" s="271"/>
      <c r="P197" s="270"/>
      <c r="Q197" s="271"/>
      <c r="R197" s="270"/>
      <c r="S197" s="271"/>
      <c r="T197" s="270"/>
      <c r="U197" s="273"/>
    </row>
    <row r="198" spans="1:21" x14ac:dyDescent="0.25">
      <c r="A198" s="267"/>
      <c r="B198" s="270"/>
      <c r="C198" s="271"/>
      <c r="D198" s="270"/>
      <c r="E198" s="271"/>
      <c r="F198" s="272"/>
      <c r="G198" s="271"/>
      <c r="H198" s="270"/>
      <c r="I198" s="271"/>
      <c r="J198" s="270"/>
      <c r="K198" s="271"/>
      <c r="L198" s="270"/>
      <c r="M198" s="271"/>
      <c r="N198" s="270"/>
      <c r="O198" s="271"/>
      <c r="P198" s="270"/>
      <c r="Q198" s="271"/>
      <c r="R198" s="270"/>
      <c r="S198" s="271"/>
      <c r="T198" s="270"/>
      <c r="U198" s="273"/>
    </row>
    <row r="199" spans="1:21" x14ac:dyDescent="0.25">
      <c r="A199" s="267"/>
      <c r="B199" s="270"/>
      <c r="C199" s="271"/>
      <c r="D199" s="270"/>
      <c r="E199" s="271"/>
      <c r="F199" s="272"/>
      <c r="G199" s="271"/>
      <c r="H199" s="270"/>
      <c r="I199" s="271"/>
      <c r="J199" s="270"/>
      <c r="K199" s="271"/>
      <c r="L199" s="270"/>
      <c r="M199" s="271"/>
      <c r="N199" s="270"/>
      <c r="O199" s="271"/>
      <c r="P199" s="270"/>
      <c r="Q199" s="271"/>
      <c r="R199" s="270"/>
      <c r="S199" s="271"/>
      <c r="T199" s="270"/>
      <c r="U199" s="273"/>
    </row>
    <row r="200" spans="1:21" x14ac:dyDescent="0.25">
      <c r="A200" s="267"/>
      <c r="B200" s="270"/>
      <c r="C200" s="271"/>
      <c r="D200" s="270"/>
      <c r="E200" s="271"/>
      <c r="F200" s="272"/>
      <c r="G200" s="271"/>
      <c r="H200" s="270"/>
      <c r="I200" s="271"/>
      <c r="J200" s="270"/>
      <c r="K200" s="271"/>
      <c r="L200" s="270"/>
      <c r="M200" s="271"/>
      <c r="N200" s="270"/>
      <c r="O200" s="271"/>
      <c r="P200" s="270"/>
      <c r="Q200" s="271"/>
      <c r="R200" s="270"/>
      <c r="S200" s="271"/>
      <c r="T200" s="270"/>
      <c r="U200" s="273"/>
    </row>
    <row r="201" spans="1:21" x14ac:dyDescent="0.25">
      <c r="A201" s="268"/>
      <c r="B201" s="274"/>
      <c r="C201" s="275"/>
      <c r="D201" s="274"/>
      <c r="E201" s="275"/>
      <c r="F201" s="276"/>
      <c r="G201" s="275"/>
      <c r="H201" s="274"/>
      <c r="I201" s="275"/>
      <c r="J201" s="274"/>
      <c r="K201" s="275"/>
      <c r="L201" s="274"/>
      <c r="M201" s="275"/>
      <c r="N201" s="274"/>
      <c r="O201" s="275"/>
      <c r="P201" s="274"/>
      <c r="Q201" s="275"/>
      <c r="R201" s="274"/>
      <c r="S201" s="275"/>
      <c r="T201" s="274"/>
      <c r="U201" s="277"/>
    </row>
    <row r="202" spans="1:21" x14ac:dyDescent="0.3">
      <c r="A202" s="177"/>
      <c r="B202" s="199"/>
      <c r="C202" s="30"/>
      <c r="D202" s="173"/>
      <c r="E202" s="30"/>
      <c r="F202" s="173"/>
      <c r="G202" s="30"/>
      <c r="H202" s="173"/>
      <c r="I202" s="30"/>
      <c r="J202" s="173"/>
      <c r="K202" s="30"/>
    </row>
    <row r="203" spans="1:21" x14ac:dyDescent="0.3">
      <c r="A203" s="177"/>
      <c r="B203" s="199"/>
      <c r="C203" s="30"/>
      <c r="D203" s="173"/>
      <c r="E203" s="30"/>
      <c r="F203" s="173"/>
      <c r="G203" s="30"/>
      <c r="H203" s="173"/>
      <c r="I203" s="30"/>
      <c r="J203" s="173"/>
      <c r="K203" s="30"/>
    </row>
    <row r="204" spans="1:21" x14ac:dyDescent="0.3">
      <c r="A204" s="177"/>
      <c r="B204" s="199"/>
      <c r="C204" s="30"/>
      <c r="D204" s="173"/>
      <c r="E204" s="30"/>
      <c r="F204" s="173"/>
      <c r="G204" s="30"/>
      <c r="H204" s="173"/>
      <c r="I204" s="30"/>
      <c r="J204" s="173"/>
      <c r="K204" s="30"/>
    </row>
    <row r="205" spans="1:21" x14ac:dyDescent="0.3">
      <c r="A205" s="177"/>
      <c r="B205" s="199"/>
      <c r="C205" s="30"/>
      <c r="D205" s="173"/>
      <c r="E205" s="30"/>
      <c r="F205" s="173"/>
      <c r="G205" s="30"/>
      <c r="H205" s="173"/>
      <c r="I205" s="30"/>
      <c r="J205" s="173"/>
      <c r="K205" s="30"/>
    </row>
    <row r="206" spans="1:21" x14ac:dyDescent="0.3">
      <c r="A206" s="177"/>
      <c r="B206" s="199"/>
      <c r="C206" s="30"/>
      <c r="D206" s="173"/>
      <c r="E206" s="30"/>
      <c r="F206" s="173"/>
      <c r="G206" s="30"/>
      <c r="H206" s="173"/>
      <c r="I206" s="30"/>
      <c r="J206" s="173"/>
      <c r="K206" s="30"/>
    </row>
    <row r="207" spans="1:21" x14ac:dyDescent="0.3">
      <c r="A207" s="177"/>
      <c r="B207" s="199"/>
      <c r="C207" s="30"/>
      <c r="D207" s="173"/>
      <c r="E207" s="30"/>
      <c r="F207" s="173"/>
      <c r="G207" s="30"/>
      <c r="H207" s="173"/>
      <c r="I207" s="30"/>
      <c r="J207" s="173"/>
      <c r="K207" s="30"/>
    </row>
    <row r="208" spans="1:21" x14ac:dyDescent="0.3">
      <c r="A208" s="177"/>
      <c r="B208" s="199"/>
      <c r="C208" s="30"/>
      <c r="D208" s="173"/>
      <c r="E208" s="30"/>
      <c r="F208" s="173"/>
      <c r="G208" s="30"/>
      <c r="H208" s="173"/>
      <c r="I208" s="30"/>
      <c r="J208" s="173"/>
      <c r="K208" s="30"/>
    </row>
    <row r="209" spans="1:11" x14ac:dyDescent="0.3">
      <c r="A209" s="177"/>
      <c r="B209" s="199"/>
      <c r="C209" s="30"/>
      <c r="D209" s="173"/>
      <c r="E209" s="30"/>
      <c r="F209" s="173"/>
      <c r="G209" s="30"/>
      <c r="H209" s="173"/>
      <c r="I209" s="30"/>
      <c r="J209" s="173"/>
      <c r="K209" s="30"/>
    </row>
    <row r="210" spans="1:11" x14ac:dyDescent="0.3">
      <c r="A210" s="177"/>
      <c r="B210" s="199"/>
      <c r="C210" s="30"/>
      <c r="D210" s="173"/>
      <c r="E210" s="30"/>
      <c r="F210" s="173"/>
      <c r="G210" s="30"/>
      <c r="H210" s="173"/>
      <c r="I210" s="30"/>
      <c r="J210" s="173"/>
      <c r="K210" s="30"/>
    </row>
    <row r="211" spans="1:11" x14ac:dyDescent="0.3">
      <c r="A211" s="177"/>
      <c r="B211" s="199"/>
      <c r="C211" s="30"/>
      <c r="D211" s="173"/>
      <c r="E211" s="30"/>
      <c r="F211" s="173"/>
      <c r="G211" s="30"/>
      <c r="H211" s="173"/>
      <c r="I211" s="30"/>
      <c r="J211" s="173"/>
      <c r="K211" s="30"/>
    </row>
    <row r="212" spans="1:11" x14ac:dyDescent="0.3">
      <c r="A212" s="177"/>
      <c r="B212" s="199"/>
      <c r="C212" s="30"/>
      <c r="D212" s="173"/>
      <c r="E212" s="30"/>
      <c r="F212" s="173"/>
      <c r="G212" s="30"/>
      <c r="H212" s="173"/>
      <c r="I212" s="30"/>
      <c r="J212" s="173"/>
      <c r="K212" s="30"/>
    </row>
    <row r="213" spans="1:11" x14ac:dyDescent="0.3">
      <c r="A213" s="177"/>
      <c r="B213" s="199"/>
      <c r="C213" s="30"/>
      <c r="D213" s="173"/>
      <c r="E213" s="30"/>
      <c r="F213" s="173"/>
      <c r="G213" s="30"/>
      <c r="H213" s="173"/>
      <c r="I213" s="30"/>
      <c r="J213" s="173"/>
      <c r="K213" s="30"/>
    </row>
    <row r="214" spans="1:11" x14ac:dyDescent="0.3">
      <c r="A214" s="177"/>
      <c r="B214" s="199"/>
      <c r="C214" s="30"/>
      <c r="D214" s="173"/>
      <c r="E214" s="30"/>
      <c r="F214" s="173"/>
      <c r="G214" s="30"/>
      <c r="H214" s="173"/>
      <c r="I214" s="30"/>
      <c r="J214" s="173"/>
      <c r="K214" s="30"/>
    </row>
    <row r="215" spans="1:11" x14ac:dyDescent="0.3">
      <c r="A215" s="177"/>
      <c r="B215" s="199"/>
      <c r="C215" s="30"/>
      <c r="D215" s="173"/>
      <c r="E215" s="30"/>
      <c r="F215" s="173"/>
      <c r="G215" s="30"/>
      <c r="H215" s="173"/>
      <c r="I215" s="30"/>
      <c r="J215" s="173"/>
      <c r="K215" s="30"/>
    </row>
    <row r="216" spans="1:11" x14ac:dyDescent="0.3">
      <c r="A216" s="177"/>
      <c r="B216" s="199"/>
      <c r="C216" s="30"/>
      <c r="D216" s="173"/>
      <c r="E216" s="30"/>
      <c r="F216" s="173"/>
      <c r="G216" s="30"/>
      <c r="H216" s="173"/>
      <c r="I216" s="30"/>
      <c r="J216" s="173"/>
      <c r="K216" s="30"/>
    </row>
    <row r="217" spans="1:11" x14ac:dyDescent="0.3">
      <c r="A217" s="177"/>
      <c r="B217" s="199"/>
      <c r="C217" s="30"/>
      <c r="D217" s="173"/>
      <c r="E217" s="30"/>
      <c r="F217" s="173"/>
      <c r="G217" s="30"/>
      <c r="H217" s="173"/>
      <c r="I217" s="30"/>
      <c r="J217" s="173"/>
      <c r="K217" s="30"/>
    </row>
    <row r="218" spans="1:11" x14ac:dyDescent="0.3">
      <c r="A218" s="177"/>
      <c r="B218" s="199"/>
      <c r="C218" s="30"/>
      <c r="D218" s="173"/>
      <c r="E218" s="30"/>
      <c r="F218" s="173"/>
      <c r="G218" s="30"/>
      <c r="H218" s="173"/>
      <c r="I218" s="30"/>
      <c r="J218" s="173"/>
      <c r="K218" s="30"/>
    </row>
    <row r="219" spans="1:11" x14ac:dyDescent="0.3">
      <c r="A219" s="177"/>
      <c r="B219" s="199"/>
      <c r="C219" s="30"/>
      <c r="D219" s="173"/>
      <c r="E219" s="30"/>
      <c r="F219" s="173"/>
      <c r="G219" s="30"/>
      <c r="H219" s="173"/>
      <c r="I219" s="30"/>
      <c r="J219" s="173"/>
      <c r="K219" s="30"/>
    </row>
    <row r="220" spans="1:11" x14ac:dyDescent="0.3">
      <c r="A220" s="177"/>
      <c r="B220" s="199"/>
      <c r="C220" s="30"/>
      <c r="D220" s="173"/>
      <c r="E220" s="30"/>
      <c r="F220" s="173"/>
      <c r="G220" s="30"/>
      <c r="H220" s="173"/>
      <c r="I220" s="30"/>
      <c r="J220" s="173"/>
      <c r="K220" s="30"/>
    </row>
    <row r="221" spans="1:11" x14ac:dyDescent="0.3">
      <c r="A221" s="177"/>
      <c r="B221" s="199"/>
      <c r="C221" s="30"/>
      <c r="D221" s="173"/>
      <c r="E221" s="30"/>
      <c r="F221" s="173"/>
      <c r="G221" s="30"/>
      <c r="H221" s="173"/>
      <c r="I221" s="30"/>
      <c r="J221" s="173"/>
      <c r="K221" s="30"/>
    </row>
    <row r="222" spans="1:11" x14ac:dyDescent="0.3">
      <c r="A222" s="177"/>
      <c r="B222" s="199"/>
      <c r="C222" s="30"/>
      <c r="D222" s="173"/>
      <c r="E222" s="30"/>
      <c r="F222" s="173"/>
      <c r="G222" s="30"/>
      <c r="H222" s="173"/>
      <c r="I222" s="30"/>
      <c r="J222" s="173"/>
      <c r="K222" s="30"/>
    </row>
    <row r="223" spans="1:11" x14ac:dyDescent="0.3">
      <c r="A223" s="177"/>
      <c r="B223" s="199"/>
      <c r="C223" s="30"/>
      <c r="D223" s="173"/>
      <c r="E223" s="30"/>
      <c r="F223" s="173"/>
      <c r="G223" s="30"/>
      <c r="H223" s="173"/>
      <c r="I223" s="30"/>
      <c r="J223" s="173"/>
      <c r="K223" s="30"/>
    </row>
    <row r="224" spans="1:11" x14ac:dyDescent="0.3">
      <c r="A224" s="177"/>
      <c r="B224" s="199"/>
      <c r="C224" s="30"/>
      <c r="D224" s="173"/>
      <c r="E224" s="30"/>
      <c r="F224" s="173"/>
      <c r="G224" s="30"/>
      <c r="H224" s="173"/>
      <c r="I224" s="30"/>
      <c r="J224" s="173"/>
      <c r="K224" s="30"/>
    </row>
    <row r="225" spans="1:11" x14ac:dyDescent="0.3">
      <c r="A225" s="177"/>
      <c r="B225" s="199"/>
      <c r="C225" s="30"/>
      <c r="D225" s="173"/>
      <c r="E225" s="30"/>
      <c r="F225" s="173"/>
      <c r="G225" s="30"/>
      <c r="H225" s="173"/>
      <c r="I225" s="30"/>
      <c r="J225" s="173"/>
      <c r="K225" s="30"/>
    </row>
    <row r="226" spans="1:11" x14ac:dyDescent="0.3">
      <c r="A226" s="177"/>
      <c r="B226" s="199"/>
      <c r="C226" s="30"/>
      <c r="D226" s="173"/>
      <c r="E226" s="30"/>
      <c r="F226" s="173"/>
      <c r="G226" s="30"/>
      <c r="H226" s="173"/>
      <c r="I226" s="30"/>
      <c r="J226" s="173"/>
      <c r="K226" s="30"/>
    </row>
    <row r="227" spans="1:11" x14ac:dyDescent="0.3">
      <c r="A227" s="177"/>
      <c r="B227" s="199"/>
      <c r="C227" s="30"/>
      <c r="D227" s="173"/>
      <c r="E227" s="30"/>
      <c r="F227" s="173"/>
      <c r="G227" s="30"/>
      <c r="H227" s="173"/>
      <c r="I227" s="30"/>
      <c r="J227" s="173"/>
      <c r="K227" s="30"/>
    </row>
    <row r="228" spans="1:11" x14ac:dyDescent="0.3">
      <c r="A228" s="177"/>
      <c r="B228" s="199"/>
      <c r="C228" s="30"/>
      <c r="D228" s="173"/>
      <c r="E228" s="30"/>
      <c r="F228" s="173"/>
      <c r="G228" s="30"/>
      <c r="H228" s="173"/>
      <c r="I228" s="30"/>
      <c r="J228" s="173"/>
      <c r="K228" s="30"/>
    </row>
    <row r="229" spans="1:11" x14ac:dyDescent="0.3">
      <c r="A229" s="177"/>
      <c r="B229" s="199"/>
      <c r="C229" s="30"/>
      <c r="D229" s="173"/>
      <c r="E229" s="30"/>
      <c r="F229" s="173"/>
      <c r="G229" s="30"/>
      <c r="H229" s="173"/>
      <c r="I229" s="30"/>
      <c r="J229" s="173"/>
      <c r="K229" s="30"/>
    </row>
    <row r="230" spans="1:11" x14ac:dyDescent="0.3">
      <c r="A230" s="177"/>
      <c r="B230" s="199"/>
      <c r="C230" s="30"/>
      <c r="D230" s="173"/>
      <c r="E230" s="30"/>
      <c r="F230" s="173"/>
      <c r="G230" s="30"/>
      <c r="H230" s="173"/>
      <c r="I230" s="30"/>
      <c r="J230" s="173"/>
      <c r="K230" s="30"/>
    </row>
    <row r="231" spans="1:11" x14ac:dyDescent="0.3">
      <c r="A231" s="177"/>
      <c r="B231" s="199"/>
      <c r="C231" s="30"/>
      <c r="D231" s="173"/>
      <c r="E231" s="30"/>
      <c r="F231" s="173"/>
      <c r="G231" s="30"/>
      <c r="H231" s="173"/>
      <c r="I231" s="30"/>
      <c r="J231" s="173"/>
      <c r="K231" s="30"/>
    </row>
    <row r="232" spans="1:11" x14ac:dyDescent="0.3">
      <c r="A232" s="177"/>
      <c r="B232" s="199"/>
      <c r="C232" s="30"/>
      <c r="D232" s="173"/>
      <c r="E232" s="30"/>
      <c r="F232" s="173"/>
      <c r="G232" s="30"/>
      <c r="H232" s="173"/>
      <c r="I232" s="30"/>
      <c r="J232" s="173"/>
      <c r="K232" s="30"/>
    </row>
    <row r="233" spans="1:11" x14ac:dyDescent="0.3">
      <c r="A233" s="177"/>
      <c r="B233" s="199"/>
      <c r="C233" s="30"/>
      <c r="D233" s="173"/>
      <c r="E233" s="30"/>
      <c r="F233" s="173"/>
      <c r="G233" s="30"/>
      <c r="H233" s="173"/>
      <c r="I233" s="30"/>
      <c r="J233" s="173"/>
      <c r="K233" s="30"/>
    </row>
    <row r="234" spans="1:11" x14ac:dyDescent="0.3">
      <c r="A234" s="177"/>
      <c r="B234" s="199"/>
      <c r="C234" s="30"/>
      <c r="D234" s="173"/>
      <c r="E234" s="30"/>
      <c r="F234" s="173"/>
      <c r="G234" s="30"/>
      <c r="H234" s="173"/>
      <c r="I234" s="30"/>
      <c r="J234" s="173"/>
      <c r="K234" s="30"/>
    </row>
    <row r="235" spans="1:11" x14ac:dyDescent="0.3">
      <c r="A235" s="177"/>
      <c r="B235" s="199"/>
      <c r="C235" s="30"/>
      <c r="D235" s="173"/>
      <c r="E235" s="30"/>
      <c r="F235" s="173"/>
      <c r="G235" s="30"/>
      <c r="H235" s="173"/>
      <c r="I235" s="30"/>
      <c r="J235" s="173"/>
      <c r="K235" s="30"/>
    </row>
    <row r="236" spans="1:11" x14ac:dyDescent="0.3">
      <c r="A236" s="177"/>
      <c r="B236" s="199"/>
      <c r="C236" s="30"/>
      <c r="D236" s="173"/>
      <c r="E236" s="30"/>
      <c r="F236" s="173"/>
      <c r="G236" s="30"/>
      <c r="H236" s="173"/>
      <c r="I236" s="30"/>
      <c r="J236" s="173"/>
      <c r="K236" s="30"/>
    </row>
    <row r="237" spans="1:11" x14ac:dyDescent="0.3">
      <c r="A237" s="177"/>
      <c r="B237" s="199"/>
      <c r="C237" s="30"/>
      <c r="D237" s="173"/>
      <c r="E237" s="30"/>
      <c r="F237" s="173"/>
      <c r="G237" s="30"/>
      <c r="H237" s="173"/>
      <c r="I237" s="30"/>
      <c r="J237" s="173"/>
      <c r="K237" s="30"/>
    </row>
    <row r="238" spans="1:11" x14ac:dyDescent="0.3">
      <c r="A238" s="177"/>
      <c r="B238" s="199"/>
      <c r="C238" s="30"/>
      <c r="D238" s="173"/>
      <c r="E238" s="30"/>
      <c r="F238" s="173"/>
      <c r="G238" s="30"/>
      <c r="H238" s="173"/>
      <c r="I238" s="30"/>
      <c r="J238" s="173"/>
      <c r="K238" s="30"/>
    </row>
    <row r="239" spans="1:11" x14ac:dyDescent="0.3">
      <c r="A239" s="177"/>
      <c r="B239" s="199"/>
      <c r="C239" s="30"/>
      <c r="D239" s="173"/>
      <c r="E239" s="30"/>
      <c r="F239" s="173"/>
      <c r="G239" s="30"/>
      <c r="H239" s="173"/>
      <c r="I239" s="30"/>
      <c r="J239" s="173"/>
      <c r="K239" s="30"/>
    </row>
    <row r="240" spans="1:11" x14ac:dyDescent="0.3">
      <c r="A240" s="177"/>
      <c r="B240" s="199"/>
      <c r="C240" s="30"/>
      <c r="D240" s="173"/>
      <c r="E240" s="30"/>
      <c r="F240" s="173"/>
      <c r="G240" s="30"/>
      <c r="H240" s="173"/>
      <c r="I240" s="30"/>
      <c r="J240" s="173"/>
      <c r="K240" s="30"/>
    </row>
    <row r="241" spans="1:11" x14ac:dyDescent="0.3">
      <c r="A241" s="177"/>
      <c r="B241" s="199"/>
      <c r="C241" s="30"/>
      <c r="D241" s="173"/>
      <c r="E241" s="30"/>
      <c r="F241" s="173"/>
      <c r="G241" s="30"/>
      <c r="H241" s="173"/>
      <c r="I241" s="30"/>
      <c r="J241" s="173"/>
      <c r="K241" s="30"/>
    </row>
    <row r="242" spans="1:11" x14ac:dyDescent="0.3">
      <c r="A242" s="177"/>
      <c r="B242" s="199"/>
      <c r="C242" s="30"/>
      <c r="D242" s="173"/>
      <c r="E242" s="30"/>
      <c r="F242" s="173"/>
      <c r="G242" s="30"/>
      <c r="H242" s="173"/>
      <c r="I242" s="30"/>
      <c r="J242" s="173"/>
      <c r="K242" s="30"/>
    </row>
    <row r="243" spans="1:11" x14ac:dyDescent="0.3">
      <c r="A243" s="177"/>
      <c r="B243" s="199"/>
      <c r="C243" s="30"/>
      <c r="D243" s="173"/>
      <c r="E243" s="30"/>
      <c r="F243" s="173"/>
      <c r="G243" s="30"/>
      <c r="H243" s="173"/>
      <c r="I243" s="30"/>
      <c r="J243" s="173"/>
      <c r="K243" s="30"/>
    </row>
    <row r="244" spans="1:11" x14ac:dyDescent="0.3">
      <c r="A244" s="177"/>
      <c r="B244" s="199"/>
      <c r="C244" s="30"/>
      <c r="D244" s="173"/>
      <c r="E244" s="30"/>
      <c r="F244" s="173"/>
      <c r="G244" s="30"/>
      <c r="H244" s="173"/>
      <c r="I244" s="30"/>
      <c r="J244" s="173"/>
      <c r="K244" s="30"/>
    </row>
    <row r="245" spans="1:11" x14ac:dyDescent="0.3">
      <c r="A245" s="177"/>
      <c r="B245" s="199"/>
      <c r="C245" s="30"/>
      <c r="D245" s="173"/>
      <c r="E245" s="30"/>
      <c r="F245" s="173"/>
      <c r="G245" s="30"/>
      <c r="H245" s="173"/>
      <c r="I245" s="30"/>
      <c r="J245" s="173"/>
      <c r="K245" s="30"/>
    </row>
    <row r="246" spans="1:11" x14ac:dyDescent="0.3">
      <c r="A246" s="177"/>
      <c r="B246" s="199"/>
      <c r="C246" s="30"/>
      <c r="D246" s="173"/>
      <c r="E246" s="30"/>
      <c r="F246" s="173"/>
      <c r="G246" s="30"/>
      <c r="H246" s="173"/>
      <c r="I246" s="30"/>
      <c r="J246" s="173"/>
      <c r="K246" s="30"/>
    </row>
    <row r="247" spans="1:11" x14ac:dyDescent="0.3">
      <c r="A247" s="177"/>
      <c r="B247" s="199"/>
      <c r="C247" s="30"/>
      <c r="D247" s="173"/>
      <c r="E247" s="30"/>
      <c r="F247" s="173"/>
      <c r="G247" s="30"/>
      <c r="H247" s="173"/>
      <c r="I247" s="30"/>
      <c r="J247" s="173"/>
      <c r="K247" s="30"/>
    </row>
    <row r="248" spans="1:11" x14ac:dyDescent="0.3">
      <c r="A248" s="177"/>
      <c r="B248" s="199"/>
      <c r="C248" s="30"/>
      <c r="D248" s="173"/>
      <c r="E248" s="30"/>
      <c r="F248" s="173"/>
      <c r="G248" s="30"/>
      <c r="H248" s="173"/>
      <c r="I248" s="30"/>
      <c r="J248" s="173"/>
      <c r="K248" s="30"/>
    </row>
    <row r="249" spans="1:11" x14ac:dyDescent="0.3">
      <c r="A249" s="177"/>
      <c r="B249" s="199"/>
      <c r="C249" s="30"/>
      <c r="D249" s="173"/>
      <c r="E249" s="30"/>
      <c r="F249" s="173"/>
      <c r="G249" s="30"/>
      <c r="H249" s="173"/>
      <c r="I249" s="30"/>
      <c r="J249" s="173"/>
      <c r="K249" s="30"/>
    </row>
    <row r="250" spans="1:11" x14ac:dyDescent="0.3">
      <c r="A250" s="177"/>
      <c r="B250" s="199"/>
      <c r="C250" s="30"/>
      <c r="D250" s="173"/>
      <c r="E250" s="30"/>
      <c r="F250" s="173"/>
      <c r="G250" s="30"/>
      <c r="H250" s="173"/>
      <c r="I250" s="30"/>
      <c r="J250" s="173"/>
      <c r="K250" s="30"/>
    </row>
    <row r="251" spans="1:11" x14ac:dyDescent="0.3">
      <c r="A251" s="177"/>
      <c r="B251" s="199"/>
      <c r="C251" s="30"/>
      <c r="D251" s="173"/>
      <c r="E251" s="30"/>
      <c r="F251" s="173"/>
      <c r="G251" s="30"/>
      <c r="H251" s="173"/>
      <c r="I251" s="30"/>
      <c r="J251" s="173"/>
      <c r="K251" s="30"/>
    </row>
    <row r="252" spans="1:11" x14ac:dyDescent="0.3">
      <c r="A252" s="177"/>
      <c r="B252" s="199"/>
      <c r="C252" s="30"/>
      <c r="D252" s="173"/>
      <c r="E252" s="30"/>
      <c r="F252" s="173"/>
      <c r="G252" s="30"/>
      <c r="H252" s="173"/>
      <c r="I252" s="30"/>
      <c r="J252" s="173"/>
      <c r="K252" s="30"/>
    </row>
    <row r="253" spans="1:11" x14ac:dyDescent="0.3">
      <c r="A253" s="177"/>
      <c r="B253" s="199"/>
      <c r="C253" s="30"/>
      <c r="D253" s="173"/>
      <c r="E253" s="30"/>
      <c r="F253" s="173"/>
      <c r="G253" s="30"/>
      <c r="H253" s="173"/>
      <c r="I253" s="30"/>
      <c r="J253" s="173"/>
      <c r="K253" s="30"/>
    </row>
    <row r="254" spans="1:11" x14ac:dyDescent="0.3">
      <c r="A254" s="177"/>
      <c r="B254" s="199"/>
      <c r="C254" s="30"/>
      <c r="D254" s="173"/>
      <c r="E254" s="30"/>
      <c r="F254" s="173"/>
      <c r="G254" s="30"/>
      <c r="H254" s="173"/>
      <c r="I254" s="30"/>
      <c r="J254" s="173"/>
      <c r="K254" s="30"/>
    </row>
    <row r="255" spans="1:11" x14ac:dyDescent="0.3">
      <c r="A255" s="177"/>
      <c r="B255" s="199"/>
      <c r="C255" s="30"/>
      <c r="D255" s="173"/>
      <c r="E255" s="30"/>
      <c r="F255" s="173"/>
      <c r="G255" s="30"/>
      <c r="H255" s="173"/>
      <c r="I255" s="30"/>
      <c r="J255" s="173"/>
      <c r="K255" s="30"/>
    </row>
    <row r="256" spans="1:11" x14ac:dyDescent="0.3">
      <c r="A256" s="177"/>
      <c r="B256" s="199"/>
      <c r="C256" s="30"/>
      <c r="D256" s="173"/>
      <c r="E256" s="30"/>
      <c r="F256" s="173"/>
      <c r="G256" s="30"/>
      <c r="H256" s="173"/>
      <c r="I256" s="30"/>
      <c r="J256" s="173"/>
      <c r="K256" s="30"/>
    </row>
    <row r="257" spans="1:11" x14ac:dyDescent="0.3">
      <c r="A257" s="177"/>
      <c r="B257" s="199"/>
      <c r="C257" s="30"/>
      <c r="D257" s="173"/>
      <c r="E257" s="30"/>
      <c r="F257" s="173"/>
      <c r="G257" s="30"/>
      <c r="H257" s="173"/>
      <c r="I257" s="30"/>
      <c r="J257" s="173"/>
      <c r="K257" s="30"/>
    </row>
    <row r="258" spans="1:11" x14ac:dyDescent="0.3">
      <c r="A258" s="177"/>
      <c r="B258" s="199"/>
      <c r="C258" s="30"/>
      <c r="D258" s="173"/>
      <c r="E258" s="30"/>
      <c r="F258" s="173"/>
      <c r="G258" s="30"/>
      <c r="H258" s="173"/>
      <c r="I258" s="30"/>
      <c r="J258" s="173"/>
      <c r="K258" s="30"/>
    </row>
    <row r="259" spans="1:11" x14ac:dyDescent="0.3">
      <c r="A259" s="177"/>
      <c r="B259" s="199"/>
      <c r="C259" s="30"/>
      <c r="D259" s="173"/>
      <c r="E259" s="30"/>
      <c r="F259" s="173"/>
      <c r="G259" s="30"/>
      <c r="H259" s="173"/>
      <c r="I259" s="30"/>
      <c r="J259" s="173"/>
      <c r="K259" s="30"/>
    </row>
    <row r="260" spans="1:11" x14ac:dyDescent="0.3">
      <c r="A260" s="177"/>
      <c r="B260" s="199"/>
      <c r="C260" s="30"/>
      <c r="D260" s="173"/>
      <c r="E260" s="30"/>
      <c r="F260" s="173"/>
      <c r="G260" s="30"/>
      <c r="H260" s="173"/>
      <c r="I260" s="30"/>
      <c r="J260" s="173"/>
      <c r="K260" s="30"/>
    </row>
    <row r="261" spans="1:11" x14ac:dyDescent="0.3">
      <c r="A261" s="177"/>
      <c r="B261" s="199"/>
      <c r="C261" s="30"/>
      <c r="D261" s="173"/>
      <c r="E261" s="30"/>
      <c r="F261" s="173"/>
      <c r="G261" s="30"/>
      <c r="H261" s="173"/>
      <c r="I261" s="30"/>
      <c r="J261" s="173"/>
      <c r="K261" s="30"/>
    </row>
    <row r="262" spans="1:11" x14ac:dyDescent="0.3">
      <c r="A262" s="177"/>
      <c r="B262" s="199"/>
      <c r="C262" s="30"/>
      <c r="D262" s="173"/>
      <c r="E262" s="30"/>
      <c r="F262" s="173"/>
      <c r="G262" s="30"/>
      <c r="H262" s="173"/>
      <c r="I262" s="30"/>
      <c r="J262" s="173"/>
      <c r="K262" s="30"/>
    </row>
    <row r="263" spans="1:11" x14ac:dyDescent="0.3">
      <c r="A263" s="177"/>
      <c r="B263" s="199"/>
      <c r="C263" s="30"/>
      <c r="D263" s="173"/>
      <c r="E263" s="30"/>
      <c r="F263" s="173"/>
      <c r="G263" s="30"/>
      <c r="H263" s="173"/>
      <c r="I263" s="30"/>
      <c r="J263" s="173"/>
      <c r="K263" s="30"/>
    </row>
    <row r="264" spans="1:11" x14ac:dyDescent="0.3">
      <c r="A264" s="177"/>
      <c r="B264" s="199"/>
      <c r="C264" s="30"/>
      <c r="D264" s="173"/>
      <c r="E264" s="30"/>
      <c r="F264" s="173"/>
      <c r="G264" s="30"/>
      <c r="H264" s="173"/>
      <c r="I264" s="30"/>
      <c r="J264" s="173"/>
      <c r="K264" s="30"/>
    </row>
    <row r="265" spans="1:11" x14ac:dyDescent="0.3">
      <c r="A265" s="177"/>
      <c r="B265" s="199"/>
      <c r="C265" s="30"/>
      <c r="D265" s="173"/>
      <c r="E265" s="30"/>
      <c r="F265" s="173"/>
      <c r="G265" s="30"/>
      <c r="H265" s="173"/>
      <c r="I265" s="30"/>
      <c r="J265" s="173"/>
      <c r="K265" s="30"/>
    </row>
    <row r="266" spans="1:11" x14ac:dyDescent="0.3">
      <c r="A266" s="177"/>
      <c r="B266" s="199"/>
      <c r="C266" s="30"/>
      <c r="D266" s="173"/>
      <c r="E266" s="30"/>
      <c r="F266" s="173"/>
      <c r="G266" s="30"/>
      <c r="H266" s="173"/>
      <c r="I266" s="30"/>
      <c r="J266" s="173"/>
      <c r="K266" s="30"/>
    </row>
    <row r="267" spans="1:11" x14ac:dyDescent="0.3">
      <c r="A267" s="177"/>
      <c r="B267" s="199"/>
      <c r="C267" s="30"/>
      <c r="D267" s="173"/>
      <c r="E267" s="30"/>
      <c r="F267" s="173"/>
      <c r="G267" s="30"/>
      <c r="H267" s="173"/>
      <c r="I267" s="30"/>
      <c r="J267" s="173"/>
      <c r="K267" s="30"/>
    </row>
    <row r="268" spans="1:11" x14ac:dyDescent="0.3">
      <c r="A268" s="177"/>
      <c r="B268" s="199"/>
      <c r="C268" s="30"/>
      <c r="D268" s="173"/>
      <c r="E268" s="30"/>
      <c r="F268" s="173"/>
      <c r="G268" s="30"/>
      <c r="H268" s="173"/>
      <c r="I268" s="30"/>
      <c r="J268" s="173"/>
      <c r="K268" s="30"/>
    </row>
    <row r="269" spans="1:11" x14ac:dyDescent="0.3">
      <c r="A269" s="177"/>
      <c r="B269" s="199"/>
      <c r="C269" s="30"/>
      <c r="D269" s="173"/>
      <c r="E269" s="30"/>
      <c r="F269" s="173"/>
      <c r="G269" s="30"/>
      <c r="H269" s="173"/>
      <c r="I269" s="30"/>
      <c r="J269" s="173"/>
      <c r="K269" s="30"/>
    </row>
    <row r="270" spans="1:11" x14ac:dyDescent="0.3">
      <c r="A270" s="177"/>
      <c r="B270" s="199"/>
      <c r="C270" s="30"/>
      <c r="D270" s="173"/>
      <c r="E270" s="30"/>
      <c r="F270" s="173"/>
      <c r="G270" s="30"/>
      <c r="H270" s="173"/>
      <c r="I270" s="30"/>
      <c r="J270" s="173"/>
      <c r="K270" s="30"/>
    </row>
    <row r="271" spans="1:11" x14ac:dyDescent="0.3">
      <c r="A271" s="177"/>
      <c r="B271" s="199"/>
      <c r="C271" s="30"/>
      <c r="D271" s="173"/>
      <c r="E271" s="30"/>
      <c r="F271" s="173"/>
      <c r="G271" s="30"/>
      <c r="H271" s="173"/>
      <c r="I271" s="30"/>
      <c r="J271" s="173"/>
      <c r="K271" s="30"/>
    </row>
    <row r="272" spans="1:11" x14ac:dyDescent="0.3">
      <c r="A272" s="177"/>
      <c r="B272" s="199"/>
      <c r="C272" s="30"/>
      <c r="D272" s="173"/>
      <c r="E272" s="30"/>
      <c r="F272" s="173"/>
      <c r="G272" s="30"/>
      <c r="H272" s="173"/>
      <c r="I272" s="30"/>
      <c r="J272" s="173"/>
      <c r="K272" s="30"/>
    </row>
    <row r="273" spans="1:11" x14ac:dyDescent="0.3">
      <c r="A273" s="177"/>
      <c r="B273" s="199"/>
      <c r="C273" s="30"/>
      <c r="D273" s="173"/>
      <c r="E273" s="30"/>
      <c r="F273" s="173"/>
      <c r="G273" s="30"/>
      <c r="H273" s="173"/>
      <c r="I273" s="30"/>
      <c r="J273" s="173"/>
      <c r="K273" s="30"/>
    </row>
    <row r="274" spans="1:11" x14ac:dyDescent="0.3">
      <c r="A274" s="177"/>
      <c r="B274" s="199"/>
      <c r="C274" s="30"/>
      <c r="D274" s="173"/>
      <c r="E274" s="30"/>
      <c r="F274" s="173"/>
      <c r="G274" s="30"/>
      <c r="H274" s="173"/>
      <c r="I274" s="30"/>
      <c r="J274" s="173"/>
      <c r="K274" s="30"/>
    </row>
    <row r="275" spans="1:11" x14ac:dyDescent="0.3">
      <c r="A275" s="177"/>
      <c r="B275" s="199"/>
      <c r="C275" s="30"/>
      <c r="D275" s="173"/>
      <c r="E275" s="30"/>
      <c r="F275" s="173"/>
      <c r="G275" s="30"/>
      <c r="H275" s="173"/>
      <c r="I275" s="30"/>
      <c r="J275" s="173"/>
      <c r="K275" s="30"/>
    </row>
    <row r="276" spans="1:11" x14ac:dyDescent="0.3">
      <c r="A276" s="177"/>
      <c r="B276" s="199"/>
      <c r="C276" s="30"/>
      <c r="D276" s="173"/>
      <c r="E276" s="30"/>
      <c r="F276" s="173"/>
      <c r="G276" s="30"/>
      <c r="H276" s="173"/>
      <c r="I276" s="30"/>
      <c r="J276" s="173"/>
      <c r="K276" s="30"/>
    </row>
    <row r="277" spans="1:11" x14ac:dyDescent="0.3">
      <c r="A277" s="177"/>
      <c r="B277" s="199"/>
      <c r="C277" s="30"/>
      <c r="D277" s="173"/>
      <c r="E277" s="30"/>
      <c r="F277" s="173"/>
      <c r="G277" s="30"/>
      <c r="H277" s="173"/>
      <c r="I277" s="30"/>
      <c r="J277" s="173"/>
      <c r="K277" s="30"/>
    </row>
    <row r="278" spans="1:11" x14ac:dyDescent="0.3">
      <c r="A278" s="177"/>
      <c r="B278" s="199"/>
      <c r="C278" s="30"/>
      <c r="D278" s="173"/>
      <c r="E278" s="30"/>
      <c r="F278" s="173"/>
      <c r="G278" s="30"/>
      <c r="H278" s="173"/>
      <c r="I278" s="30"/>
      <c r="J278" s="173"/>
      <c r="K278" s="30"/>
    </row>
    <row r="279" spans="1:11" x14ac:dyDescent="0.3">
      <c r="A279" s="177"/>
      <c r="B279" s="199"/>
      <c r="C279" s="30"/>
      <c r="D279" s="173"/>
      <c r="E279" s="30"/>
      <c r="F279" s="173"/>
      <c r="G279" s="30"/>
      <c r="H279" s="173"/>
      <c r="I279" s="30"/>
      <c r="J279" s="173"/>
      <c r="K279" s="30"/>
    </row>
    <row r="280" spans="1:11" x14ac:dyDescent="0.3">
      <c r="A280" s="177"/>
      <c r="B280" s="199"/>
      <c r="C280" s="30"/>
      <c r="D280" s="173"/>
      <c r="E280" s="30"/>
      <c r="F280" s="173"/>
      <c r="G280" s="30"/>
      <c r="H280" s="173"/>
      <c r="I280" s="30"/>
      <c r="J280" s="173"/>
      <c r="K280" s="30"/>
    </row>
    <row r="281" spans="1:11" x14ac:dyDescent="0.3">
      <c r="A281" s="177"/>
      <c r="B281" s="199"/>
      <c r="C281" s="30"/>
      <c r="D281" s="173"/>
      <c r="E281" s="30"/>
      <c r="F281" s="173"/>
      <c r="G281" s="30"/>
      <c r="H281" s="173"/>
      <c r="I281" s="30"/>
      <c r="J281" s="173"/>
      <c r="K281" s="30"/>
    </row>
    <row r="282" spans="1:11" x14ac:dyDescent="0.3">
      <c r="A282" s="177"/>
      <c r="B282" s="199"/>
      <c r="C282" s="30"/>
      <c r="D282" s="173"/>
      <c r="E282" s="30"/>
      <c r="F282" s="173"/>
      <c r="G282" s="30"/>
      <c r="H282" s="173"/>
      <c r="I282" s="30"/>
      <c r="J282" s="173"/>
      <c r="K282" s="30"/>
    </row>
    <row r="283" spans="1:11" x14ac:dyDescent="0.3">
      <c r="A283" s="177"/>
      <c r="B283" s="199"/>
      <c r="C283" s="30"/>
      <c r="D283" s="173"/>
      <c r="E283" s="30"/>
      <c r="F283" s="173"/>
      <c r="G283" s="30"/>
      <c r="H283" s="173"/>
      <c r="I283" s="30"/>
      <c r="J283" s="173"/>
      <c r="K283" s="30"/>
    </row>
    <row r="284" spans="1:11" x14ac:dyDescent="0.3">
      <c r="A284" s="177"/>
      <c r="B284" s="199"/>
      <c r="C284" s="30"/>
      <c r="D284" s="173"/>
      <c r="E284" s="30"/>
      <c r="F284" s="173"/>
      <c r="G284" s="30"/>
      <c r="H284" s="173"/>
      <c r="I284" s="30"/>
      <c r="J284" s="173"/>
      <c r="K284" s="30"/>
    </row>
    <row r="285" spans="1:11" x14ac:dyDescent="0.3">
      <c r="A285" s="177"/>
      <c r="B285" s="199"/>
      <c r="C285" s="30"/>
      <c r="D285" s="173"/>
      <c r="E285" s="30"/>
      <c r="F285" s="173"/>
      <c r="G285" s="30"/>
      <c r="H285" s="173"/>
      <c r="I285" s="30"/>
      <c r="J285" s="173"/>
      <c r="K285" s="30"/>
    </row>
    <row r="286" spans="1:11" x14ac:dyDescent="0.3">
      <c r="A286" s="177"/>
      <c r="B286" s="199"/>
      <c r="C286" s="30"/>
      <c r="D286" s="173"/>
      <c r="E286" s="30"/>
      <c r="F286" s="173"/>
      <c r="G286" s="30"/>
      <c r="H286" s="173"/>
      <c r="I286" s="30"/>
      <c r="J286" s="173"/>
      <c r="K286" s="30"/>
    </row>
    <row r="287" spans="1:11" x14ac:dyDescent="0.3">
      <c r="A287" s="177"/>
      <c r="B287" s="199"/>
      <c r="C287" s="30"/>
      <c r="D287" s="173"/>
      <c r="E287" s="30"/>
      <c r="F287" s="173"/>
      <c r="G287" s="30"/>
      <c r="H287" s="173"/>
      <c r="I287" s="30"/>
      <c r="J287" s="173"/>
      <c r="K287" s="30"/>
    </row>
    <row r="288" spans="1:11" x14ac:dyDescent="0.3">
      <c r="A288" s="177"/>
      <c r="B288" s="199"/>
      <c r="C288" s="30"/>
      <c r="D288" s="173"/>
      <c r="E288" s="30"/>
      <c r="F288" s="173"/>
      <c r="G288" s="30"/>
      <c r="H288" s="173"/>
      <c r="I288" s="30"/>
      <c r="J288" s="173"/>
      <c r="K288" s="30"/>
    </row>
    <row r="289" spans="1:11" x14ac:dyDescent="0.3">
      <c r="A289" s="177"/>
      <c r="B289" s="199"/>
      <c r="C289" s="30"/>
      <c r="D289" s="173"/>
      <c r="E289" s="30"/>
      <c r="F289" s="173"/>
      <c r="G289" s="30"/>
      <c r="H289" s="173"/>
      <c r="I289" s="30"/>
      <c r="J289" s="173"/>
      <c r="K289" s="30"/>
    </row>
    <row r="290" spans="1:11" x14ac:dyDescent="0.3">
      <c r="A290" s="177"/>
      <c r="B290" s="199"/>
      <c r="C290" s="30"/>
      <c r="D290" s="173"/>
      <c r="E290" s="30"/>
      <c r="F290" s="173"/>
      <c r="G290" s="30"/>
      <c r="H290" s="173"/>
      <c r="I290" s="30"/>
      <c r="J290" s="173"/>
      <c r="K290" s="30"/>
    </row>
    <row r="291" spans="1:11" x14ac:dyDescent="0.3">
      <c r="A291" s="177"/>
      <c r="B291" s="199"/>
      <c r="C291" s="30"/>
      <c r="D291" s="173"/>
      <c r="E291" s="30"/>
      <c r="F291" s="173"/>
      <c r="G291" s="30"/>
      <c r="H291" s="173"/>
      <c r="I291" s="30"/>
      <c r="J291" s="173"/>
      <c r="K291" s="30"/>
    </row>
    <row r="292" spans="1:11" x14ac:dyDescent="0.3">
      <c r="A292" s="177"/>
      <c r="B292" s="199"/>
      <c r="C292" s="30"/>
      <c r="D292" s="173"/>
      <c r="E292" s="30"/>
      <c r="F292" s="173"/>
      <c r="G292" s="30"/>
      <c r="H292" s="173"/>
      <c r="I292" s="30"/>
      <c r="J292" s="173"/>
      <c r="K292" s="30"/>
    </row>
    <row r="293" spans="1:11" x14ac:dyDescent="0.3">
      <c r="A293" s="177"/>
      <c r="B293" s="199"/>
      <c r="C293" s="30"/>
      <c r="D293" s="173"/>
      <c r="E293" s="30"/>
      <c r="F293" s="173"/>
      <c r="G293" s="30"/>
      <c r="H293" s="173"/>
      <c r="I293" s="30"/>
      <c r="J293" s="173"/>
      <c r="K293" s="30"/>
    </row>
    <row r="294" spans="1:11" x14ac:dyDescent="0.3">
      <c r="A294" s="177"/>
      <c r="B294" s="199"/>
      <c r="C294" s="30"/>
      <c r="D294" s="173"/>
      <c r="E294" s="30"/>
      <c r="F294" s="173"/>
      <c r="G294" s="30"/>
      <c r="H294" s="173"/>
      <c r="I294" s="30"/>
      <c r="J294" s="173"/>
      <c r="K294" s="30"/>
    </row>
    <row r="295" spans="1:11" x14ac:dyDescent="0.3">
      <c r="A295" s="177"/>
      <c r="B295" s="199"/>
      <c r="C295" s="30"/>
      <c r="D295" s="173"/>
      <c r="E295" s="30"/>
      <c r="F295" s="173"/>
      <c r="G295" s="30"/>
      <c r="H295" s="173"/>
      <c r="I295" s="30"/>
      <c r="J295" s="173"/>
      <c r="K295" s="30"/>
    </row>
    <row r="296" spans="1:11" x14ac:dyDescent="0.3">
      <c r="A296" s="177"/>
      <c r="B296" s="199"/>
      <c r="C296" s="30"/>
      <c r="D296" s="173"/>
      <c r="E296" s="30"/>
      <c r="F296" s="173"/>
      <c r="G296" s="30"/>
      <c r="H296" s="173"/>
      <c r="I296" s="30"/>
      <c r="J296" s="173"/>
      <c r="K296" s="30"/>
    </row>
    <row r="297" spans="1:11" x14ac:dyDescent="0.3">
      <c r="A297" s="177"/>
      <c r="B297" s="199"/>
      <c r="C297" s="30"/>
      <c r="D297" s="173"/>
      <c r="E297" s="30"/>
      <c r="F297" s="173"/>
      <c r="G297" s="30"/>
      <c r="H297" s="173"/>
      <c r="I297" s="30"/>
      <c r="J297" s="173"/>
      <c r="K297" s="30"/>
    </row>
    <row r="298" spans="1:11" x14ac:dyDescent="0.3">
      <c r="A298" s="177"/>
      <c r="B298" s="199"/>
      <c r="C298" s="30"/>
      <c r="D298" s="173"/>
      <c r="E298" s="30"/>
      <c r="F298" s="173"/>
      <c r="G298" s="30"/>
      <c r="H298" s="173"/>
      <c r="I298" s="30"/>
      <c r="J298" s="173"/>
      <c r="K298" s="30"/>
    </row>
    <row r="299" spans="1:11" x14ac:dyDescent="0.3">
      <c r="A299" s="177"/>
      <c r="B299" s="199"/>
      <c r="C299" s="30"/>
      <c r="D299" s="173"/>
      <c r="E299" s="30"/>
      <c r="F299" s="173"/>
      <c r="G299" s="30"/>
      <c r="H299" s="173"/>
      <c r="I299" s="30"/>
      <c r="J299" s="173"/>
      <c r="K299" s="30"/>
    </row>
    <row r="300" spans="1:11" x14ac:dyDescent="0.3">
      <c r="A300" s="177"/>
      <c r="B300" s="199"/>
      <c r="C300" s="30"/>
      <c r="D300" s="173"/>
      <c r="E300" s="30"/>
      <c r="F300" s="173"/>
      <c r="G300" s="30"/>
      <c r="H300" s="173"/>
      <c r="I300" s="30"/>
      <c r="J300" s="173"/>
      <c r="K300" s="30"/>
    </row>
    <row r="301" spans="1:11" x14ac:dyDescent="0.3">
      <c r="A301" s="177"/>
      <c r="B301" s="199"/>
      <c r="C301" s="30"/>
      <c r="D301" s="173"/>
      <c r="E301" s="30"/>
      <c r="F301" s="173"/>
      <c r="G301" s="30"/>
      <c r="H301" s="173"/>
      <c r="I301" s="30"/>
      <c r="J301" s="173"/>
      <c r="K301" s="30"/>
    </row>
    <row r="302" spans="1:11" x14ac:dyDescent="0.3">
      <c r="A302" s="177"/>
      <c r="B302" s="199"/>
      <c r="C302" s="30"/>
      <c r="D302" s="173"/>
      <c r="E302" s="30"/>
      <c r="F302" s="173"/>
      <c r="G302" s="30"/>
      <c r="H302" s="173"/>
      <c r="I302" s="30"/>
      <c r="J302" s="173"/>
      <c r="K302" s="30"/>
    </row>
    <row r="303" spans="1:11" x14ac:dyDescent="0.3">
      <c r="A303" s="177"/>
      <c r="B303" s="199"/>
      <c r="C303" s="30"/>
      <c r="D303" s="173"/>
      <c r="E303" s="30"/>
      <c r="F303" s="173"/>
      <c r="G303" s="30"/>
      <c r="H303" s="173"/>
      <c r="I303" s="30"/>
      <c r="J303" s="173"/>
      <c r="K303" s="30"/>
    </row>
    <row r="304" spans="1:11" x14ac:dyDescent="0.3">
      <c r="A304" s="177"/>
      <c r="B304" s="199"/>
      <c r="C304" s="30"/>
      <c r="D304" s="173"/>
      <c r="E304" s="30"/>
      <c r="F304" s="173"/>
      <c r="G304" s="30"/>
      <c r="H304" s="173"/>
      <c r="I304" s="30"/>
      <c r="J304" s="173"/>
      <c r="K304" s="30"/>
    </row>
    <row r="305" spans="1:11" x14ac:dyDescent="0.3">
      <c r="A305" s="177"/>
      <c r="B305" s="199"/>
      <c r="C305" s="30"/>
      <c r="D305" s="173"/>
      <c r="E305" s="30"/>
      <c r="F305" s="173"/>
      <c r="G305" s="30"/>
      <c r="H305" s="173"/>
      <c r="I305" s="30"/>
      <c r="J305" s="173"/>
      <c r="K305" s="30"/>
    </row>
    <row r="306" spans="1:11" x14ac:dyDescent="0.3">
      <c r="A306" s="177"/>
      <c r="B306" s="199"/>
      <c r="C306" s="30"/>
      <c r="D306" s="173"/>
      <c r="E306" s="30"/>
      <c r="F306" s="173"/>
      <c r="G306" s="30"/>
      <c r="H306" s="173"/>
      <c r="I306" s="30"/>
      <c r="J306" s="173"/>
      <c r="K306" s="30"/>
    </row>
    <row r="307" spans="1:11" x14ac:dyDescent="0.3">
      <c r="A307" s="177"/>
      <c r="B307" s="199"/>
      <c r="C307" s="30"/>
      <c r="D307" s="173"/>
      <c r="E307" s="30"/>
      <c r="F307" s="173"/>
      <c r="G307" s="30"/>
      <c r="H307" s="173"/>
      <c r="I307" s="30"/>
      <c r="J307" s="173"/>
      <c r="K307" s="30"/>
    </row>
    <row r="308" spans="1:11" x14ac:dyDescent="0.3">
      <c r="A308" s="177"/>
      <c r="B308" s="199"/>
      <c r="C308" s="30"/>
      <c r="D308" s="173"/>
      <c r="E308" s="30"/>
      <c r="F308" s="173"/>
      <c r="G308" s="30"/>
      <c r="H308" s="173"/>
      <c r="I308" s="30"/>
      <c r="J308" s="173"/>
      <c r="K308" s="30"/>
    </row>
    <row r="309" spans="1:11" x14ac:dyDescent="0.3">
      <c r="A309" s="177"/>
      <c r="B309" s="199"/>
      <c r="C309" s="30"/>
      <c r="D309" s="173"/>
      <c r="E309" s="30"/>
      <c r="F309" s="173"/>
      <c r="G309" s="30"/>
      <c r="H309" s="173"/>
      <c r="I309" s="30"/>
      <c r="J309" s="173"/>
      <c r="K309" s="30"/>
    </row>
    <row r="310" spans="1:11" x14ac:dyDescent="0.3">
      <c r="A310" s="177"/>
      <c r="B310" s="199"/>
      <c r="C310" s="30"/>
      <c r="D310" s="173"/>
      <c r="E310" s="30"/>
      <c r="F310" s="173"/>
      <c r="G310" s="30"/>
      <c r="H310" s="173"/>
      <c r="I310" s="30"/>
      <c r="J310" s="173"/>
      <c r="K310" s="30"/>
    </row>
    <row r="311" spans="1:11" x14ac:dyDescent="0.3">
      <c r="A311" s="177"/>
      <c r="B311" s="199"/>
      <c r="C311" s="30"/>
      <c r="D311" s="173"/>
      <c r="E311" s="30"/>
      <c r="F311" s="173"/>
      <c r="G311" s="30"/>
      <c r="H311" s="173"/>
      <c r="I311" s="30"/>
      <c r="J311" s="173"/>
      <c r="K311" s="30"/>
    </row>
    <row r="312" spans="1:11" x14ac:dyDescent="0.3">
      <c r="A312" s="177"/>
      <c r="B312" s="199"/>
      <c r="C312" s="30"/>
      <c r="D312" s="173"/>
      <c r="E312" s="30"/>
      <c r="F312" s="173"/>
      <c r="G312" s="30"/>
      <c r="H312" s="173"/>
      <c r="I312" s="30"/>
      <c r="J312" s="173"/>
      <c r="K312" s="30"/>
    </row>
    <row r="313" spans="1:11" x14ac:dyDescent="0.3">
      <c r="A313" s="177"/>
      <c r="B313" s="199"/>
      <c r="C313" s="30"/>
      <c r="D313" s="173"/>
      <c r="E313" s="30"/>
      <c r="F313" s="173"/>
      <c r="G313" s="30"/>
      <c r="H313" s="173"/>
      <c r="I313" s="30"/>
      <c r="J313" s="173"/>
      <c r="K313" s="30"/>
    </row>
    <row r="314" spans="1:11" x14ac:dyDescent="0.3">
      <c r="A314" s="177"/>
      <c r="B314" s="199"/>
      <c r="C314" s="30"/>
      <c r="D314" s="173"/>
      <c r="E314" s="30"/>
      <c r="F314" s="173"/>
      <c r="G314" s="30"/>
      <c r="H314" s="173"/>
      <c r="I314" s="30"/>
      <c r="J314" s="173"/>
      <c r="K314" s="30"/>
    </row>
    <row r="315" spans="1:11" x14ac:dyDescent="0.3">
      <c r="A315" s="177"/>
      <c r="B315" s="199"/>
      <c r="C315" s="30"/>
      <c r="D315" s="173"/>
      <c r="E315" s="30"/>
      <c r="F315" s="173"/>
      <c r="G315" s="30"/>
      <c r="H315" s="173"/>
      <c r="I315" s="30"/>
      <c r="J315" s="173"/>
      <c r="K315" s="30"/>
    </row>
    <row r="316" spans="1:11" x14ac:dyDescent="0.3">
      <c r="A316" s="177"/>
      <c r="B316" s="199"/>
      <c r="C316" s="30"/>
      <c r="D316" s="173"/>
      <c r="E316" s="30"/>
      <c r="F316" s="173"/>
      <c r="G316" s="30"/>
      <c r="H316" s="173"/>
      <c r="I316" s="30"/>
      <c r="J316" s="173"/>
      <c r="K316" s="30"/>
    </row>
    <row r="317" spans="1:11" x14ac:dyDescent="0.3">
      <c r="A317" s="177"/>
      <c r="B317" s="199"/>
      <c r="C317" s="30"/>
      <c r="D317" s="173"/>
      <c r="E317" s="30"/>
      <c r="F317" s="173"/>
      <c r="G317" s="30"/>
      <c r="H317" s="173"/>
      <c r="I317" s="30"/>
      <c r="J317" s="173"/>
      <c r="K317" s="30"/>
    </row>
    <row r="318" spans="1:11" x14ac:dyDescent="0.3">
      <c r="A318" s="177"/>
      <c r="B318" s="199"/>
      <c r="C318" s="30"/>
      <c r="D318" s="173"/>
      <c r="E318" s="30"/>
      <c r="F318" s="173"/>
      <c r="G318" s="30"/>
      <c r="H318" s="173"/>
      <c r="I318" s="30"/>
      <c r="J318" s="173"/>
      <c r="K318" s="30"/>
    </row>
    <row r="319" spans="1:11" x14ac:dyDescent="0.3">
      <c r="A319" s="177"/>
      <c r="B319" s="199"/>
      <c r="C319" s="30"/>
      <c r="D319" s="173"/>
      <c r="E319" s="30"/>
      <c r="F319" s="173"/>
      <c r="G319" s="30"/>
      <c r="H319" s="173"/>
      <c r="I319" s="30"/>
      <c r="J319" s="173"/>
      <c r="K319" s="30"/>
    </row>
    <row r="320" spans="1:11" x14ac:dyDescent="0.3">
      <c r="A320" s="177"/>
      <c r="B320" s="199"/>
      <c r="C320" s="30"/>
      <c r="D320" s="173"/>
      <c r="E320" s="30"/>
      <c r="F320" s="173"/>
      <c r="G320" s="30"/>
      <c r="H320" s="173"/>
      <c r="I320" s="30"/>
      <c r="J320" s="173"/>
      <c r="K320" s="30"/>
    </row>
    <row r="321" spans="1:11" x14ac:dyDescent="0.3">
      <c r="A321" s="177"/>
      <c r="B321" s="199"/>
      <c r="C321" s="30"/>
      <c r="D321" s="173"/>
      <c r="E321" s="30"/>
      <c r="F321" s="173"/>
      <c r="G321" s="30"/>
      <c r="H321" s="173"/>
      <c r="I321" s="30"/>
      <c r="J321" s="173"/>
      <c r="K321" s="30"/>
    </row>
    <row r="322" spans="1:11" x14ac:dyDescent="0.3">
      <c r="A322" s="177"/>
      <c r="B322" s="199"/>
      <c r="C322" s="30"/>
      <c r="D322" s="173"/>
      <c r="E322" s="30"/>
      <c r="F322" s="173"/>
      <c r="G322" s="30"/>
      <c r="H322" s="173"/>
      <c r="I322" s="30"/>
      <c r="J322" s="173"/>
      <c r="K322" s="30"/>
    </row>
    <row r="323" spans="1:11" x14ac:dyDescent="0.3">
      <c r="A323" s="177"/>
      <c r="B323" s="199"/>
      <c r="C323" s="30"/>
      <c r="D323" s="173"/>
      <c r="E323" s="30"/>
      <c r="F323" s="173"/>
      <c r="G323" s="30"/>
      <c r="H323" s="173"/>
      <c r="I323" s="30"/>
      <c r="J323" s="173"/>
      <c r="K323" s="30"/>
    </row>
    <row r="324" spans="1:11" x14ac:dyDescent="0.3">
      <c r="A324" s="177"/>
      <c r="B324" s="199"/>
      <c r="C324" s="30"/>
      <c r="D324" s="173"/>
      <c r="E324" s="30"/>
      <c r="F324" s="173"/>
      <c r="G324" s="30"/>
      <c r="H324" s="173"/>
      <c r="I324" s="30"/>
      <c r="J324" s="173"/>
      <c r="K324" s="30"/>
    </row>
    <row r="325" spans="1:11" x14ac:dyDescent="0.3">
      <c r="A325" s="177"/>
      <c r="B325" s="199"/>
      <c r="C325" s="30"/>
      <c r="D325" s="173"/>
      <c r="E325" s="30"/>
      <c r="F325" s="173"/>
      <c r="G325" s="30"/>
      <c r="H325" s="173"/>
      <c r="I325" s="30"/>
      <c r="J325" s="173"/>
      <c r="K325" s="30"/>
    </row>
    <row r="326" spans="1:11" x14ac:dyDescent="0.3">
      <c r="A326" s="177"/>
      <c r="B326" s="199"/>
      <c r="C326" s="30"/>
      <c r="D326" s="173"/>
      <c r="E326" s="30"/>
      <c r="F326" s="173"/>
      <c r="G326" s="30"/>
      <c r="H326" s="173"/>
      <c r="I326" s="30"/>
      <c r="J326" s="173"/>
      <c r="K326" s="30"/>
    </row>
    <row r="327" spans="1:11" x14ac:dyDescent="0.3">
      <c r="A327" s="177"/>
      <c r="B327" s="199"/>
      <c r="C327" s="30"/>
      <c r="D327" s="173"/>
      <c r="E327" s="30"/>
      <c r="F327" s="173"/>
      <c r="G327" s="30"/>
      <c r="H327" s="173"/>
      <c r="I327" s="30"/>
      <c r="J327" s="173"/>
      <c r="K327" s="30"/>
    </row>
    <row r="328" spans="1:11" x14ac:dyDescent="0.3">
      <c r="A328" s="177"/>
      <c r="B328" s="199"/>
      <c r="C328" s="30"/>
      <c r="D328" s="173"/>
      <c r="E328" s="30"/>
      <c r="F328" s="173"/>
      <c r="G328" s="30"/>
      <c r="H328" s="173"/>
      <c r="I328" s="30"/>
      <c r="J328" s="173"/>
      <c r="K328" s="30"/>
    </row>
    <row r="329" spans="1:11" x14ac:dyDescent="0.3">
      <c r="A329" s="177"/>
      <c r="B329" s="199"/>
      <c r="C329" s="30"/>
      <c r="D329" s="173"/>
      <c r="E329" s="30"/>
      <c r="F329" s="173"/>
      <c r="G329" s="30"/>
      <c r="H329" s="173"/>
      <c r="I329" s="30"/>
      <c r="J329" s="173"/>
      <c r="K329" s="30"/>
    </row>
    <row r="330" spans="1:11" x14ac:dyDescent="0.3">
      <c r="A330" s="177"/>
      <c r="B330" s="199"/>
      <c r="C330" s="30"/>
      <c r="D330" s="173"/>
      <c r="E330" s="30"/>
      <c r="F330" s="173"/>
      <c r="G330" s="30"/>
      <c r="H330" s="173"/>
      <c r="I330" s="30"/>
      <c r="J330" s="173"/>
      <c r="K330" s="30"/>
    </row>
    <row r="331" spans="1:11" x14ac:dyDescent="0.3">
      <c r="A331" s="177"/>
      <c r="B331" s="199"/>
      <c r="C331" s="30"/>
      <c r="D331" s="173"/>
      <c r="E331" s="30"/>
      <c r="F331" s="173"/>
      <c r="G331" s="30"/>
      <c r="H331" s="173"/>
      <c r="I331" s="30"/>
      <c r="J331" s="173"/>
      <c r="K331" s="30"/>
    </row>
    <row r="332" spans="1:11" x14ac:dyDescent="0.3">
      <c r="A332" s="177"/>
      <c r="B332" s="199"/>
      <c r="C332" s="30"/>
      <c r="D332" s="173"/>
      <c r="E332" s="30"/>
      <c r="F332" s="173"/>
      <c r="G332" s="30"/>
      <c r="H332" s="173"/>
      <c r="I332" s="30"/>
      <c r="J332" s="173"/>
      <c r="K332" s="30"/>
    </row>
    <row r="333" spans="1:11" x14ac:dyDescent="0.3">
      <c r="A333" s="177"/>
      <c r="B333" s="199"/>
      <c r="C333" s="30"/>
      <c r="D333" s="173"/>
      <c r="E333" s="30"/>
      <c r="F333" s="173"/>
      <c r="G333" s="30"/>
      <c r="H333" s="173"/>
      <c r="I333" s="30"/>
      <c r="J333" s="173"/>
      <c r="K333" s="30"/>
    </row>
    <row r="334" spans="1:11" x14ac:dyDescent="0.3">
      <c r="A334" s="177"/>
      <c r="B334" s="199"/>
      <c r="C334" s="30"/>
      <c r="D334" s="173"/>
      <c r="E334" s="30"/>
      <c r="F334" s="173"/>
      <c r="G334" s="30"/>
      <c r="H334" s="173"/>
      <c r="I334" s="30"/>
      <c r="J334" s="173"/>
      <c r="K334" s="30"/>
    </row>
    <row r="335" spans="1:11" x14ac:dyDescent="0.3">
      <c r="A335" s="177"/>
      <c r="B335" s="199"/>
      <c r="C335" s="30"/>
      <c r="D335" s="173"/>
      <c r="E335" s="30"/>
      <c r="F335" s="173"/>
      <c r="G335" s="30"/>
      <c r="H335" s="173"/>
      <c r="I335" s="30"/>
      <c r="J335" s="173"/>
      <c r="K335" s="30"/>
    </row>
    <row r="336" spans="1:11" x14ac:dyDescent="0.3">
      <c r="A336" s="177"/>
      <c r="B336" s="199"/>
      <c r="C336" s="30"/>
      <c r="D336" s="173"/>
      <c r="E336" s="30"/>
      <c r="F336" s="173"/>
      <c r="G336" s="30"/>
      <c r="H336" s="173"/>
      <c r="I336" s="30"/>
      <c r="J336" s="173"/>
      <c r="K336" s="30"/>
    </row>
    <row r="337" spans="1:11" x14ac:dyDescent="0.3">
      <c r="A337" s="177"/>
      <c r="B337" s="199"/>
      <c r="C337" s="30"/>
      <c r="D337" s="173"/>
      <c r="E337" s="30"/>
      <c r="F337" s="173"/>
      <c r="G337" s="30"/>
      <c r="H337" s="173"/>
      <c r="I337" s="30"/>
      <c r="J337" s="173"/>
      <c r="K337" s="30"/>
    </row>
    <row r="338" spans="1:11" x14ac:dyDescent="0.3">
      <c r="A338" s="177"/>
      <c r="B338" s="199"/>
      <c r="C338" s="30"/>
      <c r="D338" s="173"/>
      <c r="E338" s="30"/>
      <c r="F338" s="173"/>
      <c r="G338" s="30"/>
      <c r="H338" s="173"/>
      <c r="I338" s="30"/>
      <c r="J338" s="173"/>
      <c r="K338" s="30"/>
    </row>
    <row r="339" spans="1:11" x14ac:dyDescent="0.3">
      <c r="A339" s="177"/>
      <c r="B339" s="199"/>
      <c r="C339" s="30"/>
      <c r="D339" s="173"/>
      <c r="E339" s="30"/>
      <c r="F339" s="173"/>
      <c r="G339" s="30"/>
      <c r="H339" s="173"/>
      <c r="I339" s="30"/>
      <c r="J339" s="173"/>
      <c r="K339" s="30"/>
    </row>
    <row r="340" spans="1:11" x14ac:dyDescent="0.3">
      <c r="A340" s="177"/>
      <c r="B340" s="199"/>
      <c r="C340" s="30"/>
      <c r="D340" s="173"/>
      <c r="E340" s="30"/>
      <c r="F340" s="173"/>
      <c r="G340" s="30"/>
      <c r="H340" s="173"/>
      <c r="I340" s="30"/>
      <c r="J340" s="173"/>
      <c r="K340" s="30"/>
    </row>
    <row r="341" spans="1:11" x14ac:dyDescent="0.3">
      <c r="A341" s="177"/>
      <c r="B341" s="199"/>
      <c r="C341" s="30"/>
      <c r="D341" s="173"/>
      <c r="E341" s="30"/>
      <c r="F341" s="173"/>
      <c r="G341" s="30"/>
      <c r="H341" s="173"/>
      <c r="I341" s="30"/>
      <c r="J341" s="173"/>
      <c r="K341" s="30"/>
    </row>
    <row r="342" spans="1:11" x14ac:dyDescent="0.3">
      <c r="A342" s="177"/>
      <c r="B342" s="199"/>
      <c r="C342" s="30"/>
      <c r="D342" s="173"/>
      <c r="E342" s="30"/>
      <c r="F342" s="173"/>
      <c r="G342" s="30"/>
      <c r="H342" s="173"/>
      <c r="I342" s="30"/>
      <c r="J342" s="173"/>
      <c r="K342" s="30"/>
    </row>
    <row r="343" spans="1:11" x14ac:dyDescent="0.3">
      <c r="A343" s="177"/>
      <c r="B343" s="199"/>
      <c r="C343" s="30"/>
      <c r="D343" s="173"/>
      <c r="E343" s="30"/>
      <c r="F343" s="173"/>
      <c r="G343" s="30"/>
      <c r="H343" s="173"/>
      <c r="I343" s="30"/>
      <c r="J343" s="173"/>
      <c r="K343" s="30"/>
    </row>
    <row r="344" spans="1:11" x14ac:dyDescent="0.3">
      <c r="A344" s="177"/>
      <c r="B344" s="199"/>
      <c r="C344" s="30"/>
      <c r="D344" s="173"/>
      <c r="E344" s="30"/>
      <c r="F344" s="173"/>
      <c r="G344" s="30"/>
      <c r="H344" s="173"/>
      <c r="I344" s="30"/>
      <c r="J344" s="173"/>
      <c r="K344" s="30"/>
    </row>
    <row r="345" spans="1:11" x14ac:dyDescent="0.3">
      <c r="A345" s="177"/>
      <c r="B345" s="199"/>
      <c r="C345" s="30"/>
      <c r="D345" s="173"/>
      <c r="E345" s="30"/>
      <c r="F345" s="173"/>
      <c r="G345" s="30"/>
      <c r="H345" s="173"/>
      <c r="I345" s="30"/>
      <c r="J345" s="173"/>
      <c r="K345" s="30"/>
    </row>
    <row r="346" spans="1:11" x14ac:dyDescent="0.3">
      <c r="A346" s="177"/>
      <c r="B346" s="199"/>
      <c r="C346" s="30"/>
      <c r="D346" s="173"/>
      <c r="E346" s="30"/>
      <c r="F346" s="173"/>
      <c r="G346" s="30"/>
      <c r="H346" s="173"/>
      <c r="I346" s="30"/>
      <c r="J346" s="173"/>
      <c r="K346" s="30"/>
    </row>
    <row r="347" spans="1:11" x14ac:dyDescent="0.3">
      <c r="A347" s="177"/>
      <c r="B347" s="199"/>
      <c r="C347" s="30"/>
      <c r="D347" s="173"/>
      <c r="E347" s="30"/>
      <c r="F347" s="173"/>
      <c r="G347" s="30"/>
      <c r="H347" s="173"/>
      <c r="I347" s="30"/>
      <c r="J347" s="173"/>
      <c r="K347" s="30"/>
    </row>
    <row r="348" spans="1:11" x14ac:dyDescent="0.3">
      <c r="A348" s="177"/>
      <c r="B348" s="199"/>
      <c r="C348" s="30"/>
      <c r="D348" s="173"/>
      <c r="E348" s="30"/>
      <c r="F348" s="173"/>
      <c r="G348" s="30"/>
      <c r="H348" s="173"/>
      <c r="I348" s="30"/>
      <c r="J348" s="173"/>
      <c r="K348" s="30"/>
    </row>
    <row r="349" spans="1:11" x14ac:dyDescent="0.3">
      <c r="A349" s="177"/>
      <c r="B349" s="199"/>
      <c r="C349" s="30"/>
      <c r="D349" s="173"/>
      <c r="E349" s="30"/>
      <c r="F349" s="173"/>
      <c r="G349" s="30"/>
      <c r="H349" s="173"/>
      <c r="I349" s="30"/>
      <c r="J349" s="173"/>
      <c r="K349" s="30"/>
    </row>
    <row r="350" spans="1:11" x14ac:dyDescent="0.3">
      <c r="A350" s="177"/>
      <c r="B350" s="199"/>
      <c r="C350" s="30"/>
      <c r="D350" s="173"/>
      <c r="E350" s="30"/>
      <c r="F350" s="173"/>
      <c r="G350" s="30"/>
      <c r="H350" s="173"/>
      <c r="I350" s="30"/>
      <c r="J350" s="173"/>
      <c r="K350" s="30"/>
    </row>
    <row r="351" spans="1:11" x14ac:dyDescent="0.3">
      <c r="A351" s="177"/>
      <c r="B351" s="199"/>
      <c r="C351" s="30"/>
      <c r="D351" s="173"/>
      <c r="E351" s="30"/>
      <c r="F351" s="173"/>
      <c r="G351" s="30"/>
      <c r="H351" s="173"/>
      <c r="I351" s="30"/>
      <c r="J351" s="173"/>
      <c r="K351" s="30"/>
    </row>
    <row r="352" spans="1:11" x14ac:dyDescent="0.3">
      <c r="A352" s="177"/>
      <c r="B352" s="199"/>
      <c r="C352" s="30"/>
      <c r="D352" s="173"/>
      <c r="E352" s="30"/>
      <c r="F352" s="173"/>
      <c r="G352" s="30"/>
      <c r="H352" s="173"/>
      <c r="I352" s="30"/>
      <c r="J352" s="173"/>
      <c r="K352" s="30"/>
    </row>
    <row r="353" spans="1:11" x14ac:dyDescent="0.3">
      <c r="A353" s="177"/>
      <c r="B353" s="199"/>
      <c r="C353" s="30"/>
      <c r="D353" s="173"/>
      <c r="E353" s="30"/>
      <c r="F353" s="173"/>
      <c r="G353" s="30"/>
      <c r="H353" s="173"/>
      <c r="I353" s="30"/>
      <c r="J353" s="173"/>
      <c r="K353" s="30"/>
    </row>
    <row r="354" spans="1:11" x14ac:dyDescent="0.3">
      <c r="A354" s="177"/>
      <c r="B354" s="199"/>
      <c r="C354" s="30"/>
      <c r="D354" s="173"/>
      <c r="E354" s="30"/>
      <c r="F354" s="173"/>
      <c r="G354" s="30"/>
      <c r="H354" s="173"/>
      <c r="I354" s="30"/>
      <c r="J354" s="173"/>
      <c r="K354" s="30"/>
    </row>
    <row r="355" spans="1:11" x14ac:dyDescent="0.3">
      <c r="A355" s="177"/>
      <c r="B355" s="199"/>
      <c r="C355" s="30"/>
      <c r="D355" s="173"/>
      <c r="E355" s="30"/>
      <c r="F355" s="173"/>
      <c r="G355" s="30"/>
      <c r="H355" s="173"/>
      <c r="I355" s="30"/>
      <c r="J355" s="173"/>
      <c r="K355" s="30"/>
    </row>
    <row r="356" spans="1:11" x14ac:dyDescent="0.3">
      <c r="A356" s="177"/>
      <c r="B356" s="199"/>
      <c r="C356" s="30"/>
      <c r="D356" s="173"/>
      <c r="E356" s="30"/>
      <c r="F356" s="173"/>
      <c r="G356" s="30"/>
      <c r="H356" s="173"/>
      <c r="I356" s="30"/>
      <c r="J356" s="173"/>
      <c r="K356" s="30"/>
    </row>
    <row r="357" spans="1:11" x14ac:dyDescent="0.3">
      <c r="A357" s="177"/>
      <c r="B357" s="199"/>
      <c r="C357" s="30"/>
      <c r="D357" s="173"/>
      <c r="E357" s="30"/>
      <c r="F357" s="173"/>
      <c r="G357" s="30"/>
      <c r="H357" s="173"/>
      <c r="I357" s="30"/>
      <c r="J357" s="173"/>
      <c r="K357" s="30"/>
    </row>
    <row r="358" spans="1:11" x14ac:dyDescent="0.3">
      <c r="A358" s="177"/>
      <c r="B358" s="199"/>
      <c r="C358" s="30"/>
      <c r="D358" s="173"/>
      <c r="E358" s="30"/>
      <c r="F358" s="173"/>
      <c r="G358" s="30"/>
      <c r="H358" s="173"/>
      <c r="I358" s="30"/>
      <c r="J358" s="173"/>
      <c r="K358" s="30"/>
    </row>
    <row r="359" spans="1:11" x14ac:dyDescent="0.3">
      <c r="A359" s="177"/>
      <c r="B359" s="199"/>
      <c r="C359" s="30"/>
      <c r="D359" s="173"/>
      <c r="E359" s="30"/>
      <c r="F359" s="173"/>
      <c r="G359" s="30"/>
      <c r="H359" s="173"/>
      <c r="I359" s="30"/>
      <c r="J359" s="173"/>
      <c r="K359" s="30"/>
    </row>
    <row r="360" spans="1:11" x14ac:dyDescent="0.3">
      <c r="A360" s="177"/>
      <c r="B360" s="199"/>
      <c r="C360" s="30"/>
      <c r="D360" s="173"/>
      <c r="E360" s="30"/>
      <c r="F360" s="173"/>
      <c r="G360" s="30"/>
      <c r="H360" s="173"/>
      <c r="I360" s="30"/>
      <c r="J360" s="173"/>
      <c r="K360" s="30"/>
    </row>
    <row r="361" spans="1:11" x14ac:dyDescent="0.3">
      <c r="A361" s="177"/>
      <c r="B361" s="199"/>
      <c r="C361" s="30"/>
      <c r="D361" s="173"/>
      <c r="E361" s="30"/>
      <c r="F361" s="173"/>
      <c r="G361" s="30"/>
      <c r="H361" s="173"/>
      <c r="I361" s="30"/>
      <c r="J361" s="173"/>
      <c r="K361" s="30"/>
    </row>
    <row r="362" spans="1:11" x14ac:dyDescent="0.3">
      <c r="A362" s="177"/>
      <c r="B362" s="199"/>
      <c r="C362" s="30"/>
      <c r="D362" s="173"/>
      <c r="E362" s="30"/>
      <c r="F362" s="173"/>
      <c r="G362" s="30"/>
      <c r="H362" s="173"/>
      <c r="I362" s="30"/>
      <c r="J362" s="173"/>
      <c r="K362" s="30"/>
    </row>
    <row r="363" spans="1:11" x14ac:dyDescent="0.3">
      <c r="A363" s="177"/>
      <c r="B363" s="199"/>
      <c r="C363" s="30"/>
      <c r="D363" s="173"/>
      <c r="E363" s="30"/>
      <c r="F363" s="173"/>
      <c r="G363" s="30"/>
      <c r="H363" s="173"/>
      <c r="I363" s="30"/>
      <c r="J363" s="173"/>
      <c r="K363" s="30"/>
    </row>
    <row r="364" spans="1:11" x14ac:dyDescent="0.3">
      <c r="A364" s="177"/>
      <c r="B364" s="199"/>
      <c r="C364" s="30"/>
      <c r="D364" s="173"/>
      <c r="E364" s="30"/>
      <c r="F364" s="173"/>
      <c r="G364" s="30"/>
      <c r="H364" s="173"/>
      <c r="I364" s="30"/>
      <c r="J364" s="173"/>
      <c r="K364" s="30"/>
    </row>
    <row r="365" spans="1:11" x14ac:dyDescent="0.3">
      <c r="A365" s="177"/>
      <c r="B365" s="199"/>
      <c r="C365" s="30"/>
      <c r="D365" s="173"/>
      <c r="E365" s="30"/>
      <c r="F365" s="173"/>
      <c r="G365" s="30"/>
      <c r="H365" s="173"/>
      <c r="I365" s="30"/>
      <c r="J365" s="173"/>
      <c r="K365" s="30"/>
    </row>
    <row r="366" spans="1:11" x14ac:dyDescent="0.3">
      <c r="A366" s="177"/>
      <c r="B366" s="199"/>
      <c r="C366" s="30"/>
      <c r="D366" s="173"/>
      <c r="E366" s="30"/>
      <c r="F366" s="173"/>
      <c r="G366" s="30"/>
      <c r="H366" s="173"/>
      <c r="I366" s="30"/>
      <c r="J366" s="173"/>
      <c r="K366" s="30"/>
    </row>
    <row r="367" spans="1:11" x14ac:dyDescent="0.3">
      <c r="A367" s="177"/>
      <c r="B367" s="199"/>
      <c r="C367" s="30"/>
      <c r="D367" s="173"/>
      <c r="E367" s="30"/>
      <c r="F367" s="173"/>
      <c r="G367" s="30"/>
      <c r="H367" s="173"/>
      <c r="I367" s="30"/>
      <c r="J367" s="173"/>
      <c r="K367" s="30"/>
    </row>
    <row r="368" spans="1:11" x14ac:dyDescent="0.3">
      <c r="A368" s="177"/>
      <c r="B368" s="199"/>
      <c r="C368" s="30"/>
      <c r="D368" s="173"/>
      <c r="E368" s="30"/>
      <c r="F368" s="173"/>
      <c r="G368" s="30"/>
      <c r="H368" s="173"/>
      <c r="I368" s="30"/>
      <c r="J368" s="173"/>
      <c r="K368" s="30"/>
    </row>
    <row r="369" spans="1:11" x14ac:dyDescent="0.3">
      <c r="A369" s="177"/>
      <c r="B369" s="199"/>
      <c r="C369" s="30"/>
      <c r="D369" s="173"/>
      <c r="E369" s="30"/>
      <c r="F369" s="173"/>
      <c r="G369" s="30"/>
      <c r="H369" s="173"/>
      <c r="I369" s="30"/>
      <c r="J369" s="173"/>
      <c r="K369" s="30"/>
    </row>
    <row r="370" spans="1:11" x14ac:dyDescent="0.3">
      <c r="A370" s="177"/>
      <c r="B370" s="199"/>
      <c r="C370" s="30"/>
      <c r="D370" s="173"/>
      <c r="E370" s="30"/>
      <c r="F370" s="173"/>
      <c r="G370" s="30"/>
      <c r="H370" s="173"/>
      <c r="I370" s="30"/>
      <c r="J370" s="173"/>
      <c r="K370" s="30"/>
    </row>
    <row r="371" spans="1:11" x14ac:dyDescent="0.3">
      <c r="A371" s="177"/>
      <c r="B371" s="199"/>
      <c r="C371" s="30"/>
      <c r="D371" s="173"/>
      <c r="E371" s="30"/>
      <c r="F371" s="173"/>
      <c r="G371" s="30"/>
      <c r="H371" s="173"/>
      <c r="I371" s="30"/>
      <c r="J371" s="173"/>
      <c r="K371" s="30"/>
    </row>
    <row r="372" spans="1:11" x14ac:dyDescent="0.3">
      <c r="A372" s="177"/>
      <c r="B372" s="199"/>
      <c r="C372" s="30"/>
      <c r="D372" s="173"/>
      <c r="E372" s="30"/>
      <c r="F372" s="173"/>
      <c r="G372" s="30"/>
      <c r="H372" s="173"/>
      <c r="I372" s="30"/>
      <c r="J372" s="173"/>
      <c r="K372" s="30"/>
    </row>
    <row r="373" spans="1:11" x14ac:dyDescent="0.3">
      <c r="A373" s="177"/>
      <c r="B373" s="199"/>
      <c r="C373" s="30"/>
      <c r="D373" s="173"/>
      <c r="E373" s="30"/>
      <c r="F373" s="173"/>
      <c r="G373" s="30"/>
      <c r="H373" s="173"/>
      <c r="I373" s="30"/>
      <c r="J373" s="173"/>
      <c r="K373" s="30"/>
    </row>
    <row r="374" spans="1:11" x14ac:dyDescent="0.3">
      <c r="A374" s="177"/>
      <c r="B374" s="199"/>
      <c r="C374" s="30"/>
      <c r="D374" s="173"/>
      <c r="E374" s="30"/>
      <c r="F374" s="173"/>
      <c r="G374" s="30"/>
      <c r="H374" s="173"/>
      <c r="I374" s="30"/>
      <c r="J374" s="173"/>
      <c r="K374" s="30"/>
    </row>
    <row r="375" spans="1:11" x14ac:dyDescent="0.3">
      <c r="A375" s="177"/>
      <c r="B375" s="199"/>
      <c r="C375" s="30"/>
      <c r="D375" s="173"/>
      <c r="E375" s="30"/>
      <c r="F375" s="173"/>
      <c r="G375" s="30"/>
      <c r="H375" s="173"/>
      <c r="I375" s="30"/>
      <c r="J375" s="173"/>
      <c r="K375" s="30"/>
    </row>
    <row r="376" spans="1:11" x14ac:dyDescent="0.3">
      <c r="A376" s="177"/>
      <c r="B376" s="199"/>
      <c r="C376" s="30"/>
      <c r="D376" s="173"/>
      <c r="E376" s="30"/>
      <c r="F376" s="173"/>
      <c r="G376" s="30"/>
      <c r="H376" s="173"/>
      <c r="I376" s="30"/>
      <c r="J376" s="173"/>
      <c r="K376" s="30"/>
    </row>
    <row r="377" spans="1:11" x14ac:dyDescent="0.3">
      <c r="A377" s="177"/>
      <c r="B377" s="199"/>
      <c r="C377" s="30"/>
      <c r="D377" s="173"/>
      <c r="E377" s="30"/>
      <c r="F377" s="173"/>
      <c r="G377" s="30"/>
      <c r="H377" s="173"/>
      <c r="I377" s="30"/>
      <c r="J377" s="173"/>
      <c r="K377" s="30"/>
    </row>
    <row r="378" spans="1:11" x14ac:dyDescent="0.3">
      <c r="A378" s="177"/>
      <c r="B378" s="199"/>
      <c r="C378" s="30"/>
      <c r="D378" s="173"/>
      <c r="E378" s="30"/>
      <c r="F378" s="173"/>
      <c r="G378" s="30"/>
      <c r="H378" s="173"/>
      <c r="I378" s="30"/>
      <c r="J378" s="173"/>
      <c r="K378" s="30"/>
    </row>
    <row r="379" spans="1:11" x14ac:dyDescent="0.3">
      <c r="A379" s="177"/>
      <c r="B379" s="199"/>
      <c r="C379" s="30"/>
      <c r="D379" s="173"/>
      <c r="E379" s="30"/>
      <c r="F379" s="173"/>
      <c r="G379" s="30"/>
      <c r="H379" s="173"/>
      <c r="I379" s="30"/>
      <c r="J379" s="173"/>
      <c r="K379" s="30"/>
    </row>
    <row r="380" spans="1:11" x14ac:dyDescent="0.3">
      <c r="A380" s="177"/>
      <c r="B380" s="199"/>
      <c r="C380" s="30"/>
      <c r="D380" s="173"/>
      <c r="E380" s="30"/>
      <c r="F380" s="173"/>
      <c r="G380" s="30"/>
      <c r="H380" s="173"/>
      <c r="I380" s="30"/>
      <c r="J380" s="173"/>
      <c r="K380" s="30"/>
    </row>
    <row r="381" spans="1:11" x14ac:dyDescent="0.3">
      <c r="A381" s="177"/>
      <c r="B381" s="199"/>
      <c r="C381" s="30"/>
      <c r="D381" s="173"/>
      <c r="E381" s="30"/>
      <c r="F381" s="173"/>
      <c r="G381" s="30"/>
      <c r="H381" s="173"/>
      <c r="I381" s="30"/>
      <c r="J381" s="173"/>
      <c r="K381" s="30"/>
    </row>
    <row r="382" spans="1:11" x14ac:dyDescent="0.3">
      <c r="A382" s="177"/>
      <c r="B382" s="199"/>
      <c r="C382" s="30"/>
      <c r="D382" s="173"/>
      <c r="E382" s="30"/>
      <c r="F382" s="173"/>
      <c r="G382" s="30"/>
      <c r="H382" s="173"/>
      <c r="I382" s="30"/>
      <c r="J382" s="173"/>
      <c r="K382" s="30"/>
    </row>
    <row r="383" spans="1:11" x14ac:dyDescent="0.3">
      <c r="A383" s="177"/>
      <c r="B383" s="199"/>
      <c r="C383" s="30"/>
      <c r="D383" s="173"/>
      <c r="E383" s="30"/>
      <c r="F383" s="173"/>
      <c r="G383" s="30"/>
      <c r="H383" s="173"/>
      <c r="I383" s="30"/>
      <c r="J383" s="173"/>
      <c r="K383" s="30"/>
    </row>
    <row r="384" spans="1:11" x14ac:dyDescent="0.3">
      <c r="A384" s="177"/>
      <c r="B384" s="199"/>
      <c r="C384" s="30"/>
      <c r="D384" s="173"/>
      <c r="E384" s="30"/>
      <c r="F384" s="173"/>
      <c r="G384" s="30"/>
      <c r="H384" s="173"/>
      <c r="I384" s="30"/>
      <c r="J384" s="173"/>
      <c r="K384" s="30"/>
    </row>
    <row r="385" spans="1:11" x14ac:dyDescent="0.3">
      <c r="A385" s="177"/>
      <c r="B385" s="199"/>
      <c r="C385" s="30"/>
      <c r="D385" s="173"/>
      <c r="E385" s="30"/>
      <c r="F385" s="173"/>
      <c r="G385" s="30"/>
      <c r="H385" s="173"/>
      <c r="I385" s="30"/>
      <c r="J385" s="173"/>
      <c r="K385" s="30"/>
    </row>
    <row r="386" spans="1:11" x14ac:dyDescent="0.3">
      <c r="A386" s="177"/>
      <c r="B386" s="199"/>
      <c r="C386" s="30"/>
      <c r="D386" s="173"/>
      <c r="E386" s="30"/>
      <c r="F386" s="173"/>
      <c r="G386" s="30"/>
      <c r="H386" s="173"/>
      <c r="I386" s="30"/>
      <c r="J386" s="173"/>
      <c r="K386" s="30"/>
    </row>
    <row r="387" spans="1:11" x14ac:dyDescent="0.3">
      <c r="A387" s="177"/>
      <c r="B387" s="199"/>
      <c r="C387" s="30"/>
      <c r="D387" s="173"/>
      <c r="E387" s="30"/>
      <c r="F387" s="173"/>
      <c r="G387" s="30"/>
      <c r="H387" s="173"/>
      <c r="I387" s="30"/>
      <c r="J387" s="173"/>
      <c r="K387" s="30"/>
    </row>
    <row r="388" spans="1:11" x14ac:dyDescent="0.3">
      <c r="A388" s="177"/>
      <c r="B388" s="199"/>
      <c r="C388" s="30"/>
      <c r="D388" s="173"/>
      <c r="E388" s="30"/>
      <c r="F388" s="173"/>
      <c r="G388" s="30"/>
      <c r="H388" s="173"/>
      <c r="I388" s="30"/>
      <c r="J388" s="173"/>
      <c r="K388" s="30"/>
    </row>
    <row r="389" spans="1:11" x14ac:dyDescent="0.3">
      <c r="A389" s="177"/>
      <c r="B389" s="199"/>
      <c r="C389" s="30"/>
      <c r="D389" s="173"/>
      <c r="E389" s="30"/>
      <c r="F389" s="173"/>
      <c r="G389" s="30"/>
      <c r="H389" s="173"/>
      <c r="I389" s="30"/>
      <c r="J389" s="173"/>
      <c r="K389" s="30"/>
    </row>
    <row r="390" spans="1:11" x14ac:dyDescent="0.3">
      <c r="A390" s="177"/>
      <c r="B390" s="199"/>
      <c r="C390" s="30"/>
      <c r="D390" s="173"/>
      <c r="E390" s="30"/>
      <c r="F390" s="173"/>
      <c r="G390" s="30"/>
      <c r="H390" s="173"/>
      <c r="I390" s="30"/>
      <c r="J390" s="173"/>
      <c r="K390" s="30"/>
    </row>
    <row r="391" spans="1:11" x14ac:dyDescent="0.3">
      <c r="A391" s="177"/>
      <c r="B391" s="199"/>
      <c r="C391" s="30"/>
      <c r="D391" s="173"/>
      <c r="E391" s="30"/>
      <c r="F391" s="173"/>
      <c r="G391" s="30"/>
      <c r="H391" s="173"/>
      <c r="I391" s="30"/>
      <c r="J391" s="173"/>
      <c r="K391" s="30"/>
    </row>
    <row r="392" spans="1:11" x14ac:dyDescent="0.3">
      <c r="A392" s="177"/>
      <c r="B392" s="199"/>
      <c r="C392" s="30"/>
      <c r="D392" s="173"/>
      <c r="E392" s="30"/>
      <c r="F392" s="173"/>
      <c r="G392" s="30"/>
      <c r="H392" s="173"/>
      <c r="I392" s="30"/>
      <c r="J392" s="173"/>
      <c r="K392" s="30"/>
    </row>
    <row r="393" spans="1:11" x14ac:dyDescent="0.3">
      <c r="A393" s="177"/>
      <c r="B393" s="199"/>
      <c r="C393" s="30"/>
      <c r="D393" s="173"/>
      <c r="E393" s="30"/>
      <c r="F393" s="173"/>
      <c r="G393" s="30"/>
      <c r="H393" s="173"/>
      <c r="I393" s="30"/>
      <c r="J393" s="173"/>
      <c r="K393" s="30"/>
    </row>
    <row r="394" spans="1:11" x14ac:dyDescent="0.3">
      <c r="A394" s="177"/>
      <c r="B394" s="199"/>
      <c r="C394" s="30"/>
      <c r="D394" s="173"/>
      <c r="E394" s="30"/>
      <c r="F394" s="173"/>
      <c r="G394" s="30"/>
      <c r="H394" s="173"/>
      <c r="I394" s="30"/>
      <c r="J394" s="173"/>
      <c r="K394" s="30"/>
    </row>
    <row r="395" spans="1:11" x14ac:dyDescent="0.3">
      <c r="A395" s="177"/>
      <c r="B395" s="199"/>
      <c r="C395" s="30"/>
      <c r="D395" s="173"/>
      <c r="E395" s="30"/>
      <c r="F395" s="173"/>
      <c r="G395" s="30"/>
      <c r="H395" s="173"/>
      <c r="I395" s="30"/>
      <c r="J395" s="173"/>
      <c r="K395" s="30"/>
    </row>
    <row r="396" spans="1:11" x14ac:dyDescent="0.3">
      <c r="A396" s="177"/>
      <c r="B396" s="199"/>
      <c r="C396" s="30"/>
      <c r="D396" s="173"/>
      <c r="E396" s="30"/>
      <c r="F396" s="173"/>
      <c r="G396" s="30"/>
      <c r="H396" s="173"/>
      <c r="I396" s="30"/>
      <c r="J396" s="173"/>
      <c r="K396" s="30"/>
    </row>
    <row r="397" spans="1:11" x14ac:dyDescent="0.3">
      <c r="A397" s="177"/>
      <c r="B397" s="199"/>
      <c r="C397" s="30"/>
      <c r="D397" s="173"/>
      <c r="E397" s="30"/>
      <c r="F397" s="173"/>
      <c r="G397" s="30"/>
      <c r="H397" s="173"/>
      <c r="I397" s="30"/>
      <c r="J397" s="173"/>
      <c r="K397" s="30"/>
    </row>
    <row r="398" spans="1:11" x14ac:dyDescent="0.3">
      <c r="A398" s="177"/>
      <c r="B398" s="199"/>
      <c r="C398" s="30"/>
      <c r="D398" s="173"/>
      <c r="E398" s="30"/>
      <c r="F398" s="173"/>
      <c r="G398" s="30"/>
      <c r="H398" s="173"/>
      <c r="I398" s="30"/>
      <c r="J398" s="173"/>
      <c r="K398" s="30"/>
    </row>
    <row r="399" spans="1:11" x14ac:dyDescent="0.3">
      <c r="A399" s="177"/>
      <c r="B399" s="199"/>
      <c r="C399" s="30"/>
      <c r="D399" s="173"/>
      <c r="E399" s="30"/>
      <c r="F399" s="173"/>
      <c r="G399" s="30"/>
      <c r="H399" s="173"/>
      <c r="I399" s="30"/>
      <c r="J399" s="173"/>
      <c r="K399" s="30"/>
    </row>
    <row r="400" spans="1:11" x14ac:dyDescent="0.3">
      <c r="A400" s="177"/>
      <c r="B400" s="199"/>
      <c r="C400" s="30"/>
      <c r="D400" s="173"/>
      <c r="E400" s="30"/>
      <c r="F400" s="173"/>
      <c r="G400" s="30"/>
      <c r="H400" s="173"/>
      <c r="I400" s="30"/>
      <c r="J400" s="173"/>
      <c r="K400" s="30"/>
    </row>
    <row r="401" spans="1:11" x14ac:dyDescent="0.3">
      <c r="A401" s="177"/>
      <c r="B401" s="199"/>
      <c r="C401" s="30"/>
      <c r="D401" s="173"/>
      <c r="E401" s="30"/>
      <c r="F401" s="173"/>
      <c r="G401" s="30"/>
      <c r="H401" s="173"/>
      <c r="I401" s="30"/>
      <c r="J401" s="173"/>
      <c r="K401" s="30"/>
    </row>
    <row r="402" spans="1:11" x14ac:dyDescent="0.3">
      <c r="A402" s="177"/>
      <c r="B402" s="199"/>
      <c r="C402" s="30"/>
      <c r="D402" s="173"/>
      <c r="E402" s="30"/>
      <c r="F402" s="173"/>
      <c r="G402" s="30"/>
      <c r="H402" s="173"/>
      <c r="I402" s="30"/>
      <c r="J402" s="173"/>
      <c r="K402" s="30"/>
    </row>
    <row r="403" spans="1:11" x14ac:dyDescent="0.3">
      <c r="A403" s="177"/>
      <c r="B403" s="199"/>
      <c r="C403" s="30"/>
      <c r="D403" s="173"/>
      <c r="E403" s="30"/>
      <c r="F403" s="173"/>
      <c r="G403" s="30"/>
      <c r="H403" s="173"/>
      <c r="I403" s="30"/>
      <c r="J403" s="173"/>
      <c r="K403" s="30"/>
    </row>
    <row r="404" spans="1:11" x14ac:dyDescent="0.3">
      <c r="A404" s="177"/>
      <c r="B404" s="199"/>
      <c r="C404" s="30"/>
      <c r="D404" s="173"/>
      <c r="E404" s="30"/>
      <c r="F404" s="173"/>
      <c r="G404" s="30"/>
      <c r="H404" s="173"/>
      <c r="I404" s="30"/>
      <c r="J404" s="173"/>
      <c r="K404" s="30"/>
    </row>
    <row r="405" spans="1:11" x14ac:dyDescent="0.3">
      <c r="A405" s="177"/>
      <c r="B405" s="199"/>
      <c r="C405" s="30"/>
      <c r="D405" s="173"/>
      <c r="E405" s="30"/>
      <c r="F405" s="173"/>
      <c r="G405" s="30"/>
      <c r="H405" s="173"/>
      <c r="I405" s="30"/>
      <c r="J405" s="173"/>
      <c r="K405" s="30"/>
    </row>
    <row r="406" spans="1:11" x14ac:dyDescent="0.3">
      <c r="A406" s="177"/>
      <c r="B406" s="199"/>
      <c r="C406" s="30"/>
      <c r="D406" s="173"/>
      <c r="E406" s="30"/>
      <c r="F406" s="173"/>
      <c r="G406" s="30"/>
      <c r="H406" s="173"/>
      <c r="I406" s="30"/>
      <c r="J406" s="173"/>
      <c r="K406" s="30"/>
    </row>
    <row r="407" spans="1:11" x14ac:dyDescent="0.3">
      <c r="A407" s="177"/>
      <c r="B407" s="199"/>
      <c r="C407" s="30"/>
      <c r="D407" s="173"/>
      <c r="E407" s="30"/>
      <c r="F407" s="173"/>
      <c r="G407" s="30"/>
      <c r="H407" s="173"/>
      <c r="I407" s="30"/>
      <c r="J407" s="173"/>
      <c r="K407" s="30"/>
    </row>
    <row r="408" spans="1:11" x14ac:dyDescent="0.3">
      <c r="A408" s="177"/>
      <c r="B408" s="199"/>
      <c r="C408" s="30"/>
      <c r="D408" s="173"/>
      <c r="E408" s="30"/>
      <c r="F408" s="173"/>
      <c r="G408" s="30"/>
      <c r="H408" s="173"/>
      <c r="I408" s="30"/>
      <c r="J408" s="173"/>
      <c r="K408" s="30"/>
    </row>
    <row r="409" spans="1:11" x14ac:dyDescent="0.3">
      <c r="A409" s="177"/>
      <c r="B409" s="199"/>
      <c r="C409" s="30"/>
      <c r="D409" s="173"/>
      <c r="E409" s="30"/>
      <c r="F409" s="173"/>
      <c r="G409" s="30"/>
      <c r="H409" s="173"/>
      <c r="I409" s="30"/>
      <c r="J409" s="173"/>
      <c r="K409" s="30"/>
    </row>
    <row r="410" spans="1:11" x14ac:dyDescent="0.3">
      <c r="A410" s="177"/>
      <c r="B410" s="199"/>
      <c r="C410" s="30"/>
      <c r="D410" s="173"/>
      <c r="E410" s="30"/>
      <c r="F410" s="173"/>
      <c r="G410" s="30"/>
      <c r="H410" s="173"/>
      <c r="I410" s="30"/>
      <c r="J410" s="173"/>
      <c r="K410" s="30"/>
    </row>
    <row r="411" spans="1:11" x14ac:dyDescent="0.3">
      <c r="A411" s="177"/>
      <c r="B411" s="199"/>
      <c r="C411" s="30"/>
      <c r="D411" s="173"/>
      <c r="E411" s="30"/>
      <c r="F411" s="173"/>
      <c r="G411" s="30"/>
      <c r="H411" s="173"/>
      <c r="I411" s="30"/>
      <c r="J411" s="173"/>
      <c r="K411" s="30"/>
    </row>
    <row r="412" spans="1:11" x14ac:dyDescent="0.3">
      <c r="A412" s="177"/>
      <c r="B412" s="199"/>
      <c r="C412" s="30"/>
      <c r="D412" s="173"/>
      <c r="E412" s="30"/>
      <c r="F412" s="173"/>
      <c r="G412" s="30"/>
      <c r="H412" s="173"/>
      <c r="I412" s="30"/>
      <c r="J412" s="173"/>
      <c r="K412" s="30"/>
    </row>
    <row r="413" spans="1:11" x14ac:dyDescent="0.3">
      <c r="A413" s="177"/>
      <c r="B413" s="199"/>
      <c r="C413" s="30"/>
      <c r="D413" s="173"/>
      <c r="E413" s="30"/>
      <c r="F413" s="173"/>
      <c r="G413" s="30"/>
      <c r="H413" s="173"/>
      <c r="I413" s="30"/>
      <c r="J413" s="173"/>
      <c r="K413" s="30"/>
    </row>
    <row r="414" spans="1:11" x14ac:dyDescent="0.3">
      <c r="A414" s="177"/>
      <c r="B414" s="199"/>
      <c r="C414" s="30"/>
      <c r="D414" s="173"/>
      <c r="E414" s="30"/>
      <c r="F414" s="173"/>
      <c r="G414" s="30"/>
      <c r="H414" s="173"/>
      <c r="I414" s="30"/>
      <c r="J414" s="173"/>
      <c r="K414" s="30"/>
    </row>
    <row r="415" spans="1:11" x14ac:dyDescent="0.3">
      <c r="A415" s="177"/>
      <c r="B415" s="199"/>
      <c r="C415" s="30"/>
      <c r="D415" s="173"/>
      <c r="E415" s="30"/>
      <c r="F415" s="173"/>
      <c r="G415" s="30"/>
      <c r="H415" s="173"/>
      <c r="I415" s="30"/>
      <c r="J415" s="173"/>
      <c r="K415" s="30"/>
    </row>
    <row r="416" spans="1:11" x14ac:dyDescent="0.3">
      <c r="A416" s="177"/>
      <c r="B416" s="199"/>
      <c r="C416" s="30"/>
      <c r="D416" s="173"/>
      <c r="E416" s="30"/>
      <c r="F416" s="173"/>
      <c r="G416" s="30"/>
      <c r="H416" s="173"/>
      <c r="I416" s="30"/>
      <c r="J416" s="173"/>
      <c r="K416" s="30"/>
    </row>
    <row r="417" spans="1:11" x14ac:dyDescent="0.3">
      <c r="A417" s="177"/>
      <c r="B417" s="199"/>
      <c r="C417" s="30"/>
      <c r="D417" s="173"/>
      <c r="E417" s="30"/>
      <c r="F417" s="173"/>
      <c r="G417" s="30"/>
      <c r="H417" s="173"/>
      <c r="I417" s="30"/>
      <c r="J417" s="173"/>
      <c r="K417" s="30"/>
    </row>
    <row r="418" spans="1:11" x14ac:dyDescent="0.3">
      <c r="A418" s="177"/>
      <c r="B418" s="199"/>
      <c r="C418" s="30"/>
      <c r="D418" s="173"/>
      <c r="E418" s="30"/>
      <c r="F418" s="173"/>
      <c r="G418" s="30"/>
      <c r="H418" s="173"/>
      <c r="I418" s="30"/>
      <c r="J418" s="173"/>
      <c r="K418" s="30"/>
    </row>
    <row r="419" spans="1:11" x14ac:dyDescent="0.3">
      <c r="A419" s="177"/>
      <c r="B419" s="199"/>
      <c r="C419" s="30"/>
      <c r="D419" s="173"/>
      <c r="E419" s="30"/>
      <c r="F419" s="173"/>
      <c r="G419" s="30"/>
      <c r="H419" s="173"/>
      <c r="I419" s="30"/>
      <c r="J419" s="173"/>
      <c r="K419" s="30"/>
    </row>
    <row r="420" spans="1:11" x14ac:dyDescent="0.3">
      <c r="A420" s="177"/>
      <c r="B420" s="199"/>
      <c r="C420" s="30"/>
      <c r="D420" s="173"/>
      <c r="E420" s="30"/>
      <c r="F420" s="173"/>
      <c r="G420" s="30"/>
      <c r="H420" s="173"/>
      <c r="I420" s="30"/>
      <c r="J420" s="173"/>
      <c r="K420" s="30"/>
    </row>
    <row r="421" spans="1:11" x14ac:dyDescent="0.3">
      <c r="A421" s="177"/>
      <c r="B421" s="199"/>
      <c r="C421" s="30"/>
      <c r="D421" s="173"/>
      <c r="E421" s="30"/>
      <c r="F421" s="173"/>
      <c r="G421" s="30"/>
      <c r="H421" s="173"/>
      <c r="I421" s="30"/>
      <c r="J421" s="173"/>
      <c r="K421" s="30"/>
    </row>
    <row r="422" spans="1:11" x14ac:dyDescent="0.3">
      <c r="A422" s="177"/>
      <c r="B422" s="199"/>
      <c r="C422" s="30"/>
      <c r="D422" s="173"/>
      <c r="E422" s="30"/>
      <c r="F422" s="173"/>
      <c r="G422" s="30"/>
      <c r="H422" s="173"/>
      <c r="I422" s="30"/>
      <c r="J422" s="173"/>
      <c r="K422" s="30"/>
    </row>
    <row r="423" spans="1:11" x14ac:dyDescent="0.3">
      <c r="A423" s="177"/>
      <c r="B423" s="199"/>
      <c r="C423" s="30"/>
      <c r="D423" s="173"/>
      <c r="E423" s="30"/>
      <c r="F423" s="173"/>
      <c r="G423" s="30"/>
      <c r="H423" s="173"/>
      <c r="I423" s="30"/>
      <c r="J423" s="173"/>
      <c r="K423" s="30"/>
    </row>
    <row r="424" spans="1:11" x14ac:dyDescent="0.3">
      <c r="A424" s="177"/>
      <c r="B424" s="199"/>
      <c r="C424" s="30"/>
      <c r="D424" s="173"/>
      <c r="E424" s="30"/>
      <c r="F424" s="173"/>
      <c r="G424" s="30"/>
      <c r="H424" s="173"/>
      <c r="I424" s="30"/>
      <c r="J424" s="173"/>
      <c r="K424" s="30"/>
    </row>
    <row r="425" spans="1:11" x14ac:dyDescent="0.3">
      <c r="A425" s="177"/>
      <c r="B425" s="199"/>
      <c r="C425" s="30"/>
      <c r="D425" s="173"/>
      <c r="E425" s="30"/>
      <c r="F425" s="173"/>
      <c r="G425" s="30"/>
      <c r="H425" s="173"/>
      <c r="I425" s="30"/>
      <c r="J425" s="173"/>
      <c r="K425" s="30"/>
    </row>
    <row r="426" spans="1:11" x14ac:dyDescent="0.3">
      <c r="A426" s="177"/>
      <c r="B426" s="199"/>
      <c r="C426" s="30"/>
      <c r="D426" s="173"/>
      <c r="E426" s="30"/>
      <c r="F426" s="173"/>
      <c r="G426" s="30"/>
      <c r="H426" s="173"/>
      <c r="I426" s="30"/>
      <c r="J426" s="173"/>
      <c r="K426" s="30"/>
    </row>
    <row r="427" spans="1:11" x14ac:dyDescent="0.3">
      <c r="A427" s="177"/>
      <c r="B427" s="199"/>
      <c r="C427" s="30"/>
      <c r="D427" s="173"/>
      <c r="E427" s="30"/>
      <c r="F427" s="173"/>
      <c r="G427" s="30"/>
      <c r="H427" s="173"/>
      <c r="I427" s="30"/>
      <c r="J427" s="173"/>
      <c r="K427" s="30"/>
    </row>
    <row r="428" spans="1:11" x14ac:dyDescent="0.3">
      <c r="A428" s="177"/>
      <c r="B428" s="199"/>
      <c r="C428" s="30"/>
      <c r="D428" s="173"/>
      <c r="E428" s="30"/>
      <c r="F428" s="173"/>
      <c r="G428" s="30"/>
      <c r="H428" s="173"/>
      <c r="I428" s="30"/>
      <c r="J428" s="173"/>
      <c r="K428" s="30"/>
    </row>
    <row r="429" spans="1:11" x14ac:dyDescent="0.3">
      <c r="A429" s="177"/>
      <c r="B429" s="199"/>
      <c r="C429" s="30"/>
      <c r="D429" s="173"/>
      <c r="E429" s="30"/>
      <c r="F429" s="173"/>
      <c r="G429" s="30"/>
      <c r="H429" s="173"/>
      <c r="I429" s="30"/>
      <c r="J429" s="173"/>
      <c r="K429" s="30"/>
    </row>
    <row r="430" spans="1:11" x14ac:dyDescent="0.3">
      <c r="A430" s="177"/>
      <c r="B430" s="199"/>
      <c r="C430" s="30"/>
      <c r="D430" s="173"/>
      <c r="E430" s="30"/>
      <c r="F430" s="173"/>
      <c r="G430" s="30"/>
      <c r="H430" s="173"/>
      <c r="I430" s="30"/>
      <c r="J430" s="173"/>
      <c r="K430" s="30"/>
    </row>
    <row r="431" spans="1:11" x14ac:dyDescent="0.3">
      <c r="A431" s="177"/>
      <c r="B431" s="199"/>
      <c r="C431" s="30"/>
      <c r="D431" s="173"/>
      <c r="E431" s="30"/>
      <c r="F431" s="173"/>
      <c r="G431" s="30"/>
      <c r="H431" s="173"/>
      <c r="I431" s="30"/>
      <c r="J431" s="173"/>
      <c r="K431" s="30"/>
    </row>
    <row r="432" spans="1:11" x14ac:dyDescent="0.3">
      <c r="A432" s="177"/>
      <c r="B432" s="199"/>
      <c r="C432" s="30"/>
      <c r="D432" s="173"/>
      <c r="E432" s="30"/>
      <c r="F432" s="173"/>
      <c r="G432" s="30"/>
      <c r="H432" s="173"/>
      <c r="I432" s="30"/>
      <c r="J432" s="173"/>
      <c r="K432" s="30"/>
    </row>
    <row r="433" spans="1:11" x14ac:dyDescent="0.3">
      <c r="A433" s="177"/>
      <c r="B433" s="199"/>
      <c r="C433" s="30"/>
      <c r="D433" s="173"/>
      <c r="E433" s="30"/>
      <c r="F433" s="173"/>
      <c r="G433" s="30"/>
      <c r="H433" s="173"/>
      <c r="I433" s="30"/>
      <c r="J433" s="173"/>
      <c r="K433" s="30"/>
    </row>
    <row r="434" spans="1:11" x14ac:dyDescent="0.3">
      <c r="A434" s="177"/>
      <c r="B434" s="199"/>
      <c r="C434" s="30"/>
      <c r="D434" s="173"/>
      <c r="E434" s="30"/>
      <c r="F434" s="173"/>
      <c r="G434" s="30"/>
      <c r="H434" s="173"/>
      <c r="I434" s="30"/>
      <c r="J434" s="173"/>
      <c r="K434" s="30"/>
    </row>
    <row r="435" spans="1:11" x14ac:dyDescent="0.3">
      <c r="A435" s="177"/>
      <c r="B435" s="199"/>
      <c r="C435" s="30"/>
      <c r="D435" s="173"/>
      <c r="E435" s="30"/>
      <c r="F435" s="173"/>
      <c r="G435" s="30"/>
      <c r="H435" s="173"/>
      <c r="I435" s="30"/>
      <c r="J435" s="173"/>
      <c r="K435" s="30"/>
    </row>
    <row r="436" spans="1:11" x14ac:dyDescent="0.3">
      <c r="A436" s="177"/>
      <c r="B436" s="199"/>
      <c r="C436" s="30"/>
      <c r="D436" s="173"/>
      <c r="E436" s="30"/>
      <c r="F436" s="173"/>
      <c r="G436" s="30"/>
      <c r="H436" s="173"/>
      <c r="I436" s="30"/>
      <c r="J436" s="173"/>
      <c r="K436" s="30"/>
    </row>
    <row r="437" spans="1:11" x14ac:dyDescent="0.3">
      <c r="A437" s="177"/>
      <c r="B437" s="199"/>
      <c r="C437" s="30"/>
      <c r="D437" s="173"/>
      <c r="E437" s="30"/>
      <c r="F437" s="173"/>
      <c r="G437" s="30"/>
      <c r="H437" s="173"/>
      <c r="I437" s="30"/>
      <c r="J437" s="173"/>
      <c r="K437" s="30"/>
    </row>
    <row r="438" spans="1:11" x14ac:dyDescent="0.3">
      <c r="A438" s="177"/>
      <c r="B438" s="199"/>
      <c r="C438" s="30"/>
      <c r="D438" s="173"/>
      <c r="E438" s="30"/>
      <c r="F438" s="173"/>
      <c r="G438" s="30"/>
      <c r="H438" s="173"/>
      <c r="I438" s="30"/>
      <c r="J438" s="173"/>
      <c r="K438" s="30"/>
    </row>
    <row r="439" spans="1:11" x14ac:dyDescent="0.3">
      <c r="A439" s="177"/>
      <c r="B439" s="199"/>
      <c r="C439" s="30"/>
      <c r="D439" s="173"/>
      <c r="E439" s="30"/>
      <c r="F439" s="173"/>
      <c r="G439" s="30"/>
      <c r="H439" s="173"/>
      <c r="I439" s="30"/>
      <c r="J439" s="173"/>
      <c r="K439" s="30"/>
    </row>
    <row r="440" spans="1:11" x14ac:dyDescent="0.3">
      <c r="A440" s="177"/>
      <c r="B440" s="199"/>
      <c r="C440" s="30"/>
      <c r="D440" s="173"/>
      <c r="E440" s="30"/>
      <c r="F440" s="173"/>
      <c r="G440" s="30"/>
      <c r="H440" s="173"/>
      <c r="I440" s="30"/>
      <c r="J440" s="173"/>
      <c r="K440" s="30"/>
    </row>
    <row r="441" spans="1:11" x14ac:dyDescent="0.3">
      <c r="A441" s="177"/>
      <c r="B441" s="199"/>
      <c r="C441" s="30"/>
      <c r="D441" s="173"/>
      <c r="E441" s="30"/>
      <c r="F441" s="173"/>
      <c r="G441" s="30"/>
      <c r="H441" s="173"/>
      <c r="I441" s="30"/>
      <c r="J441" s="173"/>
      <c r="K441" s="30"/>
    </row>
    <row r="442" spans="1:11" x14ac:dyDescent="0.3">
      <c r="A442" s="177"/>
      <c r="B442" s="199"/>
      <c r="C442" s="30"/>
      <c r="D442" s="173"/>
      <c r="E442" s="30"/>
      <c r="F442" s="173"/>
      <c r="G442" s="30"/>
      <c r="H442" s="173"/>
      <c r="I442" s="30"/>
      <c r="J442" s="173"/>
      <c r="K442" s="30"/>
    </row>
    <row r="443" spans="1:11" x14ac:dyDescent="0.3">
      <c r="A443" s="177"/>
      <c r="B443" s="199"/>
      <c r="C443" s="30"/>
      <c r="D443" s="173"/>
      <c r="E443" s="30"/>
      <c r="F443" s="173"/>
      <c r="G443" s="30"/>
      <c r="H443" s="173"/>
      <c r="I443" s="30"/>
      <c r="J443" s="173"/>
      <c r="K443" s="30"/>
    </row>
    <row r="444" spans="1:11" x14ac:dyDescent="0.3">
      <c r="A444" s="177"/>
      <c r="B444" s="199"/>
      <c r="C444" s="30"/>
      <c r="D444" s="173"/>
      <c r="E444" s="30"/>
      <c r="F444" s="173"/>
      <c r="G444" s="30"/>
      <c r="H444" s="173"/>
      <c r="I444" s="30"/>
      <c r="J444" s="173"/>
      <c r="K444" s="30"/>
    </row>
    <row r="445" spans="1:11" x14ac:dyDescent="0.3">
      <c r="A445" s="177"/>
      <c r="B445" s="199"/>
      <c r="C445" s="30"/>
      <c r="D445" s="173"/>
      <c r="E445" s="30"/>
      <c r="F445" s="173"/>
      <c r="G445" s="30"/>
      <c r="H445" s="173"/>
      <c r="I445" s="30"/>
      <c r="J445" s="173"/>
      <c r="K445" s="30"/>
    </row>
    <row r="446" spans="1:11" x14ac:dyDescent="0.3">
      <c r="A446" s="177"/>
      <c r="B446" s="199"/>
      <c r="C446" s="30"/>
      <c r="D446" s="173"/>
      <c r="E446" s="30"/>
      <c r="F446" s="173"/>
      <c r="G446" s="30"/>
      <c r="H446" s="173"/>
      <c r="I446" s="30"/>
      <c r="J446" s="173"/>
      <c r="K446" s="30"/>
    </row>
    <row r="447" spans="1:11" x14ac:dyDescent="0.3">
      <c r="A447" s="177"/>
      <c r="B447" s="199"/>
      <c r="C447" s="30"/>
      <c r="D447" s="173"/>
      <c r="E447" s="30"/>
      <c r="F447" s="173"/>
      <c r="G447" s="30"/>
      <c r="H447" s="173"/>
      <c r="I447" s="30"/>
      <c r="J447" s="173"/>
      <c r="K447" s="30"/>
    </row>
    <row r="448" spans="1:11" x14ac:dyDescent="0.3">
      <c r="A448" s="177"/>
      <c r="B448" s="199"/>
      <c r="C448" s="30"/>
      <c r="D448" s="173"/>
      <c r="E448" s="30"/>
      <c r="F448" s="173"/>
      <c r="G448" s="30"/>
      <c r="H448" s="173"/>
      <c r="I448" s="30"/>
      <c r="J448" s="173"/>
      <c r="K448" s="30"/>
    </row>
    <row r="449" spans="1:11" x14ac:dyDescent="0.3">
      <c r="A449" s="177"/>
      <c r="B449" s="199"/>
      <c r="C449" s="30"/>
      <c r="D449" s="173"/>
      <c r="E449" s="30"/>
      <c r="F449" s="173"/>
      <c r="G449" s="30"/>
      <c r="H449" s="173"/>
      <c r="I449" s="30"/>
      <c r="J449" s="173"/>
      <c r="K449" s="30"/>
    </row>
    <row r="450" spans="1:11" x14ac:dyDescent="0.3">
      <c r="A450" s="177"/>
      <c r="B450" s="199"/>
      <c r="C450" s="30"/>
      <c r="D450" s="173"/>
      <c r="E450" s="30"/>
      <c r="F450" s="173"/>
      <c r="G450" s="30"/>
      <c r="H450" s="173"/>
      <c r="I450" s="30"/>
      <c r="J450" s="173"/>
      <c r="K450" s="30"/>
    </row>
    <row r="451" spans="1:11" x14ac:dyDescent="0.3">
      <c r="A451" s="177"/>
      <c r="B451" s="199"/>
      <c r="C451" s="30"/>
      <c r="D451" s="173"/>
      <c r="E451" s="30"/>
      <c r="F451" s="173"/>
      <c r="G451" s="30"/>
      <c r="H451" s="173"/>
      <c r="I451" s="30"/>
      <c r="J451" s="173"/>
      <c r="K451" s="30"/>
    </row>
    <row r="452" spans="1:11" x14ac:dyDescent="0.3">
      <c r="A452" s="177"/>
      <c r="B452" s="199"/>
      <c r="C452" s="30"/>
      <c r="D452" s="173"/>
      <c r="E452" s="30"/>
      <c r="F452" s="173"/>
      <c r="G452" s="30"/>
      <c r="H452" s="173"/>
      <c r="I452" s="30"/>
      <c r="J452" s="173"/>
      <c r="K452" s="30"/>
    </row>
    <row r="453" spans="1:11" x14ac:dyDescent="0.3">
      <c r="A453" s="177"/>
      <c r="B453" s="199"/>
      <c r="C453" s="30"/>
      <c r="D453" s="173"/>
      <c r="E453" s="30"/>
      <c r="F453" s="173"/>
      <c r="G453" s="30"/>
      <c r="H453" s="173"/>
      <c r="I453" s="30"/>
      <c r="J453" s="173"/>
      <c r="K453" s="30"/>
    </row>
    <row r="454" spans="1:11" x14ac:dyDescent="0.3">
      <c r="A454" s="177"/>
      <c r="B454" s="199"/>
      <c r="C454" s="30"/>
      <c r="D454" s="173"/>
      <c r="E454" s="30"/>
      <c r="F454" s="173"/>
      <c r="G454" s="30"/>
      <c r="H454" s="173"/>
      <c r="I454" s="30"/>
      <c r="J454" s="173"/>
      <c r="K454" s="30"/>
    </row>
    <row r="455" spans="1:11" x14ac:dyDescent="0.3">
      <c r="A455" s="177"/>
      <c r="B455" s="199"/>
      <c r="C455" s="30"/>
      <c r="D455" s="173"/>
      <c r="E455" s="30"/>
      <c r="F455" s="173"/>
      <c r="G455" s="30"/>
      <c r="H455" s="173"/>
      <c r="I455" s="30"/>
      <c r="J455" s="173"/>
      <c r="K455" s="30"/>
    </row>
    <row r="456" spans="1:11" x14ac:dyDescent="0.3">
      <c r="A456" s="177"/>
      <c r="B456" s="199"/>
      <c r="C456" s="30"/>
      <c r="D456" s="173"/>
      <c r="E456" s="30"/>
      <c r="F456" s="173"/>
      <c r="G456" s="30"/>
      <c r="H456" s="173"/>
      <c r="I456" s="30"/>
      <c r="J456" s="173"/>
      <c r="K456" s="30"/>
    </row>
    <row r="457" spans="1:11" x14ac:dyDescent="0.3">
      <c r="A457" s="177"/>
      <c r="B457" s="199"/>
      <c r="C457" s="30"/>
      <c r="D457" s="173"/>
      <c r="E457" s="30"/>
      <c r="F457" s="173"/>
      <c r="G457" s="30"/>
      <c r="H457" s="173"/>
      <c r="I457" s="30"/>
      <c r="J457" s="173"/>
      <c r="K457" s="30"/>
    </row>
    <row r="458" spans="1:11" x14ac:dyDescent="0.3">
      <c r="A458" s="177"/>
      <c r="B458" s="199"/>
      <c r="C458" s="30"/>
      <c r="D458" s="173"/>
      <c r="E458" s="30"/>
      <c r="F458" s="173"/>
      <c r="G458" s="30"/>
      <c r="H458" s="173"/>
      <c r="I458" s="30"/>
      <c r="J458" s="173"/>
      <c r="K458" s="30"/>
    </row>
    <row r="459" spans="1:11" x14ac:dyDescent="0.3">
      <c r="A459" s="177"/>
      <c r="B459" s="199"/>
      <c r="C459" s="30"/>
      <c r="D459" s="173"/>
      <c r="E459" s="30"/>
      <c r="F459" s="173"/>
      <c r="G459" s="30"/>
      <c r="H459" s="173"/>
      <c r="I459" s="30"/>
      <c r="J459" s="173"/>
      <c r="K459" s="30"/>
    </row>
    <row r="460" spans="1:11" x14ac:dyDescent="0.3">
      <c r="A460" s="177"/>
      <c r="B460" s="199"/>
      <c r="C460" s="30"/>
      <c r="D460" s="173"/>
      <c r="E460" s="30"/>
      <c r="F460" s="173"/>
      <c r="G460" s="30"/>
      <c r="H460" s="173"/>
      <c r="I460" s="30"/>
      <c r="J460" s="173"/>
      <c r="K460" s="30"/>
    </row>
    <row r="461" spans="1:11" x14ac:dyDescent="0.3">
      <c r="A461" s="177"/>
      <c r="B461" s="199"/>
      <c r="C461" s="30"/>
      <c r="D461" s="173"/>
      <c r="E461" s="30"/>
      <c r="F461" s="173"/>
      <c r="G461" s="30"/>
      <c r="H461" s="173"/>
      <c r="I461" s="30"/>
      <c r="J461" s="173"/>
      <c r="K461" s="30"/>
    </row>
    <row r="462" spans="1:11" x14ac:dyDescent="0.3">
      <c r="A462" s="177"/>
      <c r="B462" s="199"/>
      <c r="C462" s="30"/>
      <c r="D462" s="173"/>
      <c r="E462" s="30"/>
      <c r="F462" s="173"/>
      <c r="G462" s="30"/>
      <c r="H462" s="173"/>
      <c r="I462" s="30"/>
      <c r="J462" s="173"/>
      <c r="K462" s="30"/>
    </row>
    <row r="463" spans="1:11" x14ac:dyDescent="0.3">
      <c r="A463" s="177"/>
      <c r="B463" s="199"/>
      <c r="C463" s="30"/>
      <c r="D463" s="173"/>
      <c r="E463" s="30"/>
      <c r="F463" s="173"/>
      <c r="G463" s="30"/>
      <c r="H463" s="173"/>
      <c r="I463" s="30"/>
      <c r="J463" s="173"/>
      <c r="K463" s="30"/>
    </row>
    <row r="464" spans="1:11" x14ac:dyDescent="0.3">
      <c r="A464" s="177"/>
      <c r="B464" s="199"/>
      <c r="C464" s="30"/>
      <c r="D464" s="173"/>
      <c r="E464" s="30"/>
      <c r="F464" s="173"/>
      <c r="G464" s="30"/>
      <c r="H464" s="173"/>
      <c r="I464" s="30"/>
      <c r="J464" s="173"/>
      <c r="K464" s="30"/>
    </row>
    <row r="465" spans="1:11" x14ac:dyDescent="0.3">
      <c r="A465" s="177"/>
      <c r="B465" s="199"/>
      <c r="C465" s="30"/>
      <c r="D465" s="173"/>
      <c r="E465" s="30"/>
      <c r="F465" s="173"/>
      <c r="G465" s="30"/>
      <c r="H465" s="173"/>
      <c r="I465" s="30"/>
      <c r="J465" s="173"/>
      <c r="K465" s="30"/>
    </row>
    <row r="466" spans="1:11" x14ac:dyDescent="0.3">
      <c r="A466" s="177"/>
      <c r="B466" s="199"/>
      <c r="C466" s="30"/>
      <c r="D466" s="173"/>
      <c r="E466" s="30"/>
      <c r="F466" s="173"/>
      <c r="G466" s="30"/>
      <c r="H466" s="173"/>
      <c r="I466" s="30"/>
      <c r="J466" s="173"/>
      <c r="K466" s="30"/>
    </row>
    <row r="467" spans="1:11" x14ac:dyDescent="0.3">
      <c r="A467" s="177"/>
      <c r="B467" s="199"/>
      <c r="C467" s="30"/>
      <c r="D467" s="173"/>
      <c r="E467" s="30"/>
      <c r="F467" s="173"/>
      <c r="G467" s="30"/>
      <c r="H467" s="173"/>
      <c r="I467" s="30"/>
      <c r="J467" s="173"/>
      <c r="K467" s="30"/>
    </row>
    <row r="468" spans="1:11" x14ac:dyDescent="0.3">
      <c r="A468" s="177"/>
      <c r="B468" s="199"/>
      <c r="C468" s="30"/>
      <c r="D468" s="173"/>
      <c r="E468" s="30"/>
      <c r="F468" s="173"/>
      <c r="G468" s="30"/>
      <c r="H468" s="173"/>
      <c r="I468" s="30"/>
      <c r="J468" s="173"/>
      <c r="K468" s="30"/>
    </row>
    <row r="469" spans="1:11" x14ac:dyDescent="0.3">
      <c r="A469" s="177"/>
      <c r="B469" s="199"/>
      <c r="C469" s="30"/>
      <c r="D469" s="173"/>
      <c r="E469" s="30"/>
      <c r="F469" s="173"/>
      <c r="G469" s="30"/>
      <c r="H469" s="173"/>
      <c r="I469" s="30"/>
      <c r="J469" s="173"/>
      <c r="K469" s="30"/>
    </row>
    <row r="470" spans="1:11" x14ac:dyDescent="0.3">
      <c r="A470" s="177"/>
      <c r="B470" s="199"/>
      <c r="C470" s="30"/>
      <c r="D470" s="173"/>
      <c r="E470" s="30"/>
      <c r="F470" s="173"/>
      <c r="G470" s="30"/>
      <c r="H470" s="173"/>
      <c r="I470" s="30"/>
      <c r="J470" s="173"/>
      <c r="K470" s="30"/>
    </row>
    <row r="471" spans="1:11" x14ac:dyDescent="0.3">
      <c r="A471" s="177"/>
      <c r="B471" s="199"/>
      <c r="C471" s="30"/>
      <c r="D471" s="173"/>
      <c r="E471" s="30"/>
      <c r="F471" s="173"/>
      <c r="G471" s="30"/>
      <c r="H471" s="173"/>
      <c r="I471" s="30"/>
      <c r="J471" s="173"/>
      <c r="K471" s="30"/>
    </row>
    <row r="472" spans="1:11" x14ac:dyDescent="0.3">
      <c r="A472" s="177"/>
      <c r="B472" s="199"/>
      <c r="C472" s="30"/>
      <c r="D472" s="173"/>
      <c r="E472" s="30"/>
      <c r="F472" s="173"/>
      <c r="G472" s="30"/>
      <c r="H472" s="173"/>
      <c r="I472" s="30"/>
      <c r="J472" s="173"/>
      <c r="K472" s="30"/>
    </row>
    <row r="473" spans="1:11" x14ac:dyDescent="0.3">
      <c r="A473" s="177"/>
      <c r="B473" s="199"/>
      <c r="C473" s="30"/>
      <c r="D473" s="173"/>
      <c r="E473" s="30"/>
      <c r="F473" s="173"/>
      <c r="G473" s="30"/>
      <c r="H473" s="173"/>
      <c r="I473" s="30"/>
      <c r="J473" s="173"/>
      <c r="K473" s="30"/>
    </row>
    <row r="474" spans="1:11" x14ac:dyDescent="0.3">
      <c r="A474" s="177"/>
      <c r="B474" s="199"/>
      <c r="C474" s="30"/>
      <c r="D474" s="173"/>
      <c r="E474" s="30"/>
      <c r="F474" s="173"/>
      <c r="G474" s="30"/>
      <c r="H474" s="173"/>
      <c r="I474" s="30"/>
      <c r="J474" s="173"/>
      <c r="K474" s="30"/>
    </row>
    <row r="475" spans="1:11" x14ac:dyDescent="0.3">
      <c r="A475" s="177"/>
      <c r="B475" s="199"/>
      <c r="C475" s="30"/>
      <c r="D475" s="173"/>
      <c r="E475" s="30"/>
      <c r="F475" s="173"/>
      <c r="G475" s="30"/>
      <c r="H475" s="173"/>
      <c r="I475" s="30"/>
      <c r="J475" s="173"/>
      <c r="K475" s="30"/>
    </row>
    <row r="476" spans="1:11" x14ac:dyDescent="0.3">
      <c r="A476" s="177"/>
      <c r="B476" s="199"/>
      <c r="C476" s="30"/>
      <c r="D476" s="173"/>
      <c r="E476" s="30"/>
      <c r="F476" s="173"/>
      <c r="G476" s="30"/>
      <c r="H476" s="173"/>
      <c r="I476" s="30"/>
      <c r="J476" s="173"/>
      <c r="K476" s="30"/>
    </row>
    <row r="477" spans="1:11" x14ac:dyDescent="0.3">
      <c r="A477" s="177"/>
      <c r="B477" s="199"/>
      <c r="C477" s="30"/>
      <c r="D477" s="173"/>
      <c r="E477" s="30"/>
      <c r="F477" s="173"/>
      <c r="G477" s="30"/>
      <c r="H477" s="173"/>
      <c r="I477" s="30"/>
      <c r="J477" s="173"/>
      <c r="K477" s="30"/>
    </row>
    <row r="478" spans="1:11" x14ac:dyDescent="0.3">
      <c r="A478" s="177"/>
      <c r="B478" s="199"/>
      <c r="C478" s="30"/>
      <c r="D478" s="173"/>
      <c r="E478" s="30"/>
      <c r="F478" s="173"/>
      <c r="G478" s="30"/>
      <c r="H478" s="173"/>
      <c r="I478" s="30"/>
      <c r="J478" s="173"/>
      <c r="K478" s="30"/>
    </row>
    <row r="479" spans="1:11" x14ac:dyDescent="0.3">
      <c r="A479" s="177"/>
      <c r="B479" s="199"/>
      <c r="C479" s="30"/>
      <c r="D479" s="173"/>
      <c r="E479" s="30"/>
      <c r="F479" s="173"/>
      <c r="G479" s="30"/>
      <c r="H479" s="173"/>
      <c r="I479" s="30"/>
      <c r="J479" s="173"/>
      <c r="K479" s="30"/>
    </row>
    <row r="480" spans="1:11" x14ac:dyDescent="0.3">
      <c r="A480" s="177"/>
      <c r="B480" s="199"/>
      <c r="C480" s="30"/>
      <c r="D480" s="173"/>
      <c r="E480" s="30"/>
      <c r="F480" s="173"/>
      <c r="G480" s="30"/>
      <c r="H480" s="173"/>
      <c r="I480" s="30"/>
      <c r="J480" s="173"/>
      <c r="K480" s="30"/>
    </row>
    <row r="481" spans="1:11" x14ac:dyDescent="0.3">
      <c r="A481" s="177"/>
      <c r="B481" s="199"/>
      <c r="C481" s="30"/>
      <c r="D481" s="173"/>
      <c r="E481" s="30"/>
      <c r="F481" s="173"/>
      <c r="G481" s="30"/>
      <c r="H481" s="173"/>
      <c r="I481" s="30"/>
      <c r="J481" s="173"/>
      <c r="K481" s="30"/>
    </row>
    <row r="482" spans="1:11" x14ac:dyDescent="0.3">
      <c r="A482" s="177"/>
      <c r="B482" s="199"/>
      <c r="C482" s="30"/>
      <c r="D482" s="173"/>
      <c r="E482" s="30"/>
      <c r="F482" s="173"/>
      <c r="G482" s="30"/>
      <c r="H482" s="173"/>
      <c r="I482" s="30"/>
      <c r="J482" s="173"/>
      <c r="K482" s="30"/>
    </row>
    <row r="483" spans="1:11" x14ac:dyDescent="0.3">
      <c r="A483" s="177"/>
      <c r="B483" s="199"/>
      <c r="C483" s="30"/>
      <c r="D483" s="173"/>
      <c r="E483" s="30"/>
      <c r="F483" s="173"/>
      <c r="G483" s="30"/>
      <c r="H483" s="173"/>
      <c r="I483" s="30"/>
      <c r="J483" s="173"/>
      <c r="K483" s="30"/>
    </row>
    <row r="484" spans="1:11" x14ac:dyDescent="0.3">
      <c r="A484" s="177"/>
      <c r="B484" s="199"/>
      <c r="C484" s="30"/>
      <c r="D484" s="173"/>
      <c r="E484" s="30"/>
      <c r="F484" s="173"/>
      <c r="G484" s="30"/>
      <c r="H484" s="173"/>
      <c r="I484" s="30"/>
      <c r="J484" s="173"/>
      <c r="K484" s="30"/>
    </row>
    <row r="485" spans="1:11" x14ac:dyDescent="0.3">
      <c r="A485" s="177"/>
      <c r="B485" s="199"/>
      <c r="C485" s="30"/>
      <c r="D485" s="173"/>
      <c r="E485" s="30"/>
      <c r="F485" s="173"/>
      <c r="G485" s="30"/>
      <c r="H485" s="173"/>
      <c r="I485" s="30"/>
      <c r="J485" s="173"/>
      <c r="K485" s="30"/>
    </row>
    <row r="486" spans="1:11" x14ac:dyDescent="0.3">
      <c r="A486" s="177"/>
      <c r="B486" s="199"/>
      <c r="C486" s="30"/>
      <c r="D486" s="173"/>
      <c r="E486" s="30"/>
      <c r="F486" s="173"/>
      <c r="G486" s="30"/>
      <c r="H486" s="173"/>
      <c r="I486" s="30"/>
      <c r="J486" s="173"/>
      <c r="K486" s="30"/>
    </row>
    <row r="487" spans="1:11" x14ac:dyDescent="0.3">
      <c r="A487" s="177"/>
      <c r="B487" s="199"/>
      <c r="C487" s="30"/>
      <c r="D487" s="173"/>
      <c r="E487" s="30"/>
      <c r="F487" s="173"/>
      <c r="G487" s="30"/>
      <c r="H487" s="173"/>
      <c r="I487" s="30"/>
      <c r="J487" s="173"/>
      <c r="K487" s="30"/>
    </row>
    <row r="488" spans="1:11" x14ac:dyDescent="0.3">
      <c r="A488" s="177"/>
      <c r="B488" s="199"/>
      <c r="C488" s="30"/>
      <c r="D488" s="173"/>
      <c r="E488" s="30"/>
      <c r="F488" s="173"/>
      <c r="G488" s="30"/>
      <c r="H488" s="173"/>
      <c r="I488" s="30"/>
      <c r="J488" s="173"/>
      <c r="K488" s="30"/>
    </row>
    <row r="489" spans="1:11" x14ac:dyDescent="0.3">
      <c r="A489" s="177"/>
      <c r="B489" s="199"/>
      <c r="C489" s="30"/>
      <c r="D489" s="173"/>
      <c r="E489" s="30"/>
      <c r="F489" s="173"/>
      <c r="G489" s="30"/>
      <c r="H489" s="173"/>
      <c r="I489" s="30"/>
      <c r="J489" s="173"/>
      <c r="K489" s="30"/>
    </row>
    <row r="490" spans="1:11" x14ac:dyDescent="0.3">
      <c r="A490" s="177"/>
      <c r="B490" s="199"/>
      <c r="C490" s="30"/>
      <c r="D490" s="173"/>
      <c r="E490" s="30"/>
      <c r="F490" s="173"/>
      <c r="G490" s="30"/>
      <c r="H490" s="173"/>
      <c r="I490" s="30"/>
      <c r="J490" s="173"/>
      <c r="K490" s="30"/>
    </row>
    <row r="491" spans="1:11" x14ac:dyDescent="0.3">
      <c r="A491" s="177"/>
      <c r="B491" s="199"/>
      <c r="C491" s="30"/>
      <c r="D491" s="173"/>
      <c r="E491" s="30"/>
      <c r="F491" s="173"/>
      <c r="G491" s="30"/>
      <c r="H491" s="173"/>
      <c r="I491" s="30"/>
      <c r="J491" s="173"/>
      <c r="K491" s="30"/>
    </row>
    <row r="492" spans="1:11" x14ac:dyDescent="0.3">
      <c r="A492" s="177"/>
      <c r="B492" s="199"/>
      <c r="C492" s="30"/>
      <c r="D492" s="173"/>
      <c r="E492" s="30"/>
      <c r="F492" s="173"/>
      <c r="G492" s="30"/>
      <c r="H492" s="173"/>
      <c r="I492" s="30"/>
      <c r="J492" s="173"/>
      <c r="K492" s="30"/>
    </row>
    <row r="493" spans="1:11" x14ac:dyDescent="0.3">
      <c r="A493" s="177"/>
      <c r="B493" s="199"/>
      <c r="C493" s="30"/>
      <c r="D493" s="173"/>
      <c r="E493" s="30"/>
      <c r="F493" s="173"/>
      <c r="G493" s="30"/>
      <c r="H493" s="173"/>
      <c r="I493" s="30"/>
      <c r="J493" s="173"/>
      <c r="K493" s="30"/>
    </row>
    <row r="494" spans="1:11" x14ac:dyDescent="0.3">
      <c r="A494" s="177"/>
      <c r="B494" s="199"/>
      <c r="C494" s="30"/>
      <c r="D494" s="173"/>
      <c r="E494" s="30"/>
      <c r="F494" s="173"/>
      <c r="G494" s="30"/>
      <c r="H494" s="173"/>
      <c r="I494" s="30"/>
      <c r="J494" s="173"/>
      <c r="K494" s="30"/>
    </row>
    <row r="495" spans="1:11" x14ac:dyDescent="0.3">
      <c r="A495" s="177"/>
      <c r="B495" s="199"/>
      <c r="C495" s="30"/>
      <c r="D495" s="173"/>
      <c r="E495" s="30"/>
      <c r="F495" s="173"/>
      <c r="G495" s="30"/>
      <c r="H495" s="173"/>
      <c r="I495" s="30"/>
      <c r="J495" s="173"/>
      <c r="K495" s="30"/>
    </row>
    <row r="496" spans="1:11" x14ac:dyDescent="0.3">
      <c r="A496" s="177"/>
      <c r="B496" s="199"/>
      <c r="C496" s="30"/>
      <c r="D496" s="173"/>
      <c r="E496" s="30"/>
      <c r="F496" s="173"/>
      <c r="G496" s="30"/>
      <c r="H496" s="173"/>
      <c r="I496" s="30"/>
      <c r="J496" s="173"/>
      <c r="K496" s="30"/>
    </row>
    <row r="497" spans="1:11" x14ac:dyDescent="0.3">
      <c r="A497" s="177"/>
      <c r="B497" s="199"/>
      <c r="C497" s="30"/>
      <c r="D497" s="173"/>
      <c r="E497" s="30"/>
      <c r="F497" s="173"/>
      <c r="G497" s="30"/>
      <c r="H497" s="173"/>
      <c r="I497" s="30"/>
      <c r="J497" s="173"/>
      <c r="K497" s="30"/>
    </row>
    <row r="498" spans="1:11" x14ac:dyDescent="0.3">
      <c r="A498" s="177"/>
      <c r="B498" s="199"/>
      <c r="C498" s="30"/>
      <c r="D498" s="173"/>
      <c r="E498" s="30"/>
      <c r="F498" s="173"/>
      <c r="G498" s="30"/>
      <c r="H498" s="173"/>
      <c r="I498" s="30"/>
      <c r="J498" s="173"/>
      <c r="K498" s="30"/>
    </row>
    <row r="499" spans="1:11" x14ac:dyDescent="0.3">
      <c r="A499" s="177"/>
      <c r="B499" s="199"/>
      <c r="C499" s="30"/>
      <c r="D499" s="173"/>
      <c r="E499" s="30"/>
      <c r="F499" s="173"/>
      <c r="G499" s="30"/>
      <c r="H499" s="173"/>
      <c r="I499" s="30"/>
      <c r="J499" s="173"/>
      <c r="K499" s="30"/>
    </row>
    <row r="500" spans="1:11" x14ac:dyDescent="0.3">
      <c r="A500" s="177"/>
      <c r="B500" s="199"/>
      <c r="C500" s="30"/>
      <c r="D500" s="173"/>
      <c r="E500" s="30"/>
      <c r="F500" s="173"/>
      <c r="G500" s="30"/>
      <c r="H500" s="173"/>
      <c r="I500" s="30"/>
      <c r="J500" s="173"/>
      <c r="K500" s="30"/>
    </row>
    <row r="501" spans="1:11" x14ac:dyDescent="0.3">
      <c r="A501" s="177"/>
      <c r="B501" s="199"/>
      <c r="C501" s="30"/>
      <c r="D501" s="173"/>
      <c r="E501" s="30"/>
      <c r="F501" s="173"/>
      <c r="G501" s="30"/>
      <c r="H501" s="173"/>
      <c r="I501" s="30"/>
      <c r="J501" s="173"/>
      <c r="K501" s="30"/>
    </row>
    <row r="502" spans="1:11" x14ac:dyDescent="0.3">
      <c r="A502" s="177"/>
      <c r="B502" s="199"/>
      <c r="C502" s="30"/>
      <c r="D502" s="173"/>
      <c r="E502" s="30"/>
      <c r="F502" s="173"/>
      <c r="G502" s="30"/>
      <c r="H502" s="173"/>
      <c r="I502" s="30"/>
      <c r="J502" s="173"/>
      <c r="K502" s="30"/>
    </row>
    <row r="503" spans="1:11" x14ac:dyDescent="0.3">
      <c r="A503" s="177"/>
      <c r="B503" s="199"/>
      <c r="C503" s="30"/>
      <c r="D503" s="173"/>
      <c r="E503" s="30"/>
      <c r="F503" s="173"/>
      <c r="G503" s="30"/>
      <c r="H503" s="173"/>
      <c r="I503" s="30"/>
      <c r="J503" s="173"/>
      <c r="K503" s="30"/>
    </row>
    <row r="504" spans="1:11" x14ac:dyDescent="0.3">
      <c r="A504" s="177"/>
      <c r="B504" s="199"/>
      <c r="C504" s="30"/>
      <c r="D504" s="173"/>
      <c r="E504" s="30"/>
      <c r="F504" s="173"/>
      <c r="G504" s="30"/>
      <c r="H504" s="173"/>
      <c r="I504" s="30"/>
      <c r="J504" s="173"/>
      <c r="K504" s="30"/>
    </row>
    <row r="505" spans="1:11" x14ac:dyDescent="0.3">
      <c r="A505" s="177"/>
      <c r="B505" s="199"/>
      <c r="C505" s="30"/>
      <c r="D505" s="173"/>
      <c r="E505" s="30"/>
      <c r="F505" s="173"/>
      <c r="G505" s="30"/>
      <c r="H505" s="173"/>
      <c r="I505" s="30"/>
      <c r="J505" s="173"/>
      <c r="K505" s="30"/>
    </row>
    <row r="506" spans="1:11" x14ac:dyDescent="0.3">
      <c r="A506" s="177"/>
      <c r="B506" s="199"/>
      <c r="C506" s="30"/>
      <c r="D506" s="173"/>
      <c r="E506" s="30"/>
      <c r="F506" s="173"/>
      <c r="G506" s="30"/>
      <c r="H506" s="173"/>
      <c r="I506" s="30"/>
      <c r="J506" s="173"/>
      <c r="K506" s="30"/>
    </row>
    <row r="507" spans="1:11" x14ac:dyDescent="0.3">
      <c r="A507" s="177"/>
      <c r="B507" s="199"/>
      <c r="C507" s="30"/>
      <c r="D507" s="173"/>
      <c r="E507" s="30"/>
      <c r="F507" s="173"/>
      <c r="G507" s="30"/>
      <c r="H507" s="173"/>
      <c r="I507" s="30"/>
      <c r="J507" s="173"/>
      <c r="K507" s="30"/>
    </row>
    <row r="508" spans="1:11" x14ac:dyDescent="0.3">
      <c r="A508" s="177"/>
      <c r="B508" s="199"/>
      <c r="C508" s="30"/>
      <c r="D508" s="173"/>
      <c r="E508" s="30"/>
      <c r="F508" s="173"/>
      <c r="G508" s="30"/>
      <c r="H508" s="173"/>
      <c r="I508" s="30"/>
      <c r="J508" s="173"/>
      <c r="K508" s="30"/>
    </row>
    <row r="509" spans="1:11" x14ac:dyDescent="0.3">
      <c r="A509" s="177"/>
      <c r="B509" s="199"/>
      <c r="C509" s="30"/>
      <c r="D509" s="173"/>
      <c r="E509" s="30"/>
      <c r="F509" s="173"/>
      <c r="G509" s="30"/>
      <c r="H509" s="173"/>
      <c r="I509" s="30"/>
      <c r="J509" s="173"/>
      <c r="K509" s="30"/>
    </row>
    <row r="510" spans="1:11" x14ac:dyDescent="0.3">
      <c r="A510" s="177"/>
      <c r="B510" s="199"/>
      <c r="C510" s="30"/>
      <c r="D510" s="173"/>
      <c r="E510" s="30"/>
      <c r="F510" s="173"/>
      <c r="G510" s="30"/>
      <c r="H510" s="173"/>
      <c r="I510" s="30"/>
      <c r="J510" s="173"/>
      <c r="K510" s="30"/>
    </row>
    <row r="511" spans="1:11" x14ac:dyDescent="0.3">
      <c r="A511" s="177"/>
      <c r="B511" s="199"/>
      <c r="C511" s="30"/>
      <c r="D511" s="173"/>
      <c r="E511" s="30"/>
      <c r="F511" s="173"/>
      <c r="G511" s="30"/>
      <c r="H511" s="173"/>
      <c r="I511" s="30"/>
      <c r="J511" s="173"/>
      <c r="K511" s="30"/>
    </row>
    <row r="512" spans="1:11" x14ac:dyDescent="0.3">
      <c r="A512" s="177"/>
      <c r="B512" s="199"/>
      <c r="C512" s="30"/>
      <c r="D512" s="173"/>
      <c r="E512" s="30"/>
      <c r="F512" s="173"/>
      <c r="G512" s="30"/>
      <c r="H512" s="173"/>
      <c r="I512" s="30"/>
      <c r="J512" s="173"/>
      <c r="K512" s="30"/>
    </row>
    <row r="513" spans="1:11" x14ac:dyDescent="0.3">
      <c r="A513" s="177"/>
      <c r="B513" s="199"/>
      <c r="C513" s="30"/>
      <c r="D513" s="173"/>
      <c r="E513" s="30"/>
      <c r="F513" s="173"/>
      <c r="G513" s="30"/>
      <c r="H513" s="173"/>
      <c r="I513" s="30"/>
      <c r="J513" s="173"/>
      <c r="K513" s="30"/>
    </row>
    <row r="514" spans="1:11" x14ac:dyDescent="0.3">
      <c r="A514" s="177"/>
      <c r="B514" s="199"/>
      <c r="C514" s="30"/>
      <c r="D514" s="173"/>
      <c r="E514" s="30"/>
      <c r="F514" s="173"/>
      <c r="G514" s="30"/>
      <c r="H514" s="173"/>
      <c r="I514" s="30"/>
      <c r="J514" s="173"/>
      <c r="K514" s="30"/>
    </row>
    <row r="515" spans="1:11" x14ac:dyDescent="0.3">
      <c r="A515" s="177"/>
      <c r="B515" s="199"/>
      <c r="C515" s="30"/>
      <c r="D515" s="173"/>
      <c r="E515" s="30"/>
      <c r="F515" s="173"/>
      <c r="G515" s="30"/>
      <c r="H515" s="173"/>
      <c r="I515" s="30"/>
      <c r="J515" s="173"/>
      <c r="K515" s="30"/>
    </row>
    <row r="516" spans="1:11" x14ac:dyDescent="0.3">
      <c r="A516" s="177"/>
      <c r="B516" s="199"/>
      <c r="C516" s="30"/>
      <c r="D516" s="173"/>
      <c r="E516" s="30"/>
      <c r="F516" s="173"/>
      <c r="G516" s="30"/>
      <c r="H516" s="173"/>
      <c r="I516" s="30"/>
      <c r="J516" s="173"/>
      <c r="K516" s="30"/>
    </row>
    <row r="517" spans="1:11" x14ac:dyDescent="0.3">
      <c r="A517" s="177"/>
      <c r="B517" s="199"/>
      <c r="C517" s="30"/>
      <c r="D517" s="173"/>
      <c r="E517" s="30"/>
      <c r="F517" s="173"/>
      <c r="G517" s="30"/>
      <c r="H517" s="173"/>
      <c r="I517" s="30"/>
      <c r="J517" s="173"/>
      <c r="K517" s="30"/>
    </row>
    <row r="518" spans="1:11" x14ac:dyDescent="0.3">
      <c r="A518" s="177"/>
      <c r="B518" s="199"/>
      <c r="C518" s="30"/>
      <c r="D518" s="173"/>
      <c r="E518" s="30"/>
      <c r="F518" s="173"/>
      <c r="G518" s="30"/>
      <c r="H518" s="173"/>
      <c r="I518" s="30"/>
      <c r="J518" s="173"/>
      <c r="K518" s="30"/>
    </row>
    <row r="519" spans="1:11" x14ac:dyDescent="0.3">
      <c r="A519" s="177"/>
      <c r="B519" s="199"/>
      <c r="C519" s="30"/>
      <c r="D519" s="173"/>
      <c r="E519" s="30"/>
      <c r="F519" s="173"/>
      <c r="G519" s="30"/>
      <c r="H519" s="173"/>
      <c r="I519" s="30"/>
      <c r="J519" s="173"/>
      <c r="K519" s="30"/>
    </row>
    <row r="520" spans="1:11" x14ac:dyDescent="0.3">
      <c r="A520" s="177"/>
      <c r="B520" s="199"/>
      <c r="C520" s="30"/>
      <c r="D520" s="173"/>
      <c r="E520" s="30"/>
      <c r="F520" s="173"/>
      <c r="G520" s="30"/>
      <c r="H520" s="173"/>
      <c r="I520" s="30"/>
      <c r="J520" s="173"/>
      <c r="K520" s="30"/>
    </row>
    <row r="521" spans="1:11" x14ac:dyDescent="0.3">
      <c r="A521" s="177"/>
      <c r="B521" s="199"/>
      <c r="C521" s="30"/>
      <c r="D521" s="173"/>
      <c r="E521" s="30"/>
      <c r="F521" s="173"/>
      <c r="G521" s="30"/>
      <c r="H521" s="173"/>
      <c r="I521" s="30"/>
      <c r="J521" s="173"/>
      <c r="K521" s="30"/>
    </row>
    <row r="522" spans="1:11" x14ac:dyDescent="0.3">
      <c r="A522" s="177"/>
      <c r="B522" s="199"/>
      <c r="C522" s="30"/>
      <c r="D522" s="173"/>
      <c r="E522" s="30"/>
      <c r="F522" s="173"/>
      <c r="G522" s="30"/>
      <c r="H522" s="173"/>
      <c r="I522" s="30"/>
      <c r="J522" s="173"/>
      <c r="K522" s="30"/>
    </row>
    <row r="523" spans="1:11" x14ac:dyDescent="0.3">
      <c r="A523" s="177"/>
      <c r="B523" s="199"/>
      <c r="C523" s="30"/>
      <c r="D523" s="173"/>
      <c r="E523" s="30"/>
      <c r="F523" s="173"/>
      <c r="G523" s="30"/>
      <c r="H523" s="173"/>
      <c r="I523" s="30"/>
      <c r="J523" s="173"/>
      <c r="K523" s="30"/>
    </row>
    <row r="524" spans="1:11" x14ac:dyDescent="0.3">
      <c r="A524" s="177"/>
      <c r="B524" s="199"/>
      <c r="C524" s="30"/>
      <c r="D524" s="173"/>
      <c r="E524" s="30"/>
      <c r="F524" s="173"/>
      <c r="G524" s="30"/>
      <c r="H524" s="173"/>
      <c r="I524" s="30"/>
      <c r="J524" s="173"/>
      <c r="K524" s="30"/>
    </row>
    <row r="525" spans="1:11" x14ac:dyDescent="0.3">
      <c r="A525" s="177"/>
      <c r="B525" s="199"/>
      <c r="C525" s="30"/>
      <c r="D525" s="173"/>
      <c r="E525" s="30"/>
      <c r="F525" s="173"/>
      <c r="G525" s="30"/>
      <c r="H525" s="173"/>
      <c r="I525" s="30"/>
      <c r="J525" s="173"/>
      <c r="K525" s="30"/>
    </row>
    <row r="526" spans="1:11" x14ac:dyDescent="0.3">
      <c r="A526" s="177"/>
      <c r="B526" s="199"/>
      <c r="C526" s="30"/>
      <c r="D526" s="173"/>
      <c r="E526" s="30"/>
      <c r="F526" s="173"/>
      <c r="G526" s="30"/>
      <c r="H526" s="173"/>
      <c r="I526" s="30"/>
      <c r="J526" s="173"/>
      <c r="K526" s="30"/>
    </row>
    <row r="527" spans="1:11" x14ac:dyDescent="0.3">
      <c r="A527" s="177"/>
      <c r="B527" s="199"/>
      <c r="C527" s="30"/>
      <c r="D527" s="173"/>
      <c r="E527" s="30"/>
      <c r="F527" s="173"/>
      <c r="G527" s="30"/>
      <c r="H527" s="173"/>
      <c r="I527" s="30"/>
      <c r="J527" s="173"/>
      <c r="K527" s="30"/>
    </row>
    <row r="528" spans="1:11" x14ac:dyDescent="0.3">
      <c r="A528" s="177"/>
      <c r="B528" s="199"/>
      <c r="C528" s="30"/>
      <c r="D528" s="173"/>
      <c r="E528" s="30"/>
      <c r="F528" s="173"/>
      <c r="G528" s="30"/>
      <c r="H528" s="173"/>
      <c r="I528" s="30"/>
      <c r="J528" s="173"/>
      <c r="K528" s="30"/>
    </row>
    <row r="529" spans="1:11" x14ac:dyDescent="0.3">
      <c r="A529" s="177"/>
      <c r="B529" s="199"/>
      <c r="C529" s="30"/>
      <c r="D529" s="173"/>
      <c r="E529" s="30"/>
      <c r="F529" s="173"/>
      <c r="G529" s="30"/>
      <c r="H529" s="173"/>
      <c r="I529" s="30"/>
      <c r="J529" s="173"/>
      <c r="K529" s="30"/>
    </row>
    <row r="530" spans="1:11" x14ac:dyDescent="0.3">
      <c r="A530" s="177"/>
      <c r="B530" s="199"/>
      <c r="C530" s="30"/>
      <c r="D530" s="173"/>
      <c r="E530" s="30"/>
      <c r="F530" s="173"/>
      <c r="G530" s="30"/>
      <c r="H530" s="173"/>
      <c r="I530" s="30"/>
      <c r="J530" s="173"/>
      <c r="K530" s="30"/>
    </row>
    <row r="531" spans="1:11" x14ac:dyDescent="0.3">
      <c r="A531" s="177"/>
      <c r="B531" s="199"/>
      <c r="C531" s="30"/>
      <c r="D531" s="173"/>
      <c r="E531" s="30"/>
      <c r="F531" s="173"/>
      <c r="G531" s="30"/>
      <c r="H531" s="173"/>
      <c r="I531" s="30"/>
      <c r="J531" s="173"/>
      <c r="K531" s="30"/>
    </row>
    <row r="532" spans="1:11" x14ac:dyDescent="0.3">
      <c r="A532" s="177"/>
      <c r="B532" s="199"/>
      <c r="C532" s="30"/>
      <c r="D532" s="173"/>
      <c r="E532" s="30"/>
      <c r="F532" s="173"/>
      <c r="G532" s="30"/>
      <c r="H532" s="173"/>
      <c r="I532" s="30"/>
      <c r="J532" s="173"/>
      <c r="K532" s="30"/>
    </row>
    <row r="533" spans="1:11" x14ac:dyDescent="0.3">
      <c r="A533" s="177"/>
      <c r="B533" s="199"/>
      <c r="C533" s="30"/>
      <c r="D533" s="173"/>
      <c r="E533" s="30"/>
      <c r="F533" s="173"/>
      <c r="G533" s="30"/>
      <c r="H533" s="173"/>
      <c r="I533" s="30"/>
      <c r="J533" s="173"/>
      <c r="K533" s="30"/>
    </row>
    <row r="534" spans="1:11" x14ac:dyDescent="0.3">
      <c r="A534" s="177"/>
      <c r="B534" s="199"/>
      <c r="C534" s="30"/>
      <c r="D534" s="173"/>
      <c r="E534" s="30"/>
      <c r="F534" s="173"/>
      <c r="G534" s="30"/>
      <c r="H534" s="173"/>
      <c r="I534" s="30"/>
      <c r="J534" s="173"/>
      <c r="K534" s="30"/>
    </row>
    <row r="535" spans="1:11" x14ac:dyDescent="0.3">
      <c r="A535" s="177"/>
      <c r="B535" s="199"/>
      <c r="C535" s="30"/>
      <c r="D535" s="173"/>
      <c r="E535" s="30"/>
      <c r="F535" s="173"/>
      <c r="G535" s="30"/>
      <c r="H535" s="173"/>
      <c r="I535" s="30"/>
      <c r="J535" s="173"/>
      <c r="K535" s="30"/>
    </row>
    <row r="536" spans="1:11" x14ac:dyDescent="0.3">
      <c r="A536" s="177"/>
      <c r="B536" s="199"/>
      <c r="C536" s="30"/>
      <c r="D536" s="173"/>
      <c r="E536" s="30"/>
      <c r="F536" s="173"/>
      <c r="G536" s="30"/>
      <c r="H536" s="173"/>
      <c r="I536" s="30"/>
      <c r="J536" s="173"/>
      <c r="K536" s="30"/>
    </row>
    <row r="537" spans="1:11" x14ac:dyDescent="0.3">
      <c r="A537" s="177"/>
      <c r="B537" s="199"/>
      <c r="C537" s="30"/>
      <c r="D537" s="173"/>
      <c r="E537" s="30"/>
      <c r="F537" s="173"/>
      <c r="G537" s="30"/>
      <c r="H537" s="173"/>
      <c r="I537" s="30"/>
      <c r="J537" s="173"/>
      <c r="K537" s="30"/>
    </row>
    <row r="538" spans="1:11" x14ac:dyDescent="0.3">
      <c r="A538" s="177"/>
      <c r="B538" s="199"/>
      <c r="C538" s="30"/>
      <c r="D538" s="173"/>
      <c r="E538" s="30"/>
      <c r="F538" s="173"/>
      <c r="G538" s="30"/>
      <c r="H538" s="173"/>
      <c r="I538" s="30"/>
      <c r="J538" s="173"/>
      <c r="K538" s="30"/>
    </row>
    <row r="539" spans="1:11" x14ac:dyDescent="0.3">
      <c r="A539" s="177"/>
      <c r="B539" s="199"/>
      <c r="C539" s="30"/>
      <c r="D539" s="173"/>
      <c r="E539" s="30"/>
      <c r="F539" s="173"/>
      <c r="G539" s="30"/>
      <c r="H539" s="173"/>
      <c r="I539" s="30"/>
      <c r="J539" s="173"/>
      <c r="K539" s="30"/>
    </row>
    <row r="540" spans="1:11" x14ac:dyDescent="0.3">
      <c r="A540" s="177"/>
      <c r="B540" s="199"/>
      <c r="C540" s="30"/>
      <c r="D540" s="173"/>
      <c r="E540" s="30"/>
      <c r="F540" s="173"/>
      <c r="G540" s="30"/>
      <c r="H540" s="173"/>
      <c r="I540" s="30"/>
      <c r="J540" s="173"/>
      <c r="K540" s="30"/>
    </row>
    <row r="541" spans="1:11" x14ac:dyDescent="0.3">
      <c r="A541" s="177"/>
      <c r="B541" s="199"/>
      <c r="C541" s="30"/>
      <c r="D541" s="173"/>
      <c r="E541" s="30"/>
      <c r="F541" s="173"/>
      <c r="G541" s="30"/>
      <c r="H541" s="173"/>
      <c r="I541" s="30"/>
      <c r="J541" s="173"/>
      <c r="K541" s="30"/>
    </row>
    <row r="542" spans="1:11" x14ac:dyDescent="0.3">
      <c r="A542" s="177"/>
      <c r="B542" s="199"/>
      <c r="C542" s="30"/>
      <c r="D542" s="173"/>
      <c r="E542" s="30"/>
      <c r="F542" s="173"/>
      <c r="G542" s="30"/>
      <c r="H542" s="173"/>
      <c r="I542" s="30"/>
      <c r="J542" s="173"/>
      <c r="K542" s="30"/>
    </row>
    <row r="543" spans="1:11" x14ac:dyDescent="0.3">
      <c r="A543" s="177"/>
      <c r="B543" s="199"/>
      <c r="C543" s="30"/>
      <c r="D543" s="173"/>
      <c r="E543" s="30"/>
      <c r="F543" s="173"/>
      <c r="G543" s="30"/>
      <c r="H543" s="173"/>
      <c r="I543" s="30"/>
      <c r="J543" s="173"/>
      <c r="K543" s="30"/>
    </row>
    <row r="544" spans="1:11" x14ac:dyDescent="0.3">
      <c r="A544" s="177"/>
      <c r="B544" s="199"/>
      <c r="C544" s="30"/>
      <c r="D544" s="173"/>
      <c r="E544" s="30"/>
      <c r="F544" s="173"/>
      <c r="G544" s="30"/>
      <c r="H544" s="173"/>
      <c r="I544" s="30"/>
      <c r="J544" s="173"/>
      <c r="K544" s="30"/>
    </row>
    <row r="545" spans="1:11" x14ac:dyDescent="0.3">
      <c r="A545" s="177"/>
      <c r="B545" s="199"/>
      <c r="C545" s="30"/>
      <c r="D545" s="173"/>
      <c r="E545" s="30"/>
      <c r="F545" s="173"/>
      <c r="G545" s="30"/>
      <c r="H545" s="173"/>
      <c r="I545" s="30"/>
      <c r="J545" s="173"/>
      <c r="K545" s="30"/>
    </row>
    <row r="546" spans="1:11" x14ac:dyDescent="0.3">
      <c r="A546" s="177"/>
      <c r="B546" s="199"/>
      <c r="C546" s="30"/>
      <c r="D546" s="173"/>
      <c r="E546" s="30"/>
      <c r="F546" s="173"/>
      <c r="G546" s="30"/>
      <c r="H546" s="173"/>
      <c r="I546" s="30"/>
      <c r="J546" s="173"/>
      <c r="K546" s="30"/>
    </row>
    <row r="547" spans="1:11" x14ac:dyDescent="0.3">
      <c r="A547" s="177"/>
      <c r="B547" s="199"/>
      <c r="C547" s="30"/>
      <c r="D547" s="173"/>
      <c r="E547" s="30"/>
      <c r="F547" s="173"/>
      <c r="G547" s="30"/>
      <c r="H547" s="173"/>
      <c r="I547" s="30"/>
      <c r="J547" s="173"/>
      <c r="K547" s="30"/>
    </row>
    <row r="548" spans="1:11" x14ac:dyDescent="0.3">
      <c r="A548" s="177"/>
      <c r="B548" s="199"/>
      <c r="C548" s="30"/>
      <c r="D548" s="173"/>
      <c r="E548" s="30"/>
      <c r="F548" s="173"/>
      <c r="G548" s="30"/>
      <c r="H548" s="173"/>
      <c r="I548" s="30"/>
      <c r="J548" s="173"/>
      <c r="K548" s="30"/>
    </row>
    <row r="549" spans="1:11" x14ac:dyDescent="0.3">
      <c r="A549" s="177"/>
      <c r="B549" s="199"/>
      <c r="C549" s="30"/>
      <c r="D549" s="173"/>
      <c r="E549" s="30"/>
      <c r="F549" s="173"/>
      <c r="G549" s="30"/>
      <c r="H549" s="173"/>
      <c r="I549" s="30"/>
      <c r="J549" s="173"/>
      <c r="K549" s="30"/>
    </row>
    <row r="550" spans="1:11" x14ac:dyDescent="0.3">
      <c r="A550" s="177"/>
      <c r="B550" s="199"/>
      <c r="C550" s="30"/>
      <c r="D550" s="173"/>
      <c r="E550" s="30"/>
      <c r="F550" s="173"/>
      <c r="G550" s="30"/>
      <c r="H550" s="173"/>
      <c r="I550" s="30"/>
      <c r="J550" s="173"/>
      <c r="K550" s="30"/>
    </row>
    <row r="551" spans="1:11" x14ac:dyDescent="0.3">
      <c r="A551" s="177"/>
      <c r="B551" s="199"/>
      <c r="C551" s="30"/>
      <c r="D551" s="173"/>
      <c r="E551" s="30"/>
      <c r="F551" s="173"/>
      <c r="G551" s="30"/>
      <c r="H551" s="173"/>
      <c r="I551" s="30"/>
      <c r="J551" s="173"/>
      <c r="K551" s="30"/>
    </row>
    <row r="552" spans="1:11" x14ac:dyDescent="0.3">
      <c r="A552" s="177"/>
      <c r="B552" s="199"/>
      <c r="C552" s="30"/>
      <c r="D552" s="173"/>
      <c r="E552" s="30"/>
      <c r="F552" s="173"/>
      <c r="G552" s="30"/>
      <c r="H552" s="173"/>
      <c r="I552" s="30"/>
      <c r="J552" s="173"/>
      <c r="K552" s="30"/>
    </row>
    <row r="553" spans="1:11" x14ac:dyDescent="0.3">
      <c r="A553" s="177"/>
      <c r="B553" s="199"/>
      <c r="C553" s="30"/>
      <c r="D553" s="173"/>
      <c r="E553" s="30"/>
      <c r="F553" s="173"/>
      <c r="G553" s="30"/>
      <c r="H553" s="173"/>
      <c r="I553" s="30"/>
      <c r="J553" s="173"/>
      <c r="K553" s="30"/>
    </row>
    <row r="554" spans="1:11" x14ac:dyDescent="0.3">
      <c r="A554" s="177"/>
      <c r="B554" s="199"/>
      <c r="C554" s="30"/>
      <c r="D554" s="173"/>
      <c r="E554" s="30"/>
      <c r="F554" s="173"/>
      <c r="G554" s="30"/>
      <c r="H554" s="173"/>
      <c r="I554" s="30"/>
      <c r="J554" s="173"/>
      <c r="K554" s="30"/>
    </row>
    <row r="555" spans="1:11" x14ac:dyDescent="0.3">
      <c r="A555" s="177"/>
      <c r="B555" s="199"/>
      <c r="C555" s="30"/>
      <c r="D555" s="173"/>
      <c r="E555" s="30"/>
      <c r="F555" s="173"/>
      <c r="G555" s="30"/>
      <c r="H555" s="173"/>
      <c r="I555" s="30"/>
      <c r="J555" s="173"/>
      <c r="K555" s="30"/>
    </row>
    <row r="556" spans="1:11" x14ac:dyDescent="0.3">
      <c r="A556" s="177"/>
      <c r="B556" s="199"/>
      <c r="C556" s="30"/>
      <c r="D556" s="173"/>
      <c r="E556" s="30"/>
      <c r="F556" s="173"/>
      <c r="G556" s="30"/>
      <c r="H556" s="173"/>
      <c r="I556" s="30"/>
      <c r="J556" s="173"/>
      <c r="K556" s="30"/>
    </row>
    <row r="557" spans="1:11" x14ac:dyDescent="0.3">
      <c r="A557" s="177"/>
      <c r="B557" s="199"/>
      <c r="C557" s="30"/>
      <c r="D557" s="173"/>
      <c r="E557" s="30"/>
      <c r="F557" s="173"/>
      <c r="G557" s="30"/>
      <c r="H557" s="173"/>
      <c r="I557" s="30"/>
      <c r="J557" s="173"/>
      <c r="K557" s="30"/>
    </row>
    <row r="558" spans="1:11" x14ac:dyDescent="0.3">
      <c r="A558" s="177"/>
      <c r="B558" s="199"/>
      <c r="C558" s="30"/>
      <c r="D558" s="173"/>
      <c r="E558" s="30"/>
      <c r="F558" s="173"/>
      <c r="G558" s="30"/>
      <c r="H558" s="173"/>
      <c r="I558" s="30"/>
      <c r="J558" s="173"/>
      <c r="K558" s="30"/>
    </row>
    <row r="559" spans="1:11" x14ac:dyDescent="0.3">
      <c r="A559" s="177"/>
      <c r="B559" s="199"/>
      <c r="C559" s="30"/>
      <c r="D559" s="173"/>
      <c r="E559" s="30"/>
      <c r="F559" s="173"/>
      <c r="G559" s="30"/>
      <c r="H559" s="173"/>
      <c r="I559" s="30"/>
      <c r="J559" s="173"/>
      <c r="K559" s="30"/>
    </row>
    <row r="560" spans="1:11" x14ac:dyDescent="0.3">
      <c r="A560" s="177"/>
      <c r="B560" s="199"/>
      <c r="C560" s="30"/>
      <c r="D560" s="173"/>
      <c r="E560" s="30"/>
      <c r="F560" s="173"/>
      <c r="G560" s="30"/>
      <c r="H560" s="173"/>
      <c r="I560" s="30"/>
      <c r="J560" s="173"/>
      <c r="K560" s="30"/>
    </row>
    <row r="561" spans="1:11" x14ac:dyDescent="0.3">
      <c r="A561" s="177"/>
      <c r="B561" s="199"/>
      <c r="C561" s="30"/>
      <c r="D561" s="173"/>
      <c r="E561" s="30"/>
      <c r="F561" s="173"/>
      <c r="G561" s="30"/>
      <c r="H561" s="173"/>
      <c r="I561" s="30"/>
      <c r="J561" s="173"/>
      <c r="K561" s="30"/>
    </row>
    <row r="562" spans="1:11" x14ac:dyDescent="0.3">
      <c r="A562" s="177"/>
      <c r="B562" s="199"/>
      <c r="C562" s="30"/>
      <c r="D562" s="173"/>
      <c r="E562" s="30"/>
      <c r="F562" s="173"/>
      <c r="G562" s="30"/>
      <c r="H562" s="173"/>
      <c r="I562" s="30"/>
      <c r="J562" s="173"/>
      <c r="K562" s="30"/>
    </row>
    <row r="563" spans="1:11" x14ac:dyDescent="0.3">
      <c r="A563" s="177"/>
      <c r="B563" s="199"/>
      <c r="C563" s="30"/>
      <c r="D563" s="173"/>
      <c r="E563" s="30"/>
      <c r="F563" s="173"/>
      <c r="G563" s="30"/>
      <c r="H563" s="173"/>
      <c r="I563" s="30"/>
      <c r="J563" s="173"/>
      <c r="K563" s="30"/>
    </row>
    <row r="564" spans="1:11" x14ac:dyDescent="0.3">
      <c r="A564" s="177"/>
      <c r="B564" s="199"/>
      <c r="C564" s="30"/>
      <c r="D564" s="173"/>
      <c r="E564" s="30"/>
      <c r="F564" s="173"/>
      <c r="G564" s="30"/>
      <c r="H564" s="173"/>
      <c r="I564" s="30"/>
      <c r="J564" s="173"/>
      <c r="K564" s="30"/>
    </row>
    <row r="565" spans="1:11" x14ac:dyDescent="0.3">
      <c r="A565" s="177"/>
      <c r="B565" s="199"/>
      <c r="C565" s="30"/>
      <c r="D565" s="173"/>
      <c r="E565" s="30"/>
      <c r="F565" s="173"/>
      <c r="G565" s="30"/>
      <c r="H565" s="173"/>
      <c r="I565" s="30"/>
      <c r="J565" s="173"/>
      <c r="K565" s="30"/>
    </row>
    <row r="566" spans="1:11" x14ac:dyDescent="0.3">
      <c r="A566" s="177"/>
      <c r="B566" s="199"/>
      <c r="C566" s="30"/>
      <c r="D566" s="173"/>
      <c r="E566" s="30"/>
      <c r="F566" s="173"/>
      <c r="G566" s="30"/>
      <c r="H566" s="173"/>
      <c r="I566" s="30"/>
      <c r="J566" s="173"/>
      <c r="K566" s="30"/>
    </row>
    <row r="567" spans="1:11" x14ac:dyDescent="0.3">
      <c r="A567" s="177"/>
      <c r="B567" s="199"/>
      <c r="C567" s="30"/>
      <c r="D567" s="173"/>
      <c r="E567" s="30"/>
      <c r="F567" s="173"/>
      <c r="G567" s="30"/>
      <c r="H567" s="173"/>
      <c r="I567" s="30"/>
      <c r="J567" s="173"/>
      <c r="K567" s="30"/>
    </row>
    <row r="568" spans="1:11" x14ac:dyDescent="0.3">
      <c r="A568" s="177"/>
      <c r="B568" s="199"/>
      <c r="C568" s="30"/>
      <c r="D568" s="173"/>
      <c r="E568" s="30"/>
      <c r="F568" s="173"/>
      <c r="G568" s="30"/>
      <c r="H568" s="173"/>
      <c r="I568" s="30"/>
      <c r="J568" s="173"/>
      <c r="K568" s="30"/>
    </row>
    <row r="569" spans="1:11" x14ac:dyDescent="0.3">
      <c r="A569" s="177"/>
      <c r="B569" s="199"/>
      <c r="C569" s="30"/>
      <c r="D569" s="173"/>
      <c r="E569" s="30"/>
      <c r="F569" s="173"/>
      <c r="G569" s="30"/>
      <c r="H569" s="173"/>
      <c r="I569" s="30"/>
      <c r="J569" s="173"/>
      <c r="K569" s="30"/>
    </row>
    <row r="570" spans="1:11" x14ac:dyDescent="0.3">
      <c r="A570" s="177"/>
      <c r="B570" s="199"/>
      <c r="C570" s="30"/>
      <c r="D570" s="173"/>
      <c r="E570" s="30"/>
      <c r="F570" s="173"/>
      <c r="G570" s="30"/>
      <c r="H570" s="173"/>
      <c r="I570" s="30"/>
      <c r="J570" s="173"/>
      <c r="K570" s="30"/>
    </row>
    <row r="571" spans="1:11" x14ac:dyDescent="0.3">
      <c r="A571" s="177"/>
      <c r="B571" s="199"/>
      <c r="C571" s="30"/>
      <c r="D571" s="173"/>
      <c r="E571" s="30"/>
      <c r="F571" s="173"/>
      <c r="G571" s="30"/>
      <c r="H571" s="173"/>
      <c r="I571" s="30"/>
      <c r="J571" s="173"/>
      <c r="K571" s="30"/>
    </row>
    <row r="572" spans="1:11" x14ac:dyDescent="0.3">
      <c r="A572" s="177"/>
      <c r="B572" s="199"/>
      <c r="C572" s="30"/>
      <c r="D572" s="173"/>
      <c r="E572" s="30"/>
      <c r="F572" s="173"/>
      <c r="G572" s="30"/>
      <c r="H572" s="173"/>
      <c r="I572" s="30"/>
      <c r="J572" s="173"/>
      <c r="K572" s="30"/>
    </row>
    <row r="573" spans="1:11" x14ac:dyDescent="0.3">
      <c r="A573" s="177"/>
      <c r="B573" s="199"/>
      <c r="C573" s="30"/>
      <c r="D573" s="173"/>
      <c r="E573" s="30"/>
      <c r="F573" s="173"/>
      <c r="G573" s="30"/>
      <c r="H573" s="173"/>
      <c r="I573" s="30"/>
      <c r="J573" s="173"/>
      <c r="K573" s="30"/>
    </row>
    <row r="574" spans="1:11" x14ac:dyDescent="0.3">
      <c r="A574" s="177"/>
      <c r="B574" s="199"/>
      <c r="C574" s="30"/>
      <c r="D574" s="173"/>
      <c r="E574" s="30"/>
      <c r="F574" s="173"/>
      <c r="G574" s="30"/>
      <c r="H574" s="173"/>
      <c r="I574" s="30"/>
      <c r="J574" s="173"/>
      <c r="K574" s="30"/>
    </row>
    <row r="575" spans="1:11" x14ac:dyDescent="0.3">
      <c r="A575" s="177"/>
      <c r="B575" s="199"/>
      <c r="C575" s="30"/>
      <c r="D575" s="173"/>
      <c r="E575" s="30"/>
      <c r="F575" s="173"/>
      <c r="G575" s="30"/>
      <c r="H575" s="173"/>
      <c r="I575" s="30"/>
      <c r="J575" s="173"/>
      <c r="K575" s="30"/>
    </row>
    <row r="576" spans="1:11" x14ac:dyDescent="0.3">
      <c r="A576" s="177"/>
      <c r="B576" s="199"/>
      <c r="C576" s="30"/>
      <c r="D576" s="173"/>
      <c r="E576" s="30"/>
      <c r="F576" s="173"/>
      <c r="G576" s="30"/>
      <c r="H576" s="173"/>
      <c r="I576" s="30"/>
      <c r="J576" s="173"/>
      <c r="K576" s="30"/>
    </row>
    <row r="577" spans="1:11" x14ac:dyDescent="0.3">
      <c r="A577" s="177"/>
      <c r="B577" s="199"/>
      <c r="C577" s="30"/>
      <c r="D577" s="173"/>
      <c r="E577" s="30"/>
      <c r="F577" s="173"/>
      <c r="G577" s="30"/>
      <c r="H577" s="173"/>
      <c r="I577" s="30"/>
      <c r="J577" s="173"/>
      <c r="K577" s="30"/>
    </row>
    <row r="578" spans="1:11" x14ac:dyDescent="0.3">
      <c r="A578" s="177"/>
      <c r="B578" s="199"/>
      <c r="C578" s="30"/>
      <c r="D578" s="173"/>
      <c r="E578" s="30"/>
      <c r="F578" s="173"/>
      <c r="G578" s="30"/>
      <c r="H578" s="173"/>
      <c r="I578" s="30"/>
      <c r="J578" s="173"/>
      <c r="K578" s="30"/>
    </row>
    <row r="579" spans="1:11" x14ac:dyDescent="0.3">
      <c r="A579" s="177"/>
      <c r="B579" s="199"/>
      <c r="C579" s="30"/>
      <c r="D579" s="173"/>
      <c r="E579" s="30"/>
      <c r="F579" s="173"/>
      <c r="G579" s="30"/>
      <c r="H579" s="173"/>
      <c r="I579" s="30"/>
      <c r="J579" s="173"/>
      <c r="K579" s="30"/>
    </row>
    <row r="580" spans="1:11" x14ac:dyDescent="0.3">
      <c r="A580" s="177"/>
      <c r="B580" s="199"/>
      <c r="C580" s="30"/>
      <c r="D580" s="173"/>
      <c r="E580" s="30"/>
      <c r="F580" s="173"/>
      <c r="G580" s="30"/>
      <c r="H580" s="173"/>
      <c r="I580" s="30"/>
      <c r="J580" s="173"/>
      <c r="K580" s="30"/>
    </row>
    <row r="581" spans="1:11" x14ac:dyDescent="0.3">
      <c r="A581" s="177"/>
      <c r="B581" s="199"/>
      <c r="C581" s="30"/>
      <c r="D581" s="173"/>
      <c r="E581" s="30"/>
      <c r="F581" s="173"/>
      <c r="G581" s="30"/>
      <c r="H581" s="173"/>
      <c r="I581" s="30"/>
      <c r="J581" s="173"/>
      <c r="K581" s="30"/>
    </row>
    <row r="582" spans="1:11" x14ac:dyDescent="0.3">
      <c r="A582" s="177"/>
      <c r="B582" s="199"/>
      <c r="C582" s="30"/>
      <c r="D582" s="173"/>
      <c r="E582" s="30"/>
      <c r="F582" s="173"/>
      <c r="G582" s="30"/>
      <c r="H582" s="173"/>
      <c r="I582" s="30"/>
      <c r="J582" s="173"/>
      <c r="K582" s="30"/>
    </row>
    <row r="583" spans="1:11" x14ac:dyDescent="0.3">
      <c r="A583" s="177"/>
      <c r="B583" s="199"/>
      <c r="C583" s="30"/>
      <c r="D583" s="173"/>
      <c r="E583" s="30"/>
      <c r="F583" s="173"/>
      <c r="G583" s="30"/>
      <c r="H583" s="173"/>
      <c r="I583" s="30"/>
      <c r="J583" s="173"/>
      <c r="K583" s="30"/>
    </row>
    <row r="584" spans="1:11" x14ac:dyDescent="0.3">
      <c r="A584" s="177"/>
      <c r="B584" s="199"/>
      <c r="C584" s="30"/>
      <c r="D584" s="173"/>
      <c r="E584" s="30"/>
      <c r="F584" s="173"/>
      <c r="G584" s="30"/>
      <c r="H584" s="173"/>
      <c r="I584" s="30"/>
      <c r="J584" s="173"/>
      <c r="K584" s="30"/>
    </row>
    <row r="585" spans="1:11" x14ac:dyDescent="0.3">
      <c r="A585" s="177"/>
      <c r="B585" s="199"/>
      <c r="C585" s="30"/>
      <c r="D585" s="173"/>
      <c r="E585" s="30"/>
      <c r="F585" s="173"/>
      <c r="G585" s="30"/>
      <c r="H585" s="173"/>
      <c r="I585" s="30"/>
      <c r="J585" s="173"/>
      <c r="K585" s="30"/>
    </row>
    <row r="586" spans="1:11" x14ac:dyDescent="0.3">
      <c r="A586" s="177"/>
      <c r="B586" s="199"/>
      <c r="C586" s="30"/>
      <c r="D586" s="173"/>
      <c r="E586" s="30"/>
      <c r="F586" s="173"/>
      <c r="G586" s="30"/>
      <c r="H586" s="173"/>
      <c r="I586" s="30"/>
      <c r="J586" s="173"/>
      <c r="K586" s="30"/>
    </row>
    <row r="587" spans="1:11" x14ac:dyDescent="0.3">
      <c r="A587" s="177"/>
      <c r="B587" s="199"/>
      <c r="C587" s="30"/>
      <c r="D587" s="173"/>
      <c r="E587" s="30"/>
      <c r="F587" s="173"/>
      <c r="G587" s="30"/>
      <c r="H587" s="173"/>
      <c r="I587" s="30"/>
      <c r="J587" s="173"/>
      <c r="K587" s="30"/>
    </row>
    <row r="588" spans="1:11" x14ac:dyDescent="0.3">
      <c r="A588" s="177"/>
      <c r="B588" s="199"/>
      <c r="C588" s="30"/>
      <c r="D588" s="173"/>
      <c r="E588" s="30"/>
      <c r="F588" s="173"/>
      <c r="G588" s="30"/>
      <c r="H588" s="173"/>
      <c r="I588" s="30"/>
      <c r="J588" s="173"/>
      <c r="K588" s="30"/>
    </row>
    <row r="589" spans="1:11" x14ac:dyDescent="0.3">
      <c r="A589" s="177"/>
      <c r="B589" s="199"/>
      <c r="C589" s="30"/>
      <c r="D589" s="173"/>
      <c r="E589" s="30"/>
      <c r="F589" s="173"/>
      <c r="G589" s="30"/>
      <c r="H589" s="173"/>
      <c r="I589" s="30"/>
      <c r="J589" s="173"/>
      <c r="K589" s="30"/>
    </row>
    <row r="590" spans="1:11" x14ac:dyDescent="0.3">
      <c r="A590" s="177"/>
      <c r="B590" s="199"/>
      <c r="C590" s="30"/>
      <c r="D590" s="173"/>
      <c r="E590" s="30"/>
      <c r="F590" s="173"/>
      <c r="G590" s="30"/>
      <c r="H590" s="173"/>
      <c r="I590" s="30"/>
      <c r="J590" s="173"/>
      <c r="K590" s="30"/>
    </row>
    <row r="591" spans="1:11" x14ac:dyDescent="0.3">
      <c r="A591" s="177"/>
      <c r="B591" s="199"/>
      <c r="C591" s="30"/>
      <c r="D591" s="173"/>
      <c r="E591" s="30"/>
      <c r="F591" s="173"/>
      <c r="G591" s="30"/>
      <c r="H591" s="173"/>
      <c r="I591" s="30"/>
      <c r="J591" s="173"/>
      <c r="K591" s="30"/>
    </row>
    <row r="592" spans="1:11" x14ac:dyDescent="0.3">
      <c r="A592" s="177"/>
      <c r="B592" s="199"/>
      <c r="C592" s="30"/>
      <c r="D592" s="173"/>
      <c r="E592" s="30"/>
      <c r="F592" s="173"/>
      <c r="G592" s="30"/>
      <c r="H592" s="173"/>
      <c r="I592" s="30"/>
      <c r="J592" s="173"/>
      <c r="K592" s="30"/>
    </row>
    <row r="593" spans="1:11" x14ac:dyDescent="0.3">
      <c r="A593" s="177"/>
      <c r="B593" s="199"/>
      <c r="C593" s="30"/>
      <c r="D593" s="173"/>
      <c r="E593" s="30"/>
      <c r="F593" s="173"/>
      <c r="G593" s="30"/>
      <c r="H593" s="173"/>
      <c r="I593" s="30"/>
      <c r="J593" s="173"/>
      <c r="K593" s="30"/>
    </row>
    <row r="594" spans="1:11" x14ac:dyDescent="0.3">
      <c r="A594" s="177"/>
      <c r="B594" s="199"/>
      <c r="C594" s="30"/>
      <c r="D594" s="173"/>
      <c r="E594" s="30"/>
      <c r="F594" s="173"/>
      <c r="G594" s="30"/>
      <c r="H594" s="173"/>
      <c r="I594" s="30"/>
      <c r="J594" s="173"/>
      <c r="K594" s="30"/>
    </row>
    <row r="595" spans="1:11" x14ac:dyDescent="0.3">
      <c r="A595" s="177"/>
      <c r="B595" s="199"/>
      <c r="C595" s="30"/>
      <c r="D595" s="173"/>
      <c r="E595" s="30"/>
      <c r="F595" s="173"/>
      <c r="G595" s="30"/>
      <c r="H595" s="173"/>
      <c r="I595" s="30"/>
      <c r="J595" s="173"/>
      <c r="K595" s="30"/>
    </row>
    <row r="596" spans="1:11" x14ac:dyDescent="0.3">
      <c r="A596" s="177"/>
      <c r="B596" s="199"/>
      <c r="C596" s="30"/>
      <c r="D596" s="173"/>
      <c r="E596" s="30"/>
      <c r="F596" s="173"/>
      <c r="G596" s="30"/>
      <c r="H596" s="173"/>
      <c r="I596" s="30"/>
      <c r="J596" s="173"/>
      <c r="K596" s="30"/>
    </row>
    <row r="597" spans="1:11" x14ac:dyDescent="0.3">
      <c r="A597" s="177"/>
      <c r="B597" s="199"/>
      <c r="C597" s="30"/>
      <c r="D597" s="173"/>
      <c r="E597" s="30"/>
      <c r="F597" s="173"/>
      <c r="G597" s="30"/>
      <c r="H597" s="173"/>
      <c r="I597" s="30"/>
      <c r="J597" s="173"/>
      <c r="K597" s="30"/>
    </row>
    <row r="598" spans="1:11" x14ac:dyDescent="0.3">
      <c r="A598" s="177"/>
      <c r="B598" s="199"/>
      <c r="C598" s="30"/>
      <c r="D598" s="173"/>
      <c r="E598" s="30"/>
      <c r="F598" s="173"/>
      <c r="G598" s="30"/>
      <c r="H598" s="173"/>
      <c r="I598" s="30"/>
      <c r="J598" s="173"/>
      <c r="K598" s="30"/>
    </row>
    <row r="599" spans="1:11" x14ac:dyDescent="0.3">
      <c r="A599" s="177"/>
      <c r="B599" s="199"/>
      <c r="C599" s="30"/>
      <c r="D599" s="173"/>
      <c r="E599" s="30"/>
      <c r="F599" s="173"/>
      <c r="G599" s="30"/>
      <c r="H599" s="173"/>
      <c r="I599" s="30"/>
      <c r="J599" s="173"/>
      <c r="K599" s="30"/>
    </row>
    <row r="600" spans="1:11" x14ac:dyDescent="0.3">
      <c r="A600" s="177"/>
      <c r="B600" s="199"/>
      <c r="C600" s="30"/>
      <c r="D600" s="173"/>
      <c r="E600" s="30"/>
      <c r="F600" s="173"/>
      <c r="G600" s="30"/>
      <c r="H600" s="173"/>
      <c r="I600" s="30"/>
      <c r="J600" s="173"/>
      <c r="K600" s="30"/>
    </row>
    <row r="601" spans="1:11" x14ac:dyDescent="0.3">
      <c r="A601" s="177"/>
      <c r="B601" s="199"/>
      <c r="C601" s="30"/>
      <c r="D601" s="173"/>
      <c r="E601" s="30"/>
      <c r="F601" s="173"/>
      <c r="G601" s="30"/>
      <c r="H601" s="173"/>
      <c r="I601" s="30"/>
      <c r="J601" s="173"/>
      <c r="K601" s="30"/>
    </row>
    <row r="602" spans="1:11" x14ac:dyDescent="0.3">
      <c r="A602" s="177"/>
      <c r="B602" s="199"/>
      <c r="C602" s="30"/>
      <c r="D602" s="173"/>
      <c r="E602" s="30"/>
      <c r="F602" s="173"/>
      <c r="G602" s="30"/>
      <c r="H602" s="173"/>
      <c r="I602" s="30"/>
      <c r="J602" s="173"/>
      <c r="K602" s="30"/>
    </row>
    <row r="603" spans="1:11" x14ac:dyDescent="0.3">
      <c r="A603" s="177"/>
      <c r="B603" s="199"/>
      <c r="C603" s="30"/>
      <c r="D603" s="173"/>
      <c r="E603" s="30"/>
      <c r="F603" s="173"/>
      <c r="G603" s="30"/>
      <c r="H603" s="173"/>
      <c r="I603" s="30"/>
      <c r="J603" s="173"/>
      <c r="K603" s="30"/>
    </row>
    <row r="604" spans="1:11" x14ac:dyDescent="0.3">
      <c r="A604" s="177"/>
      <c r="B604" s="199"/>
      <c r="C604" s="30"/>
      <c r="D604" s="173"/>
      <c r="E604" s="30"/>
      <c r="F604" s="173"/>
      <c r="G604" s="30"/>
      <c r="H604" s="173"/>
      <c r="I604" s="30"/>
      <c r="J604" s="173"/>
      <c r="K604" s="30"/>
    </row>
    <row r="605" spans="1:11" x14ac:dyDescent="0.3">
      <c r="A605" s="177"/>
      <c r="B605" s="199"/>
      <c r="C605" s="30"/>
      <c r="D605" s="173"/>
      <c r="E605" s="30"/>
      <c r="F605" s="173"/>
      <c r="G605" s="30"/>
      <c r="H605" s="173"/>
      <c r="I605" s="30"/>
      <c r="J605" s="173"/>
      <c r="K605" s="30"/>
    </row>
    <row r="606" spans="1:11" x14ac:dyDescent="0.3">
      <c r="A606" s="177"/>
      <c r="B606" s="199"/>
      <c r="C606" s="30"/>
      <c r="D606" s="173"/>
      <c r="E606" s="30"/>
      <c r="F606" s="173"/>
      <c r="G606" s="30"/>
      <c r="H606" s="173"/>
      <c r="I606" s="30"/>
      <c r="J606" s="173"/>
      <c r="K606" s="30"/>
    </row>
    <row r="607" spans="1:11" x14ac:dyDescent="0.3">
      <c r="A607" s="177"/>
      <c r="B607" s="199"/>
      <c r="C607" s="30"/>
      <c r="D607" s="173"/>
      <c r="E607" s="30"/>
      <c r="F607" s="173"/>
      <c r="G607" s="30"/>
      <c r="H607" s="173"/>
      <c r="I607" s="30"/>
      <c r="J607" s="173"/>
      <c r="K607" s="30"/>
    </row>
    <row r="608" spans="1:11" x14ac:dyDescent="0.3">
      <c r="A608" s="177"/>
      <c r="B608" s="199"/>
      <c r="C608" s="30"/>
      <c r="D608" s="173"/>
      <c r="E608" s="30"/>
      <c r="F608" s="173"/>
      <c r="G608" s="30"/>
      <c r="H608" s="173"/>
      <c r="I608" s="30"/>
      <c r="J608" s="173"/>
      <c r="K608" s="30"/>
    </row>
    <row r="609" spans="1:11" x14ac:dyDescent="0.3">
      <c r="A609" s="177"/>
      <c r="B609" s="199"/>
      <c r="C609" s="30"/>
      <c r="D609" s="173"/>
      <c r="E609" s="30"/>
      <c r="F609" s="173"/>
      <c r="G609" s="30"/>
      <c r="H609" s="173"/>
      <c r="I609" s="30"/>
      <c r="J609" s="173"/>
      <c r="K609" s="30"/>
    </row>
    <row r="610" spans="1:11" x14ac:dyDescent="0.3">
      <c r="A610" s="177"/>
      <c r="B610" s="199"/>
      <c r="C610" s="30"/>
      <c r="D610" s="173"/>
      <c r="E610" s="30"/>
      <c r="F610" s="173"/>
      <c r="G610" s="30"/>
      <c r="H610" s="173"/>
      <c r="I610" s="30"/>
      <c r="J610" s="173"/>
      <c r="K610" s="30"/>
    </row>
    <row r="611" spans="1:11" x14ac:dyDescent="0.3">
      <c r="A611" s="177"/>
      <c r="B611" s="199"/>
      <c r="C611" s="30"/>
      <c r="D611" s="173"/>
      <c r="E611" s="30"/>
      <c r="F611" s="173"/>
      <c r="G611" s="30"/>
      <c r="H611" s="173"/>
      <c r="I611" s="30"/>
      <c r="J611" s="173"/>
      <c r="K611" s="30"/>
    </row>
    <row r="612" spans="1:11" x14ac:dyDescent="0.3">
      <c r="A612" s="177"/>
      <c r="B612" s="199"/>
      <c r="C612" s="30"/>
      <c r="D612" s="173"/>
      <c r="E612" s="30"/>
      <c r="F612" s="173"/>
      <c r="G612" s="30"/>
      <c r="H612" s="173"/>
      <c r="I612" s="30"/>
      <c r="J612" s="173"/>
      <c r="K612" s="30"/>
    </row>
    <row r="613" spans="1:11" x14ac:dyDescent="0.3">
      <c r="A613" s="177"/>
      <c r="B613" s="199"/>
      <c r="C613" s="30"/>
      <c r="D613" s="173"/>
      <c r="E613" s="30"/>
      <c r="F613" s="173"/>
      <c r="G613" s="30"/>
      <c r="H613" s="173"/>
      <c r="I613" s="30"/>
      <c r="J613" s="173"/>
      <c r="K613" s="30"/>
    </row>
    <row r="614" spans="1:11" x14ac:dyDescent="0.3">
      <c r="A614" s="177"/>
      <c r="B614" s="199"/>
      <c r="C614" s="30"/>
      <c r="D614" s="173"/>
      <c r="E614" s="30"/>
      <c r="F614" s="173"/>
      <c r="G614" s="30"/>
      <c r="H614" s="173"/>
      <c r="I614" s="30"/>
      <c r="J614" s="173"/>
      <c r="K614" s="30"/>
    </row>
    <row r="615" spans="1:11" x14ac:dyDescent="0.3">
      <c r="A615" s="177"/>
      <c r="B615" s="199"/>
      <c r="C615" s="30"/>
      <c r="D615" s="173"/>
      <c r="E615" s="30"/>
      <c r="F615" s="173"/>
      <c r="G615" s="30"/>
      <c r="H615" s="173"/>
      <c r="I615" s="30"/>
      <c r="J615" s="173"/>
      <c r="K615" s="30"/>
    </row>
    <row r="616" spans="1:11" x14ac:dyDescent="0.3">
      <c r="A616" s="177"/>
      <c r="B616" s="199"/>
      <c r="C616" s="30"/>
      <c r="D616" s="173"/>
      <c r="E616" s="30"/>
      <c r="F616" s="173"/>
      <c r="G616" s="30"/>
      <c r="H616" s="173"/>
      <c r="I616" s="30"/>
      <c r="J616" s="173"/>
      <c r="K616" s="30"/>
    </row>
    <row r="617" spans="1:11" x14ac:dyDescent="0.3">
      <c r="A617" s="177"/>
      <c r="B617" s="199"/>
      <c r="C617" s="30"/>
      <c r="D617" s="173"/>
      <c r="E617" s="30"/>
      <c r="F617" s="173"/>
      <c r="G617" s="30"/>
      <c r="H617" s="173"/>
      <c r="I617" s="30"/>
      <c r="J617" s="173"/>
      <c r="K617" s="30"/>
    </row>
    <row r="618" spans="1:11" x14ac:dyDescent="0.3">
      <c r="A618" s="177"/>
      <c r="B618" s="199"/>
      <c r="C618" s="30"/>
      <c r="D618" s="173"/>
      <c r="E618" s="30"/>
      <c r="F618" s="173"/>
      <c r="G618" s="30"/>
      <c r="H618" s="173"/>
      <c r="I618" s="30"/>
      <c r="J618" s="173"/>
      <c r="K618" s="30"/>
    </row>
    <row r="619" spans="1:11" x14ac:dyDescent="0.3">
      <c r="A619" s="177"/>
      <c r="B619" s="199"/>
      <c r="C619" s="30"/>
      <c r="D619" s="173"/>
      <c r="E619" s="30"/>
      <c r="F619" s="173"/>
      <c r="G619" s="30"/>
      <c r="H619" s="173"/>
      <c r="I619" s="30"/>
      <c r="J619" s="173"/>
      <c r="K619" s="30"/>
    </row>
    <row r="620" spans="1:11" x14ac:dyDescent="0.3">
      <c r="A620" s="177"/>
      <c r="B620" s="199"/>
      <c r="C620" s="30"/>
      <c r="D620" s="173"/>
      <c r="E620" s="30"/>
      <c r="F620" s="173"/>
      <c r="G620" s="30"/>
      <c r="H620" s="173"/>
      <c r="I620" s="30"/>
      <c r="J620" s="173"/>
      <c r="K620" s="30"/>
    </row>
    <row r="621" spans="1:11" x14ac:dyDescent="0.3">
      <c r="A621" s="177"/>
      <c r="B621" s="199"/>
      <c r="C621" s="30"/>
      <c r="D621" s="173"/>
      <c r="E621" s="30"/>
      <c r="F621" s="173"/>
      <c r="G621" s="30"/>
      <c r="H621" s="173"/>
      <c r="I621" s="30"/>
      <c r="J621" s="173"/>
      <c r="K621" s="30"/>
    </row>
    <row r="622" spans="1:11" x14ac:dyDescent="0.3">
      <c r="A622" s="177"/>
      <c r="B622" s="199"/>
      <c r="C622" s="30"/>
      <c r="D622" s="173"/>
      <c r="E622" s="30"/>
      <c r="F622" s="173"/>
      <c r="G622" s="30"/>
      <c r="H622" s="173"/>
      <c r="I622" s="30"/>
      <c r="J622" s="173"/>
      <c r="K622" s="30"/>
    </row>
    <row r="623" spans="1:11" x14ac:dyDescent="0.3">
      <c r="A623" s="177"/>
      <c r="B623" s="199"/>
      <c r="C623" s="30"/>
      <c r="D623" s="173"/>
      <c r="E623" s="30"/>
      <c r="F623" s="173"/>
      <c r="G623" s="30"/>
      <c r="H623" s="173"/>
      <c r="I623" s="30"/>
      <c r="J623" s="173"/>
      <c r="K623" s="30"/>
    </row>
    <row r="624" spans="1:11" x14ac:dyDescent="0.3">
      <c r="A624" s="177"/>
      <c r="B624" s="199"/>
      <c r="C624" s="30"/>
      <c r="D624" s="173"/>
      <c r="E624" s="30"/>
      <c r="F624" s="173"/>
      <c r="G624" s="30"/>
      <c r="H624" s="173"/>
      <c r="I624" s="30"/>
      <c r="J624" s="173"/>
      <c r="K624" s="30"/>
    </row>
    <row r="625" spans="1:11" x14ac:dyDescent="0.3">
      <c r="A625" s="177"/>
      <c r="B625" s="199"/>
      <c r="C625" s="30"/>
      <c r="D625" s="173"/>
      <c r="E625" s="30"/>
      <c r="F625" s="173"/>
      <c r="G625" s="30"/>
      <c r="H625" s="173"/>
      <c r="I625" s="30"/>
      <c r="J625" s="173"/>
      <c r="K625" s="30"/>
    </row>
    <row r="626" spans="1:11" x14ac:dyDescent="0.3">
      <c r="A626" s="177"/>
      <c r="B626" s="199"/>
      <c r="C626" s="30"/>
      <c r="D626" s="173"/>
      <c r="E626" s="30"/>
      <c r="F626" s="173"/>
      <c r="G626" s="30"/>
      <c r="H626" s="173"/>
      <c r="I626" s="30"/>
      <c r="J626" s="173"/>
      <c r="K626" s="30"/>
    </row>
    <row r="627" spans="1:11" x14ac:dyDescent="0.3">
      <c r="A627" s="177"/>
      <c r="B627" s="199"/>
      <c r="C627" s="30"/>
      <c r="D627" s="173"/>
      <c r="E627" s="30"/>
      <c r="F627" s="173"/>
      <c r="G627" s="30"/>
      <c r="H627" s="173"/>
      <c r="I627" s="30"/>
      <c r="J627" s="173"/>
      <c r="K627" s="30"/>
    </row>
    <row r="628" spans="1:11" x14ac:dyDescent="0.3">
      <c r="A628" s="177"/>
      <c r="B628" s="199"/>
      <c r="C628" s="30"/>
      <c r="D628" s="173"/>
      <c r="E628" s="30"/>
      <c r="F628" s="173"/>
      <c r="G628" s="30"/>
      <c r="H628" s="173"/>
      <c r="I628" s="30"/>
      <c r="J628" s="173"/>
      <c r="K628" s="30"/>
    </row>
    <row r="629" spans="1:11" x14ac:dyDescent="0.3">
      <c r="A629" s="177"/>
      <c r="B629" s="199"/>
      <c r="C629" s="30"/>
      <c r="D629" s="173"/>
      <c r="E629" s="30"/>
      <c r="F629" s="173"/>
      <c r="G629" s="30"/>
      <c r="H629" s="173"/>
      <c r="I629" s="30"/>
      <c r="J629" s="173"/>
      <c r="K629" s="30"/>
    </row>
    <row r="630" spans="1:11" x14ac:dyDescent="0.3">
      <c r="A630" s="177"/>
      <c r="B630" s="199"/>
      <c r="C630" s="30"/>
      <c r="D630" s="173"/>
      <c r="E630" s="30"/>
      <c r="F630" s="173"/>
      <c r="G630" s="30"/>
      <c r="H630" s="173"/>
      <c r="I630" s="30"/>
      <c r="J630" s="173"/>
      <c r="K630" s="30"/>
    </row>
    <row r="631" spans="1:11" x14ac:dyDescent="0.3">
      <c r="A631" s="177"/>
      <c r="B631" s="199"/>
      <c r="C631" s="30"/>
      <c r="D631" s="173"/>
      <c r="E631" s="30"/>
      <c r="F631" s="173"/>
      <c r="G631" s="30"/>
      <c r="H631" s="173"/>
      <c r="I631" s="30"/>
      <c r="J631" s="173"/>
      <c r="K631" s="30"/>
    </row>
    <row r="632" spans="1:11" x14ac:dyDescent="0.3">
      <c r="A632" s="177"/>
      <c r="B632" s="199"/>
      <c r="C632" s="30"/>
      <c r="D632" s="173"/>
      <c r="E632" s="30"/>
      <c r="F632" s="173"/>
      <c r="G632" s="30"/>
      <c r="H632" s="173"/>
      <c r="I632" s="30"/>
      <c r="J632" s="173"/>
      <c r="K632" s="30"/>
    </row>
    <row r="633" spans="1:11" x14ac:dyDescent="0.3">
      <c r="A633" s="177"/>
      <c r="B633" s="199"/>
      <c r="C633" s="30"/>
      <c r="D633" s="173"/>
      <c r="E633" s="30"/>
      <c r="F633" s="173"/>
      <c r="G633" s="30"/>
      <c r="H633" s="173"/>
      <c r="I633" s="30"/>
      <c r="J633" s="173"/>
      <c r="K633" s="30"/>
    </row>
    <row r="634" spans="1:11" x14ac:dyDescent="0.3">
      <c r="A634" s="177"/>
      <c r="B634" s="199"/>
      <c r="C634" s="30"/>
      <c r="D634" s="173"/>
      <c r="E634" s="30"/>
      <c r="F634" s="173"/>
      <c r="G634" s="30"/>
      <c r="H634" s="173"/>
      <c r="I634" s="30"/>
      <c r="J634" s="173"/>
      <c r="K634" s="30"/>
    </row>
    <row r="635" spans="1:11" x14ac:dyDescent="0.3">
      <c r="A635" s="177"/>
      <c r="B635" s="199"/>
      <c r="C635" s="30"/>
      <c r="D635" s="173"/>
      <c r="E635" s="30"/>
      <c r="F635" s="173"/>
      <c r="G635" s="30"/>
      <c r="H635" s="173"/>
      <c r="I635" s="30"/>
      <c r="J635" s="173"/>
      <c r="K635" s="30"/>
    </row>
    <row r="636" spans="1:11" x14ac:dyDescent="0.3">
      <c r="A636" s="177"/>
      <c r="B636" s="199"/>
      <c r="C636" s="30"/>
      <c r="D636" s="173"/>
      <c r="E636" s="30"/>
      <c r="F636" s="173"/>
      <c r="G636" s="30"/>
      <c r="H636" s="173"/>
      <c r="I636" s="30"/>
      <c r="J636" s="173"/>
      <c r="K636" s="30"/>
    </row>
    <row r="637" spans="1:11" x14ac:dyDescent="0.3">
      <c r="A637" s="177"/>
      <c r="B637" s="199"/>
      <c r="C637" s="30"/>
      <c r="D637" s="173"/>
      <c r="E637" s="30"/>
      <c r="F637" s="173"/>
      <c r="G637" s="30"/>
      <c r="H637" s="173"/>
      <c r="I637" s="30"/>
      <c r="J637" s="173"/>
      <c r="K637" s="30"/>
    </row>
    <row r="638" spans="1:11" x14ac:dyDescent="0.3">
      <c r="A638" s="177"/>
      <c r="B638" s="199"/>
      <c r="C638" s="30"/>
      <c r="D638" s="173"/>
      <c r="E638" s="30"/>
      <c r="F638" s="173"/>
      <c r="G638" s="30"/>
      <c r="H638" s="173"/>
      <c r="I638" s="30"/>
      <c r="J638" s="173"/>
      <c r="K638" s="30"/>
    </row>
    <row r="639" spans="1:11" x14ac:dyDescent="0.3">
      <c r="A639" s="177"/>
      <c r="B639" s="199"/>
      <c r="C639" s="30"/>
      <c r="D639" s="173"/>
      <c r="E639" s="30"/>
      <c r="F639" s="173"/>
      <c r="G639" s="30"/>
      <c r="H639" s="173"/>
      <c r="I639" s="30"/>
      <c r="J639" s="173"/>
      <c r="K639" s="30"/>
    </row>
    <row r="640" spans="1:11" x14ac:dyDescent="0.3">
      <c r="A640" s="177"/>
      <c r="B640" s="199"/>
      <c r="C640" s="30"/>
      <c r="D640" s="173"/>
      <c r="E640" s="30"/>
      <c r="F640" s="173"/>
      <c r="G640" s="30"/>
      <c r="H640" s="173"/>
      <c r="I640" s="30"/>
      <c r="J640" s="173"/>
      <c r="K640" s="30"/>
    </row>
    <row r="641" spans="1:11" x14ac:dyDescent="0.3">
      <c r="A641" s="177"/>
      <c r="B641" s="199"/>
      <c r="C641" s="30"/>
      <c r="D641" s="173"/>
      <c r="E641" s="30"/>
      <c r="F641" s="173"/>
      <c r="G641" s="30"/>
      <c r="H641" s="173"/>
      <c r="I641" s="30"/>
      <c r="J641" s="173"/>
      <c r="K641" s="30"/>
    </row>
    <row r="642" spans="1:11" x14ac:dyDescent="0.3">
      <c r="A642" s="177"/>
      <c r="B642" s="199"/>
      <c r="C642" s="30"/>
      <c r="D642" s="173"/>
      <c r="E642" s="30"/>
      <c r="F642" s="173"/>
      <c r="G642" s="30"/>
      <c r="H642" s="173"/>
      <c r="I642" s="30"/>
      <c r="J642" s="173"/>
      <c r="K642" s="30"/>
    </row>
    <row r="643" spans="1:11" x14ac:dyDescent="0.3">
      <c r="A643" s="177"/>
      <c r="B643" s="199"/>
      <c r="C643" s="30"/>
      <c r="D643" s="173"/>
      <c r="E643" s="30"/>
      <c r="F643" s="173"/>
      <c r="G643" s="30"/>
      <c r="H643" s="173"/>
      <c r="I643" s="30"/>
      <c r="J643" s="173"/>
      <c r="K643" s="30"/>
    </row>
    <row r="644" spans="1:11" x14ac:dyDescent="0.3">
      <c r="A644" s="177"/>
      <c r="B644" s="199"/>
      <c r="C644" s="30"/>
      <c r="D644" s="173"/>
      <c r="E644" s="30"/>
      <c r="F644" s="173"/>
      <c r="G644" s="30"/>
      <c r="H644" s="173"/>
      <c r="I644" s="30"/>
      <c r="J644" s="173"/>
      <c r="K644" s="30"/>
    </row>
    <row r="645" spans="1:11" x14ac:dyDescent="0.3">
      <c r="A645" s="177"/>
      <c r="B645" s="199"/>
      <c r="C645" s="30"/>
      <c r="D645" s="173"/>
      <c r="E645" s="30"/>
      <c r="F645" s="173"/>
      <c r="G645" s="30"/>
      <c r="H645" s="173"/>
      <c r="I645" s="30"/>
      <c r="J645" s="173"/>
      <c r="K645" s="30"/>
    </row>
    <row r="646" spans="1:11" x14ac:dyDescent="0.3">
      <c r="A646" s="177"/>
      <c r="B646" s="199"/>
      <c r="C646" s="30"/>
      <c r="D646" s="173"/>
      <c r="E646" s="30"/>
      <c r="F646" s="173"/>
      <c r="G646" s="30"/>
      <c r="H646" s="173"/>
      <c r="I646" s="30"/>
      <c r="J646" s="173"/>
      <c r="K646" s="30"/>
    </row>
    <row r="647" spans="1:11" x14ac:dyDescent="0.3">
      <c r="A647" s="177"/>
      <c r="B647" s="199"/>
      <c r="C647" s="30"/>
      <c r="D647" s="173"/>
      <c r="E647" s="30"/>
      <c r="F647" s="173"/>
      <c r="G647" s="30"/>
      <c r="H647" s="173"/>
      <c r="I647" s="30"/>
      <c r="J647" s="173"/>
      <c r="K647" s="30"/>
    </row>
    <row r="648" spans="1:11" x14ac:dyDescent="0.3">
      <c r="A648" s="177"/>
      <c r="B648" s="199"/>
      <c r="C648" s="30"/>
      <c r="D648" s="173"/>
      <c r="E648" s="30"/>
      <c r="F648" s="173"/>
      <c r="G648" s="30"/>
      <c r="H648" s="173"/>
      <c r="I648" s="30"/>
      <c r="J648" s="173"/>
      <c r="K648" s="30"/>
    </row>
    <row r="649" spans="1:11" x14ac:dyDescent="0.3">
      <c r="A649" s="177"/>
      <c r="B649" s="199"/>
      <c r="C649" s="30"/>
      <c r="D649" s="173"/>
      <c r="E649" s="30"/>
      <c r="F649" s="173"/>
      <c r="G649" s="30"/>
      <c r="H649" s="173"/>
      <c r="I649" s="30"/>
      <c r="J649" s="173"/>
      <c r="K649" s="30"/>
    </row>
    <row r="650" spans="1:11" x14ac:dyDescent="0.3">
      <c r="A650" s="177"/>
      <c r="B650" s="199"/>
      <c r="C650" s="30"/>
      <c r="D650" s="173"/>
      <c r="E650" s="30"/>
      <c r="F650" s="173"/>
      <c r="G650" s="30"/>
      <c r="H650" s="173"/>
      <c r="I650" s="30"/>
      <c r="J650" s="173"/>
      <c r="K650" s="30"/>
    </row>
    <row r="651" spans="1:11" x14ac:dyDescent="0.3">
      <c r="A651" s="177"/>
      <c r="B651" s="199"/>
      <c r="C651" s="30"/>
      <c r="D651" s="173"/>
      <c r="E651" s="30"/>
      <c r="F651" s="173"/>
      <c r="G651" s="30"/>
      <c r="H651" s="173"/>
      <c r="I651" s="30"/>
      <c r="J651" s="173"/>
      <c r="K651" s="30"/>
    </row>
    <row r="652" spans="1:11" x14ac:dyDescent="0.3">
      <c r="A652" s="177"/>
      <c r="B652" s="199"/>
      <c r="C652" s="30"/>
      <c r="D652" s="173"/>
      <c r="E652" s="30"/>
      <c r="F652" s="173"/>
      <c r="G652" s="30"/>
      <c r="H652" s="173"/>
      <c r="I652" s="30"/>
      <c r="J652" s="173"/>
      <c r="K652" s="30"/>
    </row>
    <row r="653" spans="1:11" x14ac:dyDescent="0.3">
      <c r="A653" s="177"/>
      <c r="B653" s="199"/>
      <c r="C653" s="30"/>
      <c r="D653" s="173"/>
      <c r="E653" s="30"/>
      <c r="F653" s="173"/>
      <c r="G653" s="30"/>
      <c r="H653" s="173"/>
      <c r="I653" s="30"/>
      <c r="J653" s="173"/>
      <c r="K653" s="30"/>
    </row>
    <row r="654" spans="1:11" x14ac:dyDescent="0.3">
      <c r="A654" s="177"/>
      <c r="B654" s="199"/>
      <c r="C654" s="30"/>
      <c r="D654" s="173"/>
      <c r="E654" s="30"/>
      <c r="F654" s="173"/>
      <c r="G654" s="30"/>
      <c r="H654" s="173"/>
      <c r="I654" s="30"/>
      <c r="J654" s="173"/>
      <c r="K654" s="30"/>
    </row>
    <row r="655" spans="1:11" x14ac:dyDescent="0.3">
      <c r="A655" s="177"/>
      <c r="B655" s="199"/>
      <c r="C655" s="30"/>
      <c r="D655" s="173"/>
      <c r="E655" s="30"/>
      <c r="F655" s="173"/>
      <c r="G655" s="30"/>
      <c r="H655" s="173"/>
      <c r="I655" s="30"/>
      <c r="J655" s="173"/>
      <c r="K655" s="30"/>
    </row>
    <row r="656" spans="1:11" x14ac:dyDescent="0.3">
      <c r="A656" s="177"/>
      <c r="B656" s="199"/>
      <c r="C656" s="30"/>
      <c r="D656" s="173"/>
      <c r="E656" s="30"/>
      <c r="F656" s="173"/>
      <c r="G656" s="30"/>
      <c r="H656" s="173"/>
      <c r="I656" s="30"/>
      <c r="J656" s="173"/>
      <c r="K656" s="30"/>
    </row>
    <row r="657" spans="1:11" x14ac:dyDescent="0.3">
      <c r="A657" s="177"/>
      <c r="B657" s="199"/>
      <c r="C657" s="30"/>
      <c r="D657" s="173"/>
      <c r="E657" s="30"/>
      <c r="F657" s="173"/>
      <c r="G657" s="30"/>
      <c r="H657" s="173"/>
      <c r="I657" s="30"/>
      <c r="J657" s="173"/>
      <c r="K657" s="30"/>
    </row>
    <row r="658" spans="1:11" x14ac:dyDescent="0.3">
      <c r="A658" s="177"/>
      <c r="B658" s="199"/>
      <c r="C658" s="30"/>
      <c r="D658" s="173"/>
      <c r="E658" s="30"/>
      <c r="F658" s="173"/>
      <c r="G658" s="30"/>
      <c r="H658" s="173"/>
      <c r="I658" s="30"/>
      <c r="J658" s="173"/>
      <c r="K658" s="30"/>
    </row>
    <row r="659" spans="1:11" x14ac:dyDescent="0.3">
      <c r="A659" s="177"/>
      <c r="B659" s="199"/>
      <c r="C659" s="30"/>
      <c r="D659" s="173"/>
      <c r="E659" s="30"/>
      <c r="F659" s="173"/>
      <c r="G659" s="30"/>
      <c r="H659" s="173"/>
      <c r="I659" s="30"/>
      <c r="J659" s="173"/>
      <c r="K659" s="30"/>
    </row>
    <row r="660" spans="1:11" x14ac:dyDescent="0.3">
      <c r="A660" s="177"/>
      <c r="B660" s="199"/>
      <c r="C660" s="30"/>
      <c r="D660" s="173"/>
      <c r="E660" s="30"/>
      <c r="F660" s="173"/>
      <c r="G660" s="30"/>
      <c r="H660" s="173"/>
      <c r="I660" s="30"/>
      <c r="J660" s="173"/>
      <c r="K660" s="30"/>
    </row>
    <row r="661" spans="1:11" x14ac:dyDescent="0.3">
      <c r="A661" s="177"/>
      <c r="B661" s="199"/>
      <c r="C661" s="30"/>
      <c r="D661" s="173"/>
      <c r="E661" s="30"/>
      <c r="F661" s="173"/>
      <c r="G661" s="30"/>
      <c r="H661" s="173"/>
      <c r="I661" s="30"/>
      <c r="J661" s="173"/>
      <c r="K661" s="30"/>
    </row>
    <row r="662" spans="1:11" x14ac:dyDescent="0.3">
      <c r="A662" s="177"/>
      <c r="B662" s="199"/>
      <c r="C662" s="30"/>
      <c r="D662" s="173"/>
      <c r="E662" s="30"/>
      <c r="F662" s="173"/>
      <c r="G662" s="30"/>
      <c r="H662" s="173"/>
      <c r="I662" s="30"/>
      <c r="J662" s="173"/>
      <c r="K662" s="30"/>
    </row>
    <row r="663" spans="1:11" x14ac:dyDescent="0.3">
      <c r="A663" s="177"/>
      <c r="B663" s="199"/>
      <c r="C663" s="30"/>
      <c r="D663" s="173"/>
      <c r="E663" s="30"/>
      <c r="F663" s="173"/>
      <c r="G663" s="30"/>
      <c r="H663" s="173"/>
      <c r="I663" s="30"/>
      <c r="J663" s="173"/>
      <c r="K663" s="30"/>
    </row>
    <row r="664" spans="1:11" x14ac:dyDescent="0.3">
      <c r="A664" s="177"/>
      <c r="B664" s="199"/>
      <c r="C664" s="30"/>
      <c r="D664" s="173"/>
      <c r="E664" s="30"/>
      <c r="F664" s="173"/>
      <c r="G664" s="30"/>
      <c r="H664" s="173"/>
      <c r="I664" s="30"/>
      <c r="J664" s="173"/>
      <c r="K664" s="30"/>
    </row>
    <row r="665" spans="1:11" x14ac:dyDescent="0.3">
      <c r="A665" s="177"/>
      <c r="B665" s="199"/>
      <c r="C665" s="30"/>
      <c r="D665" s="173"/>
      <c r="E665" s="30"/>
      <c r="F665" s="173"/>
      <c r="G665" s="30"/>
      <c r="H665" s="173"/>
      <c r="I665" s="30"/>
      <c r="J665" s="173"/>
      <c r="K665" s="30"/>
    </row>
    <row r="666" spans="1:11" x14ac:dyDescent="0.3">
      <c r="A666" s="177"/>
      <c r="B666" s="199"/>
      <c r="C666" s="30"/>
      <c r="D666" s="173"/>
      <c r="E666" s="30"/>
      <c r="F666" s="173"/>
      <c r="G666" s="30"/>
      <c r="H666" s="173"/>
      <c r="I666" s="30"/>
      <c r="J666" s="173"/>
      <c r="K666" s="30"/>
    </row>
    <row r="667" spans="1:11" x14ac:dyDescent="0.3">
      <c r="A667" s="177"/>
      <c r="B667" s="199"/>
      <c r="C667" s="30"/>
      <c r="D667" s="173"/>
      <c r="E667" s="30"/>
      <c r="F667" s="173"/>
      <c r="G667" s="30"/>
      <c r="H667" s="173"/>
      <c r="I667" s="30"/>
      <c r="J667" s="173"/>
      <c r="K667" s="30"/>
    </row>
    <row r="668" spans="1:11" x14ac:dyDescent="0.3">
      <c r="A668" s="177"/>
      <c r="B668" s="199"/>
      <c r="C668" s="30"/>
      <c r="D668" s="173"/>
      <c r="E668" s="30"/>
      <c r="F668" s="173"/>
      <c r="G668" s="30"/>
      <c r="H668" s="173"/>
      <c r="I668" s="30"/>
      <c r="J668" s="173"/>
      <c r="K668" s="30"/>
    </row>
    <row r="669" spans="1:11" x14ac:dyDescent="0.3">
      <c r="A669" s="177"/>
      <c r="B669" s="199"/>
      <c r="C669" s="30"/>
      <c r="D669" s="173"/>
      <c r="E669" s="30"/>
      <c r="F669" s="173"/>
      <c r="G669" s="30"/>
      <c r="H669" s="173"/>
      <c r="I669" s="30"/>
      <c r="J669" s="173"/>
      <c r="K669" s="30"/>
    </row>
    <row r="670" spans="1:11" x14ac:dyDescent="0.3">
      <c r="A670" s="177"/>
      <c r="B670" s="199"/>
      <c r="C670" s="30"/>
      <c r="D670" s="173"/>
      <c r="E670" s="30"/>
      <c r="F670" s="173"/>
      <c r="G670" s="30"/>
      <c r="H670" s="173"/>
      <c r="I670" s="30"/>
      <c r="J670" s="173"/>
      <c r="K670" s="30"/>
    </row>
    <row r="671" spans="1:11" x14ac:dyDescent="0.3">
      <c r="A671" s="177"/>
      <c r="B671" s="199"/>
      <c r="C671" s="30"/>
      <c r="D671" s="173"/>
      <c r="E671" s="30"/>
      <c r="F671" s="173"/>
      <c r="G671" s="30"/>
      <c r="H671" s="173"/>
      <c r="I671" s="30"/>
      <c r="J671" s="173"/>
      <c r="K671" s="30"/>
    </row>
    <row r="672" spans="1:11" x14ac:dyDescent="0.3">
      <c r="A672" s="177"/>
      <c r="B672" s="199"/>
      <c r="C672" s="30"/>
      <c r="D672" s="173"/>
      <c r="E672" s="30"/>
      <c r="F672" s="173"/>
      <c r="G672" s="30"/>
      <c r="H672" s="173"/>
      <c r="I672" s="30"/>
      <c r="J672" s="173"/>
      <c r="K672" s="30"/>
    </row>
    <row r="673" spans="1:11" x14ac:dyDescent="0.3">
      <c r="A673" s="177"/>
      <c r="B673" s="199"/>
      <c r="C673" s="30"/>
      <c r="D673" s="173"/>
      <c r="E673" s="30"/>
      <c r="F673" s="173"/>
      <c r="G673" s="30"/>
      <c r="H673" s="173"/>
      <c r="I673" s="30"/>
      <c r="J673" s="173"/>
      <c r="K673" s="30"/>
    </row>
    <row r="674" spans="1:11" x14ac:dyDescent="0.3">
      <c r="A674" s="177"/>
      <c r="B674" s="199"/>
      <c r="C674" s="30"/>
      <c r="D674" s="173"/>
      <c r="E674" s="30"/>
      <c r="F674" s="173"/>
      <c r="G674" s="30"/>
      <c r="H674" s="173"/>
      <c r="I674" s="30"/>
      <c r="J674" s="173"/>
      <c r="K674" s="30"/>
    </row>
    <row r="675" spans="1:11" x14ac:dyDescent="0.3">
      <c r="A675" s="177"/>
      <c r="B675" s="199"/>
      <c r="C675" s="30"/>
      <c r="D675" s="173"/>
      <c r="E675" s="30"/>
      <c r="F675" s="173"/>
      <c r="G675" s="30"/>
      <c r="H675" s="173"/>
      <c r="I675" s="30"/>
      <c r="J675" s="173"/>
      <c r="K675" s="30"/>
    </row>
    <row r="676" spans="1:11" x14ac:dyDescent="0.3">
      <c r="A676" s="177"/>
      <c r="B676" s="199"/>
      <c r="C676" s="30"/>
      <c r="D676" s="173"/>
      <c r="E676" s="30"/>
      <c r="F676" s="173"/>
      <c r="G676" s="30"/>
      <c r="H676" s="173"/>
      <c r="I676" s="30"/>
      <c r="J676" s="173"/>
      <c r="K676" s="30"/>
    </row>
    <row r="677" spans="1:11" x14ac:dyDescent="0.3">
      <c r="A677" s="177"/>
      <c r="B677" s="199"/>
      <c r="C677" s="30"/>
      <c r="D677" s="173"/>
      <c r="E677" s="30"/>
      <c r="F677" s="173"/>
      <c r="G677" s="30"/>
      <c r="H677" s="173"/>
      <c r="I677" s="30"/>
      <c r="J677" s="173"/>
      <c r="K677" s="30"/>
    </row>
    <row r="678" spans="1:11" x14ac:dyDescent="0.3">
      <c r="A678" s="177"/>
      <c r="B678" s="199"/>
      <c r="C678" s="30"/>
      <c r="D678" s="173"/>
      <c r="E678" s="30"/>
      <c r="F678" s="173"/>
      <c r="G678" s="30"/>
      <c r="H678" s="173"/>
      <c r="I678" s="30"/>
      <c r="J678" s="173"/>
      <c r="K678" s="30"/>
    </row>
    <row r="679" spans="1:11" x14ac:dyDescent="0.3">
      <c r="A679" s="177"/>
      <c r="B679" s="199"/>
      <c r="C679" s="30"/>
      <c r="D679" s="173"/>
      <c r="E679" s="30"/>
      <c r="F679" s="173"/>
      <c r="G679" s="30"/>
      <c r="H679" s="173"/>
      <c r="I679" s="30"/>
      <c r="J679" s="173"/>
      <c r="K679" s="30"/>
    </row>
    <row r="680" spans="1:11" x14ac:dyDescent="0.3">
      <c r="A680" s="177"/>
      <c r="B680" s="199"/>
      <c r="C680" s="30"/>
      <c r="D680" s="173"/>
      <c r="E680" s="30"/>
      <c r="F680" s="173"/>
      <c r="G680" s="30"/>
      <c r="H680" s="173"/>
      <c r="I680" s="30"/>
      <c r="J680" s="173"/>
      <c r="K680" s="30"/>
    </row>
    <row r="681" spans="1:11" x14ac:dyDescent="0.3">
      <c r="A681" s="177"/>
      <c r="B681" s="199"/>
      <c r="C681" s="30"/>
      <c r="D681" s="173"/>
      <c r="E681" s="30"/>
      <c r="F681" s="173"/>
      <c r="G681" s="30"/>
      <c r="H681" s="173"/>
      <c r="I681" s="30"/>
      <c r="J681" s="173"/>
      <c r="K681" s="30"/>
    </row>
    <row r="682" spans="1:11" x14ac:dyDescent="0.3">
      <c r="A682" s="177"/>
      <c r="B682" s="199"/>
      <c r="C682" s="30"/>
      <c r="D682" s="173"/>
      <c r="E682" s="30"/>
      <c r="F682" s="173"/>
      <c r="G682" s="30"/>
      <c r="H682" s="173"/>
      <c r="I682" s="30"/>
      <c r="J682" s="173"/>
      <c r="K682" s="30"/>
    </row>
    <row r="683" spans="1:11" x14ac:dyDescent="0.3">
      <c r="A683" s="177"/>
      <c r="B683" s="199"/>
      <c r="C683" s="30"/>
      <c r="D683" s="173"/>
      <c r="E683" s="30"/>
      <c r="F683" s="173"/>
      <c r="G683" s="30"/>
      <c r="H683" s="173"/>
      <c r="I683" s="30"/>
      <c r="J683" s="173"/>
      <c r="K683" s="30"/>
    </row>
    <row r="684" spans="1:11" x14ac:dyDescent="0.3">
      <c r="A684" s="177"/>
      <c r="B684" s="199"/>
      <c r="C684" s="30"/>
      <c r="D684" s="173"/>
      <c r="E684" s="30"/>
      <c r="F684" s="173"/>
      <c r="G684" s="30"/>
      <c r="H684" s="173"/>
      <c r="I684" s="30"/>
      <c r="J684" s="173"/>
      <c r="K684" s="30"/>
    </row>
    <row r="685" spans="1:11" x14ac:dyDescent="0.3">
      <c r="A685" s="177"/>
      <c r="B685" s="199"/>
      <c r="C685" s="30"/>
      <c r="D685" s="173"/>
      <c r="E685" s="30"/>
      <c r="F685" s="173"/>
      <c r="G685" s="30"/>
      <c r="H685" s="173"/>
      <c r="I685" s="30"/>
      <c r="J685" s="173"/>
      <c r="K685" s="30"/>
    </row>
    <row r="686" spans="1:11" x14ac:dyDescent="0.3">
      <c r="A686" s="177"/>
      <c r="B686" s="199"/>
      <c r="C686" s="30"/>
      <c r="D686" s="173"/>
      <c r="E686" s="30"/>
      <c r="F686" s="173"/>
      <c r="G686" s="30"/>
      <c r="H686" s="173"/>
      <c r="I686" s="30"/>
      <c r="J686" s="173"/>
      <c r="K686" s="30"/>
    </row>
    <row r="687" spans="1:11" x14ac:dyDescent="0.3">
      <c r="A687" s="177"/>
      <c r="B687" s="199"/>
      <c r="C687" s="30"/>
      <c r="D687" s="173"/>
      <c r="E687" s="30"/>
      <c r="F687" s="173"/>
      <c r="G687" s="30"/>
      <c r="H687" s="173"/>
      <c r="I687" s="30"/>
      <c r="J687" s="173"/>
      <c r="K687" s="30"/>
    </row>
    <row r="688" spans="1:11" x14ac:dyDescent="0.3">
      <c r="A688" s="177"/>
      <c r="B688" s="199"/>
      <c r="C688" s="30"/>
      <c r="D688" s="173"/>
      <c r="E688" s="30"/>
      <c r="F688" s="173"/>
      <c r="G688" s="30"/>
      <c r="H688" s="173"/>
      <c r="I688" s="30"/>
      <c r="J688" s="173"/>
      <c r="K688" s="30"/>
    </row>
    <row r="689" spans="1:11" x14ac:dyDescent="0.3">
      <c r="A689" s="177"/>
      <c r="B689" s="199"/>
      <c r="C689" s="30"/>
      <c r="D689" s="173"/>
      <c r="E689" s="30"/>
      <c r="F689" s="173"/>
      <c r="G689" s="30"/>
      <c r="H689" s="173"/>
      <c r="I689" s="30"/>
      <c r="J689" s="173"/>
      <c r="K689" s="30"/>
    </row>
    <row r="690" spans="1:11" x14ac:dyDescent="0.3">
      <c r="A690" s="177"/>
      <c r="B690" s="199"/>
      <c r="C690" s="30"/>
      <c r="D690" s="173"/>
      <c r="E690" s="30"/>
      <c r="F690" s="173"/>
      <c r="G690" s="30"/>
      <c r="H690" s="173"/>
      <c r="I690" s="30"/>
      <c r="J690" s="173"/>
      <c r="K690" s="30"/>
    </row>
    <row r="691" spans="1:11" x14ac:dyDescent="0.3">
      <c r="A691" s="177"/>
      <c r="B691" s="199"/>
      <c r="C691" s="30"/>
      <c r="D691" s="173"/>
      <c r="E691" s="30"/>
      <c r="F691" s="173"/>
      <c r="G691" s="30"/>
      <c r="H691" s="173"/>
      <c r="I691" s="30"/>
      <c r="J691" s="173"/>
      <c r="K691" s="30"/>
    </row>
    <row r="692" spans="1:11" x14ac:dyDescent="0.3">
      <c r="A692" s="177"/>
      <c r="B692" s="199"/>
      <c r="C692" s="30"/>
      <c r="D692" s="173"/>
      <c r="E692" s="30"/>
      <c r="F692" s="173"/>
      <c r="G692" s="30"/>
      <c r="H692" s="173"/>
      <c r="I692" s="30"/>
      <c r="J692" s="173"/>
      <c r="K692" s="30"/>
    </row>
    <row r="693" spans="1:11" x14ac:dyDescent="0.3">
      <c r="A693" s="177"/>
      <c r="B693" s="199"/>
      <c r="C693" s="30"/>
      <c r="D693" s="173"/>
      <c r="E693" s="30"/>
      <c r="F693" s="173"/>
      <c r="G693" s="30"/>
      <c r="H693" s="173"/>
      <c r="I693" s="30"/>
      <c r="J693" s="173"/>
      <c r="K693" s="30"/>
    </row>
    <row r="694" spans="1:11" x14ac:dyDescent="0.3">
      <c r="A694" s="177"/>
      <c r="B694" s="199"/>
      <c r="C694" s="30"/>
      <c r="D694" s="173"/>
      <c r="E694" s="30"/>
      <c r="F694" s="173"/>
      <c r="G694" s="30"/>
      <c r="H694" s="173"/>
      <c r="I694" s="30"/>
      <c r="J694" s="173"/>
      <c r="K694" s="30"/>
    </row>
    <row r="695" spans="1:11" x14ac:dyDescent="0.3">
      <c r="A695" s="177"/>
      <c r="B695" s="199"/>
      <c r="C695" s="30"/>
      <c r="D695" s="173"/>
      <c r="E695" s="30"/>
      <c r="F695" s="173"/>
      <c r="G695" s="30"/>
      <c r="H695" s="173"/>
      <c r="I695" s="30"/>
      <c r="J695" s="173"/>
      <c r="K695" s="30"/>
    </row>
    <row r="696" spans="1:11" x14ac:dyDescent="0.3">
      <c r="A696" s="177"/>
      <c r="B696" s="199"/>
      <c r="C696" s="30"/>
      <c r="D696" s="173"/>
      <c r="E696" s="30"/>
      <c r="F696" s="173"/>
      <c r="G696" s="30"/>
      <c r="H696" s="173"/>
      <c r="I696" s="30"/>
      <c r="J696" s="173"/>
      <c r="K696" s="30"/>
    </row>
    <row r="697" spans="1:11" x14ac:dyDescent="0.3">
      <c r="A697" s="177"/>
      <c r="B697" s="199"/>
      <c r="C697" s="30"/>
      <c r="D697" s="173"/>
      <c r="E697" s="30"/>
      <c r="F697" s="173"/>
      <c r="G697" s="30"/>
      <c r="H697" s="173"/>
      <c r="I697" s="30"/>
      <c r="J697" s="173"/>
      <c r="K697" s="30"/>
    </row>
    <row r="698" spans="1:11" x14ac:dyDescent="0.3">
      <c r="A698" s="177"/>
      <c r="B698" s="199"/>
      <c r="C698" s="30"/>
      <c r="D698" s="173"/>
      <c r="E698" s="30"/>
      <c r="F698" s="173"/>
      <c r="G698" s="30"/>
      <c r="H698" s="173"/>
      <c r="I698" s="30"/>
      <c r="J698" s="173"/>
      <c r="K698" s="30"/>
    </row>
    <row r="699" spans="1:11" x14ac:dyDescent="0.3">
      <c r="A699" s="177"/>
      <c r="B699" s="199"/>
      <c r="C699" s="30"/>
      <c r="D699" s="173"/>
      <c r="E699" s="30"/>
      <c r="F699" s="173"/>
      <c r="G699" s="30"/>
      <c r="H699" s="173"/>
      <c r="I699" s="30"/>
      <c r="J699" s="173"/>
      <c r="K699" s="30"/>
    </row>
    <row r="700" spans="1:11" x14ac:dyDescent="0.3">
      <c r="A700" s="177"/>
      <c r="B700" s="199"/>
      <c r="C700" s="30"/>
      <c r="D700" s="173"/>
      <c r="E700" s="30"/>
      <c r="F700" s="173"/>
      <c r="G700" s="30"/>
      <c r="H700" s="173"/>
      <c r="I700" s="30"/>
      <c r="J700" s="173"/>
      <c r="K700" s="30"/>
    </row>
    <row r="701" spans="1:11" x14ac:dyDescent="0.3">
      <c r="A701" s="177"/>
      <c r="B701" s="199"/>
      <c r="C701" s="30"/>
      <c r="D701" s="173"/>
      <c r="E701" s="30"/>
      <c r="F701" s="173"/>
      <c r="G701" s="30"/>
      <c r="H701" s="173"/>
      <c r="I701" s="30"/>
      <c r="J701" s="173"/>
      <c r="K701" s="30"/>
    </row>
    <row r="702" spans="1:11" x14ac:dyDescent="0.3">
      <c r="A702" s="177"/>
      <c r="B702" s="199"/>
      <c r="C702" s="30"/>
      <c r="D702" s="173"/>
      <c r="E702" s="30"/>
      <c r="F702" s="173"/>
      <c r="G702" s="30"/>
      <c r="H702" s="173"/>
      <c r="I702" s="30"/>
      <c r="J702" s="173"/>
      <c r="K702" s="30"/>
    </row>
    <row r="703" spans="1:11" x14ac:dyDescent="0.3">
      <c r="A703" s="177"/>
      <c r="B703" s="199"/>
      <c r="C703" s="30"/>
      <c r="D703" s="173"/>
      <c r="E703" s="30"/>
      <c r="F703" s="173"/>
      <c r="G703" s="30"/>
      <c r="H703" s="173"/>
      <c r="I703" s="30"/>
      <c r="J703" s="173"/>
      <c r="K703" s="30"/>
    </row>
    <row r="704" spans="1:11" x14ac:dyDescent="0.3">
      <c r="A704" s="177"/>
      <c r="B704" s="199"/>
      <c r="C704" s="30"/>
      <c r="D704" s="173"/>
      <c r="E704" s="30"/>
      <c r="F704" s="173"/>
      <c r="G704" s="30"/>
      <c r="H704" s="173"/>
      <c r="I704" s="30"/>
      <c r="J704" s="173"/>
      <c r="K704" s="30"/>
    </row>
    <row r="705" spans="1:11" x14ac:dyDescent="0.3">
      <c r="A705" s="177"/>
      <c r="B705" s="199"/>
      <c r="C705" s="30"/>
      <c r="D705" s="173"/>
      <c r="E705" s="30"/>
      <c r="F705" s="173"/>
      <c r="G705" s="30"/>
      <c r="H705" s="173"/>
      <c r="I705" s="30"/>
      <c r="J705" s="173"/>
      <c r="K705" s="30"/>
    </row>
    <row r="706" spans="1:11" x14ac:dyDescent="0.3">
      <c r="A706" s="177"/>
      <c r="B706" s="199"/>
      <c r="C706" s="30"/>
      <c r="D706" s="173"/>
      <c r="E706" s="30"/>
      <c r="F706" s="173"/>
      <c r="G706" s="30"/>
      <c r="H706" s="173"/>
      <c r="I706" s="30"/>
      <c r="J706" s="173"/>
      <c r="K706" s="30"/>
    </row>
    <row r="707" spans="1:11" x14ac:dyDescent="0.3">
      <c r="A707" s="177"/>
      <c r="B707" s="199"/>
      <c r="C707" s="30"/>
      <c r="D707" s="173"/>
      <c r="E707" s="30"/>
      <c r="F707" s="173"/>
      <c r="G707" s="30"/>
      <c r="H707" s="173"/>
      <c r="I707" s="30"/>
      <c r="J707" s="173"/>
      <c r="K707" s="30"/>
    </row>
    <row r="708" spans="1:11" x14ac:dyDescent="0.3">
      <c r="A708" s="177"/>
      <c r="B708" s="199"/>
      <c r="C708" s="30"/>
      <c r="D708" s="173"/>
      <c r="E708" s="30"/>
      <c r="F708" s="173"/>
      <c r="G708" s="30"/>
      <c r="H708" s="173"/>
      <c r="I708" s="30"/>
      <c r="J708" s="173"/>
      <c r="K708" s="30"/>
    </row>
    <row r="709" spans="1:11" x14ac:dyDescent="0.3">
      <c r="A709" s="177"/>
      <c r="B709" s="199"/>
      <c r="C709" s="30"/>
      <c r="D709" s="173"/>
      <c r="E709" s="30"/>
      <c r="F709" s="173"/>
      <c r="G709" s="30"/>
      <c r="H709" s="173"/>
      <c r="I709" s="30"/>
      <c r="J709" s="173"/>
      <c r="K709" s="30"/>
    </row>
    <row r="710" spans="1:11" x14ac:dyDescent="0.3">
      <c r="A710" s="177"/>
      <c r="B710" s="199"/>
      <c r="C710" s="30"/>
      <c r="D710" s="173"/>
      <c r="E710" s="30"/>
      <c r="F710" s="173"/>
      <c r="G710" s="30"/>
      <c r="H710" s="173"/>
      <c r="I710" s="30"/>
      <c r="J710" s="173"/>
      <c r="K710" s="30"/>
    </row>
    <row r="711" spans="1:11" x14ac:dyDescent="0.3">
      <c r="A711" s="177"/>
      <c r="B711" s="199"/>
      <c r="C711" s="30"/>
      <c r="D711" s="173"/>
      <c r="E711" s="30"/>
      <c r="F711" s="173"/>
      <c r="G711" s="30"/>
      <c r="H711" s="173"/>
      <c r="I711" s="30"/>
      <c r="J711" s="173"/>
      <c r="K711" s="30"/>
    </row>
    <row r="712" spans="1:11" x14ac:dyDescent="0.3">
      <c r="A712" s="177"/>
      <c r="B712" s="199"/>
      <c r="C712" s="30"/>
      <c r="D712" s="173"/>
      <c r="E712" s="30"/>
      <c r="F712" s="173"/>
      <c r="G712" s="30"/>
      <c r="H712" s="173"/>
      <c r="I712" s="30"/>
      <c r="J712" s="173"/>
      <c r="K712" s="30"/>
    </row>
    <row r="713" spans="1:11" x14ac:dyDescent="0.3">
      <c r="A713" s="177"/>
      <c r="B713" s="199"/>
      <c r="C713" s="30"/>
      <c r="D713" s="173"/>
      <c r="E713" s="30"/>
      <c r="F713" s="173"/>
      <c r="G713" s="30"/>
      <c r="H713" s="173"/>
      <c r="I713" s="30"/>
      <c r="J713" s="173"/>
      <c r="K713" s="30"/>
    </row>
    <row r="714" spans="1:11" x14ac:dyDescent="0.3">
      <c r="A714" s="177"/>
      <c r="B714" s="199"/>
      <c r="C714" s="30"/>
      <c r="D714" s="173"/>
      <c r="E714" s="30"/>
      <c r="F714" s="173"/>
      <c r="G714" s="30"/>
      <c r="H714" s="173"/>
      <c r="I714" s="30"/>
      <c r="J714" s="173"/>
      <c r="K714" s="30"/>
    </row>
    <row r="715" spans="1:11" x14ac:dyDescent="0.3">
      <c r="A715" s="177"/>
      <c r="B715" s="199"/>
      <c r="C715" s="30"/>
      <c r="D715" s="173"/>
      <c r="E715" s="30"/>
      <c r="F715" s="173"/>
      <c r="G715" s="30"/>
      <c r="H715" s="173"/>
      <c r="I715" s="30"/>
      <c r="J715" s="173"/>
      <c r="K715" s="30"/>
    </row>
    <row r="716" spans="1:11" x14ac:dyDescent="0.3">
      <c r="A716" s="177"/>
      <c r="B716" s="199"/>
      <c r="C716" s="30"/>
      <c r="D716" s="173"/>
      <c r="E716" s="30"/>
      <c r="F716" s="173"/>
      <c r="G716" s="30"/>
      <c r="H716" s="173"/>
      <c r="I716" s="30"/>
      <c r="J716" s="173"/>
      <c r="K716" s="30"/>
    </row>
    <row r="717" spans="1:11" x14ac:dyDescent="0.3">
      <c r="A717" s="177"/>
      <c r="B717" s="199"/>
      <c r="C717" s="30"/>
      <c r="D717" s="173"/>
      <c r="E717" s="30"/>
      <c r="F717" s="173"/>
      <c r="G717" s="30"/>
      <c r="H717" s="173"/>
      <c r="I717" s="30"/>
      <c r="J717" s="173"/>
      <c r="K717" s="30"/>
    </row>
    <row r="718" spans="1:11" x14ac:dyDescent="0.3">
      <c r="A718" s="177"/>
      <c r="B718" s="199"/>
      <c r="C718" s="30"/>
      <c r="D718" s="173"/>
      <c r="E718" s="30"/>
      <c r="F718" s="173"/>
      <c r="G718" s="30"/>
      <c r="H718" s="173"/>
      <c r="I718" s="30"/>
      <c r="J718" s="173"/>
      <c r="K718" s="30"/>
    </row>
    <row r="719" spans="1:11" x14ac:dyDescent="0.3">
      <c r="A719" s="177"/>
      <c r="B719" s="199"/>
      <c r="C719" s="30"/>
      <c r="D719" s="173"/>
      <c r="E719" s="30"/>
      <c r="F719" s="173"/>
      <c r="G719" s="30"/>
      <c r="H719" s="173"/>
      <c r="I719" s="30"/>
      <c r="J719" s="173"/>
      <c r="K719" s="30"/>
    </row>
    <row r="720" spans="1:11" x14ac:dyDescent="0.3">
      <c r="A720" s="177"/>
      <c r="B720" s="199"/>
      <c r="C720" s="30"/>
      <c r="D720" s="173"/>
      <c r="E720" s="30"/>
      <c r="F720" s="173"/>
      <c r="G720" s="30"/>
      <c r="H720" s="173"/>
      <c r="I720" s="30"/>
      <c r="J720" s="173"/>
      <c r="K720" s="30"/>
    </row>
    <row r="721" spans="1:11" x14ac:dyDescent="0.3">
      <c r="A721" s="177"/>
      <c r="B721" s="199"/>
      <c r="C721" s="30"/>
      <c r="D721" s="173"/>
      <c r="E721" s="30"/>
      <c r="F721" s="173"/>
      <c r="G721" s="30"/>
      <c r="H721" s="173"/>
      <c r="I721" s="30"/>
      <c r="J721" s="173"/>
      <c r="K721" s="30"/>
    </row>
    <row r="722" spans="1:11" x14ac:dyDescent="0.3">
      <c r="A722" s="177"/>
      <c r="B722" s="199"/>
      <c r="C722" s="30"/>
      <c r="D722" s="173"/>
      <c r="E722" s="30"/>
      <c r="F722" s="173"/>
      <c r="G722" s="30"/>
      <c r="H722" s="173"/>
      <c r="I722" s="30"/>
      <c r="J722" s="173"/>
      <c r="K722" s="30"/>
    </row>
    <row r="723" spans="1:11" x14ac:dyDescent="0.3">
      <c r="A723" s="177"/>
      <c r="B723" s="199"/>
      <c r="C723" s="30"/>
      <c r="D723" s="173"/>
      <c r="E723" s="30"/>
      <c r="F723" s="173"/>
      <c r="G723" s="30"/>
      <c r="H723" s="173"/>
      <c r="I723" s="30"/>
      <c r="J723" s="173"/>
      <c r="K723" s="30"/>
    </row>
    <row r="724" spans="1:11" x14ac:dyDescent="0.3">
      <c r="A724" s="177"/>
      <c r="B724" s="199"/>
      <c r="C724" s="30"/>
      <c r="D724" s="173"/>
      <c r="E724" s="30"/>
      <c r="F724" s="173"/>
      <c r="G724" s="30"/>
      <c r="H724" s="173"/>
      <c r="I724" s="30"/>
      <c r="J724" s="173"/>
      <c r="K724" s="30"/>
    </row>
    <row r="725" spans="1:11" x14ac:dyDescent="0.3">
      <c r="A725" s="177"/>
      <c r="B725" s="199"/>
      <c r="C725" s="30"/>
      <c r="D725" s="173"/>
      <c r="E725" s="30"/>
      <c r="F725" s="173"/>
      <c r="G725" s="30"/>
      <c r="H725" s="173"/>
      <c r="I725" s="30"/>
      <c r="J725" s="173"/>
      <c r="K725" s="30"/>
    </row>
    <row r="726" spans="1:11" x14ac:dyDescent="0.3">
      <c r="A726" s="177"/>
      <c r="B726" s="199"/>
      <c r="C726" s="30"/>
      <c r="D726" s="173"/>
      <c r="E726" s="30"/>
      <c r="F726" s="173"/>
      <c r="G726" s="30"/>
      <c r="H726" s="173"/>
      <c r="I726" s="30"/>
      <c r="J726" s="173"/>
      <c r="K726" s="30"/>
    </row>
    <row r="727" spans="1:11" x14ac:dyDescent="0.3">
      <c r="A727" s="177"/>
      <c r="B727" s="199"/>
      <c r="C727" s="30"/>
      <c r="D727" s="173"/>
      <c r="E727" s="30"/>
      <c r="F727" s="173"/>
      <c r="G727" s="30"/>
      <c r="H727" s="173"/>
      <c r="I727" s="30"/>
      <c r="J727" s="173"/>
      <c r="K727" s="30"/>
    </row>
    <row r="728" spans="1:11" x14ac:dyDescent="0.3">
      <c r="A728" s="177"/>
      <c r="B728" s="199"/>
      <c r="C728" s="30"/>
      <c r="D728" s="173"/>
      <c r="E728" s="30"/>
      <c r="F728" s="173"/>
      <c r="G728" s="30"/>
      <c r="H728" s="173"/>
      <c r="I728" s="30"/>
      <c r="J728" s="173"/>
      <c r="K728" s="30"/>
    </row>
    <row r="729" spans="1:11" x14ac:dyDescent="0.3">
      <c r="A729" s="177"/>
      <c r="B729" s="199"/>
      <c r="C729" s="30"/>
      <c r="D729" s="173"/>
      <c r="E729" s="30"/>
      <c r="F729" s="173"/>
      <c r="G729" s="30"/>
      <c r="H729" s="173"/>
      <c r="I729" s="30"/>
      <c r="J729" s="173"/>
      <c r="K729" s="30"/>
    </row>
    <row r="730" spans="1:11" x14ac:dyDescent="0.3">
      <c r="A730" s="177"/>
      <c r="B730" s="199"/>
      <c r="C730" s="30"/>
      <c r="D730" s="173"/>
      <c r="E730" s="30"/>
      <c r="F730" s="173"/>
      <c r="G730" s="30"/>
      <c r="H730" s="173"/>
      <c r="I730" s="30"/>
      <c r="J730" s="173"/>
      <c r="K730" s="30"/>
    </row>
    <row r="731" spans="1:11" x14ac:dyDescent="0.3">
      <c r="A731" s="177"/>
      <c r="B731" s="199"/>
      <c r="C731" s="30"/>
      <c r="D731" s="173"/>
      <c r="E731" s="30"/>
      <c r="F731" s="173"/>
      <c r="G731" s="30"/>
      <c r="H731" s="173"/>
      <c r="I731" s="30"/>
      <c r="J731" s="173"/>
      <c r="K731" s="30"/>
    </row>
    <row r="732" spans="1:11" x14ac:dyDescent="0.3">
      <c r="A732" s="177"/>
      <c r="B732" s="199"/>
      <c r="C732" s="30"/>
      <c r="D732" s="173"/>
      <c r="E732" s="30"/>
      <c r="F732" s="173"/>
      <c r="G732" s="30"/>
      <c r="H732" s="173"/>
      <c r="I732" s="30"/>
      <c r="J732" s="173"/>
      <c r="K732" s="30"/>
    </row>
    <row r="733" spans="1:11" x14ac:dyDescent="0.3">
      <c r="A733" s="177"/>
      <c r="B733" s="199"/>
      <c r="C733" s="30"/>
      <c r="D733" s="173"/>
      <c r="E733" s="30"/>
      <c r="F733" s="173"/>
      <c r="G733" s="30"/>
      <c r="H733" s="173"/>
      <c r="I733" s="30"/>
      <c r="J733" s="173"/>
      <c r="K733" s="30"/>
    </row>
    <row r="734" spans="1:11" x14ac:dyDescent="0.3">
      <c r="A734" s="177"/>
      <c r="B734" s="199"/>
      <c r="C734" s="30"/>
      <c r="D734" s="173"/>
      <c r="E734" s="30"/>
      <c r="F734" s="173"/>
      <c r="G734" s="30"/>
      <c r="H734" s="173"/>
      <c r="I734" s="30"/>
      <c r="J734" s="173"/>
      <c r="K734" s="30"/>
    </row>
    <row r="735" spans="1:11" x14ac:dyDescent="0.3">
      <c r="A735" s="177"/>
      <c r="B735" s="199"/>
      <c r="C735" s="30"/>
      <c r="D735" s="173"/>
      <c r="E735" s="30"/>
      <c r="F735" s="173"/>
      <c r="G735" s="30"/>
      <c r="H735" s="173"/>
      <c r="I735" s="30"/>
      <c r="J735" s="173"/>
      <c r="K735" s="30"/>
    </row>
    <row r="736" spans="1:11" x14ac:dyDescent="0.3">
      <c r="A736" s="177"/>
      <c r="B736" s="199"/>
      <c r="C736" s="30"/>
      <c r="D736" s="173"/>
      <c r="E736" s="30"/>
      <c r="F736" s="173"/>
      <c r="G736" s="30"/>
      <c r="H736" s="173"/>
      <c r="I736" s="30"/>
      <c r="J736" s="173"/>
      <c r="K736" s="30"/>
    </row>
    <row r="737" spans="1:11" x14ac:dyDescent="0.3">
      <c r="A737" s="177"/>
      <c r="B737" s="199"/>
      <c r="C737" s="30"/>
      <c r="D737" s="173"/>
      <c r="E737" s="30"/>
      <c r="F737" s="173"/>
      <c r="G737" s="30"/>
      <c r="H737" s="173"/>
      <c r="I737" s="30"/>
      <c r="J737" s="173"/>
      <c r="K737" s="30"/>
    </row>
    <row r="738" spans="1:11" x14ac:dyDescent="0.3">
      <c r="A738" s="177"/>
      <c r="B738" s="199"/>
      <c r="C738" s="30"/>
      <c r="D738" s="173"/>
      <c r="E738" s="30"/>
      <c r="F738" s="173"/>
      <c r="G738" s="30"/>
      <c r="H738" s="173"/>
      <c r="I738" s="30"/>
      <c r="J738" s="173"/>
      <c r="K738" s="30"/>
    </row>
    <row r="739" spans="1:11" x14ac:dyDescent="0.3">
      <c r="A739" s="177"/>
      <c r="B739" s="199"/>
      <c r="C739" s="30"/>
      <c r="D739" s="173"/>
      <c r="E739" s="30"/>
      <c r="F739" s="173"/>
      <c r="G739" s="30"/>
      <c r="H739" s="173"/>
      <c r="I739" s="30"/>
      <c r="J739" s="173"/>
      <c r="K739" s="30"/>
    </row>
    <row r="740" spans="1:11" x14ac:dyDescent="0.3">
      <c r="A740" s="177"/>
      <c r="B740" s="199"/>
      <c r="C740" s="30"/>
      <c r="D740" s="173"/>
      <c r="E740" s="30"/>
      <c r="F740" s="173"/>
      <c r="G740" s="30"/>
      <c r="H740" s="173"/>
      <c r="I740" s="30"/>
      <c r="J740" s="173"/>
      <c r="K740" s="30"/>
    </row>
    <row r="741" spans="1:11" x14ac:dyDescent="0.3">
      <c r="A741" s="177"/>
      <c r="B741" s="199"/>
      <c r="C741" s="30"/>
      <c r="D741" s="173"/>
      <c r="E741" s="30"/>
      <c r="F741" s="173"/>
      <c r="G741" s="30"/>
      <c r="H741" s="173"/>
      <c r="I741" s="30"/>
      <c r="J741" s="173"/>
      <c r="K741" s="30"/>
    </row>
    <row r="742" spans="1:11" x14ac:dyDescent="0.3">
      <c r="A742" s="177"/>
      <c r="B742" s="199"/>
      <c r="C742" s="30"/>
      <c r="D742" s="173"/>
      <c r="E742" s="30"/>
      <c r="F742" s="173"/>
      <c r="G742" s="30"/>
      <c r="H742" s="173"/>
      <c r="I742" s="30"/>
      <c r="J742" s="173"/>
      <c r="K742" s="30"/>
    </row>
    <row r="743" spans="1:11" x14ac:dyDescent="0.3">
      <c r="A743" s="177"/>
      <c r="B743" s="199"/>
      <c r="C743" s="30"/>
      <c r="D743" s="173"/>
      <c r="E743" s="30"/>
      <c r="F743" s="173"/>
      <c r="G743" s="30"/>
      <c r="H743" s="173"/>
      <c r="I743" s="30"/>
      <c r="J743" s="173"/>
      <c r="K743" s="30"/>
    </row>
    <row r="744" spans="1:11" x14ac:dyDescent="0.3">
      <c r="A744" s="177"/>
      <c r="B744" s="199"/>
      <c r="C744" s="30"/>
      <c r="D744" s="173"/>
      <c r="E744" s="30"/>
      <c r="F744" s="173"/>
      <c r="G744" s="30"/>
      <c r="H744" s="173"/>
      <c r="I744" s="30"/>
      <c r="J744" s="173"/>
      <c r="K744" s="30"/>
    </row>
    <row r="745" spans="1:11" x14ac:dyDescent="0.3">
      <c r="A745" s="177"/>
      <c r="B745" s="199"/>
      <c r="C745" s="30"/>
      <c r="D745" s="173"/>
      <c r="E745" s="30"/>
      <c r="F745" s="173"/>
      <c r="G745" s="30"/>
      <c r="H745" s="173"/>
      <c r="I745" s="30"/>
      <c r="J745" s="173"/>
      <c r="K745" s="30"/>
    </row>
    <row r="746" spans="1:11" x14ac:dyDescent="0.3">
      <c r="A746" s="177"/>
      <c r="B746" s="199"/>
      <c r="C746" s="30"/>
      <c r="D746" s="173"/>
      <c r="E746" s="30"/>
      <c r="F746" s="173"/>
      <c r="G746" s="30"/>
      <c r="H746" s="173"/>
      <c r="I746" s="30"/>
      <c r="J746" s="173"/>
      <c r="K746" s="30"/>
    </row>
    <row r="747" spans="1:11" x14ac:dyDescent="0.3">
      <c r="A747" s="177"/>
      <c r="B747" s="199"/>
      <c r="C747" s="30"/>
      <c r="D747" s="173"/>
      <c r="E747" s="30"/>
      <c r="F747" s="173"/>
      <c r="G747" s="30"/>
      <c r="H747" s="173"/>
      <c r="I747" s="30"/>
      <c r="J747" s="173"/>
      <c r="K747" s="30"/>
    </row>
    <row r="748" spans="1:11" x14ac:dyDescent="0.3">
      <c r="A748" s="177"/>
      <c r="B748" s="199"/>
      <c r="C748" s="30"/>
      <c r="D748" s="173"/>
      <c r="E748" s="30"/>
      <c r="F748" s="173"/>
      <c r="G748" s="30"/>
      <c r="H748" s="173"/>
      <c r="I748" s="30"/>
      <c r="J748" s="173"/>
      <c r="K748" s="30"/>
    </row>
    <row r="749" spans="1:11" x14ac:dyDescent="0.3">
      <c r="A749" s="177"/>
      <c r="B749" s="199"/>
      <c r="C749" s="30"/>
      <c r="D749" s="173"/>
      <c r="E749" s="30"/>
      <c r="F749" s="173"/>
      <c r="G749" s="30"/>
      <c r="H749" s="173"/>
      <c r="I749" s="30"/>
      <c r="J749" s="173"/>
      <c r="K749" s="30"/>
    </row>
    <row r="750" spans="1:11" x14ac:dyDescent="0.3">
      <c r="A750" s="177"/>
      <c r="B750" s="199"/>
      <c r="C750" s="30"/>
      <c r="D750" s="173"/>
      <c r="E750" s="30"/>
      <c r="F750" s="173"/>
      <c r="G750" s="30"/>
      <c r="H750" s="173"/>
      <c r="I750" s="30"/>
      <c r="J750" s="173"/>
      <c r="K750" s="30"/>
    </row>
    <row r="751" spans="1:11" x14ac:dyDescent="0.3">
      <c r="A751" s="177"/>
      <c r="B751" s="199"/>
      <c r="C751" s="30"/>
      <c r="D751" s="173"/>
      <c r="E751" s="30"/>
      <c r="F751" s="173"/>
      <c r="G751" s="30"/>
      <c r="H751" s="173"/>
      <c r="I751" s="30"/>
      <c r="J751" s="173"/>
      <c r="K751" s="30"/>
    </row>
    <row r="752" spans="1:11" x14ac:dyDescent="0.3">
      <c r="A752" s="177"/>
      <c r="B752" s="199"/>
      <c r="C752" s="30"/>
      <c r="D752" s="173"/>
      <c r="E752" s="30"/>
      <c r="F752" s="173"/>
      <c r="G752" s="30"/>
      <c r="H752" s="173"/>
      <c r="I752" s="30"/>
      <c r="J752" s="173"/>
      <c r="K752" s="30"/>
    </row>
    <row r="753" spans="1:11" x14ac:dyDescent="0.3">
      <c r="A753" s="177"/>
      <c r="B753" s="199"/>
      <c r="C753" s="30"/>
      <c r="D753" s="173"/>
      <c r="E753" s="30"/>
      <c r="F753" s="173"/>
      <c r="G753" s="30"/>
      <c r="H753" s="173"/>
      <c r="I753" s="30"/>
      <c r="J753" s="173"/>
      <c r="K753" s="30"/>
    </row>
    <row r="754" spans="1:11" x14ac:dyDescent="0.3">
      <c r="A754" s="177"/>
      <c r="B754" s="199"/>
      <c r="C754" s="30"/>
      <c r="D754" s="173"/>
      <c r="E754" s="30"/>
      <c r="F754" s="173"/>
      <c r="G754" s="30"/>
      <c r="H754" s="173"/>
      <c r="I754" s="30"/>
      <c r="J754" s="173"/>
      <c r="K754" s="30"/>
    </row>
    <row r="755" spans="1:11" x14ac:dyDescent="0.3">
      <c r="A755" s="177"/>
      <c r="B755" s="199"/>
      <c r="C755" s="30"/>
      <c r="D755" s="173"/>
      <c r="E755" s="30"/>
      <c r="F755" s="173"/>
      <c r="G755" s="30"/>
      <c r="H755" s="173"/>
      <c r="I755" s="30"/>
      <c r="J755" s="173"/>
      <c r="K755" s="30"/>
    </row>
    <row r="756" spans="1:11" x14ac:dyDescent="0.3">
      <c r="A756" s="177"/>
      <c r="B756" s="199"/>
      <c r="C756" s="30"/>
      <c r="D756" s="173"/>
      <c r="E756" s="30"/>
      <c r="F756" s="173"/>
      <c r="G756" s="30"/>
      <c r="H756" s="173"/>
      <c r="I756" s="30"/>
      <c r="J756" s="173"/>
      <c r="K756" s="30"/>
    </row>
    <row r="757" spans="1:11" x14ac:dyDescent="0.3">
      <c r="A757" s="177"/>
      <c r="B757" s="199"/>
      <c r="C757" s="30"/>
      <c r="D757" s="173"/>
      <c r="E757" s="30"/>
      <c r="F757" s="173"/>
      <c r="G757" s="30"/>
      <c r="H757" s="173"/>
      <c r="I757" s="30"/>
      <c r="J757" s="173"/>
      <c r="K757" s="30"/>
    </row>
    <row r="758" spans="1:11" x14ac:dyDescent="0.3">
      <c r="A758" s="177"/>
      <c r="B758" s="199"/>
      <c r="C758" s="30"/>
      <c r="D758" s="173"/>
      <c r="E758" s="30"/>
      <c r="F758" s="173"/>
      <c r="G758" s="30"/>
      <c r="H758" s="173"/>
      <c r="I758" s="30"/>
      <c r="J758" s="173"/>
      <c r="K758" s="30"/>
    </row>
    <row r="759" spans="1:11" x14ac:dyDescent="0.3">
      <c r="A759" s="177"/>
      <c r="B759" s="199"/>
      <c r="C759" s="30"/>
      <c r="D759" s="173"/>
      <c r="E759" s="30"/>
      <c r="F759" s="173"/>
      <c r="G759" s="30"/>
      <c r="H759" s="173"/>
      <c r="I759" s="30"/>
      <c r="J759" s="173"/>
      <c r="K759" s="30"/>
    </row>
    <row r="760" spans="1:11" x14ac:dyDescent="0.3">
      <c r="A760" s="47"/>
      <c r="B760" s="199"/>
      <c r="C760" s="30"/>
      <c r="D760" s="16"/>
      <c r="E760" s="30"/>
      <c r="F760" s="16"/>
      <c r="G760" s="30"/>
      <c r="H760" s="16"/>
      <c r="I760" s="30"/>
      <c r="J760" s="16"/>
      <c r="K760" s="30"/>
    </row>
    <row r="761" spans="1:11" x14ac:dyDescent="0.3">
      <c r="A761" s="47"/>
      <c r="B761" s="199"/>
      <c r="C761" s="30"/>
      <c r="D761" s="16"/>
      <c r="E761" s="30"/>
      <c r="F761" s="16"/>
      <c r="G761" s="30"/>
      <c r="H761" s="16"/>
      <c r="I761" s="30"/>
      <c r="J761" s="16"/>
      <c r="K761" s="30"/>
    </row>
    <row r="762" spans="1:11" x14ac:dyDescent="0.3">
      <c r="A762" s="47"/>
      <c r="B762" s="199"/>
      <c r="C762" s="30"/>
      <c r="D762" s="16"/>
      <c r="E762" s="30"/>
      <c r="F762" s="16"/>
      <c r="G762" s="30"/>
      <c r="H762" s="16"/>
      <c r="I762" s="30"/>
      <c r="J762" s="16"/>
      <c r="K762" s="30"/>
    </row>
    <row r="763" spans="1:11" x14ac:dyDescent="0.3">
      <c r="A763" s="47"/>
      <c r="B763" s="199"/>
    </row>
    <row r="764" spans="1:11" x14ac:dyDescent="0.3">
      <c r="B764" s="199"/>
    </row>
    <row r="765" spans="1:11" x14ac:dyDescent="0.3">
      <c r="B765" s="199"/>
    </row>
    <row r="766" spans="1:11" x14ac:dyDescent="0.3">
      <c r="B766" s="199"/>
    </row>
    <row r="767" spans="1:11" x14ac:dyDescent="0.3">
      <c r="B767" s="199"/>
    </row>
    <row r="768" spans="1:11" x14ac:dyDescent="0.3">
      <c r="B768" s="199"/>
    </row>
    <row r="769" spans="2:2" x14ac:dyDescent="0.3">
      <c r="B769" s="199"/>
    </row>
    <row r="770" spans="2:2" x14ac:dyDescent="0.3">
      <c r="B770" s="199"/>
    </row>
    <row r="771" spans="2:2" x14ac:dyDescent="0.3">
      <c r="B771" s="199"/>
    </row>
    <row r="772" spans="2:2" x14ac:dyDescent="0.3">
      <c r="B772" s="199"/>
    </row>
  </sheetData>
  <mergeCells count="12">
    <mergeCell ref="A19:A20"/>
    <mergeCell ref="D19:E19"/>
    <mergeCell ref="T19:U19"/>
    <mergeCell ref="H19:I19"/>
    <mergeCell ref="J19:K19"/>
    <mergeCell ref="L19:M19"/>
    <mergeCell ref="F19:G19"/>
    <mergeCell ref="B3:D3"/>
    <mergeCell ref="B19:C19"/>
    <mergeCell ref="N19:O19"/>
    <mergeCell ref="P19:Q19"/>
    <mergeCell ref="R19:S19"/>
  </mergeCells>
  <conditionalFormatting sqref="C18:U18">
    <cfRule type="cellIs" dxfId="0" priority="1" operator="greaterThan">
      <formula>0.2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85E-243C-4E7C-96DA-A8E270ED1D7E}">
  <dimension ref="A1:S42"/>
  <sheetViews>
    <sheetView showGridLines="0" zoomScaleNormal="100" workbookViewId="0"/>
  </sheetViews>
  <sheetFormatPr defaultColWidth="8.77734375" defaultRowHeight="13.8" x14ac:dyDescent="0.3"/>
  <cols>
    <col min="1" max="1" width="32.77734375" style="1" bestFit="1" customWidth="1"/>
    <col min="2" max="2" width="14.77734375" style="1" bestFit="1" customWidth="1"/>
    <col min="3" max="3" width="11.5546875" style="1" bestFit="1" customWidth="1"/>
    <col min="4" max="4" width="11.77734375" style="1" bestFit="1" customWidth="1"/>
    <col min="5" max="5" width="11.77734375" style="1" customWidth="1"/>
    <col min="6" max="6" width="13.77734375" style="1" customWidth="1"/>
    <col min="7" max="7" width="16.77734375" style="1" bestFit="1" customWidth="1"/>
    <col min="8" max="8" width="8.77734375" style="1"/>
    <col min="9" max="9" width="15.5546875" style="172" customWidth="1"/>
    <col min="10" max="10" width="14.21875" style="172" customWidth="1"/>
    <col min="11" max="12" width="10.88671875" style="1" bestFit="1" customWidth="1"/>
    <col min="13" max="13" width="12" style="1" customWidth="1"/>
    <col min="14" max="18" width="11.77734375" style="1" bestFit="1" customWidth="1"/>
    <col min="19" max="16384" width="8.77734375" style="1"/>
  </cols>
  <sheetData>
    <row r="1" spans="1:14" x14ac:dyDescent="0.3">
      <c r="A1" s="53" t="s">
        <v>186</v>
      </c>
    </row>
    <row r="2" spans="1:14" x14ac:dyDescent="0.3">
      <c r="A2" s="43" t="str">
        <f>'PepsiCo-IS'!A2</f>
        <v>(in USD million except per Share Data)</v>
      </c>
    </row>
    <row r="3" spans="1:14" x14ac:dyDescent="0.3">
      <c r="A3" s="53" t="s">
        <v>174</v>
      </c>
      <c r="B3" s="137">
        <f>'PepsiCo-CFS'!C3</f>
        <v>12</v>
      </c>
      <c r="C3" s="137">
        <f>'PepsiCo-CFS'!D3</f>
        <v>12</v>
      </c>
      <c r="D3" s="137">
        <f>'PepsiCo-CFS'!E3</f>
        <v>12</v>
      </c>
      <c r="E3" s="137">
        <f>'PepsiCo-CFS'!F3</f>
        <v>12</v>
      </c>
      <c r="F3" s="137">
        <f>E3</f>
        <v>12</v>
      </c>
      <c r="H3" s="172"/>
    </row>
    <row r="4" spans="1:14" x14ac:dyDescent="0.3">
      <c r="A4" s="54"/>
      <c r="B4" s="109">
        <f>'PepsiCo-CFS'!C4</f>
        <v>44926</v>
      </c>
      <c r="C4" s="109">
        <f>'PepsiCo-CFS'!D4</f>
        <v>45291</v>
      </c>
      <c r="D4" s="109">
        <f>'PepsiCo-CFS'!E4</f>
        <v>45657</v>
      </c>
      <c r="E4" s="109">
        <f>'PepsiCo-CFS'!F4</f>
        <v>46022</v>
      </c>
      <c r="F4" s="109">
        <f>EOMONTH(E4,12)</f>
        <v>46387</v>
      </c>
      <c r="G4" s="177"/>
      <c r="H4" s="172"/>
    </row>
    <row r="5" spans="1:14" x14ac:dyDescent="0.3">
      <c r="H5" s="172"/>
    </row>
    <row r="6" spans="1:14" x14ac:dyDescent="0.3">
      <c r="A6" s="1" t="s">
        <v>317</v>
      </c>
      <c r="B6" s="174">
        <f>'PepsiCo-CFS'!B28</f>
        <v>12713.236047681872</v>
      </c>
      <c r="C6" s="174">
        <f>'PepsiCo-CFS'!C28</f>
        <v>11585.898751551736</v>
      </c>
      <c r="D6" s="174">
        <f>'PepsiCo-CFS'!D28</f>
        <v>11928.283690787928</v>
      </c>
      <c r="E6" s="174">
        <f>'PepsiCo-CFS'!E28</f>
        <v>12538.551087185349</v>
      </c>
      <c r="F6" s="174">
        <f>'PepsiCo-CFS'!F28</f>
        <v>13135.873267785057</v>
      </c>
      <c r="G6" s="174"/>
      <c r="H6" s="172"/>
    </row>
    <row r="7" spans="1:14" x14ac:dyDescent="0.3">
      <c r="A7" s="1" t="s">
        <v>316</v>
      </c>
      <c r="B7" s="174">
        <f>-'PepsiCo-IS'!J76</f>
        <v>-6239.11293380805</v>
      </c>
      <c r="C7" s="174">
        <f>-'PepsiCo-IS'!K76</f>
        <v>-6705.9163848985982</v>
      </c>
      <c r="D7" s="174">
        <f>-'PepsiCo-IS'!L76</f>
        <v>-7171.5643924245132</v>
      </c>
      <c r="E7" s="174">
        <f>-'PepsiCo-IS'!M76</f>
        <v>-7674.6323666724829</v>
      </c>
      <c r="F7" s="174">
        <f>-'PepsiCo-IS'!N76</f>
        <v>-8221.0483794957581</v>
      </c>
      <c r="G7" s="174"/>
      <c r="H7" s="172"/>
    </row>
    <row r="8" spans="1:14" x14ac:dyDescent="0.3">
      <c r="A8" s="1" t="s">
        <v>175</v>
      </c>
      <c r="B8" s="246">
        <f>-SUMIF($B$15:$B$23,"="&amp;B4,$F$15:$F$23)</f>
        <v>-3872</v>
      </c>
      <c r="C8" s="246">
        <f t="shared" ref="C8:G8" si="0">-SUMIF($B$15:$B$23,"="&amp;C4,$F$15:$F$23)</f>
        <v>-3019</v>
      </c>
      <c r="D8" s="246">
        <f t="shared" si="0"/>
        <v>-2986</v>
      </c>
      <c r="E8" s="246">
        <f t="shared" si="0"/>
        <v>-3258</v>
      </c>
      <c r="F8" s="246">
        <f t="shared" si="0"/>
        <v>-2450</v>
      </c>
      <c r="G8" s="246">
        <f t="shared" si="0"/>
        <v>0</v>
      </c>
      <c r="H8" s="172"/>
    </row>
    <row r="9" spans="1:14" x14ac:dyDescent="0.3">
      <c r="A9" s="175" t="s">
        <v>273</v>
      </c>
      <c r="B9" s="176">
        <f>B6+B7+B8</f>
        <v>2602.1231138738221</v>
      </c>
      <c r="C9" s="176">
        <f t="shared" ref="C9:F9" si="1">C6+C7+C8</f>
        <v>1860.9823666531383</v>
      </c>
      <c r="D9" s="176">
        <f t="shared" si="1"/>
        <v>1770.719298363415</v>
      </c>
      <c r="E9" s="176">
        <f t="shared" si="1"/>
        <v>1605.9187205128665</v>
      </c>
      <c r="F9" s="176">
        <f t="shared" si="1"/>
        <v>2464.8248882892985</v>
      </c>
      <c r="H9" s="172"/>
    </row>
    <row r="10" spans="1:14" x14ac:dyDescent="0.3">
      <c r="A10" s="146" t="s">
        <v>241</v>
      </c>
    </row>
    <row r="12" spans="1:14" x14ac:dyDescent="0.3">
      <c r="J12" s="462" t="s">
        <v>184</v>
      </c>
      <c r="K12" s="462"/>
      <c r="L12" s="462"/>
      <c r="M12" s="462"/>
      <c r="N12" s="462"/>
    </row>
    <row r="13" spans="1:14" x14ac:dyDescent="0.3">
      <c r="A13" s="169" t="s">
        <v>178</v>
      </c>
      <c r="B13" s="218"/>
      <c r="C13" s="170"/>
      <c r="D13" s="170"/>
      <c r="E13" s="170"/>
      <c r="F13" s="466" t="s">
        <v>299</v>
      </c>
      <c r="G13" s="464"/>
      <c r="H13" s="464"/>
      <c r="I13" s="463"/>
      <c r="J13" s="216">
        <f t="shared" ref="J13:N14" si="2">B3</f>
        <v>12</v>
      </c>
      <c r="K13" s="216">
        <f t="shared" si="2"/>
        <v>12</v>
      </c>
      <c r="L13" s="216">
        <f t="shared" si="2"/>
        <v>12</v>
      </c>
      <c r="M13" s="216">
        <f t="shared" si="2"/>
        <v>12</v>
      </c>
      <c r="N13" s="216">
        <f t="shared" si="2"/>
        <v>12</v>
      </c>
    </row>
    <row r="14" spans="1:14" x14ac:dyDescent="0.3">
      <c r="A14" s="170"/>
      <c r="B14" s="218" t="s">
        <v>177</v>
      </c>
      <c r="C14" s="465" t="s">
        <v>176</v>
      </c>
      <c r="D14" s="465"/>
      <c r="E14" s="171" t="s">
        <v>185</v>
      </c>
      <c r="F14" s="467"/>
      <c r="G14" s="172"/>
      <c r="H14" s="172"/>
      <c r="I14" s="463"/>
      <c r="J14" s="217">
        <f t="shared" si="2"/>
        <v>44926</v>
      </c>
      <c r="K14" s="217">
        <f t="shared" si="2"/>
        <v>45291</v>
      </c>
      <c r="L14" s="217">
        <f t="shared" si="2"/>
        <v>45657</v>
      </c>
      <c r="M14" s="217">
        <f t="shared" si="2"/>
        <v>46022</v>
      </c>
      <c r="N14" s="217">
        <f t="shared" si="2"/>
        <v>46387</v>
      </c>
    </row>
    <row r="15" spans="1:14" x14ac:dyDescent="0.3">
      <c r="A15" s="1" t="s">
        <v>268</v>
      </c>
      <c r="B15" s="264">
        <v>44561</v>
      </c>
      <c r="C15" s="178">
        <v>2.1999999999999999E-2</v>
      </c>
      <c r="D15" s="178">
        <v>2.1999999999999999E-2</v>
      </c>
      <c r="E15" s="178">
        <f>AVERAGE(C15:D15)</f>
        <v>2.1999999999999999E-2</v>
      </c>
      <c r="F15" s="173">
        <v>0</v>
      </c>
      <c r="G15" s="172"/>
      <c r="H15" s="172"/>
      <c r="I15" s="174"/>
      <c r="J15" s="247">
        <f>IF($B15&gt;=J$14,$F15*$E15,0)</f>
        <v>0</v>
      </c>
      <c r="K15" s="247">
        <f t="shared" ref="K15:N23" si="3">IF($B15&gt;=K$14,$F15*$E15,0)</f>
        <v>0</v>
      </c>
      <c r="L15" s="247">
        <f t="shared" si="3"/>
        <v>0</v>
      </c>
      <c r="M15" s="247">
        <f t="shared" si="3"/>
        <v>0</v>
      </c>
      <c r="N15" s="247">
        <f t="shared" si="3"/>
        <v>0</v>
      </c>
    </row>
    <row r="16" spans="1:14" x14ac:dyDescent="0.3">
      <c r="A16" s="1" t="s">
        <v>269</v>
      </c>
      <c r="B16" s="264">
        <v>44926</v>
      </c>
      <c r="C16" s="178">
        <v>2.4E-2</v>
      </c>
      <c r="D16" s="178">
        <v>2.5000000000000001E-2</v>
      </c>
      <c r="E16" s="178">
        <f t="shared" ref="E16:E23" si="4">AVERAGE(C16:D16)</f>
        <v>2.4500000000000001E-2</v>
      </c>
      <c r="F16" s="173">
        <v>3868</v>
      </c>
      <c r="G16" s="172"/>
      <c r="H16" s="172"/>
      <c r="I16" s="174"/>
      <c r="J16" s="247">
        <f t="shared" ref="J16:J23" si="5">IF($B16&gt;=J$14,$F16*$E16,0)</f>
        <v>94.766000000000005</v>
      </c>
      <c r="K16" s="247">
        <f t="shared" si="3"/>
        <v>0</v>
      </c>
      <c r="L16" s="247">
        <f t="shared" si="3"/>
        <v>0</v>
      </c>
      <c r="M16" s="247">
        <f t="shared" si="3"/>
        <v>0</v>
      </c>
      <c r="N16" s="247">
        <f t="shared" si="3"/>
        <v>0</v>
      </c>
    </row>
    <row r="17" spans="1:19" x14ac:dyDescent="0.3">
      <c r="A17" s="1" t="s">
        <v>270</v>
      </c>
      <c r="B17" s="264">
        <v>45291</v>
      </c>
      <c r="C17" s="178">
        <v>1.4999999999999999E-2</v>
      </c>
      <c r="D17" s="178">
        <v>1.4999999999999999E-2</v>
      </c>
      <c r="E17" s="178">
        <f t="shared" si="4"/>
        <v>1.4999999999999999E-2</v>
      </c>
      <c r="F17" s="196">
        <v>3019</v>
      </c>
      <c r="G17" s="214"/>
      <c r="H17" s="172"/>
      <c r="I17" s="174"/>
      <c r="J17" s="247">
        <f t="shared" si="5"/>
        <v>45.284999999999997</v>
      </c>
      <c r="K17" s="247">
        <f t="shared" si="3"/>
        <v>45.284999999999997</v>
      </c>
      <c r="L17" s="247">
        <f t="shared" si="3"/>
        <v>0</v>
      </c>
      <c r="M17" s="247">
        <f t="shared" si="3"/>
        <v>0</v>
      </c>
      <c r="N17" s="247">
        <f t="shared" si="3"/>
        <v>0</v>
      </c>
    </row>
    <row r="18" spans="1:19" x14ac:dyDescent="0.3">
      <c r="A18" s="1" t="s">
        <v>271</v>
      </c>
      <c r="B18" s="264">
        <v>45657</v>
      </c>
      <c r="C18" s="178">
        <v>2.1000000000000001E-2</v>
      </c>
      <c r="D18" s="178">
        <v>2.1000000000000001E-2</v>
      </c>
      <c r="E18" s="178">
        <f t="shared" si="4"/>
        <v>2.1000000000000001E-2</v>
      </c>
      <c r="F18" s="196">
        <v>2986</v>
      </c>
      <c r="G18" s="214"/>
      <c r="H18" s="172"/>
      <c r="I18" s="174"/>
      <c r="J18" s="247">
        <f t="shared" si="5"/>
        <v>62.706000000000003</v>
      </c>
      <c r="K18" s="247">
        <f t="shared" si="3"/>
        <v>62.706000000000003</v>
      </c>
      <c r="L18" s="247">
        <f t="shared" si="3"/>
        <v>62.706000000000003</v>
      </c>
      <c r="M18" s="247">
        <f t="shared" si="3"/>
        <v>0</v>
      </c>
      <c r="N18" s="247">
        <f t="shared" si="3"/>
        <v>0</v>
      </c>
    </row>
    <row r="19" spans="1:19" x14ac:dyDescent="0.3">
      <c r="A19" s="1" t="s">
        <v>272</v>
      </c>
      <c r="B19" s="264">
        <v>46022</v>
      </c>
      <c r="C19" s="178">
        <v>2.7E-2</v>
      </c>
      <c r="D19" s="178">
        <v>2.7E-2</v>
      </c>
      <c r="E19" s="178">
        <f t="shared" si="4"/>
        <v>2.7E-2</v>
      </c>
      <c r="F19" s="196">
        <v>3230</v>
      </c>
      <c r="G19" s="214"/>
      <c r="H19" s="172"/>
      <c r="I19" s="174"/>
      <c r="J19" s="247">
        <f t="shared" si="5"/>
        <v>87.21</v>
      </c>
      <c r="K19" s="247">
        <f t="shared" si="3"/>
        <v>87.21</v>
      </c>
      <c r="L19" s="247">
        <f t="shared" si="3"/>
        <v>87.21</v>
      </c>
      <c r="M19" s="247">
        <f t="shared" si="3"/>
        <v>87.21</v>
      </c>
      <c r="N19" s="247">
        <f t="shared" si="3"/>
        <v>0</v>
      </c>
    </row>
    <row r="20" spans="1:19" x14ac:dyDescent="0.3">
      <c r="A20" s="1" t="s">
        <v>293</v>
      </c>
      <c r="B20" s="264">
        <v>46387</v>
      </c>
      <c r="C20" s="178">
        <v>3.2000000000000001E-2</v>
      </c>
      <c r="D20" s="178">
        <v>3.2000000000000001E-2</v>
      </c>
      <c r="E20" s="178">
        <f t="shared" si="4"/>
        <v>3.2000000000000001E-2</v>
      </c>
      <c r="F20" s="196">
        <v>2450</v>
      </c>
      <c r="G20" s="214"/>
      <c r="H20" s="172"/>
      <c r="I20" s="174"/>
      <c r="J20" s="247">
        <f t="shared" si="5"/>
        <v>78.400000000000006</v>
      </c>
      <c r="K20" s="247">
        <f t="shared" si="3"/>
        <v>78.400000000000006</v>
      </c>
      <c r="L20" s="247">
        <f t="shared" si="3"/>
        <v>78.400000000000006</v>
      </c>
      <c r="M20" s="247">
        <f t="shared" si="3"/>
        <v>78.400000000000006</v>
      </c>
      <c r="N20" s="247">
        <f t="shared" si="3"/>
        <v>78.400000000000006</v>
      </c>
    </row>
    <row r="21" spans="1:19" x14ac:dyDescent="0.3">
      <c r="A21" s="1" t="s">
        <v>294</v>
      </c>
      <c r="B21" s="264">
        <v>52596</v>
      </c>
      <c r="C21" s="178">
        <v>2.5999999999999999E-2</v>
      </c>
      <c r="D21" s="178">
        <v>2.8000000000000001E-2</v>
      </c>
      <c r="E21" s="178">
        <f t="shared" si="4"/>
        <v>2.7E-2</v>
      </c>
      <c r="F21" s="196">
        <v>24313</v>
      </c>
      <c r="G21" s="214"/>
      <c r="H21" s="172"/>
      <c r="I21" s="174"/>
      <c r="J21" s="247">
        <f t="shared" si="5"/>
        <v>656.45100000000002</v>
      </c>
      <c r="K21" s="247">
        <f t="shared" si="3"/>
        <v>656.45100000000002</v>
      </c>
      <c r="L21" s="247">
        <f t="shared" si="3"/>
        <v>656.45100000000002</v>
      </c>
      <c r="M21" s="247">
        <f t="shared" si="3"/>
        <v>656.45100000000002</v>
      </c>
      <c r="N21" s="247">
        <f t="shared" si="3"/>
        <v>656.45100000000002</v>
      </c>
    </row>
    <row r="22" spans="1:19" x14ac:dyDescent="0.3">
      <c r="A22" s="1" t="s">
        <v>295</v>
      </c>
      <c r="B22" s="264">
        <v>46022</v>
      </c>
      <c r="C22" s="178">
        <v>1.2999999999999999E-2</v>
      </c>
      <c r="D22" s="178">
        <v>1.2999999999999999E-2</v>
      </c>
      <c r="E22" s="178">
        <f t="shared" si="4"/>
        <v>1.2999999999999999E-2</v>
      </c>
      <c r="F22" s="196">
        <v>28</v>
      </c>
      <c r="G22" s="214"/>
      <c r="H22" s="172"/>
      <c r="I22" s="174"/>
      <c r="J22" s="247">
        <f t="shared" si="5"/>
        <v>0.36399999999999999</v>
      </c>
      <c r="K22" s="247">
        <f t="shared" si="3"/>
        <v>0.36399999999999999</v>
      </c>
      <c r="L22" s="247">
        <f t="shared" si="3"/>
        <v>0.36399999999999999</v>
      </c>
      <c r="M22" s="247">
        <f t="shared" si="3"/>
        <v>0.36399999999999999</v>
      </c>
      <c r="N22" s="247">
        <f t="shared" si="3"/>
        <v>0</v>
      </c>
    </row>
    <row r="23" spans="1:19" x14ac:dyDescent="0.3">
      <c r="A23" s="1" t="s">
        <v>295</v>
      </c>
      <c r="B23" s="264">
        <v>44926</v>
      </c>
      <c r="C23" s="178">
        <v>1.2999999999999999E-2</v>
      </c>
      <c r="D23" s="178">
        <v>1.2999999999999999E-2</v>
      </c>
      <c r="E23" s="178">
        <f t="shared" si="4"/>
        <v>1.2999999999999999E-2</v>
      </c>
      <c r="F23" s="1">
        <v>4</v>
      </c>
      <c r="G23" s="172"/>
      <c r="H23" s="172"/>
      <c r="I23" s="1"/>
      <c r="J23" s="247">
        <f t="shared" si="5"/>
        <v>5.1999999999999998E-2</v>
      </c>
      <c r="K23" s="247">
        <f t="shared" si="3"/>
        <v>0</v>
      </c>
      <c r="L23" s="247">
        <f t="shared" si="3"/>
        <v>0</v>
      </c>
      <c r="M23" s="247">
        <f t="shared" si="3"/>
        <v>0</v>
      </c>
      <c r="N23" s="247">
        <f t="shared" si="3"/>
        <v>0</v>
      </c>
    </row>
    <row r="24" spans="1:19" ht="14.4" thickBot="1" x14ac:dyDescent="0.35">
      <c r="A24" s="175" t="s">
        <v>242</v>
      </c>
      <c r="E24" s="179"/>
      <c r="F24" s="180">
        <f>SUM(F15:F23)</f>
        <v>39898</v>
      </c>
      <c r="G24" s="176"/>
      <c r="H24" s="176"/>
      <c r="I24" s="176"/>
      <c r="J24" s="180">
        <f>SUM(J15:J23)</f>
        <v>1025.2339999999999</v>
      </c>
      <c r="K24" s="180">
        <f t="shared" ref="K24:N24" si="6">SUM(K15:K23)</f>
        <v>930.41600000000005</v>
      </c>
      <c r="L24" s="180">
        <f t="shared" si="6"/>
        <v>885.13100000000009</v>
      </c>
      <c r="M24" s="180">
        <f t="shared" si="6"/>
        <v>822.42500000000007</v>
      </c>
      <c r="N24" s="180">
        <f t="shared" si="6"/>
        <v>734.851</v>
      </c>
      <c r="S24" s="176"/>
    </row>
    <row r="25" spans="1:19" ht="14.4" thickTop="1" x14ac:dyDescent="0.3">
      <c r="A25" s="175"/>
      <c r="E25" s="179">
        <f>AVERAGE(E15:E23)</f>
        <v>2.1611111111111116E-2</v>
      </c>
      <c r="F25" s="173"/>
      <c r="G25" s="215"/>
      <c r="H25" s="215"/>
      <c r="I25" s="215"/>
    </row>
    <row r="27" spans="1:19" ht="14.4" thickBot="1" x14ac:dyDescent="0.35">
      <c r="A27" s="175" t="s">
        <v>243</v>
      </c>
      <c r="F27" s="180">
        <f>400+36</f>
        <v>436</v>
      </c>
      <c r="H27" s="175"/>
      <c r="I27" s="176"/>
      <c r="J27" s="265"/>
      <c r="K27" s="265"/>
      <c r="L27" s="265"/>
      <c r="M27" s="265"/>
      <c r="N27" s="265"/>
    </row>
    <row r="28" spans="1:19" ht="14.4" thickTop="1" x14ac:dyDescent="0.3">
      <c r="J28" s="266"/>
      <c r="K28" s="266"/>
      <c r="L28" s="266"/>
      <c r="M28" s="266"/>
      <c r="N28" s="266"/>
    </row>
    <row r="29" spans="1:19" x14ac:dyDescent="0.3">
      <c r="A29" s="169" t="s">
        <v>179</v>
      </c>
      <c r="B29" s="181">
        <f t="shared" ref="B29:F30" si="7">B3</f>
        <v>12</v>
      </c>
      <c r="C29" s="181">
        <f t="shared" si="7"/>
        <v>12</v>
      </c>
      <c r="D29" s="181">
        <f t="shared" si="7"/>
        <v>12</v>
      </c>
      <c r="E29" s="181">
        <f t="shared" si="7"/>
        <v>12</v>
      </c>
      <c r="F29" s="181">
        <f t="shared" si="7"/>
        <v>12</v>
      </c>
      <c r="J29" s="178"/>
    </row>
    <row r="30" spans="1:19" x14ac:dyDescent="0.3">
      <c r="A30" s="175"/>
      <c r="B30" s="109">
        <f t="shared" si="7"/>
        <v>44926</v>
      </c>
      <c r="C30" s="109">
        <f t="shared" si="7"/>
        <v>45291</v>
      </c>
      <c r="D30" s="109">
        <f t="shared" si="7"/>
        <v>45657</v>
      </c>
      <c r="E30" s="109">
        <f t="shared" si="7"/>
        <v>46022</v>
      </c>
      <c r="F30" s="109">
        <f t="shared" si="7"/>
        <v>46387</v>
      </c>
    </row>
    <row r="31" spans="1:19" x14ac:dyDescent="0.3">
      <c r="A31" s="1" t="s">
        <v>180</v>
      </c>
      <c r="B31" s="173">
        <f>F27</f>
        <v>436</v>
      </c>
      <c r="C31" s="173">
        <f>B34</f>
        <v>0</v>
      </c>
      <c r="D31" s="173">
        <f t="shared" ref="D31:F31" si="8">C34</f>
        <v>0</v>
      </c>
      <c r="E31" s="173">
        <f t="shared" si="8"/>
        <v>0</v>
      </c>
      <c r="F31" s="173">
        <f t="shared" si="8"/>
        <v>0</v>
      </c>
    </row>
    <row r="32" spans="1:19" x14ac:dyDescent="0.3">
      <c r="A32" s="1" t="s">
        <v>181</v>
      </c>
      <c r="B32" s="196">
        <f>IF(B9&lt;0,-B9,0)</f>
        <v>0</v>
      </c>
      <c r="C32" s="196">
        <f t="shared" ref="C32:F32" si="9">IF(C9&lt;0,-C9,0)</f>
        <v>0</v>
      </c>
      <c r="D32" s="196">
        <f t="shared" si="9"/>
        <v>0</v>
      </c>
      <c r="E32" s="196">
        <f t="shared" si="9"/>
        <v>0</v>
      </c>
      <c r="F32" s="196">
        <f t="shared" si="9"/>
        <v>0</v>
      </c>
    </row>
    <row r="33" spans="1:10" x14ac:dyDescent="0.3">
      <c r="A33" s="1" t="s">
        <v>182</v>
      </c>
      <c r="B33" s="196">
        <f>-IF(B9&gt;0,MIN(B31,B9),0)</f>
        <v>-436</v>
      </c>
      <c r="C33" s="196">
        <f t="shared" ref="C33:F33" si="10">-IF(C9&gt;0,MIN(C31,C9),0)</f>
        <v>0</v>
      </c>
      <c r="D33" s="196">
        <f t="shared" si="10"/>
        <v>0</v>
      </c>
      <c r="E33" s="196">
        <f t="shared" si="10"/>
        <v>0</v>
      </c>
      <c r="F33" s="196">
        <f t="shared" si="10"/>
        <v>0</v>
      </c>
    </row>
    <row r="34" spans="1:10" ht="14.4" thickBot="1" x14ac:dyDescent="0.35">
      <c r="A34" s="182" t="s">
        <v>183</v>
      </c>
      <c r="B34" s="182">
        <f>B31+B32+B33</f>
        <v>0</v>
      </c>
      <c r="C34" s="182">
        <f t="shared" ref="C34:F34" si="11">C31+C32+C33</f>
        <v>0</v>
      </c>
      <c r="D34" s="182">
        <f t="shared" si="11"/>
        <v>0</v>
      </c>
      <c r="E34" s="182">
        <f t="shared" si="11"/>
        <v>0</v>
      </c>
      <c r="F34" s="182">
        <f t="shared" si="11"/>
        <v>0</v>
      </c>
    </row>
    <row r="35" spans="1:10" ht="14.4" thickTop="1" x14ac:dyDescent="0.3"/>
    <row r="36" spans="1:10" x14ac:dyDescent="0.3">
      <c r="A36" s="1" t="s">
        <v>176</v>
      </c>
      <c r="B36" s="183">
        <v>2.9862385321100917E-3</v>
      </c>
      <c r="H36" s="191"/>
      <c r="I36" s="191"/>
      <c r="J36" s="403"/>
    </row>
    <row r="37" spans="1:10" x14ac:dyDescent="0.3">
      <c r="H37" s="191"/>
      <c r="I37" s="191"/>
      <c r="J37" s="403"/>
    </row>
    <row r="38" spans="1:10" x14ac:dyDescent="0.3">
      <c r="A38" s="1" t="s">
        <v>184</v>
      </c>
      <c r="B38" s="184">
        <f>B31*$B36</f>
        <v>1.302</v>
      </c>
      <c r="C38" s="184">
        <f t="shared" ref="C38:F38" si="12">C31*$B36</f>
        <v>0</v>
      </c>
      <c r="D38" s="184">
        <f t="shared" si="12"/>
        <v>0</v>
      </c>
      <c r="E38" s="184">
        <f t="shared" si="12"/>
        <v>0</v>
      </c>
      <c r="F38" s="184">
        <f t="shared" si="12"/>
        <v>0</v>
      </c>
    </row>
    <row r="40" spans="1:10" x14ac:dyDescent="0.3">
      <c r="A40" s="251" t="s">
        <v>275</v>
      </c>
      <c r="B40" s="245">
        <f>B34+SUMIF($B$15:$B$23,"&gt;"&amp;B30,$F$15:$F$23)</f>
        <v>36026</v>
      </c>
      <c r="C40" s="245">
        <f t="shared" ref="C40:F40" si="13">C34+SUMIF($B$15:$B$23,"&gt;"&amp;C30,$F$15:$F$23)</f>
        <v>33007</v>
      </c>
      <c r="D40" s="245">
        <f t="shared" si="13"/>
        <v>30021</v>
      </c>
      <c r="E40" s="245">
        <f t="shared" si="13"/>
        <v>26763</v>
      </c>
      <c r="F40" s="245">
        <f t="shared" si="13"/>
        <v>24313</v>
      </c>
    </row>
    <row r="41" spans="1:10" x14ac:dyDescent="0.3">
      <c r="A41" s="252" t="s">
        <v>276</v>
      </c>
      <c r="B41" s="174">
        <f>B40-B42</f>
        <v>33007</v>
      </c>
      <c r="C41" s="174">
        <f t="shared" ref="C41:F41" si="14">C40-C42</f>
        <v>30021</v>
      </c>
      <c r="D41" s="174">
        <f t="shared" si="14"/>
        <v>26763</v>
      </c>
      <c r="E41" s="174">
        <f t="shared" si="14"/>
        <v>24313</v>
      </c>
      <c r="F41" s="174">
        <f t="shared" si="14"/>
        <v>24313</v>
      </c>
    </row>
    <row r="42" spans="1:10" x14ac:dyDescent="0.3">
      <c r="A42" s="253" t="s">
        <v>277</v>
      </c>
      <c r="B42" s="254">
        <f>-C8</f>
        <v>3019</v>
      </c>
      <c r="C42" s="254">
        <f t="shared" ref="C42:F42" si="15">-D8</f>
        <v>2986</v>
      </c>
      <c r="D42" s="254">
        <f t="shared" si="15"/>
        <v>3258</v>
      </c>
      <c r="E42" s="254">
        <f t="shared" si="15"/>
        <v>2450</v>
      </c>
      <c r="F42" s="254">
        <f t="shared" si="15"/>
        <v>0</v>
      </c>
    </row>
  </sheetData>
  <mergeCells count="5">
    <mergeCell ref="J12:N12"/>
    <mergeCell ref="I13:I14"/>
    <mergeCell ref="G13:H13"/>
    <mergeCell ref="C14:D14"/>
    <mergeCell ref="F13:F14"/>
  </mergeCells>
  <phoneticPr fontId="31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L87"/>
  <sheetViews>
    <sheetView showGridLines="0" zoomScaleNormal="100" workbookViewId="0">
      <pane xSplit="1" ySplit="3" topLeftCell="B4" activePane="bottomRight" state="frozen"/>
      <selection activeCell="I9" sqref="I9"/>
      <selection pane="topRight" activeCell="I9" sqref="I9"/>
      <selection pane="bottomLeft" activeCell="I9" sqref="I9"/>
      <selection pane="bottomRight" activeCell="A3" sqref="A3"/>
    </sheetView>
  </sheetViews>
  <sheetFormatPr defaultColWidth="8.77734375" defaultRowHeight="13.8" outlineLevelRow="1" x14ac:dyDescent="0.25"/>
  <cols>
    <col min="1" max="1" width="45.77734375" style="5" customWidth="1"/>
    <col min="2" max="5" width="16.44140625" style="5" customWidth="1"/>
    <col min="6" max="6" width="20.33203125" style="5" bestFit="1" customWidth="1"/>
    <col min="7" max="10" width="11.109375" style="5" bestFit="1" customWidth="1"/>
    <col min="11" max="11" width="15.6640625" style="5" bestFit="1" customWidth="1"/>
    <col min="12" max="12" width="10.5546875" style="5" bestFit="1" customWidth="1"/>
    <col min="13" max="255" width="8.77734375" style="5"/>
    <col min="256" max="256" width="45.77734375" style="5" customWidth="1"/>
    <col min="257" max="261" width="14.77734375" style="5" customWidth="1"/>
    <col min="262" max="262" width="8.5546875" style="5" bestFit="1" customWidth="1"/>
    <col min="263" max="266" width="8.77734375" style="5" bestFit="1" customWidth="1"/>
    <col min="267" max="511" width="8.77734375" style="5"/>
    <col min="512" max="512" width="45.77734375" style="5" customWidth="1"/>
    <col min="513" max="517" width="14.77734375" style="5" customWidth="1"/>
    <col min="518" max="518" width="8.5546875" style="5" bestFit="1" customWidth="1"/>
    <col min="519" max="522" width="8.77734375" style="5" bestFit="1" customWidth="1"/>
    <col min="523" max="767" width="8.77734375" style="5"/>
    <col min="768" max="768" width="45.77734375" style="5" customWidth="1"/>
    <col min="769" max="773" width="14.77734375" style="5" customWidth="1"/>
    <col min="774" max="774" width="8.5546875" style="5" bestFit="1" customWidth="1"/>
    <col min="775" max="778" width="8.77734375" style="5" bestFit="1" customWidth="1"/>
    <col min="779" max="1023" width="8.77734375" style="5"/>
    <col min="1024" max="1024" width="45.77734375" style="5" customWidth="1"/>
    <col min="1025" max="1029" width="14.77734375" style="5" customWidth="1"/>
    <col min="1030" max="1030" width="8.5546875" style="5" bestFit="1" customWidth="1"/>
    <col min="1031" max="1034" width="8.77734375" style="5" bestFit="1" customWidth="1"/>
    <col min="1035" max="1279" width="8.77734375" style="5"/>
    <col min="1280" max="1280" width="45.77734375" style="5" customWidth="1"/>
    <col min="1281" max="1285" width="14.77734375" style="5" customWidth="1"/>
    <col min="1286" max="1286" width="8.5546875" style="5" bestFit="1" customWidth="1"/>
    <col min="1287" max="1290" width="8.77734375" style="5" bestFit="1" customWidth="1"/>
    <col min="1291" max="1535" width="8.77734375" style="5"/>
    <col min="1536" max="1536" width="45.77734375" style="5" customWidth="1"/>
    <col min="1537" max="1541" width="14.77734375" style="5" customWidth="1"/>
    <col min="1542" max="1542" width="8.5546875" style="5" bestFit="1" customWidth="1"/>
    <col min="1543" max="1546" width="8.77734375" style="5" bestFit="1" customWidth="1"/>
    <col min="1547" max="1791" width="8.77734375" style="5"/>
    <col min="1792" max="1792" width="45.77734375" style="5" customWidth="1"/>
    <col min="1793" max="1797" width="14.77734375" style="5" customWidth="1"/>
    <col min="1798" max="1798" width="8.5546875" style="5" bestFit="1" customWidth="1"/>
    <col min="1799" max="1802" width="8.77734375" style="5" bestFit="1" customWidth="1"/>
    <col min="1803" max="2047" width="8.77734375" style="5"/>
    <col min="2048" max="2048" width="45.77734375" style="5" customWidth="1"/>
    <col min="2049" max="2053" width="14.77734375" style="5" customWidth="1"/>
    <col min="2054" max="2054" width="8.5546875" style="5" bestFit="1" customWidth="1"/>
    <col min="2055" max="2058" width="8.77734375" style="5" bestFit="1" customWidth="1"/>
    <col min="2059" max="2303" width="8.77734375" style="5"/>
    <col min="2304" max="2304" width="45.77734375" style="5" customWidth="1"/>
    <col min="2305" max="2309" width="14.77734375" style="5" customWidth="1"/>
    <col min="2310" max="2310" width="8.5546875" style="5" bestFit="1" customWidth="1"/>
    <col min="2311" max="2314" width="8.77734375" style="5" bestFit="1" customWidth="1"/>
    <col min="2315" max="2559" width="8.77734375" style="5"/>
    <col min="2560" max="2560" width="45.77734375" style="5" customWidth="1"/>
    <col min="2561" max="2565" width="14.77734375" style="5" customWidth="1"/>
    <col min="2566" max="2566" width="8.5546875" style="5" bestFit="1" customWidth="1"/>
    <col min="2567" max="2570" width="8.77734375" style="5" bestFit="1" customWidth="1"/>
    <col min="2571" max="2815" width="8.77734375" style="5"/>
    <col min="2816" max="2816" width="45.77734375" style="5" customWidth="1"/>
    <col min="2817" max="2821" width="14.77734375" style="5" customWidth="1"/>
    <col min="2822" max="2822" width="8.5546875" style="5" bestFit="1" customWidth="1"/>
    <col min="2823" max="2826" width="8.77734375" style="5" bestFit="1" customWidth="1"/>
    <col min="2827" max="3071" width="8.77734375" style="5"/>
    <col min="3072" max="3072" width="45.77734375" style="5" customWidth="1"/>
    <col min="3073" max="3077" width="14.77734375" style="5" customWidth="1"/>
    <col min="3078" max="3078" width="8.5546875" style="5" bestFit="1" customWidth="1"/>
    <col min="3079" max="3082" width="8.77734375" style="5" bestFit="1" customWidth="1"/>
    <col min="3083" max="3327" width="8.77734375" style="5"/>
    <col min="3328" max="3328" width="45.77734375" style="5" customWidth="1"/>
    <col min="3329" max="3333" width="14.77734375" style="5" customWidth="1"/>
    <col min="3334" max="3334" width="8.5546875" style="5" bestFit="1" customWidth="1"/>
    <col min="3335" max="3338" width="8.77734375" style="5" bestFit="1" customWidth="1"/>
    <col min="3339" max="3583" width="8.77734375" style="5"/>
    <col min="3584" max="3584" width="45.77734375" style="5" customWidth="1"/>
    <col min="3585" max="3589" width="14.77734375" style="5" customWidth="1"/>
    <col min="3590" max="3590" width="8.5546875" style="5" bestFit="1" customWidth="1"/>
    <col min="3591" max="3594" width="8.77734375" style="5" bestFit="1" customWidth="1"/>
    <col min="3595" max="3839" width="8.77734375" style="5"/>
    <col min="3840" max="3840" width="45.77734375" style="5" customWidth="1"/>
    <col min="3841" max="3845" width="14.77734375" style="5" customWidth="1"/>
    <col min="3846" max="3846" width="8.5546875" style="5" bestFit="1" customWidth="1"/>
    <col min="3847" max="3850" width="8.77734375" style="5" bestFit="1" customWidth="1"/>
    <col min="3851" max="4095" width="8.77734375" style="5"/>
    <col min="4096" max="4096" width="45.77734375" style="5" customWidth="1"/>
    <col min="4097" max="4101" width="14.77734375" style="5" customWidth="1"/>
    <col min="4102" max="4102" width="8.5546875" style="5" bestFit="1" customWidth="1"/>
    <col min="4103" max="4106" width="8.77734375" style="5" bestFit="1" customWidth="1"/>
    <col min="4107" max="4351" width="8.77734375" style="5"/>
    <col min="4352" max="4352" width="45.77734375" style="5" customWidth="1"/>
    <col min="4353" max="4357" width="14.77734375" style="5" customWidth="1"/>
    <col min="4358" max="4358" width="8.5546875" style="5" bestFit="1" customWidth="1"/>
    <col min="4359" max="4362" width="8.77734375" style="5" bestFit="1" customWidth="1"/>
    <col min="4363" max="4607" width="8.77734375" style="5"/>
    <col min="4608" max="4608" width="45.77734375" style="5" customWidth="1"/>
    <col min="4609" max="4613" width="14.77734375" style="5" customWidth="1"/>
    <col min="4614" max="4614" width="8.5546875" style="5" bestFit="1" customWidth="1"/>
    <col min="4615" max="4618" width="8.77734375" style="5" bestFit="1" customWidth="1"/>
    <col min="4619" max="4863" width="8.77734375" style="5"/>
    <col min="4864" max="4864" width="45.77734375" style="5" customWidth="1"/>
    <col min="4865" max="4869" width="14.77734375" style="5" customWidth="1"/>
    <col min="4870" max="4870" width="8.5546875" style="5" bestFit="1" customWidth="1"/>
    <col min="4871" max="4874" width="8.77734375" style="5" bestFit="1" customWidth="1"/>
    <col min="4875" max="5119" width="8.77734375" style="5"/>
    <col min="5120" max="5120" width="45.77734375" style="5" customWidth="1"/>
    <col min="5121" max="5125" width="14.77734375" style="5" customWidth="1"/>
    <col min="5126" max="5126" width="8.5546875" style="5" bestFit="1" customWidth="1"/>
    <col min="5127" max="5130" width="8.77734375" style="5" bestFit="1" customWidth="1"/>
    <col min="5131" max="5375" width="8.77734375" style="5"/>
    <col min="5376" max="5376" width="45.77734375" style="5" customWidth="1"/>
    <col min="5377" max="5381" width="14.77734375" style="5" customWidth="1"/>
    <col min="5382" max="5382" width="8.5546875" style="5" bestFit="1" customWidth="1"/>
    <col min="5383" max="5386" width="8.77734375" style="5" bestFit="1" customWidth="1"/>
    <col min="5387" max="5631" width="8.77734375" style="5"/>
    <col min="5632" max="5632" width="45.77734375" style="5" customWidth="1"/>
    <col min="5633" max="5637" width="14.77734375" style="5" customWidth="1"/>
    <col min="5638" max="5638" width="8.5546875" style="5" bestFit="1" customWidth="1"/>
    <col min="5639" max="5642" width="8.77734375" style="5" bestFit="1" customWidth="1"/>
    <col min="5643" max="5887" width="8.77734375" style="5"/>
    <col min="5888" max="5888" width="45.77734375" style="5" customWidth="1"/>
    <col min="5889" max="5893" width="14.77734375" style="5" customWidth="1"/>
    <col min="5894" max="5894" width="8.5546875" style="5" bestFit="1" customWidth="1"/>
    <col min="5895" max="5898" width="8.77734375" style="5" bestFit="1" customWidth="1"/>
    <col min="5899" max="6143" width="8.77734375" style="5"/>
    <col min="6144" max="6144" width="45.77734375" style="5" customWidth="1"/>
    <col min="6145" max="6149" width="14.77734375" style="5" customWidth="1"/>
    <col min="6150" max="6150" width="8.5546875" style="5" bestFit="1" customWidth="1"/>
    <col min="6151" max="6154" width="8.77734375" style="5" bestFit="1" customWidth="1"/>
    <col min="6155" max="6399" width="8.77734375" style="5"/>
    <col min="6400" max="6400" width="45.77734375" style="5" customWidth="1"/>
    <col min="6401" max="6405" width="14.77734375" style="5" customWidth="1"/>
    <col min="6406" max="6406" width="8.5546875" style="5" bestFit="1" customWidth="1"/>
    <col min="6407" max="6410" width="8.77734375" style="5" bestFit="1" customWidth="1"/>
    <col min="6411" max="6655" width="8.77734375" style="5"/>
    <col min="6656" max="6656" width="45.77734375" style="5" customWidth="1"/>
    <col min="6657" max="6661" width="14.77734375" style="5" customWidth="1"/>
    <col min="6662" max="6662" width="8.5546875" style="5" bestFit="1" customWidth="1"/>
    <col min="6663" max="6666" width="8.77734375" style="5" bestFit="1" customWidth="1"/>
    <col min="6667" max="6911" width="8.77734375" style="5"/>
    <col min="6912" max="6912" width="45.77734375" style="5" customWidth="1"/>
    <col min="6913" max="6917" width="14.77734375" style="5" customWidth="1"/>
    <col min="6918" max="6918" width="8.5546875" style="5" bestFit="1" customWidth="1"/>
    <col min="6919" max="6922" width="8.77734375" style="5" bestFit="1" customWidth="1"/>
    <col min="6923" max="7167" width="8.77734375" style="5"/>
    <col min="7168" max="7168" width="45.77734375" style="5" customWidth="1"/>
    <col min="7169" max="7173" width="14.77734375" style="5" customWidth="1"/>
    <col min="7174" max="7174" width="8.5546875" style="5" bestFit="1" customWidth="1"/>
    <col min="7175" max="7178" width="8.77734375" style="5" bestFit="1" customWidth="1"/>
    <col min="7179" max="7423" width="8.77734375" style="5"/>
    <col min="7424" max="7424" width="45.77734375" style="5" customWidth="1"/>
    <col min="7425" max="7429" width="14.77734375" style="5" customWidth="1"/>
    <col min="7430" max="7430" width="8.5546875" style="5" bestFit="1" customWidth="1"/>
    <col min="7431" max="7434" width="8.77734375" style="5" bestFit="1" customWidth="1"/>
    <col min="7435" max="7679" width="8.77734375" style="5"/>
    <col min="7680" max="7680" width="45.77734375" style="5" customWidth="1"/>
    <col min="7681" max="7685" width="14.77734375" style="5" customWidth="1"/>
    <col min="7686" max="7686" width="8.5546875" style="5" bestFit="1" customWidth="1"/>
    <col min="7687" max="7690" width="8.77734375" style="5" bestFit="1" customWidth="1"/>
    <col min="7691" max="7935" width="8.77734375" style="5"/>
    <col min="7936" max="7936" width="45.77734375" style="5" customWidth="1"/>
    <col min="7937" max="7941" width="14.77734375" style="5" customWidth="1"/>
    <col min="7942" max="7942" width="8.5546875" style="5" bestFit="1" customWidth="1"/>
    <col min="7943" max="7946" width="8.77734375" style="5" bestFit="1" customWidth="1"/>
    <col min="7947" max="8191" width="8.77734375" style="5"/>
    <col min="8192" max="8192" width="45.77734375" style="5" customWidth="1"/>
    <col min="8193" max="8197" width="14.77734375" style="5" customWidth="1"/>
    <col min="8198" max="8198" width="8.5546875" style="5" bestFit="1" customWidth="1"/>
    <col min="8199" max="8202" width="8.77734375" style="5" bestFit="1" customWidth="1"/>
    <col min="8203" max="8447" width="8.77734375" style="5"/>
    <col min="8448" max="8448" width="45.77734375" style="5" customWidth="1"/>
    <col min="8449" max="8453" width="14.77734375" style="5" customWidth="1"/>
    <col min="8454" max="8454" width="8.5546875" style="5" bestFit="1" customWidth="1"/>
    <col min="8455" max="8458" width="8.77734375" style="5" bestFit="1" customWidth="1"/>
    <col min="8459" max="8703" width="8.77734375" style="5"/>
    <col min="8704" max="8704" width="45.77734375" style="5" customWidth="1"/>
    <col min="8705" max="8709" width="14.77734375" style="5" customWidth="1"/>
    <col min="8710" max="8710" width="8.5546875" style="5" bestFit="1" customWidth="1"/>
    <col min="8711" max="8714" width="8.77734375" style="5" bestFit="1" customWidth="1"/>
    <col min="8715" max="8959" width="8.77734375" style="5"/>
    <col min="8960" max="8960" width="45.77734375" style="5" customWidth="1"/>
    <col min="8961" max="8965" width="14.77734375" style="5" customWidth="1"/>
    <col min="8966" max="8966" width="8.5546875" style="5" bestFit="1" customWidth="1"/>
    <col min="8967" max="8970" width="8.77734375" style="5" bestFit="1" customWidth="1"/>
    <col min="8971" max="9215" width="8.77734375" style="5"/>
    <col min="9216" max="9216" width="45.77734375" style="5" customWidth="1"/>
    <col min="9217" max="9221" width="14.77734375" style="5" customWidth="1"/>
    <col min="9222" max="9222" width="8.5546875" style="5" bestFit="1" customWidth="1"/>
    <col min="9223" max="9226" width="8.77734375" style="5" bestFit="1" customWidth="1"/>
    <col min="9227" max="9471" width="8.77734375" style="5"/>
    <col min="9472" max="9472" width="45.77734375" style="5" customWidth="1"/>
    <col min="9473" max="9477" width="14.77734375" style="5" customWidth="1"/>
    <col min="9478" max="9478" width="8.5546875" style="5" bestFit="1" customWidth="1"/>
    <col min="9479" max="9482" width="8.77734375" style="5" bestFit="1" customWidth="1"/>
    <col min="9483" max="9727" width="8.77734375" style="5"/>
    <col min="9728" max="9728" width="45.77734375" style="5" customWidth="1"/>
    <col min="9729" max="9733" width="14.77734375" style="5" customWidth="1"/>
    <col min="9734" max="9734" width="8.5546875" style="5" bestFit="1" customWidth="1"/>
    <col min="9735" max="9738" width="8.77734375" style="5" bestFit="1" customWidth="1"/>
    <col min="9739" max="9983" width="8.77734375" style="5"/>
    <col min="9984" max="9984" width="45.77734375" style="5" customWidth="1"/>
    <col min="9985" max="9989" width="14.77734375" style="5" customWidth="1"/>
    <col min="9990" max="9990" width="8.5546875" style="5" bestFit="1" customWidth="1"/>
    <col min="9991" max="9994" width="8.77734375" style="5" bestFit="1" customWidth="1"/>
    <col min="9995" max="10239" width="8.77734375" style="5"/>
    <col min="10240" max="10240" width="45.77734375" style="5" customWidth="1"/>
    <col min="10241" max="10245" width="14.77734375" style="5" customWidth="1"/>
    <col min="10246" max="10246" width="8.5546875" style="5" bestFit="1" customWidth="1"/>
    <col min="10247" max="10250" width="8.77734375" style="5" bestFit="1" customWidth="1"/>
    <col min="10251" max="10495" width="8.77734375" style="5"/>
    <col min="10496" max="10496" width="45.77734375" style="5" customWidth="1"/>
    <col min="10497" max="10501" width="14.77734375" style="5" customWidth="1"/>
    <col min="10502" max="10502" width="8.5546875" style="5" bestFit="1" customWidth="1"/>
    <col min="10503" max="10506" width="8.77734375" style="5" bestFit="1" customWidth="1"/>
    <col min="10507" max="10751" width="8.77734375" style="5"/>
    <col min="10752" max="10752" width="45.77734375" style="5" customWidth="1"/>
    <col min="10753" max="10757" width="14.77734375" style="5" customWidth="1"/>
    <col min="10758" max="10758" width="8.5546875" style="5" bestFit="1" customWidth="1"/>
    <col min="10759" max="10762" width="8.77734375" style="5" bestFit="1" customWidth="1"/>
    <col min="10763" max="11007" width="8.77734375" style="5"/>
    <col min="11008" max="11008" width="45.77734375" style="5" customWidth="1"/>
    <col min="11009" max="11013" width="14.77734375" style="5" customWidth="1"/>
    <col min="11014" max="11014" width="8.5546875" style="5" bestFit="1" customWidth="1"/>
    <col min="11015" max="11018" width="8.77734375" style="5" bestFit="1" customWidth="1"/>
    <col min="11019" max="11263" width="8.77734375" style="5"/>
    <col min="11264" max="11264" width="45.77734375" style="5" customWidth="1"/>
    <col min="11265" max="11269" width="14.77734375" style="5" customWidth="1"/>
    <col min="11270" max="11270" width="8.5546875" style="5" bestFit="1" customWidth="1"/>
    <col min="11271" max="11274" width="8.77734375" style="5" bestFit="1" customWidth="1"/>
    <col min="11275" max="11519" width="8.77734375" style="5"/>
    <col min="11520" max="11520" width="45.77734375" style="5" customWidth="1"/>
    <col min="11521" max="11525" width="14.77734375" style="5" customWidth="1"/>
    <col min="11526" max="11526" width="8.5546875" style="5" bestFit="1" customWidth="1"/>
    <col min="11527" max="11530" width="8.77734375" style="5" bestFit="1" customWidth="1"/>
    <col min="11531" max="11775" width="8.77734375" style="5"/>
    <col min="11776" max="11776" width="45.77734375" style="5" customWidth="1"/>
    <col min="11777" max="11781" width="14.77734375" style="5" customWidth="1"/>
    <col min="11782" max="11782" width="8.5546875" style="5" bestFit="1" customWidth="1"/>
    <col min="11783" max="11786" width="8.77734375" style="5" bestFit="1" customWidth="1"/>
    <col min="11787" max="12031" width="8.77734375" style="5"/>
    <col min="12032" max="12032" width="45.77734375" style="5" customWidth="1"/>
    <col min="12033" max="12037" width="14.77734375" style="5" customWidth="1"/>
    <col min="12038" max="12038" width="8.5546875" style="5" bestFit="1" customWidth="1"/>
    <col min="12039" max="12042" width="8.77734375" style="5" bestFit="1" customWidth="1"/>
    <col min="12043" max="12287" width="8.77734375" style="5"/>
    <col min="12288" max="12288" width="45.77734375" style="5" customWidth="1"/>
    <col min="12289" max="12293" width="14.77734375" style="5" customWidth="1"/>
    <col min="12294" max="12294" width="8.5546875" style="5" bestFit="1" customWidth="1"/>
    <col min="12295" max="12298" width="8.77734375" style="5" bestFit="1" customWidth="1"/>
    <col min="12299" max="12543" width="8.77734375" style="5"/>
    <col min="12544" max="12544" width="45.77734375" style="5" customWidth="1"/>
    <col min="12545" max="12549" width="14.77734375" style="5" customWidth="1"/>
    <col min="12550" max="12550" width="8.5546875" style="5" bestFit="1" customWidth="1"/>
    <col min="12551" max="12554" width="8.77734375" style="5" bestFit="1" customWidth="1"/>
    <col min="12555" max="12799" width="8.77734375" style="5"/>
    <col min="12800" max="12800" width="45.77734375" style="5" customWidth="1"/>
    <col min="12801" max="12805" width="14.77734375" style="5" customWidth="1"/>
    <col min="12806" max="12806" width="8.5546875" style="5" bestFit="1" customWidth="1"/>
    <col min="12807" max="12810" width="8.77734375" style="5" bestFit="1" customWidth="1"/>
    <col min="12811" max="13055" width="8.77734375" style="5"/>
    <col min="13056" max="13056" width="45.77734375" style="5" customWidth="1"/>
    <col min="13057" max="13061" width="14.77734375" style="5" customWidth="1"/>
    <col min="13062" max="13062" width="8.5546875" style="5" bestFit="1" customWidth="1"/>
    <col min="13063" max="13066" width="8.77734375" style="5" bestFit="1" customWidth="1"/>
    <col min="13067" max="13311" width="8.77734375" style="5"/>
    <col min="13312" max="13312" width="45.77734375" style="5" customWidth="1"/>
    <col min="13313" max="13317" width="14.77734375" style="5" customWidth="1"/>
    <col min="13318" max="13318" width="8.5546875" style="5" bestFit="1" customWidth="1"/>
    <col min="13319" max="13322" width="8.77734375" style="5" bestFit="1" customWidth="1"/>
    <col min="13323" max="13567" width="8.77734375" style="5"/>
    <col min="13568" max="13568" width="45.77734375" style="5" customWidth="1"/>
    <col min="13569" max="13573" width="14.77734375" style="5" customWidth="1"/>
    <col min="13574" max="13574" width="8.5546875" style="5" bestFit="1" customWidth="1"/>
    <col min="13575" max="13578" width="8.77734375" style="5" bestFit="1" customWidth="1"/>
    <col min="13579" max="13823" width="8.77734375" style="5"/>
    <col min="13824" max="13824" width="45.77734375" style="5" customWidth="1"/>
    <col min="13825" max="13829" width="14.77734375" style="5" customWidth="1"/>
    <col min="13830" max="13830" width="8.5546875" style="5" bestFit="1" customWidth="1"/>
    <col min="13831" max="13834" width="8.77734375" style="5" bestFit="1" customWidth="1"/>
    <col min="13835" max="14079" width="8.77734375" style="5"/>
    <col min="14080" max="14080" width="45.77734375" style="5" customWidth="1"/>
    <col min="14081" max="14085" width="14.77734375" style="5" customWidth="1"/>
    <col min="14086" max="14086" width="8.5546875" style="5" bestFit="1" customWidth="1"/>
    <col min="14087" max="14090" width="8.77734375" style="5" bestFit="1" customWidth="1"/>
    <col min="14091" max="14335" width="8.77734375" style="5"/>
    <col min="14336" max="14336" width="45.77734375" style="5" customWidth="1"/>
    <col min="14337" max="14341" width="14.77734375" style="5" customWidth="1"/>
    <col min="14342" max="14342" width="8.5546875" style="5" bestFit="1" customWidth="1"/>
    <col min="14343" max="14346" width="8.77734375" style="5" bestFit="1" customWidth="1"/>
    <col min="14347" max="14591" width="8.77734375" style="5"/>
    <col min="14592" max="14592" width="45.77734375" style="5" customWidth="1"/>
    <col min="14593" max="14597" width="14.77734375" style="5" customWidth="1"/>
    <col min="14598" max="14598" width="8.5546875" style="5" bestFit="1" customWidth="1"/>
    <col min="14599" max="14602" width="8.77734375" style="5" bestFit="1" customWidth="1"/>
    <col min="14603" max="14847" width="8.77734375" style="5"/>
    <col min="14848" max="14848" width="45.77734375" style="5" customWidth="1"/>
    <col min="14849" max="14853" width="14.77734375" style="5" customWidth="1"/>
    <col min="14854" max="14854" width="8.5546875" style="5" bestFit="1" customWidth="1"/>
    <col min="14855" max="14858" width="8.77734375" style="5" bestFit="1" customWidth="1"/>
    <col min="14859" max="15103" width="8.77734375" style="5"/>
    <col min="15104" max="15104" width="45.77734375" style="5" customWidth="1"/>
    <col min="15105" max="15109" width="14.77734375" style="5" customWidth="1"/>
    <col min="15110" max="15110" width="8.5546875" style="5" bestFit="1" customWidth="1"/>
    <col min="15111" max="15114" width="8.77734375" style="5" bestFit="1" customWidth="1"/>
    <col min="15115" max="15359" width="8.77734375" style="5"/>
    <col min="15360" max="15360" width="45.77734375" style="5" customWidth="1"/>
    <col min="15361" max="15365" width="14.77734375" style="5" customWidth="1"/>
    <col min="15366" max="15366" width="8.5546875" style="5" bestFit="1" customWidth="1"/>
    <col min="15367" max="15370" width="8.77734375" style="5" bestFit="1" customWidth="1"/>
    <col min="15371" max="15615" width="8.77734375" style="5"/>
    <col min="15616" max="15616" width="45.77734375" style="5" customWidth="1"/>
    <col min="15617" max="15621" width="14.77734375" style="5" customWidth="1"/>
    <col min="15622" max="15622" width="8.5546875" style="5" bestFit="1" customWidth="1"/>
    <col min="15623" max="15626" width="8.77734375" style="5" bestFit="1" customWidth="1"/>
    <col min="15627" max="15871" width="8.77734375" style="5"/>
    <col min="15872" max="15872" width="45.77734375" style="5" customWidth="1"/>
    <col min="15873" max="15877" width="14.77734375" style="5" customWidth="1"/>
    <col min="15878" max="15878" width="8.5546875" style="5" bestFit="1" customWidth="1"/>
    <col min="15879" max="15882" width="8.77734375" style="5" bestFit="1" customWidth="1"/>
    <col min="15883" max="16127" width="8.77734375" style="5"/>
    <col min="16128" max="16128" width="45.77734375" style="5" customWidth="1"/>
    <col min="16129" max="16133" width="14.77734375" style="5" customWidth="1"/>
    <col min="16134" max="16134" width="8.5546875" style="5" bestFit="1" customWidth="1"/>
    <col min="16135" max="16138" width="8.77734375" style="5" bestFit="1" customWidth="1"/>
    <col min="16139" max="16384" width="8.77734375" style="5"/>
  </cols>
  <sheetData>
    <row r="1" spans="1:12" s="1" customFormat="1" x14ac:dyDescent="0.3">
      <c r="A1" s="53" t="s">
        <v>186</v>
      </c>
    </row>
    <row r="2" spans="1:12" s="1" customFormat="1" x14ac:dyDescent="0.3">
      <c r="A2" s="43" t="str">
        <f>'PepsiCo-IS'!A2</f>
        <v>(in USD million except per Share Data)</v>
      </c>
      <c r="B2" s="167"/>
      <c r="C2" s="167"/>
      <c r="D2" s="167"/>
      <c r="E2" s="167"/>
    </row>
    <row r="3" spans="1:12" ht="15" customHeight="1" x14ac:dyDescent="0.25">
      <c r="A3" s="54" t="s">
        <v>47</v>
      </c>
      <c r="B3" s="138">
        <f>'PepsiCo-IS'!E4</f>
        <v>43100</v>
      </c>
      <c r="C3" s="138">
        <f>'PepsiCo-IS'!F4</f>
        <v>43465</v>
      </c>
      <c r="D3" s="138">
        <f>'PepsiCo-IS'!G4</f>
        <v>43830</v>
      </c>
      <c r="E3" s="138">
        <f>'PepsiCo-IS'!H4</f>
        <v>44196</v>
      </c>
      <c r="F3" s="138">
        <f>'PepsiCo-IS'!I4</f>
        <v>44561</v>
      </c>
      <c r="G3" s="92">
        <f>'PepsiCo-IS'!J4</f>
        <v>44926</v>
      </c>
      <c r="H3" s="92">
        <f>'PepsiCo-IS'!K4</f>
        <v>45291</v>
      </c>
      <c r="I3" s="92">
        <f>'PepsiCo-IS'!L4</f>
        <v>45657</v>
      </c>
      <c r="J3" s="92">
        <f>'PepsiCo-IS'!M4</f>
        <v>46022</v>
      </c>
      <c r="K3" s="92">
        <f>'PepsiCo-IS'!N4</f>
        <v>46387</v>
      </c>
    </row>
    <row r="4" spans="1:12" x14ac:dyDescent="0.25">
      <c r="A4" s="34" t="s">
        <v>48</v>
      </c>
      <c r="B4" s="35"/>
      <c r="C4" s="35"/>
      <c r="D4" s="35"/>
      <c r="E4" s="35"/>
      <c r="F4" s="35"/>
      <c r="G4" s="93"/>
      <c r="H4" s="93"/>
      <c r="I4" s="93"/>
      <c r="J4" s="93"/>
      <c r="K4" s="93"/>
    </row>
    <row r="5" spans="1:12" x14ac:dyDescent="0.25">
      <c r="A5" s="35" t="s">
        <v>49</v>
      </c>
      <c r="B5" s="84">
        <v>10610</v>
      </c>
      <c r="C5" s="84">
        <v>8721</v>
      </c>
      <c r="D5" s="84">
        <v>5509</v>
      </c>
      <c r="E5" s="318">
        <v>8185</v>
      </c>
      <c r="F5" s="318">
        <v>5596</v>
      </c>
      <c r="G5" s="94">
        <f>'PepsiCo-CFS'!B38</f>
        <v>3826.1069653237173</v>
      </c>
      <c r="H5" s="94">
        <f>'PepsiCo-CFS'!C38</f>
        <v>3595.38959338924</v>
      </c>
      <c r="I5" s="94">
        <f>'PepsiCo-CFS'!D38</f>
        <v>3583.7128265457923</v>
      </c>
      <c r="J5" s="94">
        <f>'PepsiCo-CFS'!E38</f>
        <v>3501.9210152755277</v>
      </c>
      <c r="K5" s="94">
        <f>'PepsiCo-CFS'!F38</f>
        <v>4448.5352084524347</v>
      </c>
    </row>
    <row r="6" spans="1:12" x14ac:dyDescent="0.25">
      <c r="A6" s="35" t="s">
        <v>50</v>
      </c>
      <c r="B6" s="84">
        <v>8900</v>
      </c>
      <c r="C6" s="84">
        <v>272</v>
      </c>
      <c r="D6" s="84">
        <v>229</v>
      </c>
      <c r="E6" s="318">
        <v>1366</v>
      </c>
      <c r="F6" s="318">
        <v>392</v>
      </c>
      <c r="G6" s="105">
        <f>F6</f>
        <v>392</v>
      </c>
      <c r="H6" s="105">
        <f t="shared" ref="H6:K6" si="0">G6</f>
        <v>392</v>
      </c>
      <c r="I6" s="105">
        <f t="shared" si="0"/>
        <v>392</v>
      </c>
      <c r="J6" s="105">
        <f t="shared" si="0"/>
        <v>392</v>
      </c>
      <c r="K6" s="105">
        <f t="shared" si="0"/>
        <v>392</v>
      </c>
      <c r="L6" s="198"/>
    </row>
    <row r="7" spans="1:12" x14ac:dyDescent="0.25">
      <c r="A7" s="35" t="s">
        <v>93</v>
      </c>
      <c r="B7" s="36">
        <v>0</v>
      </c>
      <c r="C7" s="36">
        <v>1997</v>
      </c>
      <c r="D7" s="36">
        <v>0</v>
      </c>
      <c r="E7" s="83">
        <v>0</v>
      </c>
      <c r="F7" s="83">
        <v>0</v>
      </c>
      <c r="G7" s="105">
        <f>F7</f>
        <v>0</v>
      </c>
      <c r="H7" s="105">
        <f t="shared" ref="H7:K7" si="1">G7</f>
        <v>0</v>
      </c>
      <c r="I7" s="105">
        <f t="shared" si="1"/>
        <v>0</v>
      </c>
      <c r="J7" s="105">
        <f t="shared" si="1"/>
        <v>0</v>
      </c>
      <c r="K7" s="105">
        <f t="shared" si="1"/>
        <v>0</v>
      </c>
      <c r="L7" s="198"/>
    </row>
    <row r="8" spans="1:12" x14ac:dyDescent="0.25">
      <c r="A8" s="35" t="s">
        <v>111</v>
      </c>
      <c r="B8" s="36">
        <v>7024</v>
      </c>
      <c r="C8" s="36">
        <v>7142</v>
      </c>
      <c r="D8" s="36">
        <v>7822</v>
      </c>
      <c r="E8" s="83">
        <v>8404</v>
      </c>
      <c r="F8" s="83">
        <v>8680</v>
      </c>
      <c r="G8" s="94">
        <f>G78</f>
        <v>9177.2739650405892</v>
      </c>
      <c r="H8" s="94">
        <f t="shared" ref="H8:K8" si="2">H78</f>
        <v>9588.7259823647237</v>
      </c>
      <c r="I8" s="94">
        <f t="shared" si="2"/>
        <v>10023.192870486433</v>
      </c>
      <c r="J8" s="94">
        <f t="shared" si="2"/>
        <v>10482.109498947597</v>
      </c>
      <c r="K8" s="94">
        <f t="shared" si="2"/>
        <v>10967.006130520162</v>
      </c>
    </row>
    <row r="9" spans="1:12" x14ac:dyDescent="0.25">
      <c r="A9" s="35" t="s">
        <v>94</v>
      </c>
      <c r="B9" s="36">
        <v>2947</v>
      </c>
      <c r="C9" s="36">
        <v>3128</v>
      </c>
      <c r="D9" s="36">
        <v>3338</v>
      </c>
      <c r="E9" s="83">
        <v>4172</v>
      </c>
      <c r="F9" s="83">
        <v>4347</v>
      </c>
      <c r="G9" s="94">
        <f>G80</f>
        <v>4292.1218593940421</v>
      </c>
      <c r="H9" s="94">
        <f t="shared" ref="H9:K9" si="3">H80</f>
        <v>4454.7533019712318</v>
      </c>
      <c r="I9" s="94">
        <f t="shared" si="3"/>
        <v>4625.4480288094155</v>
      </c>
      <c r="J9" s="94">
        <f t="shared" si="3"/>
        <v>4804.6491534286561</v>
      </c>
      <c r="K9" s="94">
        <f t="shared" si="3"/>
        <v>4992.8253803063853</v>
      </c>
    </row>
    <row r="10" spans="1:12" x14ac:dyDescent="0.25">
      <c r="A10" s="35" t="s">
        <v>95</v>
      </c>
      <c r="B10" s="36">
        <v>1546</v>
      </c>
      <c r="C10" s="36">
        <v>633</v>
      </c>
      <c r="D10" s="36">
        <v>747</v>
      </c>
      <c r="E10" s="83">
        <v>874</v>
      </c>
      <c r="F10" s="83">
        <v>980</v>
      </c>
      <c r="G10" s="105">
        <f>G82</f>
        <v>1023.4694204525367</v>
      </c>
      <c r="H10" s="105">
        <f t="shared" ref="H10:K10" si="4">H82</f>
        <v>1069.3554383832322</v>
      </c>
      <c r="I10" s="105">
        <f t="shared" si="4"/>
        <v>1117.8081244298317</v>
      </c>
      <c r="J10" s="105">
        <f t="shared" si="4"/>
        <v>1168.9874983437392</v>
      </c>
      <c r="K10" s="105">
        <f t="shared" si="4"/>
        <v>1223.0642183354764</v>
      </c>
    </row>
    <row r="11" spans="1:12" x14ac:dyDescent="0.25">
      <c r="A11" s="35" t="s">
        <v>290</v>
      </c>
      <c r="B11" s="36"/>
      <c r="C11" s="36"/>
      <c r="D11" s="36"/>
      <c r="E11" s="83"/>
      <c r="F11" s="83">
        <v>1788</v>
      </c>
      <c r="G11" s="110">
        <f>F11</f>
        <v>1788</v>
      </c>
      <c r="H11" s="110">
        <f t="shared" ref="H11:K11" si="5">G11</f>
        <v>1788</v>
      </c>
      <c r="I11" s="110">
        <f t="shared" si="5"/>
        <v>1788</v>
      </c>
      <c r="J11" s="110">
        <f t="shared" si="5"/>
        <v>1788</v>
      </c>
      <c r="K11" s="110">
        <f t="shared" si="5"/>
        <v>1788</v>
      </c>
    </row>
    <row r="12" spans="1:12" x14ac:dyDescent="0.25">
      <c r="A12" s="34" t="s">
        <v>96</v>
      </c>
      <c r="B12" s="37">
        <f>SUM(B5:B10)</f>
        <v>31027</v>
      </c>
      <c r="C12" s="37">
        <f>SUM(C5:C10)</f>
        <v>21893</v>
      </c>
      <c r="D12" s="37">
        <f>SUM(D5:D10)</f>
        <v>17645</v>
      </c>
      <c r="E12" s="319">
        <f>SUM(E5:E10)</f>
        <v>23001</v>
      </c>
      <c r="F12" s="319">
        <f>SUM(F5:F11)</f>
        <v>21783</v>
      </c>
      <c r="G12" s="111">
        <f t="shared" ref="G12:K12" si="6">SUM(G5:G11)</f>
        <v>20498.972210210886</v>
      </c>
      <c r="H12" s="111">
        <f t="shared" si="6"/>
        <v>20888.224316108426</v>
      </c>
      <c r="I12" s="111">
        <f t="shared" si="6"/>
        <v>21530.16185027147</v>
      </c>
      <c r="J12" s="111">
        <f t="shared" si="6"/>
        <v>22137.667165995521</v>
      </c>
      <c r="K12" s="111">
        <f t="shared" si="6"/>
        <v>23811.430937614456</v>
      </c>
    </row>
    <row r="13" spans="1:12" x14ac:dyDescent="0.25">
      <c r="A13" s="35"/>
      <c r="B13" s="38"/>
      <c r="C13" s="38"/>
      <c r="D13" s="38"/>
      <c r="E13" s="320"/>
      <c r="F13" s="320"/>
      <c r="G13" s="93"/>
      <c r="H13" s="105"/>
      <c r="I13" s="93"/>
      <c r="J13" s="93"/>
      <c r="K13" s="93"/>
    </row>
    <row r="14" spans="1:12" x14ac:dyDescent="0.25">
      <c r="A14" s="35" t="s">
        <v>97</v>
      </c>
      <c r="B14" s="84">
        <v>17240</v>
      </c>
      <c r="C14" s="84">
        <v>17589</v>
      </c>
      <c r="D14" s="84">
        <v>19305</v>
      </c>
      <c r="E14" s="318">
        <v>21369</v>
      </c>
      <c r="F14" s="318">
        <v>22407</v>
      </c>
      <c r="G14" s="105">
        <f>'Fixed Assets Schedule'!G9</f>
        <v>23298.705880262867</v>
      </c>
      <c r="H14" s="105">
        <f>'Fixed Assets Schedule'!H9</f>
        <v>24343.275277667079</v>
      </c>
      <c r="I14" s="105">
        <f>'Fixed Assets Schedule'!I9</f>
        <v>25446.273431543814</v>
      </c>
      <c r="J14" s="105">
        <f>'Fixed Assets Schedule'!J9</f>
        <v>26611.343101557886</v>
      </c>
      <c r="K14" s="105">
        <f>'Fixed Assets Schedule'!K9</f>
        <v>27842.369225914128</v>
      </c>
      <c r="L14" s="165"/>
    </row>
    <row r="15" spans="1:12" x14ac:dyDescent="0.25">
      <c r="A15" s="35" t="s">
        <v>98</v>
      </c>
      <c r="B15" s="84">
        <v>1268</v>
      </c>
      <c r="C15" s="84">
        <v>1644</v>
      </c>
      <c r="D15" s="84">
        <v>1433</v>
      </c>
      <c r="E15" s="318">
        <f>'Fixed Assets Schedule'!E28</f>
        <v>1703</v>
      </c>
      <c r="F15" s="318">
        <v>1538</v>
      </c>
      <c r="G15" s="105">
        <f>'Fixed Assets Schedule'!G28</f>
        <v>1459.7185628742516</v>
      </c>
      <c r="H15" s="105">
        <f>'Fixed Assets Schedule'!H28</f>
        <v>1385.4215102728674</v>
      </c>
      <c r="I15" s="105">
        <f>'Fixed Assets Schedule'!I28</f>
        <v>1314.9060441811346</v>
      </c>
      <c r="J15" s="105">
        <f>'Fixed Assets Schedule'!J28</f>
        <v>1247.9796886389811</v>
      </c>
      <c r="K15" s="105">
        <f>'Fixed Assets Schedule'!K28</f>
        <v>1184.4597643669372</v>
      </c>
      <c r="L15" s="165"/>
    </row>
    <row r="16" spans="1:12" x14ac:dyDescent="0.25">
      <c r="A16" s="35" t="s">
        <v>51</v>
      </c>
      <c r="B16" s="84">
        <v>14744</v>
      </c>
      <c r="C16" s="84">
        <v>14808</v>
      </c>
      <c r="D16" s="84">
        <v>15501</v>
      </c>
      <c r="E16" s="318">
        <v>18757</v>
      </c>
      <c r="F16" s="318">
        <v>18381</v>
      </c>
      <c r="G16" s="105">
        <f>F16</f>
        <v>18381</v>
      </c>
      <c r="H16" s="105">
        <f t="shared" ref="H16:K16" si="7">G16</f>
        <v>18381</v>
      </c>
      <c r="I16" s="105">
        <f t="shared" si="7"/>
        <v>18381</v>
      </c>
      <c r="J16" s="105">
        <f t="shared" si="7"/>
        <v>18381</v>
      </c>
      <c r="K16" s="105">
        <f t="shared" si="7"/>
        <v>18381</v>
      </c>
      <c r="L16" s="198"/>
    </row>
    <row r="17" spans="1:12" x14ac:dyDescent="0.25">
      <c r="A17" s="35" t="s">
        <v>99</v>
      </c>
      <c r="B17" s="84">
        <v>12570</v>
      </c>
      <c r="C17" s="84">
        <v>14181</v>
      </c>
      <c r="D17" s="84">
        <v>14610</v>
      </c>
      <c r="E17" s="318">
        <v>17612</v>
      </c>
      <c r="F17" s="318">
        <v>17127</v>
      </c>
      <c r="G17" s="105">
        <f t="shared" ref="G17:K20" si="8">F17</f>
        <v>17127</v>
      </c>
      <c r="H17" s="105">
        <f t="shared" si="8"/>
        <v>17127</v>
      </c>
      <c r="I17" s="105">
        <f t="shared" si="8"/>
        <v>17127</v>
      </c>
      <c r="J17" s="105">
        <f t="shared" si="8"/>
        <v>17127</v>
      </c>
      <c r="K17" s="105">
        <f t="shared" si="8"/>
        <v>17127</v>
      </c>
      <c r="L17" s="198"/>
    </row>
    <row r="18" spans="1:12" x14ac:dyDescent="0.25">
      <c r="A18" s="35" t="s">
        <v>100</v>
      </c>
      <c r="B18" s="84">
        <v>2042</v>
      </c>
      <c r="C18" s="84">
        <v>2409</v>
      </c>
      <c r="D18" s="84">
        <v>2683</v>
      </c>
      <c r="E18" s="318">
        <v>2792</v>
      </c>
      <c r="F18" s="318">
        <v>2627</v>
      </c>
      <c r="G18" s="105">
        <f t="shared" si="8"/>
        <v>2627</v>
      </c>
      <c r="H18" s="105">
        <f t="shared" si="8"/>
        <v>2627</v>
      </c>
      <c r="I18" s="105">
        <f t="shared" si="8"/>
        <v>2627</v>
      </c>
      <c r="J18" s="105">
        <f t="shared" si="8"/>
        <v>2627</v>
      </c>
      <c r="K18" s="105">
        <f t="shared" si="8"/>
        <v>2627</v>
      </c>
      <c r="L18" s="198"/>
    </row>
    <row r="19" spans="1:12" x14ac:dyDescent="0.25">
      <c r="A19" s="35" t="s">
        <v>101</v>
      </c>
      <c r="B19" s="84">
        <v>0</v>
      </c>
      <c r="C19" s="84">
        <v>4364</v>
      </c>
      <c r="D19" s="84">
        <v>4359</v>
      </c>
      <c r="E19" s="318">
        <v>4372</v>
      </c>
      <c r="F19" s="318">
        <v>4310</v>
      </c>
      <c r="G19" s="105">
        <f t="shared" si="8"/>
        <v>4310</v>
      </c>
      <c r="H19" s="105">
        <f t="shared" si="8"/>
        <v>4310</v>
      </c>
      <c r="I19" s="105">
        <f t="shared" si="8"/>
        <v>4310</v>
      </c>
      <c r="J19" s="105">
        <f t="shared" si="8"/>
        <v>4310</v>
      </c>
      <c r="K19" s="105">
        <f t="shared" si="8"/>
        <v>4310</v>
      </c>
      <c r="L19" s="198"/>
    </row>
    <row r="20" spans="1:12" ht="15.6" x14ac:dyDescent="0.25">
      <c r="A20" s="35" t="s">
        <v>102</v>
      </c>
      <c r="B20" s="88">
        <v>913</v>
      </c>
      <c r="C20" s="88">
        <v>760</v>
      </c>
      <c r="D20" s="88">
        <v>3011</v>
      </c>
      <c r="E20" s="321">
        <v>3312</v>
      </c>
      <c r="F20" s="321">
        <v>4204</v>
      </c>
      <c r="G20" s="133">
        <f t="shared" si="8"/>
        <v>4204</v>
      </c>
      <c r="H20" s="133">
        <f t="shared" si="8"/>
        <v>4204</v>
      </c>
      <c r="I20" s="133">
        <f t="shared" si="8"/>
        <v>4204</v>
      </c>
      <c r="J20" s="133">
        <f t="shared" si="8"/>
        <v>4204</v>
      </c>
      <c r="K20" s="133">
        <f t="shared" si="8"/>
        <v>4204</v>
      </c>
      <c r="L20" s="198"/>
    </row>
    <row r="21" spans="1:12" x14ac:dyDescent="0.25">
      <c r="A21" s="34" t="s">
        <v>52</v>
      </c>
      <c r="B21" s="86">
        <f>SUM(B12:B20)</f>
        <v>79804</v>
      </c>
      <c r="C21" s="86">
        <f>SUM(C12:C20)</f>
        <v>77648</v>
      </c>
      <c r="D21" s="86">
        <f>SUM(D12:D20)</f>
        <v>78547</v>
      </c>
      <c r="E21" s="322">
        <f>SUM(E12:E20)</f>
        <v>92918</v>
      </c>
      <c r="F21" s="322">
        <f t="shared" ref="F21:K21" si="9">SUM(F12:F20)</f>
        <v>92377</v>
      </c>
      <c r="G21" s="132">
        <f t="shared" si="9"/>
        <v>91906.396653347998</v>
      </c>
      <c r="H21" s="132">
        <f t="shared" si="9"/>
        <v>93265.921104048379</v>
      </c>
      <c r="I21" s="132">
        <f t="shared" si="9"/>
        <v>94940.341325996415</v>
      </c>
      <c r="J21" s="132">
        <f t="shared" si="9"/>
        <v>96645.989956192381</v>
      </c>
      <c r="K21" s="132">
        <f t="shared" si="9"/>
        <v>99487.259927895531</v>
      </c>
    </row>
    <row r="22" spans="1:12" x14ac:dyDescent="0.25">
      <c r="A22" s="35"/>
      <c r="B22" s="38"/>
      <c r="C22" s="62"/>
      <c r="D22" s="38"/>
      <c r="E22" s="320"/>
      <c r="F22" s="320"/>
      <c r="G22" s="93"/>
      <c r="H22" s="93"/>
      <c r="I22" s="93"/>
      <c r="J22" s="93"/>
      <c r="K22" s="93"/>
    </row>
    <row r="23" spans="1:12" x14ac:dyDescent="0.25">
      <c r="A23" s="34" t="s">
        <v>53</v>
      </c>
      <c r="B23" s="38"/>
      <c r="C23" s="62"/>
      <c r="D23" s="38"/>
      <c r="E23" s="320"/>
      <c r="F23" s="320"/>
      <c r="G23" s="93"/>
      <c r="H23" s="93"/>
      <c r="I23" s="93"/>
      <c r="J23" s="93"/>
      <c r="K23" s="93"/>
    </row>
    <row r="24" spans="1:12" x14ac:dyDescent="0.25">
      <c r="A24" s="35" t="s">
        <v>103</v>
      </c>
      <c r="B24" s="36">
        <v>5485</v>
      </c>
      <c r="C24" s="36">
        <v>4026</v>
      </c>
      <c r="D24" s="36">
        <v>2920</v>
      </c>
      <c r="E24" s="323">
        <v>3780</v>
      </c>
      <c r="F24" s="323">
        <v>4308</v>
      </c>
      <c r="G24" s="105">
        <f>'Debt Schedule'!B42</f>
        <v>3019</v>
      </c>
      <c r="H24" s="105">
        <f>'Debt Schedule'!C42</f>
        <v>2986</v>
      </c>
      <c r="I24" s="105">
        <f>'Debt Schedule'!D42</f>
        <v>3258</v>
      </c>
      <c r="J24" s="105">
        <f>'Debt Schedule'!E42</f>
        <v>2450</v>
      </c>
      <c r="K24" s="105">
        <f>'Debt Schedule'!F42</f>
        <v>0</v>
      </c>
      <c r="L24" s="165"/>
    </row>
    <row r="25" spans="1:12" x14ac:dyDescent="0.25">
      <c r="A25" s="35" t="s">
        <v>104</v>
      </c>
      <c r="B25" s="36">
        <v>15017</v>
      </c>
      <c r="C25" s="36">
        <v>18112</v>
      </c>
      <c r="D25" s="36">
        <v>17541</v>
      </c>
      <c r="E25" s="83">
        <v>19592</v>
      </c>
      <c r="F25" s="83">
        <v>21159</v>
      </c>
      <c r="G25" s="105">
        <f>G67</f>
        <v>21668.545555771128</v>
      </c>
      <c r="H25" s="105">
        <f t="shared" ref="H25:K25" si="10">H67</f>
        <v>22480.365764489878</v>
      </c>
      <c r="I25" s="105">
        <f t="shared" si="10"/>
        <v>23335.096439383859</v>
      </c>
      <c r="J25" s="105">
        <f t="shared" si="10"/>
        <v>24235.268748382467</v>
      </c>
      <c r="K25" s="105">
        <f t="shared" si="10"/>
        <v>25183.572783698321</v>
      </c>
    </row>
    <row r="26" spans="1:12" x14ac:dyDescent="0.25">
      <c r="A26" s="35" t="s">
        <v>291</v>
      </c>
      <c r="B26" s="36"/>
      <c r="C26" s="36"/>
      <c r="D26" s="36"/>
      <c r="E26" s="83"/>
      <c r="F26" s="83">
        <v>753</v>
      </c>
      <c r="G26" s="105">
        <f>F26</f>
        <v>753</v>
      </c>
      <c r="H26" s="105">
        <f t="shared" ref="H26:K26" si="11">G26</f>
        <v>753</v>
      </c>
      <c r="I26" s="105">
        <f t="shared" si="11"/>
        <v>753</v>
      </c>
      <c r="J26" s="105">
        <f t="shared" si="11"/>
        <v>753</v>
      </c>
      <c r="K26" s="105">
        <f t="shared" si="11"/>
        <v>753</v>
      </c>
    </row>
    <row r="27" spans="1:12" x14ac:dyDescent="0.25">
      <c r="A27" s="34" t="s">
        <v>54</v>
      </c>
      <c r="B27" s="37">
        <f>SUM(B24:B25)</f>
        <v>20502</v>
      </c>
      <c r="C27" s="37">
        <f>SUM(C24:C25)</f>
        <v>22138</v>
      </c>
      <c r="D27" s="37">
        <f>SUM(D24:D25)</f>
        <v>20461</v>
      </c>
      <c r="E27" s="319">
        <f>SUM(E24:E25)</f>
        <v>23372</v>
      </c>
      <c r="F27" s="319">
        <f>SUM(F24:F26)</f>
        <v>26220</v>
      </c>
      <c r="G27" s="206">
        <f>SUM(G24:G26)</f>
        <v>25440.545555771128</v>
      </c>
      <c r="H27" s="206">
        <f t="shared" ref="H27:K27" si="12">SUM(H24:H26)</f>
        <v>26219.365764489878</v>
      </c>
      <c r="I27" s="206">
        <f t="shared" si="12"/>
        <v>27346.096439383859</v>
      </c>
      <c r="J27" s="206">
        <f t="shared" si="12"/>
        <v>27438.268748382467</v>
      </c>
      <c r="K27" s="206">
        <f t="shared" si="12"/>
        <v>25936.572783698321</v>
      </c>
    </row>
    <row r="28" spans="1:12" x14ac:dyDescent="0.25">
      <c r="A28" s="35"/>
      <c r="B28" s="38"/>
      <c r="C28" s="38"/>
      <c r="D28" s="38"/>
      <c r="E28" s="320"/>
      <c r="F28" s="320"/>
      <c r="G28" s="93"/>
      <c r="H28" s="93"/>
      <c r="I28" s="93"/>
      <c r="J28" s="93"/>
      <c r="K28" s="93"/>
    </row>
    <row r="29" spans="1:12" x14ac:dyDescent="0.25">
      <c r="A29" s="35" t="s">
        <v>105</v>
      </c>
      <c r="B29" s="36">
        <v>33796</v>
      </c>
      <c r="C29" s="38">
        <v>28295</v>
      </c>
      <c r="D29" s="36">
        <v>29148</v>
      </c>
      <c r="E29" s="323">
        <v>40370</v>
      </c>
      <c r="F29" s="323">
        <v>36026</v>
      </c>
      <c r="G29" s="105">
        <f>'Debt Schedule'!B41</f>
        <v>33007</v>
      </c>
      <c r="H29" s="105">
        <f>'Debt Schedule'!C41</f>
        <v>30021</v>
      </c>
      <c r="I29" s="105">
        <f>'Debt Schedule'!D41</f>
        <v>26763</v>
      </c>
      <c r="J29" s="105">
        <f>'Debt Schedule'!E41</f>
        <v>24313</v>
      </c>
      <c r="K29" s="105">
        <f>'Debt Schedule'!F41</f>
        <v>24313</v>
      </c>
      <c r="L29" s="165"/>
    </row>
    <row r="30" spans="1:12" x14ac:dyDescent="0.25">
      <c r="A30" s="35" t="s">
        <v>101</v>
      </c>
      <c r="B30" s="36">
        <v>3242</v>
      </c>
      <c r="C30" s="36">
        <v>3499</v>
      </c>
      <c r="D30" s="36">
        <v>4091</v>
      </c>
      <c r="E30" s="83">
        <v>4284</v>
      </c>
      <c r="F30" s="83">
        <v>4826</v>
      </c>
      <c r="G30" s="105">
        <f>F30</f>
        <v>4826</v>
      </c>
      <c r="H30" s="105">
        <f t="shared" ref="H30:K30" si="13">G30</f>
        <v>4826</v>
      </c>
      <c r="I30" s="105">
        <f t="shared" si="13"/>
        <v>4826</v>
      </c>
      <c r="J30" s="105">
        <f t="shared" si="13"/>
        <v>4826</v>
      </c>
      <c r="K30" s="105">
        <f t="shared" si="13"/>
        <v>4826</v>
      </c>
      <c r="L30" s="198"/>
    </row>
    <row r="31" spans="1:12" x14ac:dyDescent="0.25">
      <c r="A31" s="35" t="s">
        <v>106</v>
      </c>
      <c r="B31" s="36">
        <v>11283</v>
      </c>
      <c r="C31" s="36">
        <v>9114</v>
      </c>
      <c r="D31" s="36">
        <v>9979</v>
      </c>
      <c r="E31" s="83">
        <v>11340</v>
      </c>
      <c r="F31" s="83">
        <v>9154</v>
      </c>
      <c r="G31" s="105">
        <f>F31</f>
        <v>9154</v>
      </c>
      <c r="H31" s="105">
        <f t="shared" ref="H31:K31" si="14">G31</f>
        <v>9154</v>
      </c>
      <c r="I31" s="105">
        <f t="shared" si="14"/>
        <v>9154</v>
      </c>
      <c r="J31" s="105">
        <f t="shared" si="14"/>
        <v>9154</v>
      </c>
      <c r="K31" s="105">
        <f t="shared" si="14"/>
        <v>9154</v>
      </c>
      <c r="L31" s="198"/>
    </row>
    <row r="32" spans="1:12" x14ac:dyDescent="0.25">
      <c r="A32" s="34" t="s">
        <v>55</v>
      </c>
      <c r="B32" s="37">
        <f>SUM(B27:B31)</f>
        <v>68823</v>
      </c>
      <c r="C32" s="37">
        <f>SUM(C27:C31)</f>
        <v>63046</v>
      </c>
      <c r="D32" s="37">
        <f>SUM(D27:D31)</f>
        <v>63679</v>
      </c>
      <c r="E32" s="319">
        <f>SUM(E27:E31)</f>
        <v>79366</v>
      </c>
      <c r="F32" s="319">
        <f t="shared" ref="F32:K32" si="15">SUM(F27:F31)</f>
        <v>76226</v>
      </c>
      <c r="G32" s="206">
        <f t="shared" si="15"/>
        <v>72427.545555771125</v>
      </c>
      <c r="H32" s="206">
        <f t="shared" si="15"/>
        <v>70220.365764489878</v>
      </c>
      <c r="I32" s="206">
        <f t="shared" si="15"/>
        <v>68089.096439383866</v>
      </c>
      <c r="J32" s="206">
        <f t="shared" si="15"/>
        <v>65731.26874838247</v>
      </c>
      <c r="K32" s="206">
        <f t="shared" si="15"/>
        <v>64229.572783698321</v>
      </c>
    </row>
    <row r="33" spans="1:12" x14ac:dyDescent="0.25">
      <c r="A33" s="35"/>
      <c r="B33" s="38"/>
      <c r="C33" s="62"/>
      <c r="D33" s="38"/>
      <c r="E33" s="320"/>
      <c r="F33" s="320"/>
      <c r="G33" s="93"/>
      <c r="H33" s="93"/>
      <c r="I33" s="93"/>
      <c r="J33" s="93"/>
      <c r="K33" s="93"/>
    </row>
    <row r="34" spans="1:12" x14ac:dyDescent="0.25">
      <c r="A34" s="34" t="s">
        <v>125</v>
      </c>
      <c r="B34" s="77">
        <v>41</v>
      </c>
      <c r="C34" s="62"/>
      <c r="D34" s="38"/>
      <c r="E34" s="320"/>
      <c r="F34" s="320"/>
      <c r="G34" s="93"/>
      <c r="H34" s="93"/>
      <c r="I34" s="93"/>
      <c r="J34" s="93"/>
      <c r="K34" s="93"/>
    </row>
    <row r="35" spans="1:12" x14ac:dyDescent="0.25">
      <c r="A35" s="34" t="s">
        <v>126</v>
      </c>
      <c r="B35" s="77">
        <v>-197</v>
      </c>
      <c r="C35" s="62"/>
      <c r="D35" s="38"/>
      <c r="E35" s="320"/>
      <c r="F35" s="320"/>
      <c r="G35" s="93"/>
      <c r="H35" s="93"/>
      <c r="I35" s="93"/>
      <c r="J35" s="93"/>
      <c r="K35" s="93"/>
    </row>
    <row r="36" spans="1:12" x14ac:dyDescent="0.25">
      <c r="A36" s="35"/>
      <c r="B36" s="38"/>
      <c r="C36" s="62"/>
      <c r="D36" s="38"/>
      <c r="E36" s="320"/>
      <c r="F36" s="320"/>
      <c r="G36" s="93"/>
      <c r="H36" s="93"/>
      <c r="I36" s="93"/>
      <c r="J36" s="93"/>
      <c r="K36" s="93"/>
    </row>
    <row r="37" spans="1:12" x14ac:dyDescent="0.25">
      <c r="A37" s="35" t="s">
        <v>56</v>
      </c>
      <c r="B37" s="36">
        <v>24</v>
      </c>
      <c r="C37" s="36">
        <v>23</v>
      </c>
      <c r="D37" s="36">
        <v>23</v>
      </c>
      <c r="E37" s="83">
        <v>23</v>
      </c>
      <c r="F37" s="83">
        <v>23</v>
      </c>
      <c r="G37" s="94">
        <f>F37</f>
        <v>23</v>
      </c>
      <c r="H37" s="94">
        <f t="shared" ref="H37:K37" si="16">G37</f>
        <v>23</v>
      </c>
      <c r="I37" s="94">
        <f t="shared" si="16"/>
        <v>23</v>
      </c>
      <c r="J37" s="94">
        <f t="shared" si="16"/>
        <v>23</v>
      </c>
      <c r="K37" s="94">
        <f t="shared" si="16"/>
        <v>23</v>
      </c>
      <c r="L37" s="198"/>
    </row>
    <row r="38" spans="1:12" x14ac:dyDescent="0.25">
      <c r="A38" s="35" t="s">
        <v>274</v>
      </c>
      <c r="B38" s="36">
        <v>3996</v>
      </c>
      <c r="C38" s="36">
        <v>3953</v>
      </c>
      <c r="D38" s="36">
        <v>3886</v>
      </c>
      <c r="E38" s="83">
        <v>3910</v>
      </c>
      <c r="F38" s="83">
        <v>4001</v>
      </c>
      <c r="G38" s="94">
        <f>F38+'PepsiCo-CFS'!B9</f>
        <v>4315.351321996136</v>
      </c>
      <c r="H38" s="94">
        <f>G38+'PepsiCo-CFS'!C9</f>
        <v>4643.7962066424143</v>
      </c>
      <c r="I38" s="94">
        <f>H38+'PepsiCo-CFS'!D9</f>
        <v>4987.1229877172909</v>
      </c>
      <c r="J38" s="94">
        <f>I38+'PepsiCo-CFS'!E9</f>
        <v>5346.1691479228684</v>
      </c>
      <c r="K38" s="94">
        <f>J38+'PepsiCo-CFS'!F9</f>
        <v>5721.8245864116216</v>
      </c>
    </row>
    <row r="39" spans="1:12" x14ac:dyDescent="0.25">
      <c r="A39" s="35" t="s">
        <v>57</v>
      </c>
      <c r="B39" s="36">
        <v>52839</v>
      </c>
      <c r="C39" s="36">
        <v>59947</v>
      </c>
      <c r="D39" s="36">
        <v>61946</v>
      </c>
      <c r="E39" s="83">
        <v>63443</v>
      </c>
      <c r="F39" s="83">
        <v>65165</v>
      </c>
      <c r="G39" s="94">
        <f>F39+'PepsiCo-IS'!J46-'PepsiCo-IS'!J76</f>
        <v>68113.591715888368</v>
      </c>
      <c r="H39" s="94">
        <f>G39+'PepsiCo-IS'!K46-'PepsiCo-IS'!K76</f>
        <v>71282.793765879745</v>
      </c>
      <c r="I39" s="94">
        <f>H39+'PepsiCo-IS'!L46-'PepsiCo-IS'!L76</f>
        <v>74672.060089763472</v>
      </c>
      <c r="J39" s="94">
        <f>I39+'PepsiCo-IS'!M46-'PepsiCo-IS'!M76</f>
        <v>78299.075285503393</v>
      </c>
      <c r="K39" s="94">
        <f>J39+'PepsiCo-IS'!N46-'PepsiCo-IS'!N76</f>
        <v>82184.325545415501</v>
      </c>
    </row>
    <row r="40" spans="1:12" x14ac:dyDescent="0.25">
      <c r="A40" s="35" t="s">
        <v>107</v>
      </c>
      <c r="B40" s="36">
        <v>-13057</v>
      </c>
      <c r="C40" s="36">
        <v>-15119</v>
      </c>
      <c r="D40" s="36">
        <v>-14300</v>
      </c>
      <c r="E40" s="83">
        <v>-15476</v>
      </c>
      <c r="F40" s="83">
        <v>-14898</v>
      </c>
      <c r="G40" s="94">
        <f>F40</f>
        <v>-14898</v>
      </c>
      <c r="H40" s="94">
        <f t="shared" ref="H40:K40" si="17">G40</f>
        <v>-14898</v>
      </c>
      <c r="I40" s="94">
        <f t="shared" si="17"/>
        <v>-14898</v>
      </c>
      <c r="J40" s="94">
        <f t="shared" si="17"/>
        <v>-14898</v>
      </c>
      <c r="K40" s="94">
        <f t="shared" si="17"/>
        <v>-14898</v>
      </c>
      <c r="L40" s="198"/>
    </row>
    <row r="41" spans="1:12" x14ac:dyDescent="0.25">
      <c r="A41" s="35" t="s">
        <v>108</v>
      </c>
      <c r="B41" s="36">
        <v>-32757</v>
      </c>
      <c r="C41" s="36">
        <v>-34286</v>
      </c>
      <c r="D41" s="36">
        <v>-36769</v>
      </c>
      <c r="E41" s="83">
        <v>-38446</v>
      </c>
      <c r="F41" s="83">
        <v>-38248</v>
      </c>
      <c r="G41" s="94">
        <f>F41</f>
        <v>-38248</v>
      </c>
      <c r="H41" s="94">
        <f t="shared" ref="H41:K41" si="18">G41</f>
        <v>-38248</v>
      </c>
      <c r="I41" s="94">
        <f t="shared" si="18"/>
        <v>-38248</v>
      </c>
      <c r="J41" s="94">
        <f t="shared" si="18"/>
        <v>-38248</v>
      </c>
      <c r="K41" s="94">
        <f t="shared" si="18"/>
        <v>-38248</v>
      </c>
      <c r="L41" s="198"/>
    </row>
    <row r="42" spans="1:12" x14ac:dyDescent="0.25">
      <c r="A42" s="34" t="s">
        <v>110</v>
      </c>
      <c r="B42" s="37">
        <f>SUM(B37:B41)</f>
        <v>11045</v>
      </c>
      <c r="C42" s="37">
        <f>SUM(C37:C41)</f>
        <v>14518</v>
      </c>
      <c r="D42" s="37">
        <f>SUM(D37:D41)</f>
        <v>14786</v>
      </c>
      <c r="E42" s="319">
        <f>SUM(E37:E41)</f>
        <v>13454</v>
      </c>
      <c r="F42" s="319">
        <f t="shared" ref="F42:K42" si="19">SUM(F37:F41)</f>
        <v>16043</v>
      </c>
      <c r="G42" s="206">
        <f t="shared" si="19"/>
        <v>19305.943037884499</v>
      </c>
      <c r="H42" s="206">
        <f t="shared" si="19"/>
        <v>22803.589972522153</v>
      </c>
      <c r="I42" s="206">
        <f t="shared" si="19"/>
        <v>26536.18307748076</v>
      </c>
      <c r="J42" s="206">
        <f t="shared" si="19"/>
        <v>30522.244433426269</v>
      </c>
      <c r="K42" s="206">
        <f t="shared" si="19"/>
        <v>34783.150131827118</v>
      </c>
    </row>
    <row r="43" spans="1:12" x14ac:dyDescent="0.25">
      <c r="A43" s="35" t="s">
        <v>109</v>
      </c>
      <c r="B43" s="85">
        <v>92</v>
      </c>
      <c r="C43" s="85">
        <v>84</v>
      </c>
      <c r="D43" s="85">
        <v>82</v>
      </c>
      <c r="E43" s="324">
        <v>98</v>
      </c>
      <c r="F43" s="324">
        <v>108</v>
      </c>
      <c r="G43" s="110">
        <f>F43+'PepsiCo-IS'!J44</f>
        <v>172.90805969236405</v>
      </c>
      <c r="H43" s="110">
        <f>G43+'PepsiCo-IS'!K44</f>
        <v>241.96536703633933</v>
      </c>
      <c r="I43" s="110">
        <f>H43+'PepsiCo-IS'!L44</f>
        <v>315.06180913180839</v>
      </c>
      <c r="J43" s="110">
        <f>I43+'PepsiCo-IS'!M44</f>
        <v>392.47677438366537</v>
      </c>
      <c r="K43" s="110">
        <f>J43+'PepsiCo-IS'!N44</f>
        <v>474.53701237008238</v>
      </c>
    </row>
    <row r="44" spans="1:12" x14ac:dyDescent="0.25">
      <c r="A44" s="34" t="s">
        <v>58</v>
      </c>
      <c r="B44" s="49">
        <f>B42+B43</f>
        <v>11137</v>
      </c>
      <c r="C44" s="49">
        <f>C42+C43</f>
        <v>14602</v>
      </c>
      <c r="D44" s="49">
        <f>D42+D43</f>
        <v>14868</v>
      </c>
      <c r="E44" s="130">
        <f>E42+E43</f>
        <v>13552</v>
      </c>
      <c r="F44" s="130">
        <f t="shared" ref="F44:K44" si="20">F42+F43</f>
        <v>16151</v>
      </c>
      <c r="G44" s="327">
        <f t="shared" si="20"/>
        <v>19478.851097576862</v>
      </c>
      <c r="H44" s="327">
        <f t="shared" si="20"/>
        <v>23045.555339558494</v>
      </c>
      <c r="I44" s="327">
        <f t="shared" si="20"/>
        <v>26851.244886612571</v>
      </c>
      <c r="J44" s="327">
        <f t="shared" si="20"/>
        <v>30914.721207809933</v>
      </c>
      <c r="K44" s="327">
        <f t="shared" si="20"/>
        <v>35257.687144197203</v>
      </c>
    </row>
    <row r="45" spans="1:12" x14ac:dyDescent="0.25">
      <c r="A45" s="35"/>
      <c r="B45" s="38"/>
      <c r="C45" s="38"/>
      <c r="D45" s="38"/>
      <c r="E45" s="320"/>
      <c r="F45" s="320"/>
      <c r="G45" s="207"/>
      <c r="H45" s="207"/>
      <c r="I45" s="207"/>
      <c r="J45" s="207"/>
      <c r="K45" s="207"/>
    </row>
    <row r="46" spans="1:12" ht="14.4" thickBot="1" x14ac:dyDescent="0.3">
      <c r="A46" s="34" t="s">
        <v>59</v>
      </c>
      <c r="B46" s="89">
        <f>B32+B34+B35+B44</f>
        <v>79804</v>
      </c>
      <c r="C46" s="89">
        <f>C32+C44</f>
        <v>77648</v>
      </c>
      <c r="D46" s="89">
        <f>D32+D44</f>
        <v>78547</v>
      </c>
      <c r="E46" s="325">
        <f>E32+E44</f>
        <v>92918</v>
      </c>
      <c r="F46" s="325">
        <f t="shared" ref="F46:K46" si="21">F32+F44</f>
        <v>92377</v>
      </c>
      <c r="G46" s="328">
        <f t="shared" si="21"/>
        <v>91906.396653347983</v>
      </c>
      <c r="H46" s="328">
        <f t="shared" si="21"/>
        <v>93265.921104048379</v>
      </c>
      <c r="I46" s="328">
        <f t="shared" si="21"/>
        <v>94940.341325996444</v>
      </c>
      <c r="J46" s="328">
        <f t="shared" si="21"/>
        <v>96645.98995619241</v>
      </c>
      <c r="K46" s="328">
        <f t="shared" si="21"/>
        <v>99487.259927895531</v>
      </c>
    </row>
    <row r="47" spans="1:12" ht="14.4" thickTop="1" x14ac:dyDescent="0.25">
      <c r="A47" s="165" t="s">
        <v>244</v>
      </c>
      <c r="B47" s="197">
        <f>B21-B46</f>
        <v>0</v>
      </c>
      <c r="C47" s="197">
        <f>C21-C46</f>
        <v>0</v>
      </c>
      <c r="D47" s="197">
        <f>D21-D46</f>
        <v>0</v>
      </c>
      <c r="E47" s="197">
        <f>E21-E46</f>
        <v>0</v>
      </c>
      <c r="F47" s="331">
        <f t="shared" ref="F47:K47" si="22">F21-F46</f>
        <v>0</v>
      </c>
      <c r="G47" s="329">
        <f t="shared" si="22"/>
        <v>0</v>
      </c>
      <c r="H47" s="329">
        <f t="shared" si="22"/>
        <v>0</v>
      </c>
      <c r="I47" s="329">
        <f t="shared" si="22"/>
        <v>0</v>
      </c>
      <c r="J47" s="329">
        <f t="shared" si="22"/>
        <v>0</v>
      </c>
      <c r="K47" s="329">
        <f t="shared" si="22"/>
        <v>0</v>
      </c>
    </row>
    <row r="48" spans="1:12" s="165" customFormat="1" x14ac:dyDescent="0.25">
      <c r="F48" s="197"/>
      <c r="G48" s="330"/>
      <c r="H48" s="330"/>
      <c r="I48" s="330"/>
      <c r="J48" s="330"/>
      <c r="K48" s="330"/>
    </row>
    <row r="49" spans="1:11" collapsed="1" x14ac:dyDescent="0.25">
      <c r="F49" s="197"/>
      <c r="G49" s="330"/>
      <c r="H49" s="330"/>
      <c r="I49" s="330"/>
      <c r="J49" s="330"/>
      <c r="K49" s="330"/>
    </row>
    <row r="50" spans="1:11" ht="15.6" hidden="1" outlineLevel="1" x14ac:dyDescent="0.25">
      <c r="A50" s="34" t="s">
        <v>102</v>
      </c>
      <c r="B50" s="90">
        <f>B20</f>
        <v>913</v>
      </c>
      <c r="C50" s="90">
        <f>C20</f>
        <v>760</v>
      </c>
      <c r="D50" s="90">
        <f>D20</f>
        <v>3011</v>
      </c>
      <c r="E50" s="90"/>
      <c r="G50" s="93"/>
      <c r="H50" s="93"/>
      <c r="I50" s="93"/>
      <c r="J50" s="93"/>
      <c r="K50" s="93"/>
    </row>
    <row r="51" spans="1:11" hidden="1" outlineLevel="1" x14ac:dyDescent="0.25">
      <c r="A51" s="5" t="s">
        <v>119</v>
      </c>
      <c r="B51" s="5">
        <v>59</v>
      </c>
      <c r="C51" s="5">
        <v>86</v>
      </c>
      <c r="D51" s="5">
        <v>85</v>
      </c>
      <c r="E51" s="468"/>
      <c r="G51" s="93"/>
      <c r="H51" s="93"/>
      <c r="I51" s="93"/>
      <c r="J51" s="93"/>
      <c r="K51" s="93"/>
    </row>
    <row r="52" spans="1:11" hidden="1" outlineLevel="1" x14ac:dyDescent="0.25">
      <c r="A52" s="5" t="s">
        <v>121</v>
      </c>
      <c r="B52" s="5">
        <v>134</v>
      </c>
      <c r="C52" s="5">
        <v>112</v>
      </c>
      <c r="D52" s="5">
        <v>147</v>
      </c>
      <c r="E52" s="468"/>
      <c r="G52" s="93"/>
      <c r="H52" s="93"/>
      <c r="I52" s="93"/>
      <c r="J52" s="93"/>
      <c r="K52" s="93"/>
    </row>
    <row r="53" spans="1:11" hidden="1" outlineLevel="1" x14ac:dyDescent="0.25">
      <c r="A53" s="5" t="s">
        <v>115</v>
      </c>
      <c r="B53" s="5">
        <v>374</v>
      </c>
      <c r="C53" s="5">
        <v>269</v>
      </c>
      <c r="D53" s="5">
        <v>846</v>
      </c>
      <c r="E53" s="468"/>
      <c r="G53" s="93"/>
      <c r="H53" s="93"/>
      <c r="I53" s="93"/>
      <c r="J53" s="93"/>
      <c r="K53" s="93"/>
    </row>
    <row r="54" spans="1:11" hidden="1" outlineLevel="1" x14ac:dyDescent="0.25">
      <c r="A54" s="5" t="s">
        <v>114</v>
      </c>
      <c r="B54" s="5">
        <v>0</v>
      </c>
      <c r="C54" s="5">
        <v>0</v>
      </c>
      <c r="D54" s="5">
        <v>1548</v>
      </c>
      <c r="E54" s="468"/>
      <c r="G54" s="93"/>
      <c r="H54" s="93"/>
      <c r="I54" s="93"/>
      <c r="J54" s="93"/>
      <c r="K54" s="93"/>
    </row>
    <row r="55" spans="1:11" ht="15.6" hidden="1" outlineLevel="1" x14ac:dyDescent="0.25">
      <c r="A55" s="5" t="s">
        <v>120</v>
      </c>
      <c r="B55" s="88">
        <v>346</v>
      </c>
      <c r="C55" s="88">
        <v>293</v>
      </c>
      <c r="D55" s="88">
        <v>385</v>
      </c>
      <c r="E55" s="468"/>
      <c r="G55" s="93"/>
      <c r="H55" s="93"/>
      <c r="I55" s="93"/>
      <c r="J55" s="93"/>
      <c r="K55" s="93"/>
    </row>
    <row r="56" spans="1:11" hidden="1" outlineLevel="1" x14ac:dyDescent="0.25">
      <c r="B56" s="66">
        <f>SUM(B51:B55)</f>
        <v>913</v>
      </c>
      <c r="C56" s="66">
        <f>SUM(C51:C55)</f>
        <v>760</v>
      </c>
      <c r="D56" s="66">
        <f t="shared" ref="D56" si="23">SUM(D51:D55)</f>
        <v>3011</v>
      </c>
      <c r="E56" s="66"/>
      <c r="G56" s="93"/>
      <c r="H56" s="93"/>
      <c r="I56" s="93"/>
      <c r="J56" s="93"/>
      <c r="K56" s="93"/>
    </row>
    <row r="57" spans="1:11" hidden="1" outlineLevel="1" x14ac:dyDescent="0.25">
      <c r="A57" s="165" t="s">
        <v>232</v>
      </c>
      <c r="G57" s="93"/>
      <c r="H57" s="93"/>
      <c r="I57" s="93"/>
      <c r="J57" s="93"/>
      <c r="K57" s="93"/>
    </row>
    <row r="58" spans="1:11" hidden="1" outlineLevel="1" x14ac:dyDescent="0.25">
      <c r="G58" s="93"/>
      <c r="H58" s="93"/>
      <c r="I58" s="93"/>
      <c r="J58" s="93"/>
      <c r="K58" s="93"/>
    </row>
    <row r="59" spans="1:11" s="26" customFormat="1" ht="15.6" hidden="1" outlineLevel="1" x14ac:dyDescent="0.25">
      <c r="A59" s="34" t="s">
        <v>106</v>
      </c>
      <c r="B59" s="91">
        <f>B31</f>
        <v>11283</v>
      </c>
      <c r="C59" s="91">
        <f>C31</f>
        <v>9114</v>
      </c>
      <c r="D59" s="91">
        <f>D31</f>
        <v>9979</v>
      </c>
      <c r="E59" s="91"/>
      <c r="G59" s="99"/>
      <c r="H59" s="99"/>
      <c r="I59" s="99"/>
      <c r="J59" s="99"/>
      <c r="K59" s="99"/>
    </row>
    <row r="60" spans="1:11" hidden="1" outlineLevel="1" x14ac:dyDescent="0.25">
      <c r="A60" s="5" t="s">
        <v>112</v>
      </c>
      <c r="B60" s="5">
        <v>2200</v>
      </c>
      <c r="C60" s="5">
        <v>1400</v>
      </c>
      <c r="D60" s="5">
        <v>1400</v>
      </c>
      <c r="E60" s="468"/>
      <c r="G60" s="93"/>
      <c r="H60" s="93"/>
      <c r="I60" s="93"/>
      <c r="J60" s="93"/>
      <c r="K60" s="93"/>
    </row>
    <row r="61" spans="1:11" hidden="1" outlineLevel="1" x14ac:dyDescent="0.25">
      <c r="A61" s="5" t="s">
        <v>113</v>
      </c>
      <c r="B61" s="5">
        <v>283</v>
      </c>
      <c r="C61" s="5">
        <v>179</v>
      </c>
      <c r="D61" s="5">
        <v>250</v>
      </c>
      <c r="E61" s="468"/>
      <c r="G61" s="93"/>
      <c r="H61" s="93"/>
      <c r="I61" s="93"/>
      <c r="J61" s="93"/>
      <c r="K61" s="93"/>
    </row>
    <row r="62" spans="1:11" hidden="1" outlineLevel="1" x14ac:dyDescent="0.25">
      <c r="A62" s="5" t="s">
        <v>118</v>
      </c>
      <c r="B62" s="5">
        <f>2407+114+791</f>
        <v>3312</v>
      </c>
      <c r="C62" s="5">
        <f>1627+88+670</f>
        <v>2385</v>
      </c>
      <c r="D62" s="5">
        <f>1620+119+628</f>
        <v>2367</v>
      </c>
      <c r="E62" s="468"/>
      <c r="G62" s="93"/>
      <c r="H62" s="93"/>
      <c r="I62" s="93"/>
      <c r="J62" s="93"/>
      <c r="K62" s="93"/>
    </row>
    <row r="63" spans="1:11" hidden="1" outlineLevel="1" x14ac:dyDescent="0.25">
      <c r="A63" s="5" t="s">
        <v>116</v>
      </c>
      <c r="B63" s="5">
        <v>0</v>
      </c>
      <c r="C63" s="5">
        <v>0</v>
      </c>
      <c r="D63" s="5">
        <v>1118</v>
      </c>
      <c r="E63" s="468"/>
      <c r="G63" s="93"/>
      <c r="H63" s="93"/>
      <c r="I63" s="93"/>
      <c r="J63" s="93"/>
      <c r="K63" s="93"/>
    </row>
    <row r="64" spans="1:11" hidden="1" outlineLevel="1" x14ac:dyDescent="0.25">
      <c r="A64" s="5" t="s">
        <v>124</v>
      </c>
      <c r="B64" s="46">
        <f>B59-SUM(B60:B63)</f>
        <v>5488</v>
      </c>
      <c r="C64" s="46">
        <f>C59-SUM(C60:C63)</f>
        <v>5150</v>
      </c>
      <c r="D64" s="46">
        <f>D59-SUM(D60:D63)</f>
        <v>4844</v>
      </c>
      <c r="E64" s="468"/>
      <c r="G64" s="93"/>
      <c r="H64" s="93"/>
      <c r="I64" s="93"/>
      <c r="J64" s="93"/>
      <c r="K64" s="93"/>
    </row>
    <row r="65" spans="1:11" hidden="1" outlineLevel="1" x14ac:dyDescent="0.25">
      <c r="G65" s="93"/>
      <c r="H65" s="93"/>
      <c r="I65" s="93"/>
      <c r="J65" s="93"/>
      <c r="K65" s="93"/>
    </row>
    <row r="66" spans="1:11" ht="15.6" x14ac:dyDescent="0.25">
      <c r="F66" s="332"/>
      <c r="G66" s="244"/>
      <c r="H66" s="244"/>
      <c r="I66" s="244"/>
      <c r="J66" s="244"/>
      <c r="K66" s="93"/>
    </row>
    <row r="67" spans="1:11" ht="15.6" x14ac:dyDescent="0.25">
      <c r="A67" s="34" t="s">
        <v>104</v>
      </c>
      <c r="B67" s="90">
        <f>B25</f>
        <v>15017</v>
      </c>
      <c r="C67" s="90">
        <f>C25</f>
        <v>18112</v>
      </c>
      <c r="D67" s="90">
        <f>D25</f>
        <v>17541</v>
      </c>
      <c r="E67" s="90">
        <f t="shared" ref="E67:F67" si="24">E25</f>
        <v>19592</v>
      </c>
      <c r="F67" s="332">
        <f t="shared" si="24"/>
        <v>21159</v>
      </c>
      <c r="G67" s="244">
        <f>G72+G73</f>
        <v>21668.545555771128</v>
      </c>
      <c r="H67" s="244">
        <f t="shared" ref="H67:K67" si="25">H72+H73</f>
        <v>22480.365764489878</v>
      </c>
      <c r="I67" s="244">
        <f t="shared" si="25"/>
        <v>23335.096439383859</v>
      </c>
      <c r="J67" s="244">
        <f t="shared" si="25"/>
        <v>24235.268748382467</v>
      </c>
      <c r="K67" s="244">
        <f t="shared" si="25"/>
        <v>25183.572783698321</v>
      </c>
    </row>
    <row r="68" spans="1:11" ht="15.6" x14ac:dyDescent="0.25">
      <c r="A68" s="34" t="s">
        <v>148</v>
      </c>
      <c r="B68" s="90"/>
      <c r="C68" s="90"/>
      <c r="D68" s="90"/>
      <c r="E68" s="90"/>
      <c r="G68" s="93"/>
      <c r="H68" s="93"/>
      <c r="I68" s="93"/>
      <c r="J68" s="93"/>
      <c r="K68" s="93"/>
    </row>
    <row r="69" spans="1:11" ht="14.55" customHeight="1" x14ac:dyDescent="0.25">
      <c r="A69" s="115" t="s">
        <v>122</v>
      </c>
      <c r="B69" s="5">
        <v>1161</v>
      </c>
      <c r="C69" s="64">
        <v>1329</v>
      </c>
      <c r="D69" s="64">
        <v>1351</v>
      </c>
      <c r="E69" s="213">
        <v>1430</v>
      </c>
      <c r="F69" s="46">
        <v>1508</v>
      </c>
      <c r="G69" s="105"/>
      <c r="H69" s="105"/>
      <c r="I69" s="105"/>
      <c r="J69" s="105"/>
      <c r="K69" s="105"/>
    </row>
    <row r="70" spans="1:11" ht="14.55" customHeight="1" x14ac:dyDescent="0.25">
      <c r="A70" s="115" t="s">
        <v>123</v>
      </c>
      <c r="B70" s="5">
        <v>0</v>
      </c>
      <c r="C70" s="5">
        <v>1997</v>
      </c>
      <c r="D70" s="5">
        <v>58</v>
      </c>
      <c r="E70" s="213"/>
      <c r="G70" s="93"/>
      <c r="H70" s="93"/>
      <c r="I70" s="93"/>
      <c r="J70" s="93"/>
      <c r="K70" s="93"/>
    </row>
    <row r="71" spans="1:11" ht="14.55" customHeight="1" x14ac:dyDescent="0.25">
      <c r="A71" s="115" t="s">
        <v>117</v>
      </c>
      <c r="B71" s="116">
        <v>0</v>
      </c>
      <c r="C71" s="117">
        <v>0</v>
      </c>
      <c r="D71" s="64">
        <v>442</v>
      </c>
      <c r="E71" s="326">
        <v>460</v>
      </c>
      <c r="F71" s="46">
        <v>446</v>
      </c>
      <c r="G71" s="105"/>
      <c r="H71" s="105"/>
      <c r="I71" s="105"/>
      <c r="J71" s="105"/>
      <c r="K71" s="105"/>
    </row>
    <row r="72" spans="1:11" s="26" customFormat="1" x14ac:dyDescent="0.25">
      <c r="A72" s="34" t="s">
        <v>149</v>
      </c>
      <c r="B72" s="66">
        <f>B67-SUM(B69:B71)</f>
        <v>13856</v>
      </c>
      <c r="C72" s="66">
        <f t="shared" ref="C72:F72" si="26">C67-SUM(C69:C71)</f>
        <v>14786</v>
      </c>
      <c r="D72" s="236">
        <f t="shared" si="26"/>
        <v>15690</v>
      </c>
      <c r="E72" s="236">
        <f t="shared" si="26"/>
        <v>17702</v>
      </c>
      <c r="F72" s="236">
        <f t="shared" si="26"/>
        <v>19205</v>
      </c>
      <c r="G72" s="243">
        <f>G86</f>
        <v>19714.545555771128</v>
      </c>
      <c r="H72" s="243">
        <f t="shared" ref="H72:K72" si="27">H86</f>
        <v>20526.365764489878</v>
      </c>
      <c r="I72" s="243">
        <f t="shared" si="27"/>
        <v>21381.096439383859</v>
      </c>
      <c r="J72" s="243">
        <f t="shared" si="27"/>
        <v>22281.268748382467</v>
      </c>
      <c r="K72" s="243">
        <f t="shared" si="27"/>
        <v>23229.572783698321</v>
      </c>
    </row>
    <row r="73" spans="1:11" x14ac:dyDescent="0.25">
      <c r="A73" s="34" t="s">
        <v>150</v>
      </c>
      <c r="B73" s="87">
        <f>B67-B72</f>
        <v>1161</v>
      </c>
      <c r="C73" s="87">
        <f t="shared" ref="C73:D73" si="28">C67-C72</f>
        <v>3326</v>
      </c>
      <c r="D73" s="87">
        <f t="shared" si="28"/>
        <v>1851</v>
      </c>
      <c r="E73" s="87">
        <f>E71+E69</f>
        <v>1890</v>
      </c>
      <c r="F73" s="333">
        <f t="shared" ref="F73" si="29">F71+F69</f>
        <v>1954</v>
      </c>
      <c r="G73" s="105">
        <f>F73</f>
        <v>1954</v>
      </c>
      <c r="H73" s="105">
        <f t="shared" ref="H73:K73" si="30">G73</f>
        <v>1954</v>
      </c>
      <c r="I73" s="105">
        <f t="shared" si="30"/>
        <v>1954</v>
      </c>
      <c r="J73" s="105">
        <f t="shared" si="30"/>
        <v>1954</v>
      </c>
      <c r="K73" s="105">
        <f t="shared" si="30"/>
        <v>1954</v>
      </c>
    </row>
    <row r="74" spans="1:11" x14ac:dyDescent="0.25">
      <c r="A74" s="165" t="s">
        <v>232</v>
      </c>
      <c r="B74" s="337" t="s">
        <v>246</v>
      </c>
      <c r="C74" s="211" t="s">
        <v>247</v>
      </c>
      <c r="D74" s="212" t="s">
        <v>247</v>
      </c>
      <c r="E74" s="337" t="s">
        <v>292</v>
      </c>
      <c r="F74" s="337" t="s">
        <v>292</v>
      </c>
      <c r="G74" s="93"/>
      <c r="H74" s="93"/>
      <c r="I74" s="93"/>
      <c r="J74" s="93"/>
      <c r="K74" s="93"/>
    </row>
    <row r="75" spans="1:11" x14ac:dyDescent="0.25">
      <c r="A75" s="165"/>
      <c r="B75" s="165"/>
      <c r="C75" s="165"/>
      <c r="D75" s="165"/>
      <c r="G75" s="93"/>
      <c r="H75" s="93"/>
      <c r="I75" s="93"/>
      <c r="J75" s="93"/>
      <c r="K75" s="93"/>
    </row>
    <row r="76" spans="1:11" x14ac:dyDescent="0.25">
      <c r="A76" s="26" t="s">
        <v>127</v>
      </c>
      <c r="G76" s="93"/>
      <c r="H76" s="93"/>
      <c r="I76" s="93"/>
      <c r="J76" s="93"/>
      <c r="K76" s="93"/>
    </row>
    <row r="77" spans="1:11" x14ac:dyDescent="0.25">
      <c r="A77" s="26" t="s">
        <v>129</v>
      </c>
      <c r="G77" s="93"/>
      <c r="H77" s="93"/>
      <c r="I77" s="93"/>
      <c r="J77" s="93"/>
      <c r="K77" s="93"/>
    </row>
    <row r="78" spans="1:11" x14ac:dyDescent="0.25">
      <c r="A78" s="5" t="str">
        <f>A8</f>
        <v>Accounts and Notes Receivable</v>
      </c>
      <c r="B78" s="39">
        <f>B8</f>
        <v>7024</v>
      </c>
      <c r="C78" s="39">
        <f t="shared" ref="C78:F78" si="31">C8</f>
        <v>7142</v>
      </c>
      <c r="D78" s="39">
        <f t="shared" si="31"/>
        <v>7822</v>
      </c>
      <c r="E78" s="39">
        <f t="shared" si="31"/>
        <v>8404</v>
      </c>
      <c r="F78" s="124">
        <f t="shared" si="31"/>
        <v>8680</v>
      </c>
      <c r="G78" s="94">
        <f>'PepsiCo-IS'!J6/'PepsiCo-BS'!$G79</f>
        <v>9177.2739650405892</v>
      </c>
      <c r="H78" s="94">
        <f>'PepsiCo-IS'!K6/'PepsiCo-BS'!$G79</f>
        <v>9588.7259823647237</v>
      </c>
      <c r="I78" s="94">
        <f>'PepsiCo-IS'!L6/'PepsiCo-BS'!$G79</f>
        <v>10023.192870486433</v>
      </c>
      <c r="J78" s="94">
        <f>'PepsiCo-IS'!M6/'PepsiCo-BS'!$G79</f>
        <v>10482.109498947597</v>
      </c>
      <c r="K78" s="94">
        <f>'PepsiCo-IS'!N6/'PepsiCo-BS'!$G79</f>
        <v>10967.006130520162</v>
      </c>
    </row>
    <row r="79" spans="1:11" s="43" customFormat="1" x14ac:dyDescent="0.25">
      <c r="A79" s="43" t="s">
        <v>258</v>
      </c>
      <c r="B79" s="238">
        <f>'PepsiCo-IS'!E6/B78</f>
        <v>9.043992027334852</v>
      </c>
      <c r="C79" s="238">
        <f>'PepsiCo-IS'!F6/C78</f>
        <v>9.0536264351722213</v>
      </c>
      <c r="D79" s="238">
        <f>'PepsiCo-IS'!G6/D78</f>
        <v>8.5861672206596786</v>
      </c>
      <c r="E79" s="238">
        <f>'PepsiCo-IS'!H6/E78</f>
        <v>8.3736316039980956</v>
      </c>
      <c r="F79" s="334">
        <f>'PepsiCo-IS'!I6/F78</f>
        <v>9.1559907834101377</v>
      </c>
      <c r="G79" s="239">
        <f>MEDIAN(B79:F79)</f>
        <v>9.043992027334852</v>
      </c>
      <c r="H79" s="240"/>
      <c r="I79" s="240"/>
      <c r="J79" s="240"/>
      <c r="K79" s="102"/>
    </row>
    <row r="80" spans="1:11" x14ac:dyDescent="0.25">
      <c r="A80" s="5" t="str">
        <f>A9</f>
        <v>Inventories</v>
      </c>
      <c r="B80" s="39">
        <f>B9</f>
        <v>2947</v>
      </c>
      <c r="C80" s="39">
        <f t="shared" ref="C80:F80" si="32">C9</f>
        <v>3128</v>
      </c>
      <c r="D80" s="39">
        <f t="shared" si="32"/>
        <v>3338</v>
      </c>
      <c r="E80" s="39">
        <f t="shared" si="32"/>
        <v>4172</v>
      </c>
      <c r="F80" s="124">
        <f t="shared" si="32"/>
        <v>4347</v>
      </c>
      <c r="G80" s="94">
        <f>'PepsiCo-IS'!J10/'PepsiCo-BS'!$G81</f>
        <v>4292.1218593940421</v>
      </c>
      <c r="H80" s="94">
        <f>'PepsiCo-IS'!K10/'PepsiCo-BS'!$G81</f>
        <v>4454.7533019712318</v>
      </c>
      <c r="I80" s="94">
        <f>'PepsiCo-IS'!L10/'PepsiCo-BS'!$G81</f>
        <v>4625.4480288094155</v>
      </c>
      <c r="J80" s="94">
        <f>'PepsiCo-IS'!M10/'PepsiCo-BS'!$G81</f>
        <v>4804.6491534286561</v>
      </c>
      <c r="K80" s="94">
        <f>'PepsiCo-IS'!N10/'PepsiCo-BS'!$G81</f>
        <v>4992.8253803063853</v>
      </c>
    </row>
    <row r="81" spans="1:11" s="43" customFormat="1" x14ac:dyDescent="0.25">
      <c r="A81" s="43" t="s">
        <v>259</v>
      </c>
      <c r="B81" s="237">
        <f>'PepsiCo-IS'!E10/'PepsiCo-BS'!B80</f>
        <v>9.059043094672548</v>
      </c>
      <c r="C81" s="237">
        <f>'PepsiCo-IS'!F10/'PepsiCo-BS'!C80</f>
        <v>8.6799872122762149</v>
      </c>
      <c r="D81" s="237">
        <f>'PepsiCo-IS'!G10/'PepsiCo-BS'!D80</f>
        <v>8.3415218693828646</v>
      </c>
      <c r="E81" s="237">
        <f>'PepsiCo-IS'!H10/'PepsiCo-BS'!E80</f>
        <v>7.0632790028763184</v>
      </c>
      <c r="F81" s="335">
        <f>'PepsiCo-IS'!I10/'PepsiCo-BS'!F80</f>
        <v>7.938808373590982</v>
      </c>
      <c r="G81" s="239">
        <f>MEDIAN(B81:F81)</f>
        <v>8.3415218693828646</v>
      </c>
      <c r="H81" s="240"/>
      <c r="I81" s="240"/>
      <c r="J81" s="240"/>
      <c r="K81" s="102"/>
    </row>
    <row r="82" spans="1:11" x14ac:dyDescent="0.25">
      <c r="A82" s="5" t="str">
        <f>A10</f>
        <v>Prepaid expenses and other current assets</v>
      </c>
      <c r="B82" s="39">
        <f>B10</f>
        <v>1546</v>
      </c>
      <c r="C82" s="39">
        <f t="shared" ref="C82:F82" si="33">C10</f>
        <v>633</v>
      </c>
      <c r="D82" s="39">
        <f t="shared" si="33"/>
        <v>747</v>
      </c>
      <c r="E82" s="39">
        <f t="shared" si="33"/>
        <v>874</v>
      </c>
      <c r="F82" s="124">
        <f t="shared" si="33"/>
        <v>980</v>
      </c>
      <c r="G82" s="94">
        <f>$G83*'PepsiCo-IS'!J6</f>
        <v>1023.4694204525367</v>
      </c>
      <c r="H82" s="94">
        <f>$G83*'PepsiCo-IS'!K6</f>
        <v>1069.3554383832322</v>
      </c>
      <c r="I82" s="94">
        <f>$G83*'PepsiCo-IS'!L6</f>
        <v>1117.8081244298317</v>
      </c>
      <c r="J82" s="94">
        <f>$G83*'PepsiCo-IS'!M6</f>
        <v>1168.9874983437392</v>
      </c>
      <c r="K82" s="94">
        <f>$G83*'PepsiCo-IS'!N6</f>
        <v>1223.0642183354764</v>
      </c>
    </row>
    <row r="83" spans="1:11" s="43" customFormat="1" x14ac:dyDescent="0.25">
      <c r="A83" s="43" t="s">
        <v>261</v>
      </c>
      <c r="B83" s="241">
        <f>B82/'PepsiCo-IS'!E6</f>
        <v>2.4336875245966155E-2</v>
      </c>
      <c r="C83" s="241">
        <f>C82/'PepsiCo-IS'!F6</f>
        <v>9.7895176381435495E-3</v>
      </c>
      <c r="D83" s="241">
        <f>D82/'PepsiCo-IS'!G6</f>
        <v>1.1122526466252737E-2</v>
      </c>
      <c r="E83" s="241">
        <f>E82/'PepsiCo-IS'!H6</f>
        <v>1.2419712385607913E-2</v>
      </c>
      <c r="F83" s="336">
        <f>F82/'PepsiCo-IS'!I6</f>
        <v>1.2331076830158291E-2</v>
      </c>
      <c r="G83" s="233">
        <f>MEDIAN(B83:F83)</f>
        <v>1.2331076830158291E-2</v>
      </c>
      <c r="H83" s="234"/>
      <c r="I83" s="234"/>
      <c r="J83" s="234"/>
      <c r="K83" s="102"/>
    </row>
    <row r="84" spans="1:11" x14ac:dyDescent="0.25">
      <c r="B84" s="39"/>
      <c r="C84" s="39"/>
      <c r="D84" s="39"/>
      <c r="E84" s="39"/>
      <c r="G84" s="242"/>
      <c r="H84" s="94"/>
      <c r="I84" s="94"/>
      <c r="J84" s="94"/>
      <c r="K84" s="93"/>
    </row>
    <row r="85" spans="1:11" x14ac:dyDescent="0.25">
      <c r="A85" s="26" t="s">
        <v>128</v>
      </c>
      <c r="B85" s="39"/>
      <c r="C85" s="39"/>
      <c r="D85" s="39"/>
      <c r="E85" s="39"/>
      <c r="G85" s="94"/>
      <c r="H85" s="94"/>
      <c r="I85" s="94"/>
      <c r="J85" s="94"/>
      <c r="K85" s="93"/>
    </row>
    <row r="86" spans="1:11" x14ac:dyDescent="0.25">
      <c r="A86" s="5" t="str">
        <f>A72</f>
        <v>Accounts payable and other current liabilities-Operating</v>
      </c>
      <c r="B86" s="124">
        <f>B72</f>
        <v>13856</v>
      </c>
      <c r="C86" s="124">
        <f t="shared" ref="C86:F86" si="34">C72</f>
        <v>14786</v>
      </c>
      <c r="D86" s="124">
        <f t="shared" si="34"/>
        <v>15690</v>
      </c>
      <c r="E86" s="124">
        <f t="shared" si="34"/>
        <v>17702</v>
      </c>
      <c r="F86" s="124">
        <f t="shared" si="34"/>
        <v>19205</v>
      </c>
      <c r="G86" s="94">
        <f>('PepsiCo-IS'!J10+'PepsiCo-IS'!J18)/'PepsiCo-BS'!$G87</f>
        <v>19714.545555771128</v>
      </c>
      <c r="H86" s="94">
        <f>('PepsiCo-IS'!K10+'PepsiCo-IS'!K18)/'PepsiCo-BS'!$G87</f>
        <v>20526.365764489878</v>
      </c>
      <c r="I86" s="94">
        <f>('PepsiCo-IS'!L10+'PepsiCo-IS'!L18)/'PepsiCo-BS'!$G87</f>
        <v>21381.096439383859</v>
      </c>
      <c r="J86" s="94">
        <f>('PepsiCo-IS'!M10+'PepsiCo-IS'!M18)/'PepsiCo-BS'!$G87</f>
        <v>22281.268748382467</v>
      </c>
      <c r="K86" s="94">
        <f>('PepsiCo-IS'!N10+'PepsiCo-IS'!N18)/'PepsiCo-BS'!$G87</f>
        <v>23229.572783698321</v>
      </c>
    </row>
    <row r="87" spans="1:11" s="43" customFormat="1" x14ac:dyDescent="0.25">
      <c r="A87" s="43" t="s">
        <v>260</v>
      </c>
      <c r="B87" s="237">
        <f>('PepsiCo-IS'!E10+'PepsiCo-IS'!E18)/B86</f>
        <v>3.6566108545034641</v>
      </c>
      <c r="C87" s="237">
        <f>('PepsiCo-IS'!F10+'PepsiCo-IS'!F18)/C86</f>
        <v>3.4926281617746517</v>
      </c>
      <c r="D87" s="237">
        <f>('PepsiCo-IS'!G10+'PepsiCo-IS'!G18)/D86</f>
        <v>3.4497769279796047</v>
      </c>
      <c r="E87" s="237">
        <f>('PepsiCo-IS'!H10+'PepsiCo-IS'!H18)/E86</f>
        <v>3.2365269461077846</v>
      </c>
      <c r="F87" s="335">
        <f>('PepsiCo-IS'!I10+'PepsiCo-IS'!I18)/F86</f>
        <v>3.4027596979953136</v>
      </c>
      <c r="G87" s="239">
        <f>MEDIAN(B87:F87)</f>
        <v>3.4497769279796047</v>
      </c>
      <c r="H87" s="240"/>
      <c r="I87" s="240"/>
      <c r="J87" s="240"/>
      <c r="K87" s="102"/>
    </row>
  </sheetData>
  <mergeCells count="2">
    <mergeCell ref="E60:E64"/>
    <mergeCell ref="E51:E55"/>
  </mergeCells>
  <pageMargins left="0.2" right="0.2" top="0.5" bottom="0.5" header="0.5" footer="0.5"/>
  <pageSetup fitToWidth="0" fitToHeight="0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F568-BAE8-4473-8942-AB5086614AD7}">
  <dimension ref="A1:M40"/>
  <sheetViews>
    <sheetView showGridLines="0" topLeftCell="A6" workbookViewId="0">
      <selection activeCell="B36" sqref="B36"/>
    </sheetView>
  </sheetViews>
  <sheetFormatPr defaultColWidth="8.77734375" defaultRowHeight="13.8" x14ac:dyDescent="0.3"/>
  <cols>
    <col min="1" max="1" width="48.44140625" style="1" bestFit="1" customWidth="1"/>
    <col min="2" max="6" width="12.77734375" style="1" customWidth="1"/>
    <col min="7" max="16384" width="8.77734375" style="1"/>
  </cols>
  <sheetData>
    <row r="1" spans="1:6" x14ac:dyDescent="0.3">
      <c r="A1" s="53" t="s">
        <v>186</v>
      </c>
    </row>
    <row r="2" spans="1:6" x14ac:dyDescent="0.3">
      <c r="A2" s="43" t="str">
        <f>'PepsiCo-IS'!A2</f>
        <v>(in USD million except per Share Data)</v>
      </c>
      <c r="B2" s="167"/>
      <c r="C2" s="167"/>
      <c r="D2" s="167"/>
      <c r="E2" s="167"/>
      <c r="F2" s="167"/>
    </row>
    <row r="3" spans="1:6" x14ac:dyDescent="0.3">
      <c r="A3" s="53" t="s">
        <v>130</v>
      </c>
      <c r="B3" s="137">
        <f>'PepsiCo-IS'!I3</f>
        <v>12</v>
      </c>
      <c r="C3" s="137">
        <f>'PepsiCo-IS'!J3</f>
        <v>12</v>
      </c>
      <c r="D3" s="137">
        <f>'PepsiCo-IS'!K3</f>
        <v>12</v>
      </c>
      <c r="E3" s="137">
        <f>'PepsiCo-IS'!L3</f>
        <v>12</v>
      </c>
      <c r="F3" s="137">
        <f>'PepsiCo-IS'!M3</f>
        <v>12</v>
      </c>
    </row>
    <row r="4" spans="1:6" ht="14.55" customHeight="1" x14ac:dyDescent="0.3">
      <c r="A4" s="54"/>
      <c r="B4" s="92">
        <f>'PepsiCo-IS'!I4</f>
        <v>44561</v>
      </c>
      <c r="C4" s="92">
        <f>'PepsiCo-IS'!J4</f>
        <v>44926</v>
      </c>
      <c r="D4" s="92">
        <f>'PepsiCo-IS'!K4</f>
        <v>45291</v>
      </c>
      <c r="E4" s="92">
        <f>'PepsiCo-IS'!L4</f>
        <v>45657</v>
      </c>
      <c r="F4" s="92">
        <f>'PepsiCo-IS'!M4</f>
        <v>46022</v>
      </c>
    </row>
    <row r="6" spans="1:6" x14ac:dyDescent="0.3">
      <c r="A6" s="175" t="s">
        <v>131</v>
      </c>
    </row>
    <row r="7" spans="1:6" x14ac:dyDescent="0.3">
      <c r="A7" s="186" t="s">
        <v>132</v>
      </c>
      <c r="B7" s="173">
        <f>'PepsiCo-IS'!J40</f>
        <v>9252.6127093887881</v>
      </c>
      <c r="C7" s="173">
        <f>'PepsiCo-IS'!K40</f>
        <v>9944.1757422339415</v>
      </c>
      <c r="D7" s="173">
        <f>'PepsiCo-IS'!L40</f>
        <v>10633.9271584037</v>
      </c>
      <c r="E7" s="173">
        <f>'PepsiCo-IS'!M40</f>
        <v>11379.06252766426</v>
      </c>
      <c r="F7" s="173">
        <f>'PepsiCo-IS'!N40</f>
        <v>12188.358877394287</v>
      </c>
    </row>
    <row r="8" spans="1:6" x14ac:dyDescent="0.3">
      <c r="A8" s="186" t="s">
        <v>256</v>
      </c>
      <c r="B8" s="173">
        <f>'PepsiCo-IS'!J11+'PepsiCo-IS'!J19+'PepsiCo-IS'!J20</f>
        <v>2915.6426142559221</v>
      </c>
      <c r="C8" s="173">
        <f>'PepsiCo-IS'!K11+'PepsiCo-IS'!K19+'PepsiCo-IS'!K20</f>
        <v>3038.8678983820269</v>
      </c>
      <c r="D8" s="173">
        <f>'PepsiCo-IS'!L11+'PepsiCo-IS'!L19+'PepsiCo-IS'!L20</f>
        <v>3169.4115467733959</v>
      </c>
      <c r="E8" s="173">
        <f>'PepsiCo-IS'!M11+'PepsiCo-IS'!M19+'PepsiCo-IS'!M20</f>
        <v>3307.7068596479598</v>
      </c>
      <c r="F8" s="173">
        <f>'PepsiCo-IS'!N11+'PepsiCo-IS'!N19+'PepsiCo-IS'!N20</f>
        <v>3454.2171555657046</v>
      </c>
    </row>
    <row r="9" spans="1:6" x14ac:dyDescent="0.3">
      <c r="A9" s="186" t="s">
        <v>315</v>
      </c>
      <c r="B9" s="173">
        <f>'PepsiCo-IS'!J79</f>
        <v>314.35132199613628</v>
      </c>
      <c r="C9" s="173">
        <f>'PepsiCo-IS'!K79</f>
        <v>328.44488464627847</v>
      </c>
      <c r="D9" s="173">
        <f>'PepsiCo-IS'!L79</f>
        <v>343.32678107487692</v>
      </c>
      <c r="E9" s="173">
        <f>'PepsiCo-IS'!M79</f>
        <v>359.04616020557705</v>
      </c>
      <c r="F9" s="173">
        <f>'PepsiCo-IS'!N79</f>
        <v>375.65543848875348</v>
      </c>
    </row>
    <row r="10" spans="1:6" x14ac:dyDescent="0.3">
      <c r="A10" s="186"/>
      <c r="B10" s="173"/>
      <c r="C10" s="173"/>
      <c r="D10" s="173"/>
      <c r="E10" s="173"/>
      <c r="F10" s="173"/>
    </row>
    <row r="11" spans="1:6" x14ac:dyDescent="0.3">
      <c r="A11" s="187" t="s">
        <v>257</v>
      </c>
      <c r="B11" s="173"/>
      <c r="C11" s="173"/>
      <c r="D11" s="173"/>
      <c r="E11" s="173"/>
      <c r="F11" s="173"/>
    </row>
    <row r="12" spans="1:6" x14ac:dyDescent="0.3">
      <c r="A12" s="188" t="s">
        <v>133</v>
      </c>
      <c r="B12" s="173">
        <f>'PepsiCo-BS'!F8-'PepsiCo-BS'!G8</f>
        <v>-497.27396504058925</v>
      </c>
      <c r="C12" s="173">
        <f>'PepsiCo-BS'!G8-'PepsiCo-BS'!H8</f>
        <v>-411.45201732413443</v>
      </c>
      <c r="D12" s="173">
        <f>'PepsiCo-BS'!H8-'PepsiCo-BS'!I8</f>
        <v>-434.46688812170942</v>
      </c>
      <c r="E12" s="173">
        <f>'PepsiCo-BS'!I8-'PepsiCo-BS'!J8</f>
        <v>-458.91662846116378</v>
      </c>
      <c r="F12" s="173">
        <f>'PepsiCo-BS'!J8-'PepsiCo-BS'!K8</f>
        <v>-484.89663157256473</v>
      </c>
    </row>
    <row r="13" spans="1:6" x14ac:dyDescent="0.3">
      <c r="A13" s="188" t="s">
        <v>94</v>
      </c>
      <c r="B13" s="173">
        <f>'PepsiCo-BS'!F9-'PepsiCo-BS'!G9</f>
        <v>54.878140605957924</v>
      </c>
      <c r="C13" s="173">
        <f>'PepsiCo-BS'!G9-'PepsiCo-BS'!H9</f>
        <v>-162.63144257718977</v>
      </c>
      <c r="D13" s="173">
        <f>'PepsiCo-BS'!H9-'PepsiCo-BS'!I9</f>
        <v>-170.69472683818367</v>
      </c>
      <c r="E13" s="173">
        <f>'PepsiCo-BS'!I9-'PepsiCo-BS'!J9</f>
        <v>-179.20112461924055</v>
      </c>
      <c r="F13" s="173">
        <f>'PepsiCo-BS'!J9-'PepsiCo-BS'!K9</f>
        <v>-188.17622687772928</v>
      </c>
    </row>
    <row r="14" spans="1:6" x14ac:dyDescent="0.3">
      <c r="A14" s="189" t="s">
        <v>95</v>
      </c>
      <c r="B14" s="173">
        <f>'PepsiCo-BS'!F10-'PepsiCo-BS'!G10</f>
        <v>-43.469420452536724</v>
      </c>
      <c r="C14" s="173">
        <f>'PepsiCo-BS'!G10-'PepsiCo-BS'!H10</f>
        <v>-45.886017930695516</v>
      </c>
      <c r="D14" s="173">
        <f>'PepsiCo-BS'!H10-'PepsiCo-BS'!I10</f>
        <v>-48.45268604659941</v>
      </c>
      <c r="E14" s="173">
        <f>'PepsiCo-BS'!I10-'PepsiCo-BS'!J10</f>
        <v>-51.179373913907511</v>
      </c>
      <c r="F14" s="173">
        <f>'PepsiCo-BS'!J10-'PepsiCo-BS'!K10</f>
        <v>-54.076719991737264</v>
      </c>
    </row>
    <row r="15" spans="1:6" x14ac:dyDescent="0.3">
      <c r="A15" s="188" t="s">
        <v>134</v>
      </c>
      <c r="B15" s="173">
        <f>'PepsiCo-BS'!G25-'PepsiCo-BS'!F25</f>
        <v>509.54555577112842</v>
      </c>
      <c r="C15" s="173">
        <f>'PepsiCo-BS'!H25-'PepsiCo-BS'!G25</f>
        <v>811.8202087187492</v>
      </c>
      <c r="D15" s="173">
        <f>'PepsiCo-BS'!I25-'PepsiCo-BS'!H25</f>
        <v>854.7306748939809</v>
      </c>
      <c r="E15" s="173">
        <f>'PepsiCo-BS'!J25-'PepsiCo-BS'!I25</f>
        <v>900.17230899860806</v>
      </c>
      <c r="F15" s="173">
        <f>'PepsiCo-BS'!K25-'PepsiCo-BS'!J25</f>
        <v>948.30403531585398</v>
      </c>
    </row>
    <row r="16" spans="1:6" x14ac:dyDescent="0.3">
      <c r="B16" s="173"/>
      <c r="C16" s="173"/>
      <c r="D16" s="173"/>
      <c r="E16" s="173"/>
      <c r="F16" s="173"/>
    </row>
    <row r="17" spans="1:13" s="175" customFormat="1" x14ac:dyDescent="0.3">
      <c r="A17" s="235" t="s">
        <v>135</v>
      </c>
      <c r="B17" s="231">
        <f>SUM(B7:B15)</f>
        <v>12506.286956524807</v>
      </c>
      <c r="C17" s="231">
        <f t="shared" ref="C17:F17" si="0">SUM(C7:C15)</f>
        <v>13503.339256148976</v>
      </c>
      <c r="D17" s="231">
        <f t="shared" si="0"/>
        <v>14347.781860139461</v>
      </c>
      <c r="E17" s="231">
        <f t="shared" si="0"/>
        <v>15256.690729522095</v>
      </c>
      <c r="F17" s="231">
        <f t="shared" si="0"/>
        <v>16239.385928322567</v>
      </c>
    </row>
    <row r="19" spans="1:13" x14ac:dyDescent="0.3">
      <c r="A19" s="175" t="s">
        <v>136</v>
      </c>
    </row>
    <row r="20" spans="1:13" x14ac:dyDescent="0.3">
      <c r="A20" s="186" t="s">
        <v>66</v>
      </c>
      <c r="B20" s="173">
        <f>-'Fixed Assets Schedule'!G6</f>
        <v>-3729.0670573930402</v>
      </c>
      <c r="C20" s="173">
        <f>-'Fixed Assets Schedule'!H6</f>
        <v>-4009.1402431848546</v>
      </c>
      <c r="D20" s="173">
        <f>-'Fixed Assets Schedule'!I6</f>
        <v>-4201.8942345583964</v>
      </c>
      <c r="E20" s="173">
        <f>-'Fixed Assets Schedule'!J6</f>
        <v>-4405.8501741198779</v>
      </c>
      <c r="F20" s="173">
        <f>-'Fixed Assets Schedule'!K6</f>
        <v>-4621.7233556499014</v>
      </c>
    </row>
    <row r="22" spans="1:13" s="175" customFormat="1" x14ac:dyDescent="0.3">
      <c r="A22" s="235" t="s">
        <v>137</v>
      </c>
      <c r="B22" s="245">
        <f>B20</f>
        <v>-3729.0670573930402</v>
      </c>
      <c r="C22" s="245">
        <f t="shared" ref="C22:F22" si="1">C20</f>
        <v>-4009.1402431848546</v>
      </c>
      <c r="D22" s="245">
        <f t="shared" si="1"/>
        <v>-4201.8942345583964</v>
      </c>
      <c r="E22" s="245">
        <f t="shared" si="1"/>
        <v>-4405.8501741198779</v>
      </c>
      <c r="F22" s="245">
        <f t="shared" si="1"/>
        <v>-4621.7233556499014</v>
      </c>
    </row>
    <row r="24" spans="1:13" s="175" customFormat="1" x14ac:dyDescent="0.3">
      <c r="A24" s="175" t="s">
        <v>262</v>
      </c>
    </row>
    <row r="25" spans="1:13" s="175" customFormat="1" x14ac:dyDescent="0.3">
      <c r="A25" s="1" t="s">
        <v>264</v>
      </c>
      <c r="B25" s="176">
        <f>B17+B22</f>
        <v>8777.2198991317673</v>
      </c>
      <c r="C25" s="176">
        <f t="shared" ref="C25:F25" si="2">C17+C22</f>
        <v>9494.1990129641217</v>
      </c>
      <c r="D25" s="176">
        <f t="shared" si="2"/>
        <v>10145.887625581065</v>
      </c>
      <c r="E25" s="176">
        <f t="shared" si="2"/>
        <v>10850.840555402217</v>
      </c>
      <c r="F25" s="176">
        <f t="shared" si="2"/>
        <v>11617.662572672665</v>
      </c>
      <c r="H25" s="176"/>
      <c r="I25" s="176"/>
    </row>
    <row r="26" spans="1:13" s="175" customFormat="1" x14ac:dyDescent="0.3">
      <c r="A26" s="1" t="s">
        <v>265</v>
      </c>
      <c r="B26" s="173">
        <f>'PepsiCo-BS'!F5</f>
        <v>5596</v>
      </c>
      <c r="C26" s="173">
        <f>'PepsiCo-BS'!G5</f>
        <v>3826.1069653237173</v>
      </c>
      <c r="D26" s="173">
        <f>'PepsiCo-BS'!H5</f>
        <v>3595.38959338924</v>
      </c>
      <c r="E26" s="173">
        <f>'PepsiCo-BS'!I5</f>
        <v>3583.7128265457923</v>
      </c>
      <c r="F26" s="173">
        <f>'PepsiCo-BS'!J5</f>
        <v>3501.9210152755277</v>
      </c>
      <c r="H26" s="176"/>
      <c r="I26" s="176"/>
    </row>
    <row r="27" spans="1:13" s="175" customFormat="1" x14ac:dyDescent="0.3">
      <c r="A27" s="1" t="s">
        <v>267</v>
      </c>
      <c r="B27" s="404">
        <f>$G27*'PepsiCo-IS'!J6</f>
        <v>1659.9838514498958</v>
      </c>
      <c r="C27" s="404">
        <f>$G27*'PepsiCo-IS'!K6</f>
        <v>1734.4072267361021</v>
      </c>
      <c r="D27" s="404">
        <f>$G27*'PepsiCo-IS'!L6</f>
        <v>1812.9935281823764</v>
      </c>
      <c r="E27" s="404">
        <f>$G27*'PepsiCo-IS'!M6</f>
        <v>1896.0022947626599</v>
      </c>
      <c r="F27" s="404">
        <f>$G27*'PepsiCo-IS'!N6</f>
        <v>1983.7103201631357</v>
      </c>
      <c r="G27" s="410">
        <v>0.02</v>
      </c>
      <c r="H27" s="176"/>
      <c r="I27" s="176"/>
      <c r="J27" s="1"/>
      <c r="K27" s="1"/>
      <c r="L27" s="1"/>
      <c r="M27" s="1"/>
    </row>
    <row r="28" spans="1:13" s="175" customFormat="1" x14ac:dyDescent="0.3">
      <c r="A28" s="235" t="s">
        <v>266</v>
      </c>
      <c r="B28" s="231">
        <f>B25+B26-B27</f>
        <v>12713.236047681872</v>
      </c>
      <c r="C28" s="231">
        <f t="shared" ref="C28:F28" si="3">C25+C26-C27</f>
        <v>11585.898751551736</v>
      </c>
      <c r="D28" s="231">
        <f t="shared" si="3"/>
        <v>11928.283690787928</v>
      </c>
      <c r="E28" s="231">
        <f t="shared" si="3"/>
        <v>12538.551087185349</v>
      </c>
      <c r="F28" s="231">
        <f t="shared" si="3"/>
        <v>13135.873267785057</v>
      </c>
      <c r="H28" s="176"/>
      <c r="I28" s="176"/>
    </row>
    <row r="29" spans="1:13" s="175" customFormat="1" x14ac:dyDescent="0.3">
      <c r="H29" s="259"/>
      <c r="I29" s="176"/>
    </row>
    <row r="30" spans="1:13" x14ac:dyDescent="0.3">
      <c r="A30" s="175" t="s">
        <v>138</v>
      </c>
      <c r="H30" s="176"/>
      <c r="I30" s="258"/>
    </row>
    <row r="31" spans="1:13" x14ac:dyDescent="0.3">
      <c r="A31" s="186" t="s">
        <v>139</v>
      </c>
      <c r="B31" s="173">
        <f>'Debt Schedule'!B32</f>
        <v>0</v>
      </c>
      <c r="C31" s="173">
        <f>'Debt Schedule'!C32</f>
        <v>0</v>
      </c>
      <c r="D31" s="173">
        <f>'Debt Schedule'!D32</f>
        <v>0</v>
      </c>
      <c r="E31" s="173">
        <f>'Debt Schedule'!E32</f>
        <v>0</v>
      </c>
      <c r="F31" s="173">
        <f>'Debt Schedule'!F32</f>
        <v>0</v>
      </c>
      <c r="I31" s="174"/>
    </row>
    <row r="32" spans="1:13" x14ac:dyDescent="0.3">
      <c r="A32" s="186" t="s">
        <v>140</v>
      </c>
      <c r="B32" s="173">
        <f>'Debt Schedule'!B8+'Debt Schedule'!B33</f>
        <v>-4308</v>
      </c>
      <c r="C32" s="173">
        <f>'Debt Schedule'!C8+'Debt Schedule'!C33</f>
        <v>-3019</v>
      </c>
      <c r="D32" s="173">
        <f>'Debt Schedule'!D8+'Debt Schedule'!D33</f>
        <v>-2986</v>
      </c>
      <c r="E32" s="173">
        <f>'Debt Schedule'!E8+'Debt Schedule'!E33</f>
        <v>-3258</v>
      </c>
      <c r="F32" s="173">
        <f>'Debt Schedule'!F8+'Debt Schedule'!F33</f>
        <v>-2450</v>
      </c>
      <c r="H32" s="175"/>
    </row>
    <row r="33" spans="1:8" x14ac:dyDescent="0.3">
      <c r="A33" s="186" t="s">
        <v>263</v>
      </c>
      <c r="B33" s="405">
        <f>'Debt Schedule'!B7</f>
        <v>-6239.11293380805</v>
      </c>
      <c r="C33" s="405">
        <f>'Debt Schedule'!C7</f>
        <v>-6705.9163848985982</v>
      </c>
      <c r="D33" s="405">
        <f>'Debt Schedule'!D7</f>
        <v>-7171.5643924245132</v>
      </c>
      <c r="E33" s="405">
        <f>'Debt Schedule'!E7</f>
        <v>-7674.6323666724829</v>
      </c>
      <c r="F33" s="405">
        <f>'Debt Schedule'!F7</f>
        <v>-8221.0483794957581</v>
      </c>
      <c r="H33" s="186"/>
    </row>
    <row r="34" spans="1:8" x14ac:dyDescent="0.3">
      <c r="A34" s="235" t="s">
        <v>318</v>
      </c>
      <c r="B34" s="190">
        <f>SUM(B31:B33)</f>
        <v>-10547.11293380805</v>
      </c>
      <c r="C34" s="190">
        <f t="shared" ref="C34:F34" si="4">SUM(C31:C33)</f>
        <v>-9724.9163848985991</v>
      </c>
      <c r="D34" s="190">
        <f t="shared" si="4"/>
        <v>-10157.564392424512</v>
      </c>
      <c r="E34" s="190">
        <f t="shared" si="4"/>
        <v>-10932.632366672482</v>
      </c>
      <c r="F34" s="190">
        <f t="shared" si="4"/>
        <v>-10671.048379495758</v>
      </c>
      <c r="H34" s="186"/>
    </row>
    <row r="35" spans="1:8" x14ac:dyDescent="0.3">
      <c r="A35" s="186"/>
      <c r="B35" s="173"/>
      <c r="C35" s="173"/>
      <c r="D35" s="173"/>
      <c r="E35" s="173"/>
      <c r="F35" s="173"/>
      <c r="H35" s="186"/>
    </row>
    <row r="36" spans="1:8" x14ac:dyDescent="0.3">
      <c r="A36" s="175" t="s">
        <v>319</v>
      </c>
      <c r="B36" s="173">
        <f>B17+B22+B34</f>
        <v>-1769.8930346762827</v>
      </c>
      <c r="C36" s="173">
        <f t="shared" ref="C36:F36" si="5">C17+C22+C34</f>
        <v>-230.71737193447734</v>
      </c>
      <c r="D36" s="173">
        <f t="shared" si="5"/>
        <v>-11.676766843447695</v>
      </c>
      <c r="E36" s="173">
        <f t="shared" si="5"/>
        <v>-81.791811270264589</v>
      </c>
      <c r="F36" s="173">
        <f t="shared" si="5"/>
        <v>946.61419317690707</v>
      </c>
      <c r="H36" s="186"/>
    </row>
    <row r="37" spans="1:8" s="175" customFormat="1" x14ac:dyDescent="0.3">
      <c r="A37" s="175" t="s">
        <v>320</v>
      </c>
      <c r="B37" s="174">
        <f>'PepsiCo-BS'!F5</f>
        <v>5596</v>
      </c>
      <c r="C37" s="174">
        <f>'PepsiCo-BS'!G5</f>
        <v>3826.1069653237173</v>
      </c>
      <c r="D37" s="174">
        <f>'PepsiCo-BS'!H5</f>
        <v>3595.38959338924</v>
      </c>
      <c r="E37" s="174">
        <f>'PepsiCo-BS'!I5</f>
        <v>3583.7128265457923</v>
      </c>
      <c r="F37" s="174">
        <f>'PepsiCo-BS'!J5</f>
        <v>3501.9210152755277</v>
      </c>
    </row>
    <row r="38" spans="1:8" s="175" customFormat="1" x14ac:dyDescent="0.3">
      <c r="A38" s="255" t="s">
        <v>141</v>
      </c>
      <c r="B38" s="256">
        <f>B36+B37</f>
        <v>3826.1069653237173</v>
      </c>
      <c r="C38" s="256">
        <f t="shared" ref="C38:F38" si="6">C36+C37</f>
        <v>3595.38959338924</v>
      </c>
      <c r="D38" s="256">
        <f t="shared" si="6"/>
        <v>3583.7128265457923</v>
      </c>
      <c r="E38" s="256">
        <f t="shared" si="6"/>
        <v>3501.9210152755277</v>
      </c>
      <c r="F38" s="256">
        <f t="shared" si="6"/>
        <v>4448.5352084524347</v>
      </c>
    </row>
    <row r="40" spans="1:8" x14ac:dyDescent="0.3">
      <c r="A40" s="14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B4FB-BD3D-45FA-9DE0-F37B1B415928}">
  <dimension ref="A1:L32"/>
  <sheetViews>
    <sheetView showGridLines="0" workbookViewId="0">
      <selection activeCell="G1" sqref="G1"/>
    </sheetView>
  </sheetViews>
  <sheetFormatPr defaultColWidth="8.77734375" defaultRowHeight="13.8" x14ac:dyDescent="0.3"/>
  <cols>
    <col min="1" max="1" width="33.109375" style="1" bestFit="1" customWidth="1"/>
    <col min="2" max="4" width="11.109375" style="1" bestFit="1" customWidth="1"/>
    <col min="5" max="5" width="11.77734375" style="1" customWidth="1"/>
    <col min="6" max="6" width="11.109375" style="1" bestFit="1" customWidth="1"/>
    <col min="7" max="9" width="9.5546875" style="1" bestFit="1" customWidth="1"/>
    <col min="10" max="11" width="10.21875" style="1" bestFit="1" customWidth="1"/>
    <col min="12" max="16384" width="8.77734375" style="1"/>
  </cols>
  <sheetData>
    <row r="1" spans="1:11" ht="16.05" customHeight="1" x14ac:dyDescent="0.3">
      <c r="A1" s="53" t="s">
        <v>186</v>
      </c>
    </row>
    <row r="2" spans="1:11" x14ac:dyDescent="0.3">
      <c r="A2" s="43" t="str">
        <f>'PepsiCo-IS'!A2</f>
        <v>(in USD million except per Share Data)</v>
      </c>
    </row>
    <row r="3" spans="1:11" x14ac:dyDescent="0.3">
      <c r="A3" s="53" t="s">
        <v>142</v>
      </c>
      <c r="B3" s="136">
        <f>'PepsiCo-IS'!E3</f>
        <v>12</v>
      </c>
      <c r="C3" s="136">
        <f>'PepsiCo-IS'!F3</f>
        <v>12</v>
      </c>
      <c r="D3" s="136">
        <f>'PepsiCo-IS'!G3</f>
        <v>12</v>
      </c>
      <c r="E3" s="136">
        <f>'PepsiCo-IS'!H3</f>
        <v>12</v>
      </c>
      <c r="F3" s="136">
        <f>'PepsiCo-IS'!I3</f>
        <v>12</v>
      </c>
      <c r="G3" s="137">
        <f>'PepsiCo-IS'!J3</f>
        <v>12</v>
      </c>
      <c r="H3" s="137">
        <f>'PepsiCo-IS'!K3</f>
        <v>12</v>
      </c>
      <c r="I3" s="137">
        <f>'PepsiCo-IS'!L3</f>
        <v>12</v>
      </c>
      <c r="J3" s="137">
        <f>'PepsiCo-IS'!M3</f>
        <v>12</v>
      </c>
      <c r="K3" s="137">
        <f>'PepsiCo-IS'!N3</f>
        <v>12</v>
      </c>
    </row>
    <row r="4" spans="1:11" x14ac:dyDescent="0.3">
      <c r="A4" s="54"/>
      <c r="B4" s="138">
        <f>'PepsiCo-IS'!E4</f>
        <v>43100</v>
      </c>
      <c r="C4" s="138">
        <f>'PepsiCo-IS'!F4</f>
        <v>43465</v>
      </c>
      <c r="D4" s="138">
        <f>'PepsiCo-IS'!G4</f>
        <v>43830</v>
      </c>
      <c r="E4" s="138">
        <f>'PepsiCo-IS'!H4</f>
        <v>44196</v>
      </c>
      <c r="F4" s="138">
        <f>'PepsiCo-IS'!I4</f>
        <v>44561</v>
      </c>
      <c r="G4" s="92">
        <f>'PepsiCo-IS'!J4</f>
        <v>44926</v>
      </c>
      <c r="H4" s="92">
        <f>'PepsiCo-IS'!K4</f>
        <v>45291</v>
      </c>
      <c r="I4" s="92">
        <f>'PepsiCo-IS'!L4</f>
        <v>45657</v>
      </c>
      <c r="J4" s="92">
        <f>'PepsiCo-IS'!M4</f>
        <v>46022</v>
      </c>
      <c r="K4" s="92">
        <f>'PepsiCo-IS'!N4</f>
        <v>46387</v>
      </c>
    </row>
    <row r="5" spans="1:11" x14ac:dyDescent="0.3">
      <c r="A5" s="1" t="s">
        <v>145</v>
      </c>
      <c r="B5" s="208">
        <v>16591</v>
      </c>
      <c r="C5" s="173">
        <f>B9</f>
        <v>17240</v>
      </c>
      <c r="D5" s="173">
        <f t="shared" ref="D5" si="0">C9</f>
        <v>17589</v>
      </c>
      <c r="E5" s="173">
        <f>D9</f>
        <v>19305</v>
      </c>
      <c r="F5" s="173">
        <f t="shared" ref="F5" si="1">E9</f>
        <v>21369</v>
      </c>
      <c r="G5" s="173">
        <f>F9</f>
        <v>22407</v>
      </c>
      <c r="H5" s="173">
        <f t="shared" ref="H5:K5" si="2">G9</f>
        <v>23298.705880262867</v>
      </c>
      <c r="I5" s="173">
        <f t="shared" si="2"/>
        <v>24343.275277667079</v>
      </c>
      <c r="J5" s="173">
        <f t="shared" si="2"/>
        <v>25446.273431543814</v>
      </c>
      <c r="K5" s="173">
        <f t="shared" si="2"/>
        <v>26611.343101557886</v>
      </c>
    </row>
    <row r="6" spans="1:11" x14ac:dyDescent="0.3">
      <c r="A6" s="1" t="s">
        <v>151</v>
      </c>
      <c r="B6" s="173">
        <f t="shared" ref="B6:F6" si="3">B7-B5</f>
        <v>2950</v>
      </c>
      <c r="C6" s="173">
        <f t="shared" si="3"/>
        <v>2679</v>
      </c>
      <c r="D6" s="173">
        <f t="shared" si="3"/>
        <v>4067</v>
      </c>
      <c r="E6" s="173">
        <f t="shared" si="3"/>
        <v>4522</v>
      </c>
      <c r="F6" s="173">
        <f t="shared" si="3"/>
        <v>3657</v>
      </c>
      <c r="G6" s="173">
        <f>G7-G5</f>
        <v>3729.0670573930402</v>
      </c>
      <c r="H6" s="173">
        <f t="shared" ref="H6:K6" si="4">H7-H5</f>
        <v>4009.1402431848546</v>
      </c>
      <c r="I6" s="173">
        <f t="shared" si="4"/>
        <v>4201.8942345583964</v>
      </c>
      <c r="J6" s="173">
        <f t="shared" si="4"/>
        <v>4405.8501741198779</v>
      </c>
      <c r="K6" s="173">
        <f t="shared" si="4"/>
        <v>4621.7233556499014</v>
      </c>
    </row>
    <row r="7" spans="1:11" x14ac:dyDescent="0.3">
      <c r="A7" s="175" t="s">
        <v>144</v>
      </c>
      <c r="B7" s="316">
        <f>B9+B8</f>
        <v>19541</v>
      </c>
      <c r="C7" s="316">
        <f>C9+C8</f>
        <v>19919</v>
      </c>
      <c r="D7" s="316">
        <f t="shared" ref="D7:F7" si="5">D9+D8</f>
        <v>21656</v>
      </c>
      <c r="E7" s="316">
        <f t="shared" si="5"/>
        <v>23827</v>
      </c>
      <c r="F7" s="316">
        <f t="shared" si="5"/>
        <v>25026</v>
      </c>
      <c r="G7" s="316">
        <f>'PepsiCo-IS'!J6/'Fixed Assets Schedule'!$G13</f>
        <v>26136.06705739304</v>
      </c>
      <c r="H7" s="316">
        <f>'PepsiCo-IS'!K6/'Fixed Assets Schedule'!$G13</f>
        <v>27307.846123447722</v>
      </c>
      <c r="I7" s="316">
        <f>'PepsiCo-IS'!L6/'Fixed Assets Schedule'!$G13</f>
        <v>28545.169512225475</v>
      </c>
      <c r="J7" s="316">
        <f>'PepsiCo-IS'!M6/'Fixed Assets Schedule'!$G13</f>
        <v>29852.123605663692</v>
      </c>
      <c r="K7" s="316">
        <f>'PepsiCo-IS'!N6/'Fixed Assets Schedule'!$G13</f>
        <v>31233.066457207788</v>
      </c>
    </row>
    <row r="8" spans="1:11" x14ac:dyDescent="0.3">
      <c r="A8" s="1" t="s">
        <v>143</v>
      </c>
      <c r="B8" s="196">
        <f>B20</f>
        <v>2301</v>
      </c>
      <c r="C8" s="196">
        <f t="shared" ref="C8:D8" si="6">C20</f>
        <v>2330</v>
      </c>
      <c r="D8" s="196">
        <f t="shared" si="6"/>
        <v>2351</v>
      </c>
      <c r="E8" s="196">
        <f>E20</f>
        <v>2458</v>
      </c>
      <c r="F8" s="196">
        <f t="shared" ref="F8" si="7">F20</f>
        <v>2619</v>
      </c>
      <c r="G8" s="196">
        <f>G7*$G15</f>
        <v>2837.3611771301735</v>
      </c>
      <c r="H8" s="196">
        <f t="shared" ref="H8:K8" si="8">H7*$G15</f>
        <v>2964.5708457806427</v>
      </c>
      <c r="I8" s="196">
        <f t="shared" si="8"/>
        <v>3098.8960806816631</v>
      </c>
      <c r="J8" s="196">
        <f t="shared" si="8"/>
        <v>3240.7805041058064</v>
      </c>
      <c r="K8" s="196">
        <f t="shared" si="8"/>
        <v>3390.6972312936605</v>
      </c>
    </row>
    <row r="9" spans="1:11" x14ac:dyDescent="0.3">
      <c r="A9" s="338" t="s">
        <v>146</v>
      </c>
      <c r="B9" s="339">
        <f>'PepsiCo-BS'!B14</f>
        <v>17240</v>
      </c>
      <c r="C9" s="339">
        <f>'PepsiCo-BS'!C14</f>
        <v>17589</v>
      </c>
      <c r="D9" s="339">
        <f>'PepsiCo-BS'!D14</f>
        <v>19305</v>
      </c>
      <c r="E9" s="339">
        <f>'PepsiCo-BS'!E14</f>
        <v>21369</v>
      </c>
      <c r="F9" s="339">
        <f>'PepsiCo-BS'!F14</f>
        <v>22407</v>
      </c>
      <c r="G9" s="339">
        <f>G7-G8</f>
        <v>23298.705880262867</v>
      </c>
      <c r="H9" s="339">
        <f t="shared" ref="H9:K9" si="9">H7-H8</f>
        <v>24343.275277667079</v>
      </c>
      <c r="I9" s="339">
        <f t="shared" si="9"/>
        <v>25446.273431543814</v>
      </c>
      <c r="J9" s="339">
        <f t="shared" si="9"/>
        <v>26611.343101557886</v>
      </c>
      <c r="K9" s="339">
        <f t="shared" si="9"/>
        <v>27842.369225914128</v>
      </c>
    </row>
    <row r="10" spans="1:11" ht="27.6" x14ac:dyDescent="0.3">
      <c r="A10" s="146" t="s">
        <v>232</v>
      </c>
      <c r="B10" s="164" t="s">
        <v>238</v>
      </c>
      <c r="C10" s="469" t="s">
        <v>239</v>
      </c>
      <c r="D10" s="469"/>
      <c r="E10" s="164"/>
      <c r="G10" s="341"/>
      <c r="H10" s="341"/>
      <c r="I10" s="341"/>
      <c r="J10" s="341"/>
    </row>
    <row r="11" spans="1:11" x14ac:dyDescent="0.3">
      <c r="B11" s="173"/>
      <c r="C11" s="173"/>
      <c r="D11" s="173"/>
      <c r="E11" s="173"/>
      <c r="F11" s="173"/>
      <c r="G11" s="173"/>
      <c r="H11" s="173"/>
      <c r="I11" s="173"/>
    </row>
    <row r="12" spans="1:11" x14ac:dyDescent="0.3">
      <c r="E12" s="172"/>
    </row>
    <row r="13" spans="1:11" x14ac:dyDescent="0.3">
      <c r="A13" s="1" t="s">
        <v>252</v>
      </c>
      <c r="B13" s="184">
        <f>'PepsiCo-IS'!E6/'Fixed Assets Schedule'!B7</f>
        <v>3.2508571720996877</v>
      </c>
      <c r="C13" s="184">
        <f>'PepsiCo-IS'!F6/'Fixed Assets Schedule'!C7</f>
        <v>3.246197098247904</v>
      </c>
      <c r="D13" s="184">
        <f>'PepsiCo-IS'!G6/'Fixed Assets Schedule'!D7</f>
        <v>3.1012652382711487</v>
      </c>
      <c r="E13" s="184">
        <f>'PepsiCo-IS'!H6/'Fixed Assets Schedule'!E7</f>
        <v>2.9534561631762286</v>
      </c>
      <c r="F13" s="184">
        <f>'PepsiCo-IS'!I6/'Fixed Assets Schedule'!F7</f>
        <v>3.1756573163909536</v>
      </c>
      <c r="G13" s="400">
        <f>MEDIAN(B13:F13)</f>
        <v>3.1756573163909536</v>
      </c>
      <c r="H13" s="184"/>
      <c r="I13" s="184"/>
      <c r="J13" s="184"/>
    </row>
    <row r="15" spans="1:11" x14ac:dyDescent="0.3">
      <c r="A15" s="1" t="s">
        <v>147</v>
      </c>
      <c r="B15" s="191">
        <f>B8/B7</f>
        <v>0.11775241799293792</v>
      </c>
      <c r="C15" s="191">
        <f t="shared" ref="C15:F15" si="10">C8/C7</f>
        <v>0.11697374366183041</v>
      </c>
      <c r="D15" s="191">
        <f t="shared" si="10"/>
        <v>0.10856113779091245</v>
      </c>
      <c r="E15" s="191">
        <f t="shared" si="10"/>
        <v>0.10316028035422001</v>
      </c>
      <c r="F15" s="191">
        <f t="shared" si="10"/>
        <v>0.10465116279069768</v>
      </c>
      <c r="G15" s="401">
        <f>MEDIAN(B15:F15)</f>
        <v>0.10856113779091245</v>
      </c>
      <c r="H15" s="232"/>
      <c r="I15" s="232"/>
      <c r="J15" s="232"/>
    </row>
    <row r="18" spans="1:12" x14ac:dyDescent="0.3">
      <c r="A18" s="35" t="s">
        <v>253</v>
      </c>
      <c r="B18" s="1">
        <f>'PepsiCo-IS'!E11</f>
        <v>2107</v>
      </c>
      <c r="C18" s="1">
        <f>'PepsiCo-IS'!F11</f>
        <v>2144</v>
      </c>
      <c r="D18" s="1">
        <f>'PepsiCo-IS'!G11</f>
        <v>2196</v>
      </c>
      <c r="E18" s="173">
        <f>'PepsiCo-IS'!H11</f>
        <v>2331</v>
      </c>
      <c r="F18" s="173">
        <f>'PepsiCo-IS'!I11</f>
        <v>2496</v>
      </c>
      <c r="G18" s="173">
        <f>G20*$L18</f>
        <v>2650.8322588665792</v>
      </c>
      <c r="H18" s="173">
        <f t="shared" ref="H18:K18" si="11">H20*$L18</f>
        <v>2769.6791282804556</v>
      </c>
      <c r="I18" s="173">
        <f t="shared" si="11"/>
        <v>2895.1737846271685</v>
      </c>
      <c r="J18" s="173">
        <f t="shared" si="11"/>
        <v>3027.7306863268736</v>
      </c>
      <c r="K18" s="173">
        <f t="shared" si="11"/>
        <v>3167.7918458917675</v>
      </c>
      <c r="L18" s="191">
        <f>AVERAGE(B21:F21)</f>
        <v>0.93425971999368185</v>
      </c>
    </row>
    <row r="19" spans="1:12" x14ac:dyDescent="0.3">
      <c r="A19" s="35" t="s">
        <v>254</v>
      </c>
      <c r="B19" s="192">
        <f>'PepsiCo-IS'!E19</f>
        <v>194</v>
      </c>
      <c r="C19" s="192">
        <f>'PepsiCo-IS'!F19</f>
        <v>186</v>
      </c>
      <c r="D19" s="193">
        <f>'PepsiCo-IS'!G19</f>
        <v>155</v>
      </c>
      <c r="E19" s="193">
        <f>'PepsiCo-IS'!H19</f>
        <v>127</v>
      </c>
      <c r="F19" s="193">
        <f>'PepsiCo-IS'!I19</f>
        <v>123</v>
      </c>
      <c r="G19" s="173">
        <f>G20*$L19</f>
        <v>186.52891826359408</v>
      </c>
      <c r="H19" s="173">
        <f t="shared" ref="H19:K19" si="12">H20*$L19</f>
        <v>194.89171750018687</v>
      </c>
      <c r="I19" s="173">
        <f t="shared" si="12"/>
        <v>203.72229605449442</v>
      </c>
      <c r="J19" s="173">
        <f t="shared" si="12"/>
        <v>213.04981777893261</v>
      </c>
      <c r="K19" s="173">
        <f t="shared" si="12"/>
        <v>222.90538540189294</v>
      </c>
      <c r="L19" s="191">
        <f>1-L18</f>
        <v>6.5740280006318152E-2</v>
      </c>
    </row>
    <row r="20" spans="1:12" s="175" customFormat="1" x14ac:dyDescent="0.3">
      <c r="B20" s="175">
        <f>SUM(B18:B19)</f>
        <v>2301</v>
      </c>
      <c r="C20" s="175">
        <f t="shared" ref="C20:D20" si="13">SUM(C18:C19)</f>
        <v>2330</v>
      </c>
      <c r="D20" s="190">
        <f t="shared" si="13"/>
        <v>2351</v>
      </c>
      <c r="E20" s="190">
        <f>SUM(E18:E19)</f>
        <v>2458</v>
      </c>
      <c r="F20" s="190">
        <f t="shared" ref="F20" si="14">SUM(F18:F19)</f>
        <v>2619</v>
      </c>
      <c r="G20" s="231">
        <f>G8</f>
        <v>2837.3611771301735</v>
      </c>
      <c r="H20" s="231">
        <f t="shared" ref="H20:K20" si="15">H8</f>
        <v>2964.5708457806427</v>
      </c>
      <c r="I20" s="231">
        <f t="shared" si="15"/>
        <v>3098.8960806816631</v>
      </c>
      <c r="J20" s="231">
        <f t="shared" si="15"/>
        <v>3240.7805041058064</v>
      </c>
      <c r="K20" s="231">
        <f t="shared" si="15"/>
        <v>3390.6972312936605</v>
      </c>
      <c r="L20" s="402"/>
    </row>
    <row r="21" spans="1:12" x14ac:dyDescent="0.3">
      <c r="A21" s="1" t="s">
        <v>321</v>
      </c>
      <c r="B21" s="409">
        <f>B18/B20</f>
        <v>0.91568883094306819</v>
      </c>
      <c r="C21" s="409">
        <f t="shared" ref="C21:F21" si="16">C18/C20</f>
        <v>0.92017167381974252</v>
      </c>
      <c r="D21" s="409">
        <f t="shared" si="16"/>
        <v>0.93407060825180777</v>
      </c>
      <c r="E21" s="409">
        <f t="shared" si="16"/>
        <v>0.94833197721724982</v>
      </c>
      <c r="F21" s="409">
        <f t="shared" si="16"/>
        <v>0.95303550973654061</v>
      </c>
      <c r="G21" s="174"/>
    </row>
    <row r="22" spans="1:12" x14ac:dyDescent="0.3">
      <c r="A22" s="53" t="s">
        <v>98</v>
      </c>
      <c r="B22" s="136">
        <f>B3</f>
        <v>12</v>
      </c>
      <c r="C22" s="136">
        <f t="shared" ref="C22:D22" si="17">C3</f>
        <v>12</v>
      </c>
      <c r="D22" s="136">
        <f t="shared" si="17"/>
        <v>12</v>
      </c>
      <c r="E22" s="136">
        <f t="shared" ref="E22:K22" si="18">E3</f>
        <v>12</v>
      </c>
      <c r="F22" s="136">
        <f t="shared" si="18"/>
        <v>12</v>
      </c>
      <c r="G22" s="137">
        <f t="shared" si="18"/>
        <v>12</v>
      </c>
      <c r="H22" s="137">
        <f t="shared" si="18"/>
        <v>12</v>
      </c>
      <c r="I22" s="137">
        <f t="shared" si="18"/>
        <v>12</v>
      </c>
      <c r="J22" s="137">
        <f t="shared" si="18"/>
        <v>12</v>
      </c>
      <c r="K22" s="137">
        <f t="shared" si="18"/>
        <v>12</v>
      </c>
    </row>
    <row r="23" spans="1:12" x14ac:dyDescent="0.3">
      <c r="A23" s="54"/>
      <c r="B23" s="108">
        <f>B4</f>
        <v>43100</v>
      </c>
      <c r="C23" s="108">
        <f t="shared" ref="C23:D23" si="19">C4</f>
        <v>43465</v>
      </c>
      <c r="D23" s="108">
        <f t="shared" si="19"/>
        <v>43830</v>
      </c>
      <c r="E23" s="108">
        <f t="shared" ref="E23:K23" si="20">E4</f>
        <v>44196</v>
      </c>
      <c r="F23" s="108">
        <f t="shared" si="20"/>
        <v>44561</v>
      </c>
      <c r="G23" s="92">
        <f t="shared" si="20"/>
        <v>44926</v>
      </c>
      <c r="H23" s="92">
        <f t="shared" si="20"/>
        <v>45291</v>
      </c>
      <c r="I23" s="92">
        <f t="shared" si="20"/>
        <v>45657</v>
      </c>
      <c r="J23" s="92">
        <f t="shared" si="20"/>
        <v>46022</v>
      </c>
      <c r="K23" s="92">
        <f t="shared" si="20"/>
        <v>46387</v>
      </c>
    </row>
    <row r="24" spans="1:12" x14ac:dyDescent="0.3">
      <c r="A24" s="1" t="s">
        <v>145</v>
      </c>
      <c r="B24" s="173">
        <v>1237</v>
      </c>
      <c r="C24" s="173">
        <f>B28</f>
        <v>1268</v>
      </c>
      <c r="D24" s="173">
        <f t="shared" ref="D24" si="21">C28</f>
        <v>1644</v>
      </c>
      <c r="E24" s="173">
        <f>D28</f>
        <v>1433</v>
      </c>
      <c r="F24" s="173">
        <f t="shared" ref="F24" si="22">E28</f>
        <v>1703</v>
      </c>
      <c r="G24" s="173">
        <f>F28</f>
        <v>1538</v>
      </c>
      <c r="H24" s="173">
        <f t="shared" ref="H24:K24" si="23">G28</f>
        <v>1459.7185628742516</v>
      </c>
      <c r="I24" s="173">
        <f t="shared" si="23"/>
        <v>1385.4215102728674</v>
      </c>
      <c r="J24" s="173">
        <f t="shared" si="23"/>
        <v>1314.9060441811346</v>
      </c>
      <c r="K24" s="173">
        <f t="shared" si="23"/>
        <v>1247.9796886389811</v>
      </c>
    </row>
    <row r="25" spans="1:12" x14ac:dyDescent="0.3">
      <c r="A25" s="1" t="s">
        <v>151</v>
      </c>
      <c r="B25" s="173">
        <f>B26-B24</f>
        <v>99</v>
      </c>
      <c r="C25" s="173">
        <f>C26-C24</f>
        <v>445</v>
      </c>
      <c r="D25" s="173">
        <f>D26-D24</f>
        <v>-130</v>
      </c>
      <c r="E25" s="173">
        <f>E26-E24</f>
        <v>360</v>
      </c>
      <c r="F25" s="173"/>
      <c r="G25" s="173">
        <v>0</v>
      </c>
      <c r="H25" s="173">
        <v>0</v>
      </c>
      <c r="I25" s="173">
        <v>0</v>
      </c>
      <c r="J25" s="173">
        <v>0</v>
      </c>
      <c r="K25" s="173">
        <v>0</v>
      </c>
    </row>
    <row r="26" spans="1:12" s="175" customFormat="1" x14ac:dyDescent="0.3">
      <c r="A26" s="175" t="s">
        <v>168</v>
      </c>
      <c r="B26" s="190">
        <f t="shared" ref="B26:D26" si="24">B27+B28</f>
        <v>1336</v>
      </c>
      <c r="C26" s="190">
        <f t="shared" si="24"/>
        <v>1713</v>
      </c>
      <c r="D26" s="190">
        <f t="shared" si="24"/>
        <v>1514</v>
      </c>
      <c r="E26" s="190">
        <f>E27+E28</f>
        <v>1793</v>
      </c>
      <c r="F26" s="190">
        <f t="shared" ref="F26" si="25">F27+F28</f>
        <v>1629</v>
      </c>
      <c r="G26" s="190">
        <f>G24+G25</f>
        <v>1538</v>
      </c>
      <c r="H26" s="190">
        <f t="shared" ref="H26:K26" si="26">H24+H25</f>
        <v>1459.7185628742516</v>
      </c>
      <c r="I26" s="190">
        <f t="shared" si="26"/>
        <v>1385.4215102728674</v>
      </c>
      <c r="J26" s="190">
        <f t="shared" si="26"/>
        <v>1314.9060441811346</v>
      </c>
      <c r="K26" s="190">
        <f t="shared" si="26"/>
        <v>1247.9796886389811</v>
      </c>
    </row>
    <row r="27" spans="1:12" x14ac:dyDescent="0.3">
      <c r="A27" s="1" t="s">
        <v>169</v>
      </c>
      <c r="B27" s="174">
        <f>'PepsiCo-IS'!E20</f>
        <v>68</v>
      </c>
      <c r="C27" s="174">
        <f>'PepsiCo-IS'!F20</f>
        <v>69</v>
      </c>
      <c r="D27" s="174">
        <f>'PepsiCo-IS'!G20</f>
        <v>81</v>
      </c>
      <c r="E27" s="174">
        <f>'PepsiCo-IS'!H20</f>
        <v>90</v>
      </c>
      <c r="F27" s="174">
        <f>'PepsiCo-IS'!I20</f>
        <v>91</v>
      </c>
      <c r="G27" s="173">
        <f>G26*$G31</f>
        <v>78.281437125748496</v>
      </c>
      <c r="H27" s="173">
        <f t="shared" ref="H27:K27" si="27">H26*$G31</f>
        <v>74.297052601384067</v>
      </c>
      <c r="I27" s="173">
        <f t="shared" si="27"/>
        <v>70.515466091732776</v>
      </c>
      <c r="J27" s="173">
        <f t="shared" si="27"/>
        <v>66.926355542153559</v>
      </c>
      <c r="K27" s="173">
        <f t="shared" si="27"/>
        <v>63.519924272043944</v>
      </c>
    </row>
    <row r="28" spans="1:12" s="175" customFormat="1" x14ac:dyDescent="0.3">
      <c r="A28" s="338" t="s">
        <v>146</v>
      </c>
      <c r="B28" s="340">
        <f>'PepsiCo-BS'!B15</f>
        <v>1268</v>
      </c>
      <c r="C28" s="340">
        <f>'PepsiCo-BS'!C15</f>
        <v>1644</v>
      </c>
      <c r="D28" s="340">
        <f>'PepsiCo-BS'!D15</f>
        <v>1433</v>
      </c>
      <c r="E28" s="339">
        <v>1703</v>
      </c>
      <c r="F28" s="339">
        <f>'PepsiCo-BS'!F15</f>
        <v>1538</v>
      </c>
      <c r="G28" s="339">
        <f>G26-G27</f>
        <v>1459.7185628742516</v>
      </c>
      <c r="H28" s="339">
        <f t="shared" ref="H28:K28" si="28">H26-H27</f>
        <v>1385.4215102728674</v>
      </c>
      <c r="I28" s="339">
        <f t="shared" si="28"/>
        <v>1314.9060441811346</v>
      </c>
      <c r="J28" s="339">
        <f t="shared" si="28"/>
        <v>1247.9796886389811</v>
      </c>
      <c r="K28" s="339">
        <f t="shared" si="28"/>
        <v>1184.4597643669372</v>
      </c>
    </row>
    <row r="29" spans="1:12" ht="27.6" x14ac:dyDescent="0.3">
      <c r="A29" s="146" t="s">
        <v>232</v>
      </c>
      <c r="B29" s="164" t="s">
        <v>238</v>
      </c>
      <c r="C29" s="469" t="s">
        <v>239</v>
      </c>
      <c r="D29" s="469"/>
      <c r="E29" s="164"/>
      <c r="G29" s="341"/>
      <c r="H29" s="341"/>
      <c r="I29" s="341"/>
      <c r="J29" s="341"/>
    </row>
    <row r="31" spans="1:12" x14ac:dyDescent="0.3">
      <c r="A31" s="1" t="s">
        <v>322</v>
      </c>
      <c r="B31" s="409">
        <f>B27/B26</f>
        <v>5.089820359281437E-2</v>
      </c>
      <c r="C31" s="409">
        <f t="shared" ref="C31:F31" si="29">C27/C26</f>
        <v>4.0280210157618214E-2</v>
      </c>
      <c r="D31" s="409">
        <f t="shared" si="29"/>
        <v>5.3500660501981503E-2</v>
      </c>
      <c r="E31" s="409">
        <f t="shared" si="29"/>
        <v>5.01952035694367E-2</v>
      </c>
      <c r="F31" s="409">
        <f t="shared" si="29"/>
        <v>5.5862492326580727E-2</v>
      </c>
      <c r="G31" s="232">
        <f>MEDIAN(B31:F31)</f>
        <v>5.089820359281437E-2</v>
      </c>
    </row>
    <row r="32" spans="1:12" x14ac:dyDescent="0.3">
      <c r="B32" s="191"/>
      <c r="C32" s="191"/>
      <c r="D32" s="191"/>
      <c r="E32" s="191"/>
    </row>
  </sheetData>
  <mergeCells count="2">
    <mergeCell ref="C10:D10"/>
    <mergeCell ref="C29:D29"/>
  </mergeCells>
  <phoneticPr fontId="3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IV232"/>
  <sheetViews>
    <sheetView showGridLines="0" zoomScale="110" zoomScaleNormal="110" workbookViewId="0">
      <pane xSplit="1" ySplit="4" topLeftCell="B5" activePane="bottomRight" state="frozen"/>
      <selection activeCell="B29" sqref="B29"/>
      <selection pane="topRight" activeCell="B29" sqref="B29"/>
      <selection pane="bottomLeft" activeCell="B29" sqref="B29"/>
      <selection pane="bottomRight"/>
    </sheetView>
  </sheetViews>
  <sheetFormatPr defaultColWidth="8.77734375" defaultRowHeight="13.8" outlineLevelCol="1" x14ac:dyDescent="0.25"/>
  <cols>
    <col min="1" max="1" width="58.77734375" style="5" bestFit="1" customWidth="1" collapsed="1"/>
    <col min="2" max="2" width="14.77734375" style="5" hidden="1" customWidth="1" outlineLevel="1"/>
    <col min="3" max="3" width="4" style="5" hidden="1" customWidth="1" outlineLevel="1"/>
    <col min="4" max="4" width="6.77734375" style="5" hidden="1" customWidth="1" outlineLevel="1"/>
    <col min="5" max="7" width="14.77734375" style="5" customWidth="1"/>
    <col min="8" max="9" width="12.44140625" style="5" customWidth="1"/>
    <col min="10" max="14" width="12.44140625" style="33" customWidth="1"/>
    <col min="15" max="15" width="9.44140625" style="5" bestFit="1" customWidth="1"/>
    <col min="16" max="259" width="8.77734375" style="5"/>
    <col min="260" max="260" width="45.77734375" style="5" customWidth="1"/>
    <col min="261" max="265" width="14.77734375" style="5" customWidth="1"/>
    <col min="266" max="266" width="8.5546875" style="5" bestFit="1" customWidth="1"/>
    <col min="267" max="267" width="8.77734375" style="5" bestFit="1" customWidth="1"/>
    <col min="268" max="271" width="9.44140625" style="5" bestFit="1" customWidth="1"/>
    <col min="272" max="515" width="8.77734375" style="5"/>
    <col min="516" max="516" width="45.77734375" style="5" customWidth="1"/>
    <col min="517" max="521" width="14.77734375" style="5" customWidth="1"/>
    <col min="522" max="522" width="8.5546875" style="5" bestFit="1" customWidth="1"/>
    <col min="523" max="523" width="8.77734375" style="5" bestFit="1" customWidth="1"/>
    <col min="524" max="527" width="9.44140625" style="5" bestFit="1" customWidth="1"/>
    <col min="528" max="771" width="8.77734375" style="5"/>
    <col min="772" max="772" width="45.77734375" style="5" customWidth="1"/>
    <col min="773" max="777" width="14.77734375" style="5" customWidth="1"/>
    <col min="778" max="778" width="8.5546875" style="5" bestFit="1" customWidth="1"/>
    <col min="779" max="779" width="8.77734375" style="5" bestFit="1" customWidth="1"/>
    <col min="780" max="783" width="9.44140625" style="5" bestFit="1" customWidth="1"/>
    <col min="784" max="1027" width="8.77734375" style="5"/>
    <col min="1028" max="1028" width="45.77734375" style="5" customWidth="1"/>
    <col min="1029" max="1033" width="14.77734375" style="5" customWidth="1"/>
    <col min="1034" max="1034" width="8.5546875" style="5" bestFit="1" customWidth="1"/>
    <col min="1035" max="1035" width="8.77734375" style="5" bestFit="1" customWidth="1"/>
    <col min="1036" max="1039" width="9.44140625" style="5" bestFit="1" customWidth="1"/>
    <col min="1040" max="1283" width="8.77734375" style="5"/>
    <col min="1284" max="1284" width="45.77734375" style="5" customWidth="1"/>
    <col min="1285" max="1289" width="14.77734375" style="5" customWidth="1"/>
    <col min="1290" max="1290" width="8.5546875" style="5" bestFit="1" customWidth="1"/>
    <col min="1291" max="1291" width="8.77734375" style="5" bestFit="1" customWidth="1"/>
    <col min="1292" max="1295" width="9.44140625" style="5" bestFit="1" customWidth="1"/>
    <col min="1296" max="1539" width="8.77734375" style="5"/>
    <col min="1540" max="1540" width="45.77734375" style="5" customWidth="1"/>
    <col min="1541" max="1545" width="14.77734375" style="5" customWidth="1"/>
    <col min="1546" max="1546" width="8.5546875" style="5" bestFit="1" customWidth="1"/>
    <col min="1547" max="1547" width="8.77734375" style="5" bestFit="1" customWidth="1"/>
    <col min="1548" max="1551" width="9.44140625" style="5" bestFit="1" customWidth="1"/>
    <col min="1552" max="1795" width="8.77734375" style="5"/>
    <col min="1796" max="1796" width="45.77734375" style="5" customWidth="1"/>
    <col min="1797" max="1801" width="14.77734375" style="5" customWidth="1"/>
    <col min="1802" max="1802" width="8.5546875" style="5" bestFit="1" customWidth="1"/>
    <col min="1803" max="1803" width="8.77734375" style="5" bestFit="1" customWidth="1"/>
    <col min="1804" max="1807" width="9.44140625" style="5" bestFit="1" customWidth="1"/>
    <col min="1808" max="2051" width="8.77734375" style="5"/>
    <col min="2052" max="2052" width="45.77734375" style="5" customWidth="1"/>
    <col min="2053" max="2057" width="14.77734375" style="5" customWidth="1"/>
    <col min="2058" max="2058" width="8.5546875" style="5" bestFit="1" customWidth="1"/>
    <col min="2059" max="2059" width="8.77734375" style="5" bestFit="1" customWidth="1"/>
    <col min="2060" max="2063" width="9.44140625" style="5" bestFit="1" customWidth="1"/>
    <col min="2064" max="2307" width="8.77734375" style="5"/>
    <col min="2308" max="2308" width="45.77734375" style="5" customWidth="1"/>
    <col min="2309" max="2313" width="14.77734375" style="5" customWidth="1"/>
    <col min="2314" max="2314" width="8.5546875" style="5" bestFit="1" customWidth="1"/>
    <col min="2315" max="2315" width="8.77734375" style="5" bestFit="1" customWidth="1"/>
    <col min="2316" max="2319" width="9.44140625" style="5" bestFit="1" customWidth="1"/>
    <col min="2320" max="2563" width="8.77734375" style="5"/>
    <col min="2564" max="2564" width="45.77734375" style="5" customWidth="1"/>
    <col min="2565" max="2569" width="14.77734375" style="5" customWidth="1"/>
    <col min="2570" max="2570" width="8.5546875" style="5" bestFit="1" customWidth="1"/>
    <col min="2571" max="2571" width="8.77734375" style="5" bestFit="1" customWidth="1"/>
    <col min="2572" max="2575" width="9.44140625" style="5" bestFit="1" customWidth="1"/>
    <col min="2576" max="2819" width="8.77734375" style="5"/>
    <col min="2820" max="2820" width="45.77734375" style="5" customWidth="1"/>
    <col min="2821" max="2825" width="14.77734375" style="5" customWidth="1"/>
    <col min="2826" max="2826" width="8.5546875" style="5" bestFit="1" customWidth="1"/>
    <col min="2827" max="2827" width="8.77734375" style="5" bestFit="1" customWidth="1"/>
    <col min="2828" max="2831" width="9.44140625" style="5" bestFit="1" customWidth="1"/>
    <col min="2832" max="3075" width="8.77734375" style="5"/>
    <col min="3076" max="3076" width="45.77734375" style="5" customWidth="1"/>
    <col min="3077" max="3081" width="14.77734375" style="5" customWidth="1"/>
    <col min="3082" max="3082" width="8.5546875" style="5" bestFit="1" customWidth="1"/>
    <col min="3083" max="3083" width="8.77734375" style="5" bestFit="1" customWidth="1"/>
    <col min="3084" max="3087" width="9.44140625" style="5" bestFit="1" customWidth="1"/>
    <col min="3088" max="3331" width="8.77734375" style="5"/>
    <col min="3332" max="3332" width="45.77734375" style="5" customWidth="1"/>
    <col min="3333" max="3337" width="14.77734375" style="5" customWidth="1"/>
    <col min="3338" max="3338" width="8.5546875" style="5" bestFit="1" customWidth="1"/>
    <col min="3339" max="3339" width="8.77734375" style="5" bestFit="1" customWidth="1"/>
    <col min="3340" max="3343" width="9.44140625" style="5" bestFit="1" customWidth="1"/>
    <col min="3344" max="3587" width="8.77734375" style="5"/>
    <col min="3588" max="3588" width="45.77734375" style="5" customWidth="1"/>
    <col min="3589" max="3593" width="14.77734375" style="5" customWidth="1"/>
    <col min="3594" max="3594" width="8.5546875" style="5" bestFit="1" customWidth="1"/>
    <col min="3595" max="3595" width="8.77734375" style="5" bestFit="1" customWidth="1"/>
    <col min="3596" max="3599" width="9.44140625" style="5" bestFit="1" customWidth="1"/>
    <col min="3600" max="3843" width="8.77734375" style="5"/>
    <col min="3844" max="3844" width="45.77734375" style="5" customWidth="1"/>
    <col min="3845" max="3849" width="14.77734375" style="5" customWidth="1"/>
    <col min="3850" max="3850" width="8.5546875" style="5" bestFit="1" customWidth="1"/>
    <col min="3851" max="3851" width="8.77734375" style="5" bestFit="1" customWidth="1"/>
    <col min="3852" max="3855" width="9.44140625" style="5" bestFit="1" customWidth="1"/>
    <col min="3856" max="4099" width="8.77734375" style="5"/>
    <col min="4100" max="4100" width="45.77734375" style="5" customWidth="1"/>
    <col min="4101" max="4105" width="14.77734375" style="5" customWidth="1"/>
    <col min="4106" max="4106" width="8.5546875" style="5" bestFit="1" customWidth="1"/>
    <col min="4107" max="4107" width="8.77734375" style="5" bestFit="1" customWidth="1"/>
    <col min="4108" max="4111" width="9.44140625" style="5" bestFit="1" customWidth="1"/>
    <col min="4112" max="4355" width="8.77734375" style="5"/>
    <col min="4356" max="4356" width="45.77734375" style="5" customWidth="1"/>
    <col min="4357" max="4361" width="14.77734375" style="5" customWidth="1"/>
    <col min="4362" max="4362" width="8.5546875" style="5" bestFit="1" customWidth="1"/>
    <col min="4363" max="4363" width="8.77734375" style="5" bestFit="1" customWidth="1"/>
    <col min="4364" max="4367" width="9.44140625" style="5" bestFit="1" customWidth="1"/>
    <col min="4368" max="4611" width="8.77734375" style="5"/>
    <col min="4612" max="4612" width="45.77734375" style="5" customWidth="1"/>
    <col min="4613" max="4617" width="14.77734375" style="5" customWidth="1"/>
    <col min="4618" max="4618" width="8.5546875" style="5" bestFit="1" customWidth="1"/>
    <col min="4619" max="4619" width="8.77734375" style="5" bestFit="1" customWidth="1"/>
    <col min="4620" max="4623" width="9.44140625" style="5" bestFit="1" customWidth="1"/>
    <col min="4624" max="4867" width="8.77734375" style="5"/>
    <col min="4868" max="4868" width="45.77734375" style="5" customWidth="1"/>
    <col min="4869" max="4873" width="14.77734375" style="5" customWidth="1"/>
    <col min="4874" max="4874" width="8.5546875" style="5" bestFit="1" customWidth="1"/>
    <col min="4875" max="4875" width="8.77734375" style="5" bestFit="1" customWidth="1"/>
    <col min="4876" max="4879" width="9.44140625" style="5" bestFit="1" customWidth="1"/>
    <col min="4880" max="5123" width="8.77734375" style="5"/>
    <col min="5124" max="5124" width="45.77734375" style="5" customWidth="1"/>
    <col min="5125" max="5129" width="14.77734375" style="5" customWidth="1"/>
    <col min="5130" max="5130" width="8.5546875" style="5" bestFit="1" customWidth="1"/>
    <col min="5131" max="5131" width="8.77734375" style="5" bestFit="1" customWidth="1"/>
    <col min="5132" max="5135" width="9.44140625" style="5" bestFit="1" customWidth="1"/>
    <col min="5136" max="5379" width="8.77734375" style="5"/>
    <col min="5380" max="5380" width="45.77734375" style="5" customWidth="1"/>
    <col min="5381" max="5385" width="14.77734375" style="5" customWidth="1"/>
    <col min="5386" max="5386" width="8.5546875" style="5" bestFit="1" customWidth="1"/>
    <col min="5387" max="5387" width="8.77734375" style="5" bestFit="1" customWidth="1"/>
    <col min="5388" max="5391" width="9.44140625" style="5" bestFit="1" customWidth="1"/>
    <col min="5392" max="5635" width="8.77734375" style="5"/>
    <col min="5636" max="5636" width="45.77734375" style="5" customWidth="1"/>
    <col min="5637" max="5641" width="14.77734375" style="5" customWidth="1"/>
    <col min="5642" max="5642" width="8.5546875" style="5" bestFit="1" customWidth="1"/>
    <col min="5643" max="5643" width="8.77734375" style="5" bestFit="1" customWidth="1"/>
    <col min="5644" max="5647" width="9.44140625" style="5" bestFit="1" customWidth="1"/>
    <col min="5648" max="5891" width="8.77734375" style="5"/>
    <col min="5892" max="5892" width="45.77734375" style="5" customWidth="1"/>
    <col min="5893" max="5897" width="14.77734375" style="5" customWidth="1"/>
    <col min="5898" max="5898" width="8.5546875" style="5" bestFit="1" customWidth="1"/>
    <col min="5899" max="5899" width="8.77734375" style="5" bestFit="1" customWidth="1"/>
    <col min="5900" max="5903" width="9.44140625" style="5" bestFit="1" customWidth="1"/>
    <col min="5904" max="6147" width="8.77734375" style="5"/>
    <col min="6148" max="6148" width="45.77734375" style="5" customWidth="1"/>
    <col min="6149" max="6153" width="14.77734375" style="5" customWidth="1"/>
    <col min="6154" max="6154" width="8.5546875" style="5" bestFit="1" customWidth="1"/>
    <col min="6155" max="6155" width="8.77734375" style="5" bestFit="1" customWidth="1"/>
    <col min="6156" max="6159" width="9.44140625" style="5" bestFit="1" customWidth="1"/>
    <col min="6160" max="6403" width="8.77734375" style="5"/>
    <col min="6404" max="6404" width="45.77734375" style="5" customWidth="1"/>
    <col min="6405" max="6409" width="14.77734375" style="5" customWidth="1"/>
    <col min="6410" max="6410" width="8.5546875" style="5" bestFit="1" customWidth="1"/>
    <col min="6411" max="6411" width="8.77734375" style="5" bestFit="1" customWidth="1"/>
    <col min="6412" max="6415" width="9.44140625" style="5" bestFit="1" customWidth="1"/>
    <col min="6416" max="6659" width="8.77734375" style="5"/>
    <col min="6660" max="6660" width="45.77734375" style="5" customWidth="1"/>
    <col min="6661" max="6665" width="14.77734375" style="5" customWidth="1"/>
    <col min="6666" max="6666" width="8.5546875" style="5" bestFit="1" customWidth="1"/>
    <col min="6667" max="6667" width="8.77734375" style="5" bestFit="1" customWidth="1"/>
    <col min="6668" max="6671" width="9.44140625" style="5" bestFit="1" customWidth="1"/>
    <col min="6672" max="6915" width="8.77734375" style="5"/>
    <col min="6916" max="6916" width="45.77734375" style="5" customWidth="1"/>
    <col min="6917" max="6921" width="14.77734375" style="5" customWidth="1"/>
    <col min="6922" max="6922" width="8.5546875" style="5" bestFit="1" customWidth="1"/>
    <col min="6923" max="6923" width="8.77734375" style="5" bestFit="1" customWidth="1"/>
    <col min="6924" max="6927" width="9.44140625" style="5" bestFit="1" customWidth="1"/>
    <col min="6928" max="7171" width="8.77734375" style="5"/>
    <col min="7172" max="7172" width="45.77734375" style="5" customWidth="1"/>
    <col min="7173" max="7177" width="14.77734375" style="5" customWidth="1"/>
    <col min="7178" max="7178" width="8.5546875" style="5" bestFit="1" customWidth="1"/>
    <col min="7179" max="7179" width="8.77734375" style="5" bestFit="1" customWidth="1"/>
    <col min="7180" max="7183" width="9.44140625" style="5" bestFit="1" customWidth="1"/>
    <col min="7184" max="7427" width="8.77734375" style="5"/>
    <col min="7428" max="7428" width="45.77734375" style="5" customWidth="1"/>
    <col min="7429" max="7433" width="14.77734375" style="5" customWidth="1"/>
    <col min="7434" max="7434" width="8.5546875" style="5" bestFit="1" customWidth="1"/>
    <col min="7435" max="7435" width="8.77734375" style="5" bestFit="1" customWidth="1"/>
    <col min="7436" max="7439" width="9.44140625" style="5" bestFit="1" customWidth="1"/>
    <col min="7440" max="7683" width="8.77734375" style="5"/>
    <col min="7684" max="7684" width="45.77734375" style="5" customWidth="1"/>
    <col min="7685" max="7689" width="14.77734375" style="5" customWidth="1"/>
    <col min="7690" max="7690" width="8.5546875" style="5" bestFit="1" customWidth="1"/>
    <col min="7691" max="7691" width="8.77734375" style="5" bestFit="1" customWidth="1"/>
    <col min="7692" max="7695" width="9.44140625" style="5" bestFit="1" customWidth="1"/>
    <col min="7696" max="7939" width="8.77734375" style="5"/>
    <col min="7940" max="7940" width="45.77734375" style="5" customWidth="1"/>
    <col min="7941" max="7945" width="14.77734375" style="5" customWidth="1"/>
    <col min="7946" max="7946" width="8.5546875" style="5" bestFit="1" customWidth="1"/>
    <col min="7947" max="7947" width="8.77734375" style="5" bestFit="1" customWidth="1"/>
    <col min="7948" max="7951" width="9.44140625" style="5" bestFit="1" customWidth="1"/>
    <col min="7952" max="8195" width="8.77734375" style="5"/>
    <col min="8196" max="8196" width="45.77734375" style="5" customWidth="1"/>
    <col min="8197" max="8201" width="14.77734375" style="5" customWidth="1"/>
    <col min="8202" max="8202" width="8.5546875" style="5" bestFit="1" customWidth="1"/>
    <col min="8203" max="8203" width="8.77734375" style="5" bestFit="1" customWidth="1"/>
    <col min="8204" max="8207" width="9.44140625" style="5" bestFit="1" customWidth="1"/>
    <col min="8208" max="8451" width="8.77734375" style="5"/>
    <col min="8452" max="8452" width="45.77734375" style="5" customWidth="1"/>
    <col min="8453" max="8457" width="14.77734375" style="5" customWidth="1"/>
    <col min="8458" max="8458" width="8.5546875" style="5" bestFit="1" customWidth="1"/>
    <col min="8459" max="8459" width="8.77734375" style="5" bestFit="1" customWidth="1"/>
    <col min="8460" max="8463" width="9.44140625" style="5" bestFit="1" customWidth="1"/>
    <col min="8464" max="8707" width="8.77734375" style="5"/>
    <col min="8708" max="8708" width="45.77734375" style="5" customWidth="1"/>
    <col min="8709" max="8713" width="14.77734375" style="5" customWidth="1"/>
    <col min="8714" max="8714" width="8.5546875" style="5" bestFit="1" customWidth="1"/>
    <col min="8715" max="8715" width="8.77734375" style="5" bestFit="1" customWidth="1"/>
    <col min="8716" max="8719" width="9.44140625" style="5" bestFit="1" customWidth="1"/>
    <col min="8720" max="8963" width="8.77734375" style="5"/>
    <col min="8964" max="8964" width="45.77734375" style="5" customWidth="1"/>
    <col min="8965" max="8969" width="14.77734375" style="5" customWidth="1"/>
    <col min="8970" max="8970" width="8.5546875" style="5" bestFit="1" customWidth="1"/>
    <col min="8971" max="8971" width="8.77734375" style="5" bestFit="1" customWidth="1"/>
    <col min="8972" max="8975" width="9.44140625" style="5" bestFit="1" customWidth="1"/>
    <col min="8976" max="9219" width="8.77734375" style="5"/>
    <col min="9220" max="9220" width="45.77734375" style="5" customWidth="1"/>
    <col min="9221" max="9225" width="14.77734375" style="5" customWidth="1"/>
    <col min="9226" max="9226" width="8.5546875" style="5" bestFit="1" customWidth="1"/>
    <col min="9227" max="9227" width="8.77734375" style="5" bestFit="1" customWidth="1"/>
    <col min="9228" max="9231" width="9.44140625" style="5" bestFit="1" customWidth="1"/>
    <col min="9232" max="9475" width="8.77734375" style="5"/>
    <col min="9476" max="9476" width="45.77734375" style="5" customWidth="1"/>
    <col min="9477" max="9481" width="14.77734375" style="5" customWidth="1"/>
    <col min="9482" max="9482" width="8.5546875" style="5" bestFit="1" customWidth="1"/>
    <col min="9483" max="9483" width="8.77734375" style="5" bestFit="1" customWidth="1"/>
    <col min="9484" max="9487" width="9.44140625" style="5" bestFit="1" customWidth="1"/>
    <col min="9488" max="9731" width="8.77734375" style="5"/>
    <col min="9732" max="9732" width="45.77734375" style="5" customWidth="1"/>
    <col min="9733" max="9737" width="14.77734375" style="5" customWidth="1"/>
    <col min="9738" max="9738" width="8.5546875" style="5" bestFit="1" customWidth="1"/>
    <col min="9739" max="9739" width="8.77734375" style="5" bestFit="1" customWidth="1"/>
    <col min="9740" max="9743" width="9.44140625" style="5" bestFit="1" customWidth="1"/>
    <col min="9744" max="9987" width="8.77734375" style="5"/>
    <col min="9988" max="9988" width="45.77734375" style="5" customWidth="1"/>
    <col min="9989" max="9993" width="14.77734375" style="5" customWidth="1"/>
    <col min="9994" max="9994" width="8.5546875" style="5" bestFit="1" customWidth="1"/>
    <col min="9995" max="9995" width="8.77734375" style="5" bestFit="1" customWidth="1"/>
    <col min="9996" max="9999" width="9.44140625" style="5" bestFit="1" customWidth="1"/>
    <col min="10000" max="10243" width="8.77734375" style="5"/>
    <col min="10244" max="10244" width="45.77734375" style="5" customWidth="1"/>
    <col min="10245" max="10249" width="14.77734375" style="5" customWidth="1"/>
    <col min="10250" max="10250" width="8.5546875" style="5" bestFit="1" customWidth="1"/>
    <col min="10251" max="10251" width="8.77734375" style="5" bestFit="1" customWidth="1"/>
    <col min="10252" max="10255" width="9.44140625" style="5" bestFit="1" customWidth="1"/>
    <col min="10256" max="10499" width="8.77734375" style="5"/>
    <col min="10500" max="10500" width="45.77734375" style="5" customWidth="1"/>
    <col min="10501" max="10505" width="14.77734375" style="5" customWidth="1"/>
    <col min="10506" max="10506" width="8.5546875" style="5" bestFit="1" customWidth="1"/>
    <col min="10507" max="10507" width="8.77734375" style="5" bestFit="1" customWidth="1"/>
    <col min="10508" max="10511" width="9.44140625" style="5" bestFit="1" customWidth="1"/>
    <col min="10512" max="10755" width="8.77734375" style="5"/>
    <col min="10756" max="10756" width="45.77734375" style="5" customWidth="1"/>
    <col min="10757" max="10761" width="14.77734375" style="5" customWidth="1"/>
    <col min="10762" max="10762" width="8.5546875" style="5" bestFit="1" customWidth="1"/>
    <col min="10763" max="10763" width="8.77734375" style="5" bestFit="1" customWidth="1"/>
    <col min="10764" max="10767" width="9.44140625" style="5" bestFit="1" customWidth="1"/>
    <col min="10768" max="11011" width="8.77734375" style="5"/>
    <col min="11012" max="11012" width="45.77734375" style="5" customWidth="1"/>
    <col min="11013" max="11017" width="14.77734375" style="5" customWidth="1"/>
    <col min="11018" max="11018" width="8.5546875" style="5" bestFit="1" customWidth="1"/>
    <col min="11019" max="11019" width="8.77734375" style="5" bestFit="1" customWidth="1"/>
    <col min="11020" max="11023" width="9.44140625" style="5" bestFit="1" customWidth="1"/>
    <col min="11024" max="11267" width="8.77734375" style="5"/>
    <col min="11268" max="11268" width="45.77734375" style="5" customWidth="1"/>
    <col min="11269" max="11273" width="14.77734375" style="5" customWidth="1"/>
    <col min="11274" max="11274" width="8.5546875" style="5" bestFit="1" customWidth="1"/>
    <col min="11275" max="11275" width="8.77734375" style="5" bestFit="1" customWidth="1"/>
    <col min="11276" max="11279" width="9.44140625" style="5" bestFit="1" customWidth="1"/>
    <col min="11280" max="11523" width="8.77734375" style="5"/>
    <col min="11524" max="11524" width="45.77734375" style="5" customWidth="1"/>
    <col min="11525" max="11529" width="14.77734375" style="5" customWidth="1"/>
    <col min="11530" max="11530" width="8.5546875" style="5" bestFit="1" customWidth="1"/>
    <col min="11531" max="11531" width="8.77734375" style="5" bestFit="1" customWidth="1"/>
    <col min="11532" max="11535" width="9.44140625" style="5" bestFit="1" customWidth="1"/>
    <col min="11536" max="11779" width="8.77734375" style="5"/>
    <col min="11780" max="11780" width="45.77734375" style="5" customWidth="1"/>
    <col min="11781" max="11785" width="14.77734375" style="5" customWidth="1"/>
    <col min="11786" max="11786" width="8.5546875" style="5" bestFit="1" customWidth="1"/>
    <col min="11787" max="11787" width="8.77734375" style="5" bestFit="1" customWidth="1"/>
    <col min="11788" max="11791" width="9.44140625" style="5" bestFit="1" customWidth="1"/>
    <col min="11792" max="12035" width="8.77734375" style="5"/>
    <col min="12036" max="12036" width="45.77734375" style="5" customWidth="1"/>
    <col min="12037" max="12041" width="14.77734375" style="5" customWidth="1"/>
    <col min="12042" max="12042" width="8.5546875" style="5" bestFit="1" customWidth="1"/>
    <col min="12043" max="12043" width="8.77734375" style="5" bestFit="1" customWidth="1"/>
    <col min="12044" max="12047" width="9.44140625" style="5" bestFit="1" customWidth="1"/>
    <col min="12048" max="12291" width="8.77734375" style="5"/>
    <col min="12292" max="12292" width="45.77734375" style="5" customWidth="1"/>
    <col min="12293" max="12297" width="14.77734375" style="5" customWidth="1"/>
    <col min="12298" max="12298" width="8.5546875" style="5" bestFit="1" customWidth="1"/>
    <col min="12299" max="12299" width="8.77734375" style="5" bestFit="1" customWidth="1"/>
    <col min="12300" max="12303" width="9.44140625" style="5" bestFit="1" customWidth="1"/>
    <col min="12304" max="12547" width="8.77734375" style="5"/>
    <col min="12548" max="12548" width="45.77734375" style="5" customWidth="1"/>
    <col min="12549" max="12553" width="14.77734375" style="5" customWidth="1"/>
    <col min="12554" max="12554" width="8.5546875" style="5" bestFit="1" customWidth="1"/>
    <col min="12555" max="12555" width="8.77734375" style="5" bestFit="1" customWidth="1"/>
    <col min="12556" max="12559" width="9.44140625" style="5" bestFit="1" customWidth="1"/>
    <col min="12560" max="12803" width="8.77734375" style="5"/>
    <col min="12804" max="12804" width="45.77734375" style="5" customWidth="1"/>
    <col min="12805" max="12809" width="14.77734375" style="5" customWidth="1"/>
    <col min="12810" max="12810" width="8.5546875" style="5" bestFit="1" customWidth="1"/>
    <col min="12811" max="12811" width="8.77734375" style="5" bestFit="1" customWidth="1"/>
    <col min="12812" max="12815" width="9.44140625" style="5" bestFit="1" customWidth="1"/>
    <col min="12816" max="13059" width="8.77734375" style="5"/>
    <col min="13060" max="13060" width="45.77734375" style="5" customWidth="1"/>
    <col min="13061" max="13065" width="14.77734375" style="5" customWidth="1"/>
    <col min="13066" max="13066" width="8.5546875" style="5" bestFit="1" customWidth="1"/>
    <col min="13067" max="13067" width="8.77734375" style="5" bestFit="1" customWidth="1"/>
    <col min="13068" max="13071" width="9.44140625" style="5" bestFit="1" customWidth="1"/>
    <col min="13072" max="13315" width="8.77734375" style="5"/>
    <col min="13316" max="13316" width="45.77734375" style="5" customWidth="1"/>
    <col min="13317" max="13321" width="14.77734375" style="5" customWidth="1"/>
    <col min="13322" max="13322" width="8.5546875" style="5" bestFit="1" customWidth="1"/>
    <col min="13323" max="13323" width="8.77734375" style="5" bestFit="1" customWidth="1"/>
    <col min="13324" max="13327" width="9.44140625" style="5" bestFit="1" customWidth="1"/>
    <col min="13328" max="13571" width="8.77734375" style="5"/>
    <col min="13572" max="13572" width="45.77734375" style="5" customWidth="1"/>
    <col min="13573" max="13577" width="14.77734375" style="5" customWidth="1"/>
    <col min="13578" max="13578" width="8.5546875" style="5" bestFit="1" customWidth="1"/>
    <col min="13579" max="13579" width="8.77734375" style="5" bestFit="1" customWidth="1"/>
    <col min="13580" max="13583" width="9.44140625" style="5" bestFit="1" customWidth="1"/>
    <col min="13584" max="13827" width="8.77734375" style="5"/>
    <col min="13828" max="13828" width="45.77734375" style="5" customWidth="1"/>
    <col min="13829" max="13833" width="14.77734375" style="5" customWidth="1"/>
    <col min="13834" max="13834" width="8.5546875" style="5" bestFit="1" customWidth="1"/>
    <col min="13835" max="13835" width="8.77734375" style="5" bestFit="1" customWidth="1"/>
    <col min="13836" max="13839" width="9.44140625" style="5" bestFit="1" customWidth="1"/>
    <col min="13840" max="14083" width="8.77734375" style="5"/>
    <col min="14084" max="14084" width="45.77734375" style="5" customWidth="1"/>
    <col min="14085" max="14089" width="14.77734375" style="5" customWidth="1"/>
    <col min="14090" max="14090" width="8.5546875" style="5" bestFit="1" customWidth="1"/>
    <col min="14091" max="14091" width="8.77734375" style="5" bestFit="1" customWidth="1"/>
    <col min="14092" max="14095" width="9.44140625" style="5" bestFit="1" customWidth="1"/>
    <col min="14096" max="14339" width="8.77734375" style="5"/>
    <col min="14340" max="14340" width="45.77734375" style="5" customWidth="1"/>
    <col min="14341" max="14345" width="14.77734375" style="5" customWidth="1"/>
    <col min="14346" max="14346" width="8.5546875" style="5" bestFit="1" customWidth="1"/>
    <col min="14347" max="14347" width="8.77734375" style="5" bestFit="1" customWidth="1"/>
    <col min="14348" max="14351" width="9.44140625" style="5" bestFit="1" customWidth="1"/>
    <col min="14352" max="14595" width="8.77734375" style="5"/>
    <col min="14596" max="14596" width="45.77734375" style="5" customWidth="1"/>
    <col min="14597" max="14601" width="14.77734375" style="5" customWidth="1"/>
    <col min="14602" max="14602" width="8.5546875" style="5" bestFit="1" customWidth="1"/>
    <col min="14603" max="14603" width="8.77734375" style="5" bestFit="1" customWidth="1"/>
    <col min="14604" max="14607" width="9.44140625" style="5" bestFit="1" customWidth="1"/>
    <col min="14608" max="14851" width="8.77734375" style="5"/>
    <col min="14852" max="14852" width="45.77734375" style="5" customWidth="1"/>
    <col min="14853" max="14857" width="14.77734375" style="5" customWidth="1"/>
    <col min="14858" max="14858" width="8.5546875" style="5" bestFit="1" customWidth="1"/>
    <col min="14859" max="14859" width="8.77734375" style="5" bestFit="1" customWidth="1"/>
    <col min="14860" max="14863" width="9.44140625" style="5" bestFit="1" customWidth="1"/>
    <col min="14864" max="15107" width="8.77734375" style="5"/>
    <col min="15108" max="15108" width="45.77734375" style="5" customWidth="1"/>
    <col min="15109" max="15113" width="14.77734375" style="5" customWidth="1"/>
    <col min="15114" max="15114" width="8.5546875" style="5" bestFit="1" customWidth="1"/>
    <col min="15115" max="15115" width="8.77734375" style="5" bestFit="1" customWidth="1"/>
    <col min="15116" max="15119" width="9.44140625" style="5" bestFit="1" customWidth="1"/>
    <col min="15120" max="15363" width="8.77734375" style="5"/>
    <col min="15364" max="15364" width="45.77734375" style="5" customWidth="1"/>
    <col min="15365" max="15369" width="14.77734375" style="5" customWidth="1"/>
    <col min="15370" max="15370" width="8.5546875" style="5" bestFit="1" customWidth="1"/>
    <col min="15371" max="15371" width="8.77734375" style="5" bestFit="1" customWidth="1"/>
    <col min="15372" max="15375" width="9.44140625" style="5" bestFit="1" customWidth="1"/>
    <col min="15376" max="15619" width="8.77734375" style="5"/>
    <col min="15620" max="15620" width="45.77734375" style="5" customWidth="1"/>
    <col min="15621" max="15625" width="14.77734375" style="5" customWidth="1"/>
    <col min="15626" max="15626" width="8.5546875" style="5" bestFit="1" customWidth="1"/>
    <col min="15627" max="15627" width="8.77734375" style="5" bestFit="1" customWidth="1"/>
    <col min="15628" max="15631" width="9.44140625" style="5" bestFit="1" customWidth="1"/>
    <col min="15632" max="15875" width="8.77734375" style="5"/>
    <col min="15876" max="15876" width="45.77734375" style="5" customWidth="1"/>
    <col min="15877" max="15881" width="14.77734375" style="5" customWidth="1"/>
    <col min="15882" max="15882" width="8.5546875" style="5" bestFit="1" customWidth="1"/>
    <col min="15883" max="15883" width="8.77734375" style="5" bestFit="1" customWidth="1"/>
    <col min="15884" max="15887" width="9.44140625" style="5" bestFit="1" customWidth="1"/>
    <col min="15888" max="16131" width="8.77734375" style="5"/>
    <col min="16132" max="16132" width="45.77734375" style="5" customWidth="1"/>
    <col min="16133" max="16137" width="14.77734375" style="5" customWidth="1"/>
    <col min="16138" max="16138" width="8.5546875" style="5" bestFit="1" customWidth="1"/>
    <col min="16139" max="16139" width="8.77734375" style="5" bestFit="1" customWidth="1"/>
    <col min="16140" max="16143" width="9.44140625" style="5" bestFit="1" customWidth="1"/>
    <col min="16144" max="16384" width="8.77734375" style="5"/>
  </cols>
  <sheetData>
    <row r="1" spans="1:256" x14ac:dyDescent="0.25">
      <c r="A1" s="53" t="s">
        <v>186</v>
      </c>
      <c r="B1" s="53"/>
      <c r="C1" s="53"/>
      <c r="D1" s="53"/>
      <c r="E1" s="167"/>
      <c r="F1" s="167"/>
      <c r="G1" s="167"/>
      <c r="H1" s="168"/>
      <c r="I1" s="168"/>
      <c r="J1" s="168"/>
      <c r="K1" s="168"/>
      <c r="L1" s="168"/>
      <c r="M1" s="168"/>
      <c r="N1" s="168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2"/>
      <c r="IS1" s="32"/>
      <c r="IT1" s="32"/>
      <c r="IU1" s="32"/>
      <c r="IV1" s="32"/>
    </row>
    <row r="2" spans="1:256" x14ac:dyDescent="0.25">
      <c r="A2" s="43" t="s">
        <v>245</v>
      </c>
      <c r="B2" s="167"/>
      <c r="C2" s="167"/>
      <c r="D2" s="167"/>
      <c r="E2" s="167"/>
      <c r="F2" s="167"/>
      <c r="G2" s="167"/>
      <c r="H2" s="168"/>
      <c r="I2" s="168"/>
      <c r="J2" s="168"/>
      <c r="K2" s="168"/>
      <c r="L2" s="168"/>
      <c r="M2" s="168"/>
      <c r="N2" s="168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</row>
    <row r="3" spans="1:256" x14ac:dyDescent="0.25">
      <c r="A3" s="53" t="s">
        <v>61</v>
      </c>
      <c r="B3" s="53"/>
      <c r="C3" s="53"/>
      <c r="D3" s="53"/>
      <c r="E3" s="136">
        <v>12</v>
      </c>
      <c r="F3" s="136">
        <v>12</v>
      </c>
      <c r="G3" s="136">
        <v>12</v>
      </c>
      <c r="H3" s="136">
        <v>12</v>
      </c>
      <c r="I3" s="136">
        <v>12</v>
      </c>
      <c r="J3" s="137">
        <v>12</v>
      </c>
      <c r="K3" s="137">
        <v>12</v>
      </c>
      <c r="L3" s="137">
        <v>12</v>
      </c>
      <c r="M3" s="137">
        <v>12</v>
      </c>
      <c r="N3" s="137">
        <v>12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</row>
    <row r="4" spans="1:256" ht="12.6" customHeight="1" x14ac:dyDescent="0.25">
      <c r="A4" s="54"/>
      <c r="B4" s="55"/>
      <c r="C4" s="55"/>
      <c r="D4" s="55"/>
      <c r="E4" s="138">
        <v>43100</v>
      </c>
      <c r="F4" s="138">
        <v>43465</v>
      </c>
      <c r="G4" s="138">
        <v>43830</v>
      </c>
      <c r="H4" s="138">
        <v>44196</v>
      </c>
      <c r="I4" s="138">
        <f>EOMONTH(H4,12)</f>
        <v>44561</v>
      </c>
      <c r="J4" s="92">
        <f t="shared" ref="J4" si="0">EOMONTH(I4,12)</f>
        <v>44926</v>
      </c>
      <c r="K4" s="92">
        <f t="shared" ref="K4" si="1">EOMONTH(J4,12)</f>
        <v>45291</v>
      </c>
      <c r="L4" s="92">
        <f t="shared" ref="L4" si="2">EOMONTH(K4,12)</f>
        <v>45657</v>
      </c>
      <c r="M4" s="92">
        <f t="shared" ref="M4" si="3">EOMONTH(L4,12)</f>
        <v>46022</v>
      </c>
      <c r="N4" s="92">
        <f t="shared" ref="N4" si="4">EOMONTH(M4,12)</f>
        <v>46387</v>
      </c>
      <c r="O4" s="47"/>
      <c r="P4" s="47"/>
    </row>
    <row r="5" spans="1:256" x14ac:dyDescent="0.25">
      <c r="A5" s="34" t="s">
        <v>62</v>
      </c>
      <c r="B5" s="35"/>
      <c r="C5" s="35"/>
      <c r="D5" s="35"/>
      <c r="E5" s="35"/>
      <c r="F5" s="35"/>
      <c r="G5" s="35"/>
      <c r="H5" s="35"/>
      <c r="J5" s="93"/>
      <c r="K5" s="93"/>
      <c r="L5" s="93"/>
      <c r="M5" s="93"/>
      <c r="N5" s="93"/>
    </row>
    <row r="6" spans="1:256" s="26" customFormat="1" x14ac:dyDescent="0.25">
      <c r="A6" s="34" t="s">
        <v>78</v>
      </c>
      <c r="B6" s="49"/>
      <c r="C6" s="49"/>
      <c r="D6" s="49">
        <f>'Revenue Segments'!B48</f>
        <v>62799</v>
      </c>
      <c r="E6" s="49">
        <f>'Revenue Segments'!C48</f>
        <v>63525</v>
      </c>
      <c r="F6" s="49">
        <f>'Revenue Segments'!D48</f>
        <v>64661</v>
      </c>
      <c r="G6" s="49">
        <f>'Revenue Segments'!E48</f>
        <v>67161</v>
      </c>
      <c r="H6" s="49">
        <f>'Revenue Segments'!F48</f>
        <v>70372</v>
      </c>
      <c r="I6" s="130">
        <f>'Revenue Segments'!G48</f>
        <v>79474</v>
      </c>
      <c r="J6" s="407">
        <f>'Revenue Segments'!H48</f>
        <v>82999.192572494794</v>
      </c>
      <c r="K6" s="407">
        <f>'Revenue Segments'!I48</f>
        <v>86720.361336805101</v>
      </c>
      <c r="L6" s="407">
        <f>'Revenue Segments'!J48</f>
        <v>90649.676409118823</v>
      </c>
      <c r="M6" s="407">
        <f>'Revenue Segments'!K48</f>
        <v>94800.114738132994</v>
      </c>
      <c r="N6" s="407">
        <f>'Revenue Segments'!L48</f>
        <v>99185.516008156788</v>
      </c>
      <c r="O6" s="165" t="s">
        <v>234</v>
      </c>
      <c r="P6" s="5"/>
      <c r="R6" s="5"/>
    </row>
    <row r="7" spans="1:256" x14ac:dyDescent="0.25">
      <c r="A7" s="120" t="s">
        <v>152</v>
      </c>
      <c r="B7" s="121"/>
      <c r="C7" s="121"/>
      <c r="D7" s="121"/>
      <c r="E7" s="121">
        <f>28796</f>
        <v>28796</v>
      </c>
      <c r="F7" s="121">
        <v>29381</v>
      </c>
      <c r="G7" s="121">
        <v>30132</v>
      </c>
      <c r="H7" s="121">
        <v>31797</v>
      </c>
      <c r="I7" s="307">
        <v>37075</v>
      </c>
      <c r="J7" s="94"/>
      <c r="K7" s="94"/>
      <c r="L7" s="94"/>
      <c r="M7" s="94"/>
      <c r="N7" s="94"/>
    </row>
    <row r="8" spans="1:256" x14ac:dyDescent="0.25">
      <c r="A8" s="122" t="s">
        <v>84</v>
      </c>
      <c r="B8" s="121"/>
      <c r="C8" s="121"/>
      <c r="D8" s="121"/>
      <c r="E8" s="121">
        <v>8</v>
      </c>
      <c r="F8" s="121">
        <f>-83-3</f>
        <v>-86</v>
      </c>
      <c r="G8" s="121">
        <f>57-115-34</f>
        <v>-92</v>
      </c>
      <c r="H8" s="121">
        <v>2</v>
      </c>
      <c r="I8" s="307">
        <f>-39-29-1</f>
        <v>-69</v>
      </c>
      <c r="J8" s="94"/>
      <c r="K8" s="94"/>
      <c r="L8" s="94"/>
      <c r="M8" s="94"/>
      <c r="N8" s="94"/>
    </row>
    <row r="9" spans="1:256" s="26" customFormat="1" x14ac:dyDescent="0.25">
      <c r="A9" s="228" t="s">
        <v>153</v>
      </c>
      <c r="B9" s="225"/>
      <c r="C9" s="225"/>
      <c r="D9" s="225"/>
      <c r="E9" s="225">
        <f t="shared" ref="E9:F9" si="5">E7+E8</f>
        <v>28804</v>
      </c>
      <c r="F9" s="225">
        <f t="shared" si="5"/>
        <v>29295</v>
      </c>
      <c r="G9" s="225">
        <f>G7+G8</f>
        <v>30040</v>
      </c>
      <c r="H9" s="225">
        <f t="shared" ref="H9:I9" si="6">H7+H8</f>
        <v>31799</v>
      </c>
      <c r="I9" s="249">
        <f t="shared" si="6"/>
        <v>37006</v>
      </c>
      <c r="J9" s="229">
        <f>J10+J11</f>
        <v>38453.660615058223</v>
      </c>
      <c r="K9" s="229">
        <f t="shared" ref="K9:N9" si="7">K10+K11</f>
        <v>39929.101219379016</v>
      </c>
      <c r="L9" s="229">
        <f t="shared" si="7"/>
        <v>41478.449672634772</v>
      </c>
      <c r="M9" s="229">
        <f t="shared" si="7"/>
        <v>43105.816674363872</v>
      </c>
      <c r="N9" s="229">
        <f t="shared" si="7"/>
        <v>44815.553945727304</v>
      </c>
    </row>
    <row r="10" spans="1:256" x14ac:dyDescent="0.25">
      <c r="A10" s="75" t="s">
        <v>79</v>
      </c>
      <c r="B10" s="36"/>
      <c r="C10" s="36"/>
      <c r="D10" s="36"/>
      <c r="E10" s="36">
        <f t="shared" ref="E10:F10" si="8">E9-E11</f>
        <v>26697</v>
      </c>
      <c r="F10" s="36">
        <f t="shared" si="8"/>
        <v>27151</v>
      </c>
      <c r="G10" s="36">
        <f>G9-G11</f>
        <v>27844</v>
      </c>
      <c r="H10" s="36">
        <f>H9-H11</f>
        <v>29468</v>
      </c>
      <c r="I10" s="83">
        <f t="shared" ref="I10" si="9">I9-I11</f>
        <v>34510</v>
      </c>
      <c r="J10" s="94">
        <f>J6*J63</f>
        <v>35802.828356191647</v>
      </c>
      <c r="K10" s="94">
        <f t="shared" ref="K10:N10" si="10">K6*K63</f>
        <v>37159.42209109856</v>
      </c>
      <c r="L10" s="94">
        <f t="shared" si="10"/>
        <v>38583.2758880076</v>
      </c>
      <c r="M10" s="94">
        <f t="shared" si="10"/>
        <v>40078.085988036997</v>
      </c>
      <c r="N10" s="94">
        <f t="shared" si="10"/>
        <v>41647.762099835534</v>
      </c>
    </row>
    <row r="11" spans="1:256" x14ac:dyDescent="0.25">
      <c r="A11" s="75" t="s">
        <v>80</v>
      </c>
      <c r="B11" s="36"/>
      <c r="C11" s="36"/>
      <c r="D11" s="36"/>
      <c r="E11" s="36">
        <v>2107</v>
      </c>
      <c r="F11" s="36">
        <v>2144</v>
      </c>
      <c r="G11" s="36">
        <v>2196</v>
      </c>
      <c r="H11" s="83">
        <v>2331</v>
      </c>
      <c r="I11" s="124">
        <f>2496</f>
        <v>2496</v>
      </c>
      <c r="J11" s="114">
        <f>'Fixed Assets Schedule'!G18</f>
        <v>2650.8322588665792</v>
      </c>
      <c r="K11" s="114">
        <f>'Fixed Assets Schedule'!H18</f>
        <v>2769.6791282804556</v>
      </c>
      <c r="L11" s="114">
        <f>'Fixed Assets Schedule'!I18</f>
        <v>2895.1737846271685</v>
      </c>
      <c r="M11" s="114">
        <f>'Fixed Assets Schedule'!J18</f>
        <v>3027.7306863268736</v>
      </c>
      <c r="N11" s="114">
        <f>'Fixed Assets Schedule'!K18</f>
        <v>3167.7918458917675</v>
      </c>
      <c r="O11" s="165" t="s">
        <v>233</v>
      </c>
    </row>
    <row r="12" spans="1:256" x14ac:dyDescent="0.25">
      <c r="A12" s="75"/>
      <c r="B12" s="83"/>
      <c r="C12" s="83"/>
      <c r="D12" s="83"/>
      <c r="E12" s="83"/>
      <c r="F12" s="83"/>
      <c r="G12" s="83"/>
      <c r="H12" s="83"/>
      <c r="I12" s="124"/>
      <c r="J12" s="124"/>
      <c r="K12" s="124"/>
      <c r="L12" s="124"/>
      <c r="M12" s="124"/>
      <c r="N12" s="124"/>
      <c r="O12" s="125"/>
    </row>
    <row r="13" spans="1:256" s="26" customFormat="1" x14ac:dyDescent="0.25">
      <c r="A13" s="34" t="s">
        <v>85</v>
      </c>
      <c r="B13" s="77"/>
      <c r="C13" s="77">
        <f t="shared" ref="C13:G13" si="11">C6-C9</f>
        <v>0</v>
      </c>
      <c r="D13" s="77">
        <f t="shared" si="11"/>
        <v>62799</v>
      </c>
      <c r="E13" s="77">
        <f t="shared" si="11"/>
        <v>34721</v>
      </c>
      <c r="F13" s="77">
        <f t="shared" si="11"/>
        <v>35366</v>
      </c>
      <c r="G13" s="77">
        <f t="shared" si="11"/>
        <v>37121</v>
      </c>
      <c r="H13" s="77">
        <f>H6-H9</f>
        <v>38573</v>
      </c>
      <c r="I13" s="308">
        <f t="shared" ref="I13" si="12">I6-I9</f>
        <v>42468</v>
      </c>
      <c r="J13" s="95">
        <f>J6-J9</f>
        <v>44545.531957436571</v>
      </c>
      <c r="K13" s="95">
        <f t="shared" ref="K13:N13" si="13">K6-K9</f>
        <v>46791.260117426085</v>
      </c>
      <c r="L13" s="95">
        <f t="shared" si="13"/>
        <v>49171.226736484052</v>
      </c>
      <c r="M13" s="95">
        <f t="shared" si="13"/>
        <v>51694.298063769122</v>
      </c>
      <c r="N13" s="95">
        <f t="shared" si="13"/>
        <v>54369.962062429484</v>
      </c>
    </row>
    <row r="14" spans="1:256" x14ac:dyDescent="0.25">
      <c r="A14" s="35"/>
      <c r="B14" s="38"/>
      <c r="C14" s="38"/>
      <c r="D14" s="38"/>
      <c r="E14" s="38"/>
      <c r="F14" s="38"/>
      <c r="G14" s="38"/>
      <c r="H14" s="38"/>
      <c r="J14" s="93"/>
      <c r="K14" s="93"/>
      <c r="L14" s="93"/>
      <c r="M14" s="93"/>
      <c r="N14" s="93"/>
    </row>
    <row r="15" spans="1:256" x14ac:dyDescent="0.25">
      <c r="A15" s="120" t="s">
        <v>154</v>
      </c>
      <c r="B15" s="121"/>
      <c r="C15" s="121"/>
      <c r="D15" s="121"/>
      <c r="E15" s="121">
        <v>24453</v>
      </c>
      <c r="F15" s="121">
        <v>25170</v>
      </c>
      <c r="G15" s="121">
        <v>26738</v>
      </c>
      <c r="H15" s="121">
        <v>28495</v>
      </c>
      <c r="I15" s="307">
        <v>31237</v>
      </c>
      <c r="J15" s="94"/>
      <c r="K15" s="94"/>
      <c r="L15" s="94"/>
      <c r="M15" s="94"/>
      <c r="N15" s="94"/>
    </row>
    <row r="16" spans="1:256" x14ac:dyDescent="0.25">
      <c r="A16" s="122" t="s">
        <v>84</v>
      </c>
      <c r="B16" s="121"/>
      <c r="C16" s="121"/>
      <c r="D16" s="121"/>
      <c r="E16" s="121">
        <f>7-229</f>
        <v>-222</v>
      </c>
      <c r="F16" s="121">
        <f>-80-269-75</f>
        <v>-424</v>
      </c>
      <c r="G16" s="121">
        <f>55-253-21</f>
        <v>-219</v>
      </c>
      <c r="H16" s="121">
        <v>-453</v>
      </c>
      <c r="I16" s="307">
        <f>20-208+5</f>
        <v>-183</v>
      </c>
      <c r="J16" s="94"/>
      <c r="K16" s="94"/>
      <c r="L16" s="94"/>
      <c r="M16" s="94"/>
      <c r="N16" s="94"/>
    </row>
    <row r="17" spans="1:15" s="26" customFormat="1" x14ac:dyDescent="0.25">
      <c r="A17" s="228" t="s">
        <v>155</v>
      </c>
      <c r="B17" s="225"/>
      <c r="C17" s="225"/>
      <c r="D17" s="225"/>
      <c r="E17" s="225">
        <f t="shared" ref="E17:F17" si="14">E15+E16</f>
        <v>24231</v>
      </c>
      <c r="F17" s="225">
        <f t="shared" si="14"/>
        <v>24746</v>
      </c>
      <c r="G17" s="225">
        <f>G15+G16</f>
        <v>26519</v>
      </c>
      <c r="H17" s="225">
        <f t="shared" ref="H17:I17" si="15">H15+H16</f>
        <v>28042</v>
      </c>
      <c r="I17" s="292">
        <f t="shared" si="15"/>
        <v>31054</v>
      </c>
      <c r="J17" s="229">
        <f>J18+J19+J20</f>
        <v>32472.76640309978</v>
      </c>
      <c r="K17" s="229">
        <f t="shared" ref="K17:N17" si="16">K18+K19+K20</f>
        <v>33921.149708610632</v>
      </c>
      <c r="L17" s="229">
        <f t="shared" si="16"/>
        <v>35450.975065631952</v>
      </c>
      <c r="M17" s="229">
        <f t="shared" si="16"/>
        <v>37067.297039566925</v>
      </c>
      <c r="N17" s="229">
        <f t="shared" si="16"/>
        <v>38775.507445863826</v>
      </c>
    </row>
    <row r="18" spans="1:15" x14ac:dyDescent="0.25">
      <c r="A18" s="126" t="s">
        <v>81</v>
      </c>
      <c r="B18" s="36"/>
      <c r="C18" s="36"/>
      <c r="D18" s="36"/>
      <c r="E18" s="36">
        <f t="shared" ref="E18:F18" si="17">E17-E20-E19</f>
        <v>23969</v>
      </c>
      <c r="F18" s="36">
        <f t="shared" si="17"/>
        <v>24491</v>
      </c>
      <c r="G18" s="36">
        <f>G17-G20-G19</f>
        <v>26283</v>
      </c>
      <c r="H18" s="36">
        <f>H17-H20-H19</f>
        <v>27825</v>
      </c>
      <c r="I18" s="83">
        <f t="shared" ref="I18" si="18">I17-I20-I19</f>
        <v>30840</v>
      </c>
      <c r="J18" s="94">
        <f>J6*J64</f>
        <v>32207.956047710439</v>
      </c>
      <c r="K18" s="94">
        <f t="shared" ref="K18:N18" si="19">K6*K64</f>
        <v>33651.960938509066</v>
      </c>
      <c r="L18" s="94">
        <f t="shared" si="19"/>
        <v>35176.737303485723</v>
      </c>
      <c r="M18" s="94">
        <f t="shared" si="19"/>
        <v>36787.320866245835</v>
      </c>
      <c r="N18" s="94">
        <f t="shared" si="19"/>
        <v>38489.082136189892</v>
      </c>
    </row>
    <row r="19" spans="1:15" x14ac:dyDescent="0.25">
      <c r="A19" s="126" t="s">
        <v>89</v>
      </c>
      <c r="B19" s="36"/>
      <c r="C19" s="36"/>
      <c r="D19" s="36"/>
      <c r="E19" s="36">
        <v>194</v>
      </c>
      <c r="F19" s="36">
        <v>186</v>
      </c>
      <c r="G19" s="36">
        <v>155</v>
      </c>
      <c r="H19" s="83">
        <v>127</v>
      </c>
      <c r="I19" s="124">
        <v>123</v>
      </c>
      <c r="J19" s="114">
        <f>'Fixed Assets Schedule'!G19</f>
        <v>186.52891826359408</v>
      </c>
      <c r="K19" s="114">
        <f>'Fixed Assets Schedule'!H19</f>
        <v>194.89171750018687</v>
      </c>
      <c r="L19" s="114">
        <f>'Fixed Assets Schedule'!I19</f>
        <v>203.72229605449442</v>
      </c>
      <c r="M19" s="114">
        <f>'Fixed Assets Schedule'!J19</f>
        <v>213.04981777893261</v>
      </c>
      <c r="N19" s="114">
        <f>'Fixed Assets Schedule'!K19</f>
        <v>222.90538540189294</v>
      </c>
      <c r="O19" s="165" t="s">
        <v>233</v>
      </c>
    </row>
    <row r="20" spans="1:15" x14ac:dyDescent="0.25">
      <c r="A20" s="126" t="s">
        <v>90</v>
      </c>
      <c r="B20" s="36"/>
      <c r="C20" s="36"/>
      <c r="D20" s="36"/>
      <c r="E20" s="36">
        <v>68</v>
      </c>
      <c r="F20" s="36">
        <v>69</v>
      </c>
      <c r="G20" s="36">
        <v>81</v>
      </c>
      <c r="H20" s="83">
        <v>90</v>
      </c>
      <c r="I20" s="124">
        <v>91</v>
      </c>
      <c r="J20" s="114">
        <f>'Fixed Assets Schedule'!G27</f>
        <v>78.281437125748496</v>
      </c>
      <c r="K20" s="114">
        <f>'Fixed Assets Schedule'!H27</f>
        <v>74.297052601384067</v>
      </c>
      <c r="L20" s="114">
        <f>'Fixed Assets Schedule'!I27</f>
        <v>70.515466091732776</v>
      </c>
      <c r="M20" s="114">
        <f>'Fixed Assets Schedule'!J27</f>
        <v>66.926355542153559</v>
      </c>
      <c r="N20" s="114">
        <f>'Fixed Assets Schedule'!K27</f>
        <v>63.519924272043944</v>
      </c>
      <c r="O20" s="165" t="s">
        <v>233</v>
      </c>
    </row>
    <row r="21" spans="1:15" x14ac:dyDescent="0.25">
      <c r="A21" s="75"/>
      <c r="B21" s="36"/>
      <c r="C21" s="36"/>
      <c r="D21" s="36"/>
      <c r="E21" s="36"/>
      <c r="F21" s="36"/>
      <c r="G21" s="36"/>
      <c r="H21" s="36"/>
      <c r="I21" s="124"/>
      <c r="J21" s="94"/>
      <c r="K21" s="94"/>
      <c r="L21" s="94"/>
      <c r="M21" s="94"/>
      <c r="N21" s="94"/>
    </row>
    <row r="22" spans="1:15" x14ac:dyDescent="0.25">
      <c r="A22" s="228" t="s">
        <v>156</v>
      </c>
      <c r="B22" s="225"/>
      <c r="C22" s="225"/>
      <c r="D22" s="225"/>
      <c r="E22" s="225">
        <f>E13-E17</f>
        <v>10490</v>
      </c>
      <c r="F22" s="225">
        <f t="shared" ref="F22:I22" si="20">F13-F17</f>
        <v>10620</v>
      </c>
      <c r="G22" s="225">
        <f t="shared" si="20"/>
        <v>10602</v>
      </c>
      <c r="H22" s="225">
        <f t="shared" si="20"/>
        <v>10531</v>
      </c>
      <c r="I22" s="249">
        <f t="shared" si="20"/>
        <v>11414</v>
      </c>
      <c r="J22" s="225">
        <f>J13-J17</f>
        <v>12072.765554336791</v>
      </c>
      <c r="K22" s="225">
        <f t="shared" ref="K22:N22" si="21">K13-K17</f>
        <v>12870.110408815453</v>
      </c>
      <c r="L22" s="225">
        <f t="shared" si="21"/>
        <v>13720.2516708521</v>
      </c>
      <c r="M22" s="225">
        <f t="shared" si="21"/>
        <v>14627.001024202196</v>
      </c>
      <c r="N22" s="225">
        <f t="shared" si="21"/>
        <v>15594.454616565657</v>
      </c>
    </row>
    <row r="23" spans="1:15" x14ac:dyDescent="0.25">
      <c r="A23" s="34"/>
      <c r="B23" s="74"/>
      <c r="C23" s="74"/>
      <c r="D23" s="74"/>
      <c r="E23" s="74"/>
      <c r="F23" s="74"/>
      <c r="G23" s="74"/>
      <c r="H23" s="74"/>
      <c r="I23" s="309"/>
      <c r="J23" s="97"/>
      <c r="K23" s="97"/>
      <c r="L23" s="97"/>
      <c r="M23" s="97"/>
      <c r="N23" s="97"/>
    </row>
    <row r="24" spans="1:15" x14ac:dyDescent="0.25">
      <c r="A24" s="120" t="s">
        <v>158</v>
      </c>
      <c r="B24" s="127"/>
      <c r="C24" s="127"/>
      <c r="D24" s="127"/>
      <c r="E24" s="127">
        <v>233</v>
      </c>
      <c r="F24" s="127">
        <v>298</v>
      </c>
      <c r="G24" s="127">
        <v>-44</v>
      </c>
      <c r="H24" s="127">
        <v>117</v>
      </c>
      <c r="I24" s="307">
        <v>522</v>
      </c>
      <c r="J24" s="93"/>
      <c r="K24" s="93"/>
      <c r="L24" s="93"/>
      <c r="M24" s="93"/>
      <c r="N24" s="93"/>
    </row>
    <row r="25" spans="1:15" x14ac:dyDescent="0.25">
      <c r="A25" s="122" t="s">
        <v>84</v>
      </c>
      <c r="B25" s="127"/>
      <c r="C25" s="127"/>
      <c r="D25" s="127"/>
      <c r="E25" s="127">
        <v>66</v>
      </c>
      <c r="F25" s="127">
        <v>36</v>
      </c>
      <c r="G25" s="127">
        <f>2+273</f>
        <v>275</v>
      </c>
      <c r="H25" s="127">
        <v>225</v>
      </c>
      <c r="I25" s="307">
        <f>10+12</f>
        <v>22</v>
      </c>
      <c r="J25" s="93"/>
      <c r="K25" s="93"/>
      <c r="L25" s="93"/>
      <c r="M25" s="93"/>
      <c r="N25" s="93"/>
    </row>
    <row r="26" spans="1:15" s="26" customFormat="1" x14ac:dyDescent="0.25">
      <c r="A26" s="123" t="s">
        <v>157</v>
      </c>
      <c r="B26" s="77"/>
      <c r="C26" s="77"/>
      <c r="D26" s="77"/>
      <c r="E26" s="77">
        <f>E24+E25</f>
        <v>299</v>
      </c>
      <c r="F26" s="77">
        <f>F24+F25</f>
        <v>334</v>
      </c>
      <c r="G26" s="77">
        <f>G24+G25</f>
        <v>231</v>
      </c>
      <c r="H26" s="77">
        <f t="shared" ref="H26:I26" si="22">H24+H25</f>
        <v>342</v>
      </c>
      <c r="I26" s="308">
        <f t="shared" si="22"/>
        <v>544</v>
      </c>
      <c r="J26" s="98">
        <f>J18*J66</f>
        <v>534.85925393077741</v>
      </c>
      <c r="K26" s="98">
        <f t="shared" ref="K26:N26" si="23">K18*K66</f>
        <v>524.07666168000685</v>
      </c>
      <c r="L26" s="98">
        <f t="shared" si="23"/>
        <v>511.48521778294554</v>
      </c>
      <c r="M26" s="98">
        <f t="shared" si="23"/>
        <v>496.90263200607944</v>
      </c>
      <c r="N26" s="98">
        <f t="shared" si="23"/>
        <v>480.12998284120243</v>
      </c>
    </row>
    <row r="27" spans="1:15" x14ac:dyDescent="0.25">
      <c r="A27" s="35"/>
      <c r="B27" s="38"/>
      <c r="C27" s="38"/>
      <c r="D27" s="38"/>
      <c r="E27" s="38"/>
      <c r="F27" s="38"/>
      <c r="G27" s="38"/>
      <c r="H27" s="38"/>
      <c r="J27" s="93"/>
      <c r="K27" s="93"/>
      <c r="L27" s="93"/>
      <c r="M27" s="93"/>
      <c r="N27" s="93"/>
    </row>
    <row r="28" spans="1:15" x14ac:dyDescent="0.25">
      <c r="A28" s="120" t="s">
        <v>159</v>
      </c>
      <c r="B28" s="121"/>
      <c r="C28" s="121"/>
      <c r="D28" s="121"/>
      <c r="E28" s="121">
        <v>-1151</v>
      </c>
      <c r="F28" s="121">
        <v>-1525</v>
      </c>
      <c r="G28" s="121">
        <v>-935</v>
      </c>
      <c r="H28" s="121">
        <v>-1128</v>
      </c>
      <c r="I28" s="307">
        <v>-1863</v>
      </c>
      <c r="J28" s="93"/>
      <c r="K28" s="93"/>
      <c r="L28" s="93"/>
      <c r="M28" s="93"/>
      <c r="N28" s="93"/>
    </row>
    <row r="29" spans="1:15" x14ac:dyDescent="0.25">
      <c r="A29" s="122" t="s">
        <v>84</v>
      </c>
      <c r="B29" s="121"/>
      <c r="C29" s="121"/>
      <c r="D29" s="121"/>
      <c r="E29" s="121">
        <v>0</v>
      </c>
      <c r="F29" s="121">
        <v>253</v>
      </c>
      <c r="G29" s="121">
        <v>0</v>
      </c>
      <c r="H29" s="121">
        <v>0</v>
      </c>
      <c r="I29" s="307">
        <v>842</v>
      </c>
      <c r="J29" s="93"/>
      <c r="K29" s="93"/>
      <c r="L29" s="93"/>
      <c r="M29" s="93"/>
      <c r="N29" s="93"/>
    </row>
    <row r="30" spans="1:15" s="26" customFormat="1" x14ac:dyDescent="0.25">
      <c r="A30" s="123" t="s">
        <v>160</v>
      </c>
      <c r="B30" s="130"/>
      <c r="C30" s="130"/>
      <c r="D30" s="130"/>
      <c r="E30" s="130">
        <f>E28+E29</f>
        <v>-1151</v>
      </c>
      <c r="F30" s="130">
        <f>F28+F29</f>
        <v>-1272</v>
      </c>
      <c r="G30" s="130">
        <f>G28+G29</f>
        <v>-935</v>
      </c>
      <c r="H30" s="130">
        <f t="shared" ref="H30:I30" si="24">H28+H29</f>
        <v>-1128</v>
      </c>
      <c r="I30" s="248">
        <f t="shared" si="24"/>
        <v>-1021</v>
      </c>
      <c r="J30" s="248">
        <f>-('Debt Schedule'!J24+'Debt Schedule'!B38)</f>
        <v>-1026.5359999999998</v>
      </c>
      <c r="K30" s="248">
        <f>-('Debt Schedule'!K24+'Debt Schedule'!C38)</f>
        <v>-930.41600000000005</v>
      </c>
      <c r="L30" s="248">
        <f>-('Debt Schedule'!L24+'Debt Schedule'!D38)</f>
        <v>-885.13100000000009</v>
      </c>
      <c r="M30" s="248">
        <f>-('Debt Schedule'!M24+'Debt Schedule'!E38)</f>
        <v>-822.42500000000007</v>
      </c>
      <c r="N30" s="248">
        <f>-('Debt Schedule'!N24+'Debt Schedule'!F38)</f>
        <v>-734.851</v>
      </c>
      <c r="O30" s="165"/>
    </row>
    <row r="31" spans="1:15" s="26" customFormat="1" x14ac:dyDescent="0.25">
      <c r="A31" s="123"/>
      <c r="B31" s="130"/>
      <c r="C31" s="130"/>
      <c r="D31" s="130"/>
      <c r="E31" s="130"/>
      <c r="F31" s="130"/>
      <c r="G31" s="130"/>
      <c r="H31" s="130"/>
      <c r="O31" s="131"/>
    </row>
    <row r="32" spans="1:15" s="26" customFormat="1" x14ac:dyDescent="0.25">
      <c r="A32" s="34" t="s">
        <v>83</v>
      </c>
      <c r="B32" s="130"/>
      <c r="C32" s="130"/>
      <c r="D32" s="130"/>
      <c r="E32" s="130">
        <v>244</v>
      </c>
      <c r="F32" s="130">
        <v>306</v>
      </c>
      <c r="G32" s="130">
        <v>0</v>
      </c>
      <c r="H32" s="130">
        <v>0</v>
      </c>
      <c r="I32" s="260">
        <v>0</v>
      </c>
      <c r="J32" s="260">
        <v>0</v>
      </c>
      <c r="K32" s="260">
        <v>0</v>
      </c>
      <c r="L32" s="260">
        <v>0</v>
      </c>
      <c r="M32" s="260">
        <v>0</v>
      </c>
      <c r="N32" s="260">
        <v>0</v>
      </c>
      <c r="O32" s="165"/>
    </row>
    <row r="33" spans="1:15" x14ac:dyDescent="0.25">
      <c r="A33" s="35"/>
      <c r="B33" s="83"/>
      <c r="C33" s="83"/>
      <c r="D33" s="83"/>
      <c r="E33" s="83"/>
      <c r="F33" s="83"/>
      <c r="G33" s="83"/>
      <c r="H33" s="83"/>
      <c r="J33" s="5"/>
      <c r="K33" s="5"/>
      <c r="L33" s="5"/>
      <c r="M33" s="5"/>
      <c r="N33" s="5"/>
      <c r="O33" s="131"/>
    </row>
    <row r="34" spans="1:15" s="128" customFormat="1" x14ac:dyDescent="0.25">
      <c r="A34" s="228" t="s">
        <v>161</v>
      </c>
      <c r="B34" s="230">
        <f>B22+B26+B28+B32</f>
        <v>0</v>
      </c>
      <c r="C34" s="230">
        <f>C22+C26+C28+C32</f>
        <v>0</v>
      </c>
      <c r="D34" s="230">
        <f>D22+D26+D28+D32</f>
        <v>0</v>
      </c>
      <c r="E34" s="230">
        <f>E22+E26+E30+E32</f>
        <v>9882</v>
      </c>
      <c r="F34" s="230">
        <f t="shared" ref="F34:I34" si="25">F22+F26+F30+F32</f>
        <v>9988</v>
      </c>
      <c r="G34" s="230">
        <f t="shared" si="25"/>
        <v>9898</v>
      </c>
      <c r="H34" s="230">
        <f t="shared" si="25"/>
        <v>9745</v>
      </c>
      <c r="I34" s="310">
        <f t="shared" si="25"/>
        <v>10937</v>
      </c>
      <c r="J34" s="230">
        <f>J22+J26+J30+J32</f>
        <v>11581.088808267568</v>
      </c>
      <c r="K34" s="230">
        <f t="shared" ref="K34:N34" si="26">K22+K26+K30+K32</f>
        <v>12463.771070495461</v>
      </c>
      <c r="L34" s="230">
        <f t="shared" si="26"/>
        <v>13346.605888635046</v>
      </c>
      <c r="M34" s="230">
        <f t="shared" si="26"/>
        <v>14301.478656208277</v>
      </c>
      <c r="N34" s="230">
        <f t="shared" si="26"/>
        <v>15339.73359940686</v>
      </c>
    </row>
    <row r="35" spans="1:15" x14ac:dyDescent="0.25">
      <c r="A35" s="34"/>
      <c r="B35" s="74"/>
      <c r="C35" s="74"/>
      <c r="D35" s="74"/>
      <c r="E35" s="74"/>
      <c r="F35" s="74"/>
      <c r="G35" s="74"/>
      <c r="H35" s="74"/>
      <c r="J35" s="93"/>
      <c r="K35" s="93"/>
      <c r="L35" s="93"/>
      <c r="M35" s="93"/>
      <c r="N35" s="93"/>
    </row>
    <row r="36" spans="1:15" x14ac:dyDescent="0.25">
      <c r="A36" s="120" t="s">
        <v>251</v>
      </c>
      <c r="B36" s="121"/>
      <c r="C36" s="121"/>
      <c r="D36" s="121"/>
      <c r="E36" s="121">
        <v>4694</v>
      </c>
      <c r="F36" s="121">
        <v>-3370</v>
      </c>
      <c r="G36" s="121">
        <v>1959</v>
      </c>
      <c r="H36" s="121">
        <v>1894</v>
      </c>
      <c r="I36" s="125">
        <v>2142</v>
      </c>
      <c r="J36" s="93"/>
      <c r="K36" s="93"/>
      <c r="L36" s="93"/>
      <c r="M36" s="93"/>
      <c r="N36" s="93"/>
    </row>
    <row r="37" spans="1:15" x14ac:dyDescent="0.25">
      <c r="A37" s="122" t="s">
        <v>84</v>
      </c>
      <c r="B37" s="121"/>
      <c r="C37" s="121"/>
      <c r="D37" s="121"/>
      <c r="E37" s="121">
        <f>-7+71-2451</f>
        <v>-2387</v>
      </c>
      <c r="F37" s="121">
        <f>38+56+28+5064+62</f>
        <v>5248</v>
      </c>
      <c r="G37" s="121">
        <f>-25+67+8+62+8</f>
        <v>120</v>
      </c>
      <c r="H37" s="121">
        <f>-15+58+18+47</f>
        <v>108</v>
      </c>
      <c r="I37" s="125">
        <f>5+41+23+1+165-190</f>
        <v>45</v>
      </c>
      <c r="J37" s="93"/>
      <c r="K37" s="93"/>
      <c r="L37" s="93"/>
      <c r="M37" s="93"/>
      <c r="N37" s="93"/>
    </row>
    <row r="38" spans="1:15" s="26" customFormat="1" x14ac:dyDescent="0.25">
      <c r="A38" s="123" t="s">
        <v>162</v>
      </c>
      <c r="B38" s="49"/>
      <c r="C38" s="49"/>
      <c r="D38" s="49"/>
      <c r="E38" s="49">
        <f t="shared" ref="E38:F38" si="27">E36+E37</f>
        <v>2307</v>
      </c>
      <c r="F38" s="49">
        <f t="shared" si="27"/>
        <v>1878</v>
      </c>
      <c r="G38" s="49">
        <f>G36+G37</f>
        <v>2079</v>
      </c>
      <c r="H38" s="49">
        <f t="shared" ref="H38:I38" si="28">H36+H37</f>
        <v>2002</v>
      </c>
      <c r="I38" s="306">
        <f t="shared" si="28"/>
        <v>2187</v>
      </c>
      <c r="J38" s="118">
        <f>J34*J68</f>
        <v>2328.4760988787812</v>
      </c>
      <c r="K38" s="118">
        <f t="shared" ref="K38:N38" si="29">K34*K68</f>
        <v>2519.5953282615196</v>
      </c>
      <c r="L38" s="118">
        <f t="shared" si="29"/>
        <v>2712.6787302313464</v>
      </c>
      <c r="M38" s="118">
        <f t="shared" si="29"/>
        <v>2922.4161285440159</v>
      </c>
      <c r="N38" s="118">
        <f t="shared" si="29"/>
        <v>3151.3747220125742</v>
      </c>
    </row>
    <row r="39" spans="1:15" s="26" customFormat="1" x14ac:dyDescent="0.25">
      <c r="A39" s="34"/>
      <c r="B39" s="49"/>
      <c r="C39" s="49"/>
      <c r="D39" s="49"/>
      <c r="E39" s="49"/>
      <c r="F39" s="49"/>
      <c r="G39" s="49"/>
      <c r="H39" s="49"/>
      <c r="I39" s="306"/>
      <c r="J39" s="118"/>
      <c r="K39" s="118"/>
      <c r="L39" s="118"/>
      <c r="M39" s="118"/>
      <c r="N39" s="118"/>
    </row>
    <row r="40" spans="1:15" x14ac:dyDescent="0.25">
      <c r="A40" s="228" t="s">
        <v>163</v>
      </c>
      <c r="B40" s="225"/>
      <c r="C40" s="225"/>
      <c r="D40" s="225"/>
      <c r="E40" s="225">
        <f>E34-E38</f>
        <v>7575</v>
      </c>
      <c r="F40" s="225">
        <f>F34-F38</f>
        <v>8110</v>
      </c>
      <c r="G40" s="225">
        <f>G34-G38</f>
        <v>7819</v>
      </c>
      <c r="H40" s="225">
        <f t="shared" ref="H40:I40" si="30">H34-H38</f>
        <v>7743</v>
      </c>
      <c r="I40" s="249">
        <f t="shared" si="30"/>
        <v>8750</v>
      </c>
      <c r="J40" s="249">
        <f>J34-J38</f>
        <v>9252.6127093887881</v>
      </c>
      <c r="K40" s="249">
        <f t="shared" ref="K40:N40" si="31">K34-K38</f>
        <v>9944.1757422339415</v>
      </c>
      <c r="L40" s="249">
        <f t="shared" si="31"/>
        <v>10633.9271584037</v>
      </c>
      <c r="M40" s="249">
        <f t="shared" si="31"/>
        <v>11379.06252766426</v>
      </c>
      <c r="N40" s="249">
        <f t="shared" si="31"/>
        <v>12188.358877394287</v>
      </c>
    </row>
    <row r="41" spans="1:15" x14ac:dyDescent="0.25">
      <c r="A41" s="34"/>
      <c r="B41" s="74"/>
      <c r="C41" s="74"/>
      <c r="D41" s="74"/>
      <c r="E41" s="74"/>
      <c r="F41" s="74"/>
      <c r="G41" s="74"/>
      <c r="H41" s="74"/>
      <c r="I41" s="305"/>
      <c r="J41" s="96"/>
      <c r="K41" s="96"/>
      <c r="L41" s="96"/>
      <c r="M41" s="96"/>
      <c r="N41" s="96"/>
    </row>
    <row r="42" spans="1:15" x14ac:dyDescent="0.25">
      <c r="A42" s="120" t="s">
        <v>164</v>
      </c>
      <c r="B42" s="121"/>
      <c r="C42" s="121"/>
      <c r="D42" s="121"/>
      <c r="E42" s="121">
        <v>51</v>
      </c>
      <c r="F42" s="121">
        <v>44</v>
      </c>
      <c r="G42" s="121">
        <v>39</v>
      </c>
      <c r="H42" s="121">
        <v>55</v>
      </c>
      <c r="I42" s="307">
        <v>61</v>
      </c>
      <c r="J42" s="93"/>
      <c r="K42" s="93"/>
      <c r="L42" s="93"/>
      <c r="M42" s="93"/>
      <c r="N42" s="93"/>
    </row>
    <row r="43" spans="1:15" x14ac:dyDescent="0.25">
      <c r="A43" s="122" t="s">
        <v>84</v>
      </c>
      <c r="B43" s="121"/>
      <c r="C43" s="121"/>
      <c r="D43" s="121"/>
      <c r="E43" s="121">
        <v>0</v>
      </c>
      <c r="F43" s="121">
        <v>1</v>
      </c>
      <c r="G43" s="121">
        <v>5</v>
      </c>
      <c r="H43" s="121">
        <v>0</v>
      </c>
      <c r="I43" s="307">
        <v>1</v>
      </c>
      <c r="J43" s="93"/>
      <c r="K43" s="93"/>
      <c r="L43" s="93"/>
      <c r="M43" s="93"/>
      <c r="N43" s="93"/>
    </row>
    <row r="44" spans="1:15" s="26" customFormat="1" x14ac:dyDescent="0.25">
      <c r="A44" s="129" t="s">
        <v>165</v>
      </c>
      <c r="B44" s="49"/>
      <c r="C44" s="49"/>
      <c r="D44" s="49"/>
      <c r="E44" s="49">
        <f t="shared" ref="E44:F44" si="32">E42+E43</f>
        <v>51</v>
      </c>
      <c r="F44" s="49">
        <f t="shared" si="32"/>
        <v>45</v>
      </c>
      <c r="G44" s="49">
        <f>G42+G43</f>
        <v>44</v>
      </c>
      <c r="H44" s="49">
        <f>SUM(H42:H43)</f>
        <v>55</v>
      </c>
      <c r="I44" s="311">
        <f t="shared" ref="I44" si="33">SUM(I42:I43)</f>
        <v>62</v>
      </c>
      <c r="J44" s="98">
        <f>J40*J70</f>
        <v>64.908059692364048</v>
      </c>
      <c r="K44" s="98">
        <f t="shared" ref="K44:N44" si="34">K40*K70</f>
        <v>69.057307343975268</v>
      </c>
      <c r="L44" s="98">
        <f t="shared" si="34"/>
        <v>73.096442095469072</v>
      </c>
      <c r="M44" s="98">
        <f t="shared" si="34"/>
        <v>77.414965251856984</v>
      </c>
      <c r="N44" s="98">
        <f t="shared" si="34"/>
        <v>82.060237986416993</v>
      </c>
    </row>
    <row r="45" spans="1:15" s="26" customFormat="1" x14ac:dyDescent="0.25">
      <c r="A45" s="34"/>
      <c r="B45" s="49"/>
      <c r="C45" s="49"/>
      <c r="D45" s="49"/>
      <c r="E45" s="49"/>
      <c r="F45" s="49"/>
      <c r="G45" s="49"/>
      <c r="H45" s="49"/>
      <c r="I45" s="312"/>
      <c r="J45" s="119"/>
      <c r="K45" s="119"/>
      <c r="L45" s="119"/>
      <c r="M45" s="119"/>
      <c r="N45" s="119"/>
    </row>
    <row r="46" spans="1:15" x14ac:dyDescent="0.25">
      <c r="A46" s="261" t="s">
        <v>166</v>
      </c>
      <c r="B46" s="262"/>
      <c r="C46" s="262"/>
      <c r="D46" s="262"/>
      <c r="E46" s="263">
        <f>E40-E44</f>
        <v>7524</v>
      </c>
      <c r="F46" s="263">
        <f>F40-F44</f>
        <v>8065</v>
      </c>
      <c r="G46" s="263">
        <f>G40-G44</f>
        <v>7775</v>
      </c>
      <c r="H46" s="263">
        <f t="shared" ref="H46:I46" si="35">H40-H44</f>
        <v>7688</v>
      </c>
      <c r="I46" s="263">
        <f t="shared" si="35"/>
        <v>8688</v>
      </c>
      <c r="J46" s="263">
        <f>J40-J44</f>
        <v>9187.7046496964249</v>
      </c>
      <c r="K46" s="263">
        <f t="shared" ref="K46:N46" si="36">K40-K44</f>
        <v>9875.118434889966</v>
      </c>
      <c r="L46" s="263">
        <f t="shared" si="36"/>
        <v>10560.83071630823</v>
      </c>
      <c r="M46" s="263">
        <f t="shared" si="36"/>
        <v>11301.647562412403</v>
      </c>
      <c r="N46" s="263">
        <f t="shared" si="36"/>
        <v>12106.298639407869</v>
      </c>
    </row>
    <row r="47" spans="1:15" x14ac:dyDescent="0.25">
      <c r="A47" s="129"/>
      <c r="B47" s="38"/>
      <c r="C47" s="38"/>
      <c r="D47" s="38"/>
      <c r="E47" s="77"/>
      <c r="F47" s="77"/>
      <c r="G47" s="77"/>
      <c r="H47" s="77"/>
      <c r="I47" s="308"/>
      <c r="J47" s="95"/>
      <c r="K47" s="95"/>
      <c r="L47" s="95"/>
      <c r="M47" s="95"/>
      <c r="N47" s="95"/>
    </row>
    <row r="48" spans="1:15" x14ac:dyDescent="0.25">
      <c r="A48" s="129" t="s">
        <v>171</v>
      </c>
      <c r="B48" s="38"/>
      <c r="C48" s="38"/>
      <c r="D48" s="38"/>
      <c r="E48" s="77">
        <v>1438</v>
      </c>
      <c r="F48" s="77">
        <v>1425</v>
      </c>
      <c r="G48" s="77">
        <v>1407</v>
      </c>
      <c r="H48" s="77">
        <v>1392</v>
      </c>
      <c r="I48" s="308">
        <v>1389</v>
      </c>
      <c r="J48" s="95">
        <f>I48</f>
        <v>1389</v>
      </c>
      <c r="K48" s="95">
        <f t="shared" ref="K48:N48" si="37">J48</f>
        <v>1389</v>
      </c>
      <c r="L48" s="95">
        <f t="shared" si="37"/>
        <v>1389</v>
      </c>
      <c r="M48" s="95">
        <f t="shared" si="37"/>
        <v>1389</v>
      </c>
      <c r="N48" s="95">
        <f t="shared" si="37"/>
        <v>1389</v>
      </c>
    </row>
    <row r="49" spans="1:17" x14ac:dyDescent="0.25">
      <c r="A49" s="129"/>
      <c r="B49" s="38"/>
      <c r="C49" s="38"/>
      <c r="D49" s="38"/>
      <c r="E49" s="77"/>
      <c r="F49" s="77"/>
      <c r="G49" s="77"/>
      <c r="H49" s="250"/>
      <c r="I49" s="308"/>
      <c r="J49" s="95"/>
      <c r="K49" s="95"/>
      <c r="L49" s="95"/>
      <c r="M49" s="95"/>
      <c r="N49" s="95"/>
    </row>
    <row r="50" spans="1:17" x14ac:dyDescent="0.25">
      <c r="A50" s="129" t="s">
        <v>172</v>
      </c>
      <c r="B50" s="38"/>
      <c r="C50" s="38"/>
      <c r="D50" s="38"/>
      <c r="E50" s="135">
        <f>E46/E48</f>
        <v>5.2322670375521554</v>
      </c>
      <c r="F50" s="135">
        <f t="shared" ref="F50:G50" si="38">F46/F48</f>
        <v>5.6596491228070178</v>
      </c>
      <c r="G50" s="135">
        <f t="shared" si="38"/>
        <v>5.5259417199715708</v>
      </c>
      <c r="H50" s="135">
        <f>H46/H48</f>
        <v>5.5229885057471266</v>
      </c>
      <c r="I50" s="313">
        <f t="shared" ref="I50" si="39">I46/I48</f>
        <v>6.2548596112311019</v>
      </c>
      <c r="J50" s="408">
        <f>J46/J48</f>
        <v>6.6146181783271594</v>
      </c>
      <c r="K50" s="408">
        <f t="shared" ref="K50:N50" si="40">K46/K48</f>
        <v>7.1095165117998311</v>
      </c>
      <c r="L50" s="408">
        <f t="shared" si="40"/>
        <v>7.6031898605530817</v>
      </c>
      <c r="M50" s="408">
        <f t="shared" si="40"/>
        <v>8.1365353221111612</v>
      </c>
      <c r="N50" s="408">
        <f t="shared" si="40"/>
        <v>8.7158377533533979</v>
      </c>
    </row>
    <row r="51" spans="1:17" x14ac:dyDescent="0.25">
      <c r="A51" s="34"/>
      <c r="B51" s="38"/>
      <c r="C51" s="38"/>
      <c r="D51" s="38"/>
      <c r="E51" s="38"/>
      <c r="F51" s="38"/>
      <c r="G51" s="38"/>
      <c r="J51" s="93"/>
      <c r="K51" s="93"/>
      <c r="L51" s="93"/>
      <c r="M51" s="93"/>
      <c r="N51" s="93"/>
    </row>
    <row r="52" spans="1:17" ht="24.45" customHeight="1" x14ac:dyDescent="0.25">
      <c r="A52" s="146" t="s">
        <v>232</v>
      </c>
      <c r="B52" s="38"/>
      <c r="C52" s="38"/>
      <c r="D52" s="38"/>
      <c r="E52" s="470" t="s">
        <v>235</v>
      </c>
      <c r="F52" s="471"/>
      <c r="G52" s="472"/>
      <c r="H52" s="476" t="s">
        <v>288</v>
      </c>
      <c r="I52" s="477"/>
      <c r="J52" s="211"/>
      <c r="K52" s="211"/>
      <c r="L52" s="211"/>
      <c r="M52" s="212"/>
      <c r="N52" s="212"/>
    </row>
    <row r="53" spans="1:17" x14ac:dyDescent="0.25">
      <c r="A53" s="34"/>
      <c r="B53" s="38"/>
      <c r="C53" s="38"/>
      <c r="D53" s="38"/>
      <c r="E53" s="38"/>
      <c r="F53" s="38"/>
      <c r="G53" s="38"/>
      <c r="J53" s="93"/>
      <c r="K53" s="93"/>
      <c r="L53" s="93"/>
      <c r="M53" s="93"/>
      <c r="N53" s="93"/>
    </row>
    <row r="54" spans="1:17" x14ac:dyDescent="0.25">
      <c r="A54" s="34"/>
      <c r="B54" s="38"/>
      <c r="C54" s="38"/>
      <c r="D54" s="38"/>
      <c r="E54" s="38"/>
      <c r="F54" s="38"/>
      <c r="G54" s="38"/>
      <c r="J54" s="93"/>
      <c r="K54" s="93"/>
      <c r="L54" s="93"/>
      <c r="M54" s="93"/>
      <c r="N54" s="93"/>
    </row>
    <row r="55" spans="1:17" x14ac:dyDescent="0.25">
      <c r="A55" s="50" t="s">
        <v>63</v>
      </c>
      <c r="B55" s="39"/>
      <c r="C55" s="63"/>
      <c r="D55" s="63"/>
      <c r="E55" s="63"/>
      <c r="F55" s="63"/>
      <c r="G55" s="63"/>
      <c r="H55" s="31"/>
      <c r="I55" s="31"/>
      <c r="J55" s="100"/>
      <c r="K55" s="100"/>
      <c r="L55" s="100"/>
      <c r="M55" s="100"/>
      <c r="N55" s="100"/>
    </row>
    <row r="56" spans="1:17" s="43" customFormat="1" x14ac:dyDescent="0.25">
      <c r="A56" s="43" t="s">
        <v>64</v>
      </c>
      <c r="B56" s="51"/>
      <c r="C56" s="14"/>
      <c r="D56" s="14"/>
      <c r="E56" s="14">
        <f>E6/D6-1</f>
        <v>1.1560693641618602E-2</v>
      </c>
      <c r="F56" s="14">
        <f>F6/E6-1</f>
        <v>1.7882723337268702E-2</v>
      </c>
      <c r="G56" s="14">
        <f>G6/F6-1</f>
        <v>3.8663181825211446E-2</v>
      </c>
      <c r="H56" s="76">
        <f t="shared" ref="H56:I56" si="41">H6/G6-1</f>
        <v>4.7810485251857493E-2</v>
      </c>
      <c r="I56" s="76">
        <f t="shared" si="41"/>
        <v>0.12934121525606779</v>
      </c>
      <c r="J56" s="101">
        <f t="shared" ref="J56" si="42">J6/I6-1</f>
        <v>4.4356551482180206E-2</v>
      </c>
      <c r="K56" s="101">
        <f t="shared" ref="K56" si="43">K6/J6-1</f>
        <v>4.4833794751196976E-2</v>
      </c>
      <c r="L56" s="101">
        <f t="shared" ref="L56" si="44">L6/K6-1</f>
        <v>4.5310178737067552E-2</v>
      </c>
      <c r="M56" s="101">
        <f t="shared" ref="M56" si="45">M6/L6-1</f>
        <v>4.5785473191128245E-2</v>
      </c>
      <c r="N56" s="101">
        <f t="shared" ref="N56" si="46">N6/M6-1</f>
        <v>4.6259451079121883E-2</v>
      </c>
      <c r="O56" s="42"/>
      <c r="P56" s="42"/>
      <c r="Q56" s="42"/>
    </row>
    <row r="57" spans="1:17" s="43" customFormat="1" x14ac:dyDescent="0.25">
      <c r="A57" s="43" t="s">
        <v>86</v>
      </c>
      <c r="B57" s="14"/>
      <c r="C57" s="14"/>
      <c r="D57" s="14"/>
      <c r="E57" s="14">
        <f>E13/E6</f>
        <v>0.54657221566312475</v>
      </c>
      <c r="F57" s="14">
        <f t="shared" ref="F57:G57" si="47">F13/F6</f>
        <v>0.54694483537217176</v>
      </c>
      <c r="G57" s="14">
        <f t="shared" si="47"/>
        <v>0.55271660636381237</v>
      </c>
      <c r="H57" s="76">
        <f t="shared" ref="H57:I57" si="48">H13/H6</f>
        <v>0.54812993804354004</v>
      </c>
      <c r="I57" s="76">
        <f t="shared" si="48"/>
        <v>0.53436343961547172</v>
      </c>
      <c r="J57" s="101">
        <f t="shared" ref="J57:N57" si="49">J13/J6</f>
        <v>0.53669837713817192</v>
      </c>
      <c r="K57" s="101">
        <f t="shared" si="49"/>
        <v>0.53956486569166706</v>
      </c>
      <c r="L57" s="101">
        <f t="shared" si="49"/>
        <v>0.5424313542451622</v>
      </c>
      <c r="M57" s="101">
        <f t="shared" si="49"/>
        <v>0.54529784279865734</v>
      </c>
      <c r="N57" s="101">
        <f t="shared" si="49"/>
        <v>0.54816433135215248</v>
      </c>
    </row>
    <row r="58" spans="1:17" s="43" customFormat="1" x14ac:dyDescent="0.25">
      <c r="A58" s="43" t="s">
        <v>87</v>
      </c>
      <c r="B58" s="61"/>
      <c r="C58" s="14"/>
      <c r="D58" s="14"/>
      <c r="E58" s="76">
        <f>(E22+E11+E19+E20)/E6</f>
        <v>0.20242424242424242</v>
      </c>
      <c r="F58" s="76">
        <f t="shared" ref="F58:G58" si="50">(F22+F11+F19+F20)/F6</f>
        <v>0.20134238567297133</v>
      </c>
      <c r="G58" s="76">
        <f t="shared" si="50"/>
        <v>0.19407096380339781</v>
      </c>
      <c r="H58" s="76">
        <f t="shared" ref="H58:I58" si="51">(H22+H11+H19+H20)/H6</f>
        <v>0.18585516966975502</v>
      </c>
      <c r="I58" s="76">
        <f t="shared" si="51"/>
        <v>0.17771849913179152</v>
      </c>
      <c r="J58" s="101">
        <f t="shared" ref="J58:N58" si="52">(J22+J11+J19+J20)/J6</f>
        <v>0.18058498768528672</v>
      </c>
      <c r="K58" s="101">
        <f t="shared" si="52"/>
        <v>0.18345147623878186</v>
      </c>
      <c r="L58" s="101">
        <f t="shared" si="52"/>
        <v>0.18631796479227689</v>
      </c>
      <c r="M58" s="101">
        <f t="shared" si="52"/>
        <v>0.18918445334577205</v>
      </c>
      <c r="N58" s="101">
        <f t="shared" si="52"/>
        <v>0.19205094189926725</v>
      </c>
      <c r="O58" s="42"/>
    </row>
    <row r="59" spans="1:17" s="43" customFormat="1" x14ac:dyDescent="0.25">
      <c r="A59" s="43" t="s">
        <v>88</v>
      </c>
      <c r="B59" s="14"/>
      <c r="C59" s="14"/>
      <c r="D59" s="14"/>
      <c r="E59" s="14">
        <f>E22/E6</f>
        <v>0.16513183785911059</v>
      </c>
      <c r="F59" s="14">
        <f t="shared" ref="F59:G59" si="53">F22/F6</f>
        <v>0.16424119639349841</v>
      </c>
      <c r="G59" s="14">
        <f t="shared" si="53"/>
        <v>0.15785947201500872</v>
      </c>
      <c r="H59" s="76">
        <f t="shared" ref="H59:I59" si="54">H22/H6</f>
        <v>0.14964758710850906</v>
      </c>
      <c r="I59" s="76">
        <f t="shared" si="54"/>
        <v>0.14361929687696606</v>
      </c>
      <c r="J59" s="101">
        <f t="shared" ref="J59:N59" si="55">J22/J6</f>
        <v>0.1454564216849695</v>
      </c>
      <c r="K59" s="101">
        <f t="shared" si="55"/>
        <v>0.14840932637296603</v>
      </c>
      <c r="L59" s="101">
        <f t="shared" si="55"/>
        <v>0.15135466792986724</v>
      </c>
      <c r="M59" s="101">
        <f t="shared" si="55"/>
        <v>0.15429307300530659</v>
      </c>
      <c r="N59" s="101">
        <f t="shared" si="55"/>
        <v>0.1572251195959217</v>
      </c>
    </row>
    <row r="60" spans="1:17" s="43" customFormat="1" x14ac:dyDescent="0.25">
      <c r="A60" s="43" t="s">
        <v>92</v>
      </c>
      <c r="B60" s="14"/>
      <c r="C60" s="14"/>
      <c r="D60" s="14"/>
      <c r="E60" s="14">
        <f t="shared" ref="E60:G60" si="56">E40/E6</f>
        <v>0.1192443919716647</v>
      </c>
      <c r="F60" s="14">
        <f t="shared" si="56"/>
        <v>0.12542336184098607</v>
      </c>
      <c r="G60" s="14">
        <f t="shared" si="56"/>
        <v>0.11642173285091049</v>
      </c>
      <c r="H60" s="76">
        <f t="shared" ref="H60:I60" si="57">H40/H6</f>
        <v>0.11002955721025408</v>
      </c>
      <c r="I60" s="76">
        <f t="shared" si="57"/>
        <v>0.11009890026927045</v>
      </c>
      <c r="J60" s="101">
        <f t="shared" ref="J60:N60" si="58">J40/J6</f>
        <v>0.11147834602495908</v>
      </c>
      <c r="K60" s="101">
        <f t="shared" si="58"/>
        <v>0.11466944543292074</v>
      </c>
      <c r="L60" s="101">
        <f t="shared" si="58"/>
        <v>0.11730794394026088</v>
      </c>
      <c r="M60" s="101">
        <f t="shared" si="58"/>
        <v>0.12003215986707108</v>
      </c>
      <c r="N60" s="101">
        <f t="shared" si="58"/>
        <v>0.12288446305398001</v>
      </c>
    </row>
    <row r="61" spans="1:17" x14ac:dyDescent="0.25">
      <c r="A61" s="43"/>
      <c r="B61" s="82"/>
      <c r="C61" s="82"/>
      <c r="D61" s="82"/>
      <c r="E61" s="82"/>
      <c r="F61" s="82"/>
      <c r="G61" s="82"/>
      <c r="H61" s="314"/>
      <c r="I61" s="43"/>
      <c r="J61" s="102"/>
      <c r="K61" s="102"/>
      <c r="L61" s="102"/>
      <c r="M61" s="102"/>
      <c r="N61" s="102"/>
      <c r="O61" s="43"/>
    </row>
    <row r="62" spans="1:17" x14ac:dyDescent="0.25">
      <c r="A62" s="50" t="s">
        <v>65</v>
      </c>
      <c r="B62" s="39"/>
      <c r="C62" s="39"/>
      <c r="D62" s="39"/>
      <c r="E62" s="39"/>
      <c r="F62" s="39"/>
      <c r="G62" s="39"/>
      <c r="H62" s="124"/>
      <c r="J62" s="93"/>
      <c r="K62" s="93"/>
      <c r="L62" s="93"/>
      <c r="M62" s="93"/>
      <c r="N62" s="93"/>
    </row>
    <row r="63" spans="1:17" x14ac:dyDescent="0.25">
      <c r="A63" s="43" t="s">
        <v>79</v>
      </c>
      <c r="B63" s="41"/>
      <c r="C63" s="41"/>
      <c r="D63" s="41"/>
      <c r="E63" s="41">
        <f>E10/E6</f>
        <v>0.42025974025974028</v>
      </c>
      <c r="F63" s="41">
        <f t="shared" ref="F63:H63" si="59">F10/F6</f>
        <v>0.41989761989452684</v>
      </c>
      <c r="G63" s="41">
        <f t="shared" si="59"/>
        <v>0.41458584595226394</v>
      </c>
      <c r="H63" s="209">
        <f t="shared" si="59"/>
        <v>0.4187460921957597</v>
      </c>
      <c r="I63" s="209">
        <f t="shared" ref="I63" si="60">I10/I6</f>
        <v>0.43423006266200265</v>
      </c>
      <c r="J63" s="103">
        <f>I63+$P63</f>
        <v>0.43136357410850751</v>
      </c>
      <c r="K63" s="103">
        <f t="shared" ref="K63:N64" si="61">J63+$P63</f>
        <v>0.42849708555501237</v>
      </c>
      <c r="L63" s="103">
        <f t="shared" si="61"/>
        <v>0.42563059700151723</v>
      </c>
      <c r="M63" s="103">
        <f t="shared" si="61"/>
        <v>0.42276410844802209</v>
      </c>
      <c r="N63" s="103">
        <f t="shared" si="61"/>
        <v>0.41989761989452695</v>
      </c>
      <c r="O63" s="30">
        <f>MEDIAN(E63:I63)</f>
        <v>0.41989761989452684</v>
      </c>
      <c r="P63" s="45">
        <f>(O63-I63)/5</f>
        <v>-2.8664885534951611E-3</v>
      </c>
    </row>
    <row r="64" spans="1:17" x14ac:dyDescent="0.25">
      <c r="A64" s="43" t="s">
        <v>81</v>
      </c>
      <c r="B64" s="41"/>
      <c r="C64" s="41"/>
      <c r="D64" s="41"/>
      <c r="E64" s="41">
        <f>E18/E6</f>
        <v>0.37731601731601733</v>
      </c>
      <c r="F64" s="41">
        <f t="shared" ref="F64:H64" si="62">F18/F6</f>
        <v>0.3787599944325018</v>
      </c>
      <c r="G64" s="41">
        <f t="shared" si="62"/>
        <v>0.39134319024433822</v>
      </c>
      <c r="H64" s="209">
        <f t="shared" si="62"/>
        <v>0.39539873813448528</v>
      </c>
      <c r="I64" s="209">
        <f t="shared" ref="I64" si="63">I18/I6</f>
        <v>0.3880514382062058</v>
      </c>
      <c r="J64" s="103">
        <f>I64+$P64</f>
        <v>0.3880514382062058</v>
      </c>
      <c r="K64" s="103">
        <f t="shared" si="61"/>
        <v>0.3880514382062058</v>
      </c>
      <c r="L64" s="103">
        <f t="shared" si="61"/>
        <v>0.3880514382062058</v>
      </c>
      <c r="M64" s="103">
        <f t="shared" si="61"/>
        <v>0.3880514382062058</v>
      </c>
      <c r="N64" s="103">
        <f t="shared" si="61"/>
        <v>0.3880514382062058</v>
      </c>
      <c r="O64" s="30">
        <f>MEDIAN(E64:I64)</f>
        <v>0.3880514382062058</v>
      </c>
      <c r="P64" s="45">
        <f>(O64-I64)/5</f>
        <v>0</v>
      </c>
    </row>
    <row r="65" spans="1:16" x14ac:dyDescent="0.25">
      <c r="A65" s="50" t="s">
        <v>255</v>
      </c>
      <c r="B65" s="41"/>
      <c r="C65" s="41"/>
      <c r="D65" s="41"/>
      <c r="E65" s="41"/>
      <c r="F65" s="41"/>
      <c r="G65" s="41"/>
      <c r="H65" s="209"/>
      <c r="I65" s="209"/>
      <c r="J65" s="103"/>
      <c r="K65" s="103"/>
      <c r="L65" s="103"/>
      <c r="M65" s="103"/>
      <c r="N65" s="103"/>
    </row>
    <row r="66" spans="1:16" x14ac:dyDescent="0.25">
      <c r="A66" s="43" t="s">
        <v>82</v>
      </c>
      <c r="B66" s="41"/>
      <c r="C66" s="41"/>
      <c r="D66" s="41"/>
      <c r="E66" s="41">
        <f>E26/E18</f>
        <v>1.2474446159622846E-2</v>
      </c>
      <c r="F66" s="41">
        <f t="shared" ref="F66:H66" si="64">F26/F18</f>
        <v>1.36376628149116E-2</v>
      </c>
      <c r="G66" s="41">
        <f t="shared" si="64"/>
        <v>8.7889510329871023E-3</v>
      </c>
      <c r="H66" s="209">
        <f t="shared" si="64"/>
        <v>1.22911051212938E-2</v>
      </c>
      <c r="I66" s="209">
        <f t="shared" ref="I66" si="65">I26/I18</f>
        <v>1.7639429312581063E-2</v>
      </c>
      <c r="J66" s="103">
        <f>I66+$P66</f>
        <v>1.6606432681989421E-2</v>
      </c>
      <c r="K66" s="103">
        <f t="shared" ref="K66:N70" si="66">J66+$P66</f>
        <v>1.5573436051397778E-2</v>
      </c>
      <c r="L66" s="103">
        <f t="shared" si="66"/>
        <v>1.4540439420806135E-2</v>
      </c>
      <c r="M66" s="103">
        <f t="shared" si="66"/>
        <v>1.3507442790214493E-2</v>
      </c>
      <c r="N66" s="103">
        <f t="shared" si="66"/>
        <v>1.247444615962285E-2</v>
      </c>
      <c r="O66" s="30">
        <f>MEDIAN(E66:I66)</f>
        <v>1.2474446159622846E-2</v>
      </c>
      <c r="P66" s="45">
        <f>(O66-I66)/5</f>
        <v>-1.0329966305916434E-3</v>
      </c>
    </row>
    <row r="67" spans="1:16" x14ac:dyDescent="0.25">
      <c r="A67" s="43"/>
      <c r="B67" s="41"/>
      <c r="C67" s="41"/>
      <c r="D67" s="41"/>
      <c r="E67" s="41"/>
      <c r="F67" s="41"/>
      <c r="G67" s="41"/>
      <c r="H67" s="209"/>
      <c r="I67" s="209"/>
      <c r="J67" s="103"/>
      <c r="K67" s="103"/>
      <c r="L67" s="103"/>
      <c r="M67" s="103"/>
      <c r="N67" s="103"/>
      <c r="P67" s="40"/>
    </row>
    <row r="68" spans="1:16" s="40" customFormat="1" x14ac:dyDescent="0.25">
      <c r="A68" s="40" t="s">
        <v>167</v>
      </c>
      <c r="B68" s="79"/>
      <c r="C68" s="79"/>
      <c r="D68" s="79"/>
      <c r="E68" s="80">
        <f>E38/E34</f>
        <v>0.23345476624165148</v>
      </c>
      <c r="F68" s="80">
        <f t="shared" ref="F68:H68" si="67">F38/F34</f>
        <v>0.18802563075690829</v>
      </c>
      <c r="G68" s="80">
        <f t="shared" si="67"/>
        <v>0.21004243281471005</v>
      </c>
      <c r="H68" s="315">
        <f t="shared" si="67"/>
        <v>0.20543868650590047</v>
      </c>
      <c r="I68" s="315">
        <f t="shared" ref="I68" si="68">I38/I34</f>
        <v>0.19996342689951541</v>
      </c>
      <c r="J68" s="103">
        <f>I68+$P68</f>
        <v>0.20105847882079242</v>
      </c>
      <c r="K68" s="103">
        <f t="shared" si="66"/>
        <v>0.20215353074206943</v>
      </c>
      <c r="L68" s="103">
        <f t="shared" si="66"/>
        <v>0.20324858266334644</v>
      </c>
      <c r="M68" s="103">
        <f t="shared" si="66"/>
        <v>0.20434363458462346</v>
      </c>
      <c r="N68" s="103">
        <f t="shared" si="66"/>
        <v>0.20543868650590047</v>
      </c>
      <c r="O68" s="30">
        <f>MEDIAN(E68:I68)</f>
        <v>0.20543868650590047</v>
      </c>
      <c r="P68" s="45">
        <f>(O68-I68)/5</f>
        <v>1.0950519212770127E-3</v>
      </c>
    </row>
    <row r="69" spans="1:16" s="40" customFormat="1" x14ac:dyDescent="0.25">
      <c r="A69" s="78"/>
      <c r="B69" s="79"/>
      <c r="C69" s="79"/>
      <c r="D69" s="79"/>
      <c r="E69" s="80"/>
      <c r="F69" s="80"/>
      <c r="G69" s="80"/>
      <c r="H69" s="315"/>
      <c r="I69" s="315"/>
      <c r="J69" s="104"/>
      <c r="K69" s="104"/>
      <c r="L69" s="104"/>
      <c r="M69" s="104"/>
      <c r="N69" s="104"/>
    </row>
    <row r="70" spans="1:16" x14ac:dyDescent="0.25">
      <c r="A70" s="81" t="s">
        <v>91</v>
      </c>
      <c r="B70" s="82"/>
      <c r="C70" s="82"/>
      <c r="D70" s="82"/>
      <c r="E70" s="41">
        <f>E44/E40</f>
        <v>6.7326732673267326E-3</v>
      </c>
      <c r="F70" s="41">
        <f t="shared" ref="F70:H70" si="69">F44/F40</f>
        <v>5.5487053020961772E-3</v>
      </c>
      <c r="G70" s="41">
        <f t="shared" si="69"/>
        <v>5.6273180713646244E-3</v>
      </c>
      <c r="H70" s="209">
        <f t="shared" si="69"/>
        <v>7.1031899780446854E-3</v>
      </c>
      <c r="I70" s="209">
        <f t="shared" ref="I70" si="70">I44/I40</f>
        <v>7.0857142857142855E-3</v>
      </c>
      <c r="J70" s="103">
        <f>I70+$P70</f>
        <v>7.0151060820367751E-3</v>
      </c>
      <c r="K70" s="103">
        <f t="shared" si="66"/>
        <v>6.9444978783592647E-3</v>
      </c>
      <c r="L70" s="103">
        <f t="shared" si="66"/>
        <v>6.8738896746817543E-3</v>
      </c>
      <c r="M70" s="103">
        <f t="shared" si="66"/>
        <v>6.8032814710042439E-3</v>
      </c>
      <c r="N70" s="103">
        <f t="shared" si="66"/>
        <v>6.7326732673267334E-3</v>
      </c>
      <c r="O70" s="30">
        <f>MEDIAN(E70:I70)</f>
        <v>6.7326732673267326E-3</v>
      </c>
      <c r="P70" s="45">
        <f>(O70-I70)/5</f>
        <v>-7.0608203677510579E-5</v>
      </c>
    </row>
    <row r="71" spans="1:16" x14ac:dyDescent="0.25">
      <c r="B71" s="39"/>
      <c r="C71" s="39"/>
      <c r="D71" s="39"/>
      <c r="E71" s="30"/>
      <c r="F71" s="30"/>
      <c r="G71" s="30"/>
      <c r="H71" s="203"/>
      <c r="I71" s="203"/>
      <c r="J71" s="93"/>
      <c r="K71" s="93"/>
      <c r="L71" s="93"/>
      <c r="M71" s="93"/>
      <c r="N71" s="93"/>
    </row>
    <row r="72" spans="1:16" x14ac:dyDescent="0.25">
      <c r="B72" s="39"/>
      <c r="C72" s="39"/>
      <c r="D72" s="39"/>
      <c r="E72" s="39"/>
      <c r="F72" s="39"/>
      <c r="G72" s="39"/>
      <c r="J72" s="93"/>
      <c r="K72" s="93"/>
      <c r="L72" s="93"/>
      <c r="M72" s="93"/>
      <c r="N72" s="93"/>
    </row>
    <row r="73" spans="1:16" x14ac:dyDescent="0.25">
      <c r="A73" s="5" t="s">
        <v>170</v>
      </c>
      <c r="E73" s="166">
        <v>3.1675</v>
      </c>
      <c r="F73" s="166">
        <v>3.5874999999999999</v>
      </c>
      <c r="G73" s="166">
        <v>3.7925</v>
      </c>
      <c r="H73" s="210">
        <v>4.0225</v>
      </c>
      <c r="I73" s="210">
        <v>4.2474999999999996</v>
      </c>
      <c r="J73" s="134">
        <f>J50*J74</f>
        <v>4.4918019681843413</v>
      </c>
      <c r="K73" s="134">
        <f t="shared" ref="K73:N73" si="71">K50*K74</f>
        <v>4.8278735672416113</v>
      </c>
      <c r="L73" s="134">
        <f t="shared" si="71"/>
        <v>5.1631133134805713</v>
      </c>
      <c r="M73" s="134">
        <f t="shared" si="71"/>
        <v>5.5252932805417441</v>
      </c>
      <c r="N73" s="134">
        <f t="shared" si="71"/>
        <v>5.918681338729848</v>
      </c>
    </row>
    <row r="74" spans="1:16" x14ac:dyDescent="0.25">
      <c r="A74" s="5" t="s">
        <v>173</v>
      </c>
      <c r="E74" s="25">
        <f>E73/E50</f>
        <v>0.60537812333864971</v>
      </c>
      <c r="F74" s="25">
        <f>F73/F50</f>
        <v>0.63387321760694348</v>
      </c>
      <c r="G74" s="25">
        <f>G73/G50</f>
        <v>0.6863083601286174</v>
      </c>
      <c r="H74" s="293">
        <f>H73/H50</f>
        <v>0.72831945889698224</v>
      </c>
      <c r="I74" s="293">
        <f>I73/I50</f>
        <v>0.67907199585635347</v>
      </c>
      <c r="J74" s="112">
        <f>I74+$P74</f>
        <v>0.67907199585635347</v>
      </c>
      <c r="K74" s="112">
        <f t="shared" ref="K74:N74" si="72">J74+$P74</f>
        <v>0.67907199585635347</v>
      </c>
      <c r="L74" s="112">
        <f t="shared" si="72"/>
        <v>0.67907199585635347</v>
      </c>
      <c r="M74" s="112">
        <f t="shared" si="72"/>
        <v>0.67907199585635347</v>
      </c>
      <c r="N74" s="112">
        <f t="shared" si="72"/>
        <v>0.67907199585635347</v>
      </c>
      <c r="O74" s="30">
        <f>MEDIAN(E74:I74)</f>
        <v>0.67907199585635347</v>
      </c>
      <c r="P74" s="45">
        <f>(O74-I74)/5</f>
        <v>0</v>
      </c>
    </row>
    <row r="75" spans="1:16" x14ac:dyDescent="0.25">
      <c r="A75" s="146" t="s">
        <v>232</v>
      </c>
      <c r="B75" s="39"/>
      <c r="C75" s="39"/>
      <c r="D75" s="39"/>
      <c r="E75" s="473" t="s">
        <v>236</v>
      </c>
      <c r="F75" s="474"/>
      <c r="G75" s="475"/>
      <c r="H75" s="478" t="s">
        <v>289</v>
      </c>
      <c r="I75" s="479"/>
      <c r="J75" s="93"/>
      <c r="K75" s="93"/>
      <c r="L75" s="93"/>
      <c r="M75" s="93"/>
      <c r="N75" s="93"/>
    </row>
    <row r="76" spans="1:16" x14ac:dyDescent="0.25">
      <c r="A76" s="5" t="s">
        <v>323</v>
      </c>
      <c r="J76" s="94">
        <f>J48*J73</f>
        <v>6239.11293380805</v>
      </c>
      <c r="K76" s="94">
        <f t="shared" ref="K76:N76" si="73">K48*K73</f>
        <v>6705.9163848985982</v>
      </c>
      <c r="L76" s="94">
        <f t="shared" si="73"/>
        <v>7171.5643924245132</v>
      </c>
      <c r="M76" s="94">
        <f t="shared" si="73"/>
        <v>7674.6323666724829</v>
      </c>
      <c r="N76" s="94">
        <f t="shared" si="73"/>
        <v>8221.0483794957581</v>
      </c>
    </row>
    <row r="77" spans="1:16" x14ac:dyDescent="0.25">
      <c r="J77" s="93"/>
      <c r="K77" s="93"/>
      <c r="L77" s="93"/>
      <c r="M77" s="93"/>
      <c r="N77" s="93"/>
    </row>
    <row r="78" spans="1:16" x14ac:dyDescent="0.25">
      <c r="J78" s="93"/>
      <c r="K78" s="93"/>
      <c r="L78" s="93"/>
      <c r="M78" s="93"/>
      <c r="N78" s="93"/>
    </row>
    <row r="79" spans="1:16" x14ac:dyDescent="0.25">
      <c r="A79" s="5" t="s">
        <v>313</v>
      </c>
      <c r="E79" s="5">
        <v>292</v>
      </c>
      <c r="F79" s="5">
        <v>256</v>
      </c>
      <c r="G79" s="5">
        <v>237</v>
      </c>
      <c r="H79" s="5">
        <v>264</v>
      </c>
      <c r="I79" s="5">
        <v>301</v>
      </c>
      <c r="J79" s="94">
        <f>J6*J80</f>
        <v>314.35132199613628</v>
      </c>
      <c r="K79" s="94">
        <f t="shared" ref="K79:N79" si="74">K6*K80</f>
        <v>328.44488464627847</v>
      </c>
      <c r="L79" s="94">
        <f t="shared" si="74"/>
        <v>343.32678107487692</v>
      </c>
      <c r="M79" s="94">
        <f t="shared" si="74"/>
        <v>359.04616020557705</v>
      </c>
      <c r="N79" s="94">
        <f t="shared" si="74"/>
        <v>375.65543848875348</v>
      </c>
    </row>
    <row r="80" spans="1:16" x14ac:dyDescent="0.25">
      <c r="A80" s="5" t="s">
        <v>314</v>
      </c>
      <c r="E80" s="30">
        <f>E79/E6</f>
        <v>4.5966155057064152E-3</v>
      </c>
      <c r="F80" s="30">
        <f t="shared" ref="F80:I80" si="75">F79/F6</f>
        <v>3.9591098189016563E-3</v>
      </c>
      <c r="G80" s="30">
        <f t="shared" si="75"/>
        <v>3.5288336981283779E-3</v>
      </c>
      <c r="H80" s="30">
        <f t="shared" si="75"/>
        <v>3.7514920707099413E-3</v>
      </c>
      <c r="I80" s="30">
        <f t="shared" si="75"/>
        <v>3.7874021692629036E-3</v>
      </c>
      <c r="J80" s="112">
        <f>MEDIAN(E80:I80)</f>
        <v>3.7874021692629036E-3</v>
      </c>
      <c r="K80" s="112">
        <f>J80</f>
        <v>3.7874021692629036E-3</v>
      </c>
      <c r="L80" s="112">
        <f t="shared" ref="L80:N80" si="76">K80</f>
        <v>3.7874021692629036E-3</v>
      </c>
      <c r="M80" s="112">
        <f t="shared" si="76"/>
        <v>3.7874021692629036E-3</v>
      </c>
      <c r="N80" s="112">
        <f t="shared" si="76"/>
        <v>3.7874021692629036E-3</v>
      </c>
    </row>
    <row r="81" spans="8:14" x14ac:dyDescent="0.25">
      <c r="J81" s="93"/>
      <c r="K81" s="93"/>
      <c r="L81" s="93"/>
      <c r="M81" s="93"/>
      <c r="N81" s="93"/>
    </row>
    <row r="82" spans="8:14" x14ac:dyDescent="0.25">
      <c r="J82" s="93"/>
      <c r="K82" s="93"/>
      <c r="L82" s="93"/>
      <c r="M82" s="93"/>
      <c r="N82" s="93"/>
    </row>
    <row r="83" spans="8:14" x14ac:dyDescent="0.25">
      <c r="J83" s="93"/>
      <c r="K83" s="93"/>
      <c r="L83" s="93"/>
      <c r="M83" s="93"/>
      <c r="N83" s="93"/>
    </row>
    <row r="84" spans="8:14" x14ac:dyDescent="0.25">
      <c r="H84" s="46"/>
      <c r="I84" s="46"/>
      <c r="J84" s="105"/>
      <c r="K84" s="105"/>
      <c r="L84" s="105"/>
      <c r="M84" s="105"/>
      <c r="N84" s="105"/>
    </row>
    <row r="85" spans="8:14" x14ac:dyDescent="0.25">
      <c r="J85" s="93"/>
      <c r="K85" s="93"/>
      <c r="L85" s="93"/>
      <c r="M85" s="93"/>
      <c r="N85" s="93"/>
    </row>
    <row r="86" spans="8:14" x14ac:dyDescent="0.25">
      <c r="J86" s="93"/>
      <c r="K86" s="93"/>
      <c r="L86" s="93"/>
      <c r="M86" s="93"/>
      <c r="N86" s="93"/>
    </row>
    <row r="87" spans="8:14" x14ac:dyDescent="0.25">
      <c r="J87" s="93"/>
      <c r="K87" s="93"/>
      <c r="L87" s="93"/>
      <c r="M87" s="93"/>
      <c r="N87" s="93"/>
    </row>
    <row r="88" spans="8:14" x14ac:dyDescent="0.25">
      <c r="J88" s="93"/>
      <c r="K88" s="93"/>
      <c r="L88" s="93"/>
      <c r="M88" s="93"/>
      <c r="N88" s="93"/>
    </row>
    <row r="89" spans="8:14" x14ac:dyDescent="0.25">
      <c r="J89" s="93"/>
      <c r="K89" s="93"/>
      <c r="L89" s="93"/>
      <c r="M89" s="93"/>
      <c r="N89" s="93"/>
    </row>
    <row r="90" spans="8:14" x14ac:dyDescent="0.25">
      <c r="J90" s="93"/>
      <c r="K90" s="93"/>
      <c r="L90" s="93"/>
      <c r="M90" s="93"/>
      <c r="N90" s="93"/>
    </row>
    <row r="91" spans="8:14" x14ac:dyDescent="0.25">
      <c r="J91" s="93"/>
      <c r="K91" s="93"/>
      <c r="L91" s="93"/>
      <c r="M91" s="93"/>
      <c r="N91" s="93"/>
    </row>
    <row r="92" spans="8:14" x14ac:dyDescent="0.25">
      <c r="J92" s="93"/>
      <c r="K92" s="93"/>
      <c r="L92" s="93"/>
      <c r="M92" s="93"/>
      <c r="N92" s="93"/>
    </row>
    <row r="93" spans="8:14" x14ac:dyDescent="0.25">
      <c r="J93" s="93"/>
      <c r="K93" s="93"/>
      <c r="L93" s="93"/>
      <c r="M93" s="93"/>
      <c r="N93" s="93"/>
    </row>
    <row r="94" spans="8:14" x14ac:dyDescent="0.25">
      <c r="J94" s="93"/>
      <c r="K94" s="93"/>
      <c r="L94" s="93"/>
      <c r="M94" s="93"/>
      <c r="N94" s="93"/>
    </row>
    <row r="95" spans="8:14" x14ac:dyDescent="0.25">
      <c r="J95" s="93"/>
      <c r="K95" s="93"/>
      <c r="L95" s="93"/>
      <c r="M95" s="93"/>
      <c r="N95" s="93"/>
    </row>
    <row r="96" spans="8:14" x14ac:dyDescent="0.25">
      <c r="J96" s="93"/>
      <c r="K96" s="93"/>
      <c r="L96" s="93"/>
      <c r="M96" s="93"/>
      <c r="N96" s="93"/>
    </row>
    <row r="97" spans="1:26" x14ac:dyDescent="0.25">
      <c r="J97" s="93"/>
      <c r="K97" s="93"/>
      <c r="L97" s="93"/>
      <c r="M97" s="93"/>
      <c r="N97" s="93"/>
    </row>
    <row r="98" spans="1:26" x14ac:dyDescent="0.25">
      <c r="J98" s="93"/>
      <c r="K98" s="93"/>
      <c r="L98" s="93"/>
      <c r="M98" s="93"/>
      <c r="N98" s="93"/>
    </row>
    <row r="99" spans="1:26" x14ac:dyDescent="0.25">
      <c r="J99" s="93"/>
      <c r="K99" s="93"/>
      <c r="L99" s="93"/>
      <c r="M99" s="93"/>
      <c r="N99" s="93"/>
    </row>
    <row r="100" spans="1:26" x14ac:dyDescent="0.25">
      <c r="J100" s="93"/>
      <c r="K100" s="93"/>
      <c r="L100" s="93"/>
      <c r="M100" s="93"/>
      <c r="N100" s="93"/>
    </row>
    <row r="101" spans="1:26" x14ac:dyDescent="0.25">
      <c r="J101" s="93"/>
      <c r="K101" s="93"/>
      <c r="L101" s="93"/>
      <c r="M101" s="93"/>
      <c r="N101" s="93"/>
    </row>
    <row r="102" spans="1:26" x14ac:dyDescent="0.25">
      <c r="J102" s="93"/>
      <c r="K102" s="93"/>
      <c r="L102" s="93"/>
      <c r="M102" s="93"/>
      <c r="N102" s="93"/>
      <c r="Z102" s="26"/>
    </row>
    <row r="103" spans="1:26" x14ac:dyDescent="0.25">
      <c r="J103" s="93"/>
      <c r="K103" s="93"/>
      <c r="L103" s="93"/>
      <c r="M103" s="93"/>
      <c r="N103" s="93"/>
    </row>
    <row r="104" spans="1:26" x14ac:dyDescent="0.25">
      <c r="J104" s="93"/>
      <c r="K104" s="93"/>
      <c r="L104" s="93"/>
      <c r="M104" s="93"/>
      <c r="N104" s="93"/>
    </row>
    <row r="105" spans="1:26" x14ac:dyDescent="0.25">
      <c r="J105" s="93"/>
      <c r="K105" s="93"/>
      <c r="L105" s="93"/>
      <c r="M105" s="93"/>
      <c r="N105" s="93"/>
    </row>
    <row r="106" spans="1:26" x14ac:dyDescent="0.25">
      <c r="J106" s="93"/>
      <c r="K106" s="93"/>
      <c r="L106" s="93"/>
      <c r="M106" s="93"/>
      <c r="N106" s="93"/>
    </row>
    <row r="107" spans="1:26" x14ac:dyDescent="0.25">
      <c r="J107" s="93"/>
      <c r="K107" s="93"/>
      <c r="L107" s="93"/>
      <c r="M107" s="93"/>
      <c r="N107" s="93"/>
    </row>
    <row r="108" spans="1:26" x14ac:dyDescent="0.25">
      <c r="E108" s="422">
        <v>43100</v>
      </c>
      <c r="F108" s="422">
        <v>43465</v>
      </c>
      <c r="G108" s="422">
        <v>43830</v>
      </c>
      <c r="H108" s="422">
        <v>44196</v>
      </c>
      <c r="I108" s="422">
        <v>44561</v>
      </c>
      <c r="J108" s="93"/>
      <c r="K108" s="93"/>
      <c r="L108" s="93"/>
      <c r="M108" s="93"/>
      <c r="N108" s="93"/>
    </row>
    <row r="109" spans="1:26" x14ac:dyDescent="0.25">
      <c r="A109" s="5" t="s">
        <v>88</v>
      </c>
      <c r="E109" s="30">
        <v>0.16513183785911059</v>
      </c>
      <c r="F109" s="30">
        <v>0.16424119639349841</v>
      </c>
      <c r="G109" s="30">
        <v>0.15785947201500872</v>
      </c>
      <c r="H109" s="30">
        <v>0.14964758710850906</v>
      </c>
      <c r="I109" s="30">
        <v>0.14361929687696606</v>
      </c>
      <c r="J109" s="93"/>
      <c r="K109" s="93"/>
      <c r="L109" s="93"/>
      <c r="M109" s="93"/>
      <c r="N109" s="93"/>
    </row>
    <row r="110" spans="1:26" x14ac:dyDescent="0.25">
      <c r="J110" s="93"/>
      <c r="K110" s="93"/>
      <c r="L110" s="93"/>
      <c r="M110" s="93"/>
      <c r="N110" s="93"/>
    </row>
    <row r="111" spans="1:26" x14ac:dyDescent="0.25">
      <c r="J111" s="93"/>
      <c r="K111" s="93"/>
      <c r="L111" s="93"/>
      <c r="M111" s="93"/>
      <c r="N111" s="93"/>
    </row>
    <row r="112" spans="1:26" x14ac:dyDescent="0.25">
      <c r="J112" s="93"/>
      <c r="K112" s="93"/>
      <c r="L112" s="93"/>
      <c r="M112" s="93"/>
      <c r="N112" s="93"/>
    </row>
    <row r="113" spans="10:14" x14ac:dyDescent="0.25">
      <c r="J113" s="93"/>
      <c r="K113" s="93"/>
      <c r="L113" s="93"/>
      <c r="M113" s="93"/>
      <c r="N113" s="93"/>
    </row>
    <row r="114" spans="10:14" x14ac:dyDescent="0.25">
      <c r="J114" s="93"/>
      <c r="K114" s="93"/>
      <c r="L114" s="93"/>
      <c r="M114" s="93"/>
      <c r="N114" s="93"/>
    </row>
    <row r="115" spans="10:14" x14ac:dyDescent="0.25">
      <c r="J115" s="93"/>
      <c r="K115" s="93"/>
      <c r="L115" s="93"/>
      <c r="M115" s="93"/>
      <c r="N115" s="93"/>
    </row>
    <row r="116" spans="10:14" x14ac:dyDescent="0.25">
      <c r="J116" s="93"/>
      <c r="K116" s="93"/>
      <c r="L116" s="93"/>
      <c r="M116" s="93"/>
      <c r="N116" s="93"/>
    </row>
    <row r="117" spans="10:14" x14ac:dyDescent="0.25">
      <c r="J117" s="93"/>
      <c r="K117" s="93"/>
      <c r="L117" s="93"/>
      <c r="M117" s="93"/>
      <c r="N117" s="93"/>
    </row>
    <row r="118" spans="10:14" x14ac:dyDescent="0.25">
      <c r="J118" s="93"/>
      <c r="K118" s="93"/>
      <c r="L118" s="93"/>
      <c r="M118" s="93"/>
      <c r="N118" s="93"/>
    </row>
    <row r="119" spans="10:14" x14ac:dyDescent="0.25">
      <c r="J119" s="93"/>
      <c r="K119" s="93"/>
      <c r="L119" s="93"/>
      <c r="M119" s="93"/>
      <c r="N119" s="93"/>
    </row>
    <row r="120" spans="10:14" x14ac:dyDescent="0.25">
      <c r="J120" s="93"/>
      <c r="K120" s="93"/>
      <c r="L120" s="93"/>
      <c r="M120" s="93"/>
      <c r="N120" s="93"/>
    </row>
    <row r="121" spans="10:14" x14ac:dyDescent="0.25">
      <c r="J121" s="93"/>
      <c r="K121" s="93"/>
      <c r="L121" s="93"/>
      <c r="M121" s="93"/>
      <c r="N121" s="93"/>
    </row>
    <row r="122" spans="10:14" x14ac:dyDescent="0.25">
      <c r="J122" s="93"/>
      <c r="K122" s="93"/>
      <c r="L122" s="93"/>
      <c r="M122" s="93"/>
      <c r="N122" s="93"/>
    </row>
    <row r="123" spans="10:14" x14ac:dyDescent="0.25">
      <c r="J123" s="93"/>
      <c r="K123" s="93"/>
      <c r="L123" s="93"/>
      <c r="M123" s="93"/>
      <c r="N123" s="93"/>
    </row>
    <row r="124" spans="10:14" x14ac:dyDescent="0.25">
      <c r="J124" s="93"/>
      <c r="K124" s="93"/>
      <c r="L124" s="93"/>
      <c r="M124" s="93"/>
      <c r="N124" s="93"/>
    </row>
    <row r="125" spans="10:14" x14ac:dyDescent="0.25">
      <c r="J125" s="93"/>
      <c r="K125" s="93"/>
      <c r="L125" s="93"/>
      <c r="M125" s="93"/>
      <c r="N125" s="93"/>
    </row>
    <row r="126" spans="10:14" x14ac:dyDescent="0.25">
      <c r="J126" s="93"/>
      <c r="K126" s="93"/>
      <c r="L126" s="93"/>
      <c r="M126" s="93"/>
      <c r="N126" s="93"/>
    </row>
    <row r="127" spans="10:14" x14ac:dyDescent="0.25">
      <c r="J127" s="93"/>
      <c r="K127" s="93"/>
      <c r="L127" s="93"/>
      <c r="M127" s="93"/>
      <c r="N127" s="93"/>
    </row>
    <row r="128" spans="10:14" x14ac:dyDescent="0.25">
      <c r="J128" s="93"/>
      <c r="K128" s="93"/>
      <c r="L128" s="93"/>
      <c r="M128" s="93"/>
      <c r="N128" s="93"/>
    </row>
    <row r="129" spans="10:14" x14ac:dyDescent="0.25">
      <c r="J129" s="93"/>
      <c r="K129" s="93"/>
      <c r="L129" s="93"/>
      <c r="M129" s="93"/>
      <c r="N129" s="93"/>
    </row>
    <row r="130" spans="10:14" x14ac:dyDescent="0.25">
      <c r="J130" s="93"/>
      <c r="K130" s="93"/>
      <c r="L130" s="93"/>
      <c r="M130" s="93"/>
      <c r="N130" s="93"/>
    </row>
    <row r="131" spans="10:14" x14ac:dyDescent="0.25">
      <c r="J131" s="93"/>
      <c r="K131" s="93"/>
      <c r="L131" s="93"/>
      <c r="M131" s="93"/>
      <c r="N131" s="93"/>
    </row>
    <row r="132" spans="10:14" x14ac:dyDescent="0.25">
      <c r="J132" s="93"/>
      <c r="K132" s="93"/>
      <c r="L132" s="93"/>
      <c r="M132" s="93"/>
      <c r="N132" s="93"/>
    </row>
    <row r="133" spans="10:14" x14ac:dyDescent="0.25">
      <c r="J133" s="93"/>
      <c r="K133" s="93"/>
      <c r="L133" s="93"/>
      <c r="M133" s="93"/>
      <c r="N133" s="93"/>
    </row>
    <row r="134" spans="10:14" x14ac:dyDescent="0.25">
      <c r="J134" s="93"/>
      <c r="K134" s="93"/>
      <c r="L134" s="93"/>
      <c r="M134" s="93"/>
      <c r="N134" s="93"/>
    </row>
    <row r="135" spans="10:14" x14ac:dyDescent="0.25">
      <c r="J135" s="93"/>
      <c r="K135" s="93"/>
      <c r="L135" s="93"/>
      <c r="M135" s="93"/>
      <c r="N135" s="93"/>
    </row>
    <row r="136" spans="10:14" x14ac:dyDescent="0.25">
      <c r="J136" s="93"/>
      <c r="K136" s="93"/>
      <c r="L136" s="93"/>
      <c r="M136" s="93"/>
      <c r="N136" s="93"/>
    </row>
    <row r="137" spans="10:14" x14ac:dyDescent="0.25">
      <c r="J137" s="93"/>
      <c r="K137" s="93"/>
      <c r="L137" s="93"/>
      <c r="M137" s="93"/>
      <c r="N137" s="93"/>
    </row>
    <row r="138" spans="10:14" x14ac:dyDescent="0.25">
      <c r="J138" s="93"/>
      <c r="K138" s="93"/>
      <c r="L138" s="93"/>
      <c r="M138" s="93"/>
      <c r="N138" s="93"/>
    </row>
    <row r="139" spans="10:14" x14ac:dyDescent="0.25">
      <c r="J139" s="93"/>
      <c r="K139" s="93"/>
      <c r="L139" s="93"/>
      <c r="M139" s="93"/>
      <c r="N139" s="93"/>
    </row>
    <row r="140" spans="10:14" x14ac:dyDescent="0.25">
      <c r="J140" s="93"/>
      <c r="K140" s="93"/>
      <c r="L140" s="93"/>
      <c r="M140" s="93"/>
      <c r="N140" s="93"/>
    </row>
    <row r="141" spans="10:14" x14ac:dyDescent="0.25">
      <c r="J141" s="93"/>
      <c r="K141" s="93"/>
      <c r="L141" s="93"/>
      <c r="M141" s="93"/>
      <c r="N141" s="93"/>
    </row>
    <row r="142" spans="10:14" x14ac:dyDescent="0.25">
      <c r="J142" s="93"/>
      <c r="K142" s="93"/>
      <c r="L142" s="93"/>
      <c r="M142" s="93"/>
      <c r="N142" s="93"/>
    </row>
    <row r="143" spans="10:14" x14ac:dyDescent="0.25">
      <c r="J143" s="93"/>
      <c r="K143" s="93"/>
      <c r="L143" s="93"/>
      <c r="M143" s="93"/>
      <c r="N143" s="93"/>
    </row>
    <row r="144" spans="10:14" x14ac:dyDescent="0.25">
      <c r="J144" s="93"/>
      <c r="K144" s="93"/>
      <c r="L144" s="93"/>
      <c r="M144" s="93"/>
      <c r="N144" s="93"/>
    </row>
    <row r="145" spans="10:14" x14ac:dyDescent="0.25">
      <c r="J145" s="93"/>
      <c r="K145" s="93"/>
      <c r="L145" s="93"/>
      <c r="M145" s="93"/>
      <c r="N145" s="93"/>
    </row>
    <row r="146" spans="10:14" x14ac:dyDescent="0.25">
      <c r="J146" s="93"/>
      <c r="K146" s="93"/>
      <c r="L146" s="93"/>
      <c r="M146" s="93"/>
      <c r="N146" s="93"/>
    </row>
    <row r="147" spans="10:14" x14ac:dyDescent="0.25">
      <c r="J147" s="93"/>
      <c r="K147" s="93"/>
      <c r="L147" s="93"/>
      <c r="M147" s="93"/>
      <c r="N147" s="93"/>
    </row>
    <row r="148" spans="10:14" x14ac:dyDescent="0.25">
      <c r="J148" s="93"/>
      <c r="K148" s="93"/>
      <c r="L148" s="93"/>
      <c r="M148" s="93"/>
      <c r="N148" s="93"/>
    </row>
    <row r="149" spans="10:14" x14ac:dyDescent="0.25">
      <c r="J149" s="93"/>
      <c r="K149" s="93"/>
      <c r="L149" s="93"/>
      <c r="M149" s="93"/>
      <c r="N149" s="93"/>
    </row>
    <row r="150" spans="10:14" x14ac:dyDescent="0.25">
      <c r="J150" s="93"/>
      <c r="K150" s="93"/>
      <c r="L150" s="93"/>
      <c r="M150" s="93"/>
      <c r="N150" s="93"/>
    </row>
    <row r="151" spans="10:14" x14ac:dyDescent="0.25">
      <c r="J151" s="93"/>
      <c r="K151" s="93"/>
      <c r="L151" s="93"/>
      <c r="M151" s="93"/>
      <c r="N151" s="93"/>
    </row>
    <row r="152" spans="10:14" x14ac:dyDescent="0.25">
      <c r="J152" s="93"/>
      <c r="K152" s="93"/>
      <c r="L152" s="93"/>
      <c r="M152" s="93"/>
      <c r="N152" s="93"/>
    </row>
    <row r="153" spans="10:14" x14ac:dyDescent="0.25">
      <c r="J153" s="93"/>
      <c r="K153" s="93"/>
      <c r="L153" s="93"/>
      <c r="M153" s="93"/>
      <c r="N153" s="93"/>
    </row>
    <row r="154" spans="10:14" x14ac:dyDescent="0.25">
      <c r="J154" s="93"/>
      <c r="K154" s="93"/>
      <c r="L154" s="93"/>
      <c r="M154" s="93"/>
      <c r="N154" s="93"/>
    </row>
    <row r="155" spans="10:14" x14ac:dyDescent="0.25">
      <c r="J155" s="93"/>
      <c r="K155" s="93"/>
      <c r="L155" s="93"/>
      <c r="M155" s="93"/>
      <c r="N155" s="93"/>
    </row>
    <row r="156" spans="10:14" x14ac:dyDescent="0.25">
      <c r="J156" s="93"/>
      <c r="K156" s="93"/>
      <c r="L156" s="93"/>
      <c r="M156" s="93"/>
      <c r="N156" s="93"/>
    </row>
    <row r="157" spans="10:14" x14ac:dyDescent="0.25">
      <c r="J157" s="93"/>
      <c r="K157" s="93"/>
      <c r="L157" s="93"/>
      <c r="M157" s="93"/>
      <c r="N157" s="93"/>
    </row>
    <row r="158" spans="10:14" x14ac:dyDescent="0.25">
      <c r="J158" s="93"/>
      <c r="K158" s="93"/>
      <c r="L158" s="93"/>
      <c r="M158" s="93"/>
      <c r="N158" s="93"/>
    </row>
    <row r="159" spans="10:14" x14ac:dyDescent="0.25">
      <c r="J159" s="93"/>
      <c r="K159" s="93"/>
      <c r="L159" s="93"/>
      <c r="M159" s="93"/>
      <c r="N159" s="93"/>
    </row>
    <row r="160" spans="10:14" x14ac:dyDescent="0.25">
      <c r="J160" s="93"/>
      <c r="K160" s="93"/>
      <c r="L160" s="93"/>
      <c r="M160" s="93"/>
      <c r="N160" s="93"/>
    </row>
    <row r="161" spans="10:14" x14ac:dyDescent="0.25">
      <c r="J161" s="93"/>
      <c r="K161" s="93"/>
      <c r="L161" s="93"/>
      <c r="M161" s="93"/>
      <c r="N161" s="93"/>
    </row>
    <row r="162" spans="10:14" x14ac:dyDescent="0.25">
      <c r="J162" s="93"/>
      <c r="K162" s="93"/>
      <c r="L162" s="93"/>
      <c r="M162" s="93"/>
      <c r="N162" s="93"/>
    </row>
    <row r="163" spans="10:14" x14ac:dyDescent="0.25">
      <c r="J163" s="93"/>
      <c r="K163" s="93"/>
      <c r="L163" s="93"/>
      <c r="M163" s="93"/>
      <c r="N163" s="93"/>
    </row>
    <row r="164" spans="10:14" x14ac:dyDescent="0.25">
      <c r="J164" s="93"/>
      <c r="K164" s="93"/>
      <c r="L164" s="93"/>
      <c r="M164" s="93"/>
      <c r="N164" s="93"/>
    </row>
    <row r="165" spans="10:14" x14ac:dyDescent="0.25">
      <c r="J165" s="93"/>
      <c r="K165" s="93"/>
      <c r="L165" s="93"/>
      <c r="M165" s="93"/>
      <c r="N165" s="93"/>
    </row>
    <row r="166" spans="10:14" x14ac:dyDescent="0.25">
      <c r="J166" s="93"/>
      <c r="K166" s="93"/>
      <c r="L166" s="93"/>
      <c r="M166" s="93"/>
      <c r="N166" s="93"/>
    </row>
    <row r="167" spans="10:14" x14ac:dyDescent="0.25">
      <c r="J167" s="93"/>
      <c r="K167" s="93"/>
      <c r="L167" s="93"/>
      <c r="M167" s="93"/>
      <c r="N167" s="93"/>
    </row>
    <row r="168" spans="10:14" x14ac:dyDescent="0.25">
      <c r="J168" s="93"/>
      <c r="K168" s="93"/>
      <c r="L168" s="93"/>
      <c r="M168" s="93"/>
      <c r="N168" s="93"/>
    </row>
    <row r="169" spans="10:14" x14ac:dyDescent="0.25">
      <c r="J169" s="93"/>
      <c r="K169" s="93"/>
      <c r="L169" s="93"/>
      <c r="M169" s="93"/>
      <c r="N169" s="93"/>
    </row>
    <row r="170" spans="10:14" x14ac:dyDescent="0.25">
      <c r="J170" s="93"/>
      <c r="K170" s="93"/>
      <c r="L170" s="93"/>
      <c r="M170" s="93"/>
      <c r="N170" s="93"/>
    </row>
    <row r="171" spans="10:14" x14ac:dyDescent="0.25">
      <c r="J171" s="93"/>
      <c r="K171" s="93"/>
      <c r="L171" s="93"/>
      <c r="M171" s="93"/>
      <c r="N171" s="93"/>
    </row>
    <row r="172" spans="10:14" x14ac:dyDescent="0.25">
      <c r="J172" s="93"/>
      <c r="K172" s="93"/>
      <c r="L172" s="93"/>
      <c r="M172" s="93"/>
      <c r="N172" s="93"/>
    </row>
    <row r="173" spans="10:14" x14ac:dyDescent="0.25">
      <c r="J173" s="93"/>
      <c r="K173" s="93"/>
      <c r="L173" s="93"/>
      <c r="M173" s="93"/>
      <c r="N173" s="93"/>
    </row>
    <row r="174" spans="10:14" x14ac:dyDescent="0.25">
      <c r="J174" s="93"/>
      <c r="K174" s="93"/>
      <c r="L174" s="93"/>
      <c r="M174" s="93"/>
      <c r="N174" s="93"/>
    </row>
    <row r="175" spans="10:14" x14ac:dyDescent="0.25">
      <c r="J175" s="93"/>
      <c r="K175" s="93"/>
      <c r="L175" s="93"/>
      <c r="M175" s="93"/>
      <c r="N175" s="93"/>
    </row>
    <row r="176" spans="10:14" x14ac:dyDescent="0.25">
      <c r="J176" s="93"/>
      <c r="K176" s="93"/>
      <c r="L176" s="93"/>
      <c r="M176" s="93"/>
      <c r="N176" s="93"/>
    </row>
    <row r="177" spans="10:14" x14ac:dyDescent="0.25">
      <c r="J177" s="93"/>
      <c r="K177" s="93"/>
      <c r="L177" s="93"/>
      <c r="M177" s="93"/>
      <c r="N177" s="93"/>
    </row>
    <row r="178" spans="10:14" x14ac:dyDescent="0.25">
      <c r="J178" s="93"/>
      <c r="K178" s="93"/>
      <c r="L178" s="93"/>
      <c r="M178" s="93"/>
      <c r="N178" s="93"/>
    </row>
    <row r="179" spans="10:14" x14ac:dyDescent="0.25">
      <c r="J179" s="93"/>
      <c r="K179" s="93"/>
      <c r="L179" s="93"/>
      <c r="M179" s="93"/>
      <c r="N179" s="93"/>
    </row>
    <row r="180" spans="10:14" x14ac:dyDescent="0.25">
      <c r="J180" s="93"/>
      <c r="K180" s="93"/>
      <c r="L180" s="93"/>
      <c r="M180" s="93"/>
      <c r="N180" s="93"/>
    </row>
    <row r="181" spans="10:14" x14ac:dyDescent="0.25">
      <c r="J181" s="93"/>
      <c r="K181" s="93"/>
      <c r="L181" s="93"/>
      <c r="M181" s="93"/>
      <c r="N181" s="93"/>
    </row>
    <row r="182" spans="10:14" x14ac:dyDescent="0.25">
      <c r="J182" s="93"/>
      <c r="K182" s="93"/>
      <c r="L182" s="93"/>
      <c r="M182" s="93"/>
      <c r="N182" s="93"/>
    </row>
    <row r="183" spans="10:14" x14ac:dyDescent="0.25">
      <c r="J183" s="93"/>
      <c r="K183" s="93"/>
      <c r="L183" s="93"/>
      <c r="M183" s="93"/>
      <c r="N183" s="93"/>
    </row>
    <row r="184" spans="10:14" x14ac:dyDescent="0.25">
      <c r="J184" s="93"/>
      <c r="K184" s="93"/>
      <c r="L184" s="93"/>
      <c r="M184" s="93"/>
      <c r="N184" s="93"/>
    </row>
    <row r="185" spans="10:14" x14ac:dyDescent="0.25">
      <c r="J185" s="93"/>
      <c r="K185" s="93"/>
      <c r="L185" s="93"/>
      <c r="M185" s="93"/>
      <c r="N185" s="93"/>
    </row>
    <row r="186" spans="10:14" x14ac:dyDescent="0.25">
      <c r="J186" s="93"/>
      <c r="K186" s="93"/>
      <c r="L186" s="93"/>
      <c r="M186" s="93"/>
      <c r="N186" s="93"/>
    </row>
    <row r="187" spans="10:14" x14ac:dyDescent="0.25">
      <c r="J187" s="93"/>
      <c r="K187" s="93"/>
      <c r="L187" s="93"/>
      <c r="M187" s="93"/>
      <c r="N187" s="93"/>
    </row>
    <row r="188" spans="10:14" x14ac:dyDescent="0.25">
      <c r="J188" s="93"/>
      <c r="K188" s="93"/>
      <c r="L188" s="93"/>
      <c r="M188" s="93"/>
      <c r="N188" s="93"/>
    </row>
    <row r="189" spans="10:14" x14ac:dyDescent="0.25">
      <c r="J189" s="93"/>
      <c r="K189" s="93"/>
      <c r="L189" s="93"/>
      <c r="M189" s="93"/>
      <c r="N189" s="93"/>
    </row>
    <row r="190" spans="10:14" x14ac:dyDescent="0.25">
      <c r="J190" s="93"/>
      <c r="K190" s="93"/>
      <c r="L190" s="93"/>
      <c r="M190" s="93"/>
      <c r="N190" s="93"/>
    </row>
    <row r="191" spans="10:14" x14ac:dyDescent="0.25">
      <c r="J191" s="93"/>
      <c r="K191" s="93"/>
      <c r="L191" s="93"/>
      <c r="M191" s="93"/>
      <c r="N191" s="93"/>
    </row>
    <row r="192" spans="10:14" x14ac:dyDescent="0.25">
      <c r="J192" s="93"/>
      <c r="K192" s="93"/>
      <c r="L192" s="93"/>
      <c r="M192" s="93"/>
      <c r="N192" s="93"/>
    </row>
    <row r="193" spans="10:14" x14ac:dyDescent="0.25">
      <c r="J193" s="93"/>
      <c r="K193" s="93"/>
      <c r="L193" s="93"/>
      <c r="M193" s="93"/>
      <c r="N193" s="93"/>
    </row>
    <row r="194" spans="10:14" x14ac:dyDescent="0.25">
      <c r="J194" s="93"/>
      <c r="K194" s="93"/>
      <c r="L194" s="93"/>
      <c r="M194" s="93"/>
      <c r="N194" s="93"/>
    </row>
    <row r="195" spans="10:14" x14ac:dyDescent="0.25">
      <c r="J195" s="93"/>
      <c r="K195" s="93"/>
      <c r="L195" s="93"/>
      <c r="M195" s="93"/>
      <c r="N195" s="93"/>
    </row>
    <row r="196" spans="10:14" x14ac:dyDescent="0.25">
      <c r="J196" s="93"/>
      <c r="K196" s="93"/>
      <c r="L196" s="93"/>
      <c r="M196" s="93"/>
      <c r="N196" s="93"/>
    </row>
    <row r="197" spans="10:14" x14ac:dyDescent="0.25">
      <c r="J197" s="93"/>
      <c r="K197" s="93"/>
      <c r="L197" s="93"/>
      <c r="M197" s="93"/>
      <c r="N197" s="93"/>
    </row>
    <row r="198" spans="10:14" x14ac:dyDescent="0.25">
      <c r="J198" s="93"/>
      <c r="K198" s="93"/>
      <c r="L198" s="93"/>
      <c r="M198" s="93"/>
      <c r="N198" s="93"/>
    </row>
    <row r="199" spans="10:14" x14ac:dyDescent="0.25">
      <c r="J199" s="93"/>
      <c r="K199" s="93"/>
      <c r="L199" s="93"/>
      <c r="M199" s="93"/>
      <c r="N199" s="93"/>
    </row>
    <row r="200" spans="10:14" x14ac:dyDescent="0.25">
      <c r="J200" s="93"/>
      <c r="K200" s="93"/>
      <c r="L200" s="93"/>
      <c r="M200" s="93"/>
      <c r="N200" s="93"/>
    </row>
    <row r="201" spans="10:14" x14ac:dyDescent="0.25">
      <c r="J201" s="93"/>
      <c r="K201" s="93"/>
      <c r="L201" s="93"/>
      <c r="M201" s="93"/>
      <c r="N201" s="93"/>
    </row>
    <row r="202" spans="10:14" x14ac:dyDescent="0.25">
      <c r="J202" s="93"/>
      <c r="K202" s="93"/>
      <c r="L202" s="93"/>
      <c r="M202" s="93"/>
      <c r="N202" s="93"/>
    </row>
    <row r="203" spans="10:14" x14ac:dyDescent="0.25">
      <c r="J203" s="93"/>
      <c r="K203" s="93"/>
      <c r="L203" s="93"/>
      <c r="M203" s="93"/>
      <c r="N203" s="93"/>
    </row>
    <row r="204" spans="10:14" x14ac:dyDescent="0.25">
      <c r="J204" s="93"/>
      <c r="K204" s="93"/>
      <c r="L204" s="93"/>
      <c r="M204" s="93"/>
      <c r="N204" s="93"/>
    </row>
    <row r="205" spans="10:14" x14ac:dyDescent="0.25">
      <c r="J205" s="93"/>
      <c r="K205" s="93"/>
      <c r="L205" s="93"/>
      <c r="M205" s="93"/>
      <c r="N205" s="93"/>
    </row>
    <row r="206" spans="10:14" x14ac:dyDescent="0.25">
      <c r="J206" s="93"/>
      <c r="K206" s="93"/>
      <c r="L206" s="93"/>
      <c r="M206" s="93"/>
      <c r="N206" s="93"/>
    </row>
    <row r="207" spans="10:14" x14ac:dyDescent="0.25">
      <c r="J207" s="93"/>
      <c r="K207" s="93"/>
      <c r="L207" s="93"/>
      <c r="M207" s="93"/>
      <c r="N207" s="93"/>
    </row>
    <row r="208" spans="10:14" x14ac:dyDescent="0.25">
      <c r="J208" s="93"/>
      <c r="K208" s="93"/>
      <c r="L208" s="93"/>
      <c r="M208" s="93"/>
      <c r="N208" s="93"/>
    </row>
    <row r="209" spans="10:14" x14ac:dyDescent="0.25">
      <c r="J209" s="93"/>
      <c r="K209" s="93"/>
      <c r="L209" s="93"/>
      <c r="M209" s="93"/>
      <c r="N209" s="93"/>
    </row>
    <row r="210" spans="10:14" x14ac:dyDescent="0.25">
      <c r="J210" s="93"/>
      <c r="K210" s="93"/>
      <c r="L210" s="93"/>
      <c r="M210" s="93"/>
      <c r="N210" s="93"/>
    </row>
    <row r="211" spans="10:14" x14ac:dyDescent="0.25">
      <c r="J211" s="93"/>
      <c r="K211" s="93"/>
      <c r="L211" s="93"/>
      <c r="M211" s="93"/>
      <c r="N211" s="93"/>
    </row>
    <row r="212" spans="10:14" x14ac:dyDescent="0.25">
      <c r="J212" s="93"/>
      <c r="K212" s="93"/>
      <c r="L212" s="93"/>
      <c r="M212" s="93"/>
      <c r="N212" s="93"/>
    </row>
    <row r="213" spans="10:14" x14ac:dyDescent="0.25">
      <c r="J213" s="93"/>
      <c r="K213" s="93"/>
      <c r="L213" s="93"/>
      <c r="M213" s="93"/>
      <c r="N213" s="93"/>
    </row>
    <row r="214" spans="10:14" x14ac:dyDescent="0.25">
      <c r="J214" s="93"/>
      <c r="K214" s="93"/>
      <c r="L214" s="93"/>
      <c r="M214" s="93"/>
      <c r="N214" s="93"/>
    </row>
    <row r="215" spans="10:14" x14ac:dyDescent="0.25">
      <c r="J215" s="93"/>
      <c r="K215" s="93"/>
      <c r="L215" s="93"/>
      <c r="M215" s="93"/>
      <c r="N215" s="93"/>
    </row>
    <row r="216" spans="10:14" x14ac:dyDescent="0.25">
      <c r="J216" s="93"/>
      <c r="K216" s="93"/>
      <c r="L216" s="93"/>
      <c r="M216" s="93"/>
      <c r="N216" s="93"/>
    </row>
    <row r="217" spans="10:14" x14ac:dyDescent="0.25">
      <c r="J217" s="93"/>
      <c r="K217" s="93"/>
      <c r="L217" s="93"/>
      <c r="M217" s="93"/>
      <c r="N217" s="93"/>
    </row>
    <row r="218" spans="10:14" x14ac:dyDescent="0.25">
      <c r="J218" s="93"/>
      <c r="K218" s="93"/>
      <c r="L218" s="93"/>
      <c r="M218" s="93"/>
      <c r="N218" s="93"/>
    </row>
    <row r="219" spans="10:14" x14ac:dyDescent="0.25">
      <c r="J219" s="93"/>
      <c r="K219" s="93"/>
      <c r="L219" s="93"/>
      <c r="M219" s="93"/>
      <c r="N219" s="93"/>
    </row>
    <row r="220" spans="10:14" x14ac:dyDescent="0.25">
      <c r="J220" s="93"/>
      <c r="K220" s="93"/>
      <c r="L220" s="93"/>
      <c r="M220" s="93"/>
      <c r="N220" s="93"/>
    </row>
    <row r="221" spans="10:14" x14ac:dyDescent="0.25">
      <c r="J221" s="93"/>
      <c r="K221" s="93"/>
      <c r="L221" s="93"/>
      <c r="M221" s="93"/>
      <c r="N221" s="93"/>
    </row>
    <row r="222" spans="10:14" x14ac:dyDescent="0.25">
      <c r="J222" s="93"/>
      <c r="K222" s="93"/>
      <c r="L222" s="93"/>
      <c r="M222" s="93"/>
      <c r="N222" s="93"/>
    </row>
    <row r="223" spans="10:14" x14ac:dyDescent="0.25">
      <c r="J223" s="93"/>
      <c r="K223" s="93"/>
      <c r="L223" s="93"/>
      <c r="M223" s="93"/>
      <c r="N223" s="93"/>
    </row>
    <row r="224" spans="10:14" x14ac:dyDescent="0.25">
      <c r="J224" s="93"/>
      <c r="K224" s="93"/>
      <c r="L224" s="93"/>
      <c r="M224" s="93"/>
      <c r="N224" s="93"/>
    </row>
    <row r="225" spans="10:14" x14ac:dyDescent="0.25">
      <c r="J225" s="93"/>
      <c r="K225" s="93"/>
      <c r="L225" s="93"/>
      <c r="M225" s="93"/>
      <c r="N225" s="93"/>
    </row>
    <row r="226" spans="10:14" x14ac:dyDescent="0.25">
      <c r="J226" s="93"/>
      <c r="K226" s="93"/>
      <c r="L226" s="93"/>
      <c r="M226" s="93"/>
      <c r="N226" s="93"/>
    </row>
    <row r="227" spans="10:14" x14ac:dyDescent="0.25">
      <c r="J227" s="93"/>
      <c r="K227" s="93"/>
      <c r="L227" s="93"/>
      <c r="M227" s="93"/>
      <c r="N227" s="93"/>
    </row>
    <row r="228" spans="10:14" x14ac:dyDescent="0.25">
      <c r="J228" s="93"/>
      <c r="K228" s="93"/>
      <c r="L228" s="93"/>
      <c r="M228" s="93"/>
      <c r="N228" s="93"/>
    </row>
    <row r="229" spans="10:14" x14ac:dyDescent="0.25">
      <c r="J229" s="93"/>
      <c r="K229" s="93"/>
      <c r="L229" s="93"/>
      <c r="M229" s="93"/>
      <c r="N229" s="93"/>
    </row>
    <row r="230" spans="10:14" x14ac:dyDescent="0.25">
      <c r="J230" s="93"/>
      <c r="K230" s="93"/>
      <c r="L230" s="93"/>
      <c r="M230" s="93"/>
      <c r="N230" s="93"/>
    </row>
    <row r="231" spans="10:14" x14ac:dyDescent="0.25">
      <c r="J231" s="93"/>
      <c r="K231" s="93"/>
      <c r="L231" s="93"/>
      <c r="M231" s="93"/>
      <c r="N231" s="93"/>
    </row>
    <row r="232" spans="10:14" x14ac:dyDescent="0.25">
      <c r="J232" s="93"/>
      <c r="K232" s="93"/>
      <c r="L232" s="93"/>
      <c r="M232" s="93"/>
      <c r="N232" s="93"/>
    </row>
  </sheetData>
  <mergeCells count="4">
    <mergeCell ref="E52:G52"/>
    <mergeCell ref="E75:G75"/>
    <mergeCell ref="H52:I52"/>
    <mergeCell ref="H75:I75"/>
  </mergeCells>
  <pageMargins left="0.2" right="0.2" top="0.5" bottom="0.5" header="0.5" footer="0.5"/>
  <pageSetup fitToWidth="0" fitToHeight="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656-1EDD-43DC-9E75-BD49941D55F4}">
  <dimension ref="A1:S64"/>
  <sheetViews>
    <sheetView showGridLines="0" zoomScaleNormal="100" workbookViewId="0"/>
  </sheetViews>
  <sheetFormatPr defaultColWidth="8.77734375" defaultRowHeight="13.8" outlineLevelRow="1" x14ac:dyDescent="0.3"/>
  <cols>
    <col min="1" max="1" width="31.6640625" style="1" bestFit="1" customWidth="1"/>
    <col min="2" max="2" width="14.77734375" style="1" bestFit="1" customWidth="1"/>
    <col min="3" max="12" width="9.5546875" style="1" bestFit="1" customWidth="1"/>
    <col min="13" max="13" width="8.77734375" style="1"/>
    <col min="14" max="14" width="20" style="1" bestFit="1" customWidth="1"/>
    <col min="15" max="15" width="10.21875" style="1" customWidth="1"/>
    <col min="16" max="17" width="9.88671875" style="1" customWidth="1"/>
    <col min="18" max="18" width="9.44140625" style="1" customWidth="1"/>
    <col min="19" max="19" width="9.109375" style="1" customWidth="1"/>
    <col min="20" max="16384" width="8.77734375" style="1"/>
  </cols>
  <sheetData>
    <row r="1" spans="1:19" x14ac:dyDescent="0.3">
      <c r="A1" s="53" t="s">
        <v>186</v>
      </c>
    </row>
    <row r="2" spans="1:19" x14ac:dyDescent="0.3">
      <c r="A2" s="43" t="str">
        <f>'PepsiCo-IS'!A2</f>
        <v>(in USD million except per Share Data)</v>
      </c>
    </row>
    <row r="3" spans="1:19" x14ac:dyDescent="0.3">
      <c r="A3" s="68" t="s">
        <v>237</v>
      </c>
      <c r="B3" s="136">
        <v>12</v>
      </c>
      <c r="C3" s="136">
        <f>'PepsiCo-IS'!E3</f>
        <v>12</v>
      </c>
      <c r="D3" s="136">
        <f>'PepsiCo-IS'!F3</f>
        <v>12</v>
      </c>
      <c r="E3" s="136">
        <f>'PepsiCo-IS'!G3</f>
        <v>12</v>
      </c>
      <c r="F3" s="136">
        <f>'PepsiCo-IS'!H3</f>
        <v>12</v>
      </c>
      <c r="G3" s="136">
        <f>'PepsiCo-IS'!I3</f>
        <v>12</v>
      </c>
      <c r="H3" s="137">
        <f>'PepsiCo-IS'!J3</f>
        <v>12</v>
      </c>
      <c r="I3" s="137">
        <f>'PepsiCo-IS'!K3</f>
        <v>12</v>
      </c>
      <c r="J3" s="137">
        <f>'PepsiCo-IS'!L3</f>
        <v>12</v>
      </c>
      <c r="K3" s="137">
        <f>'PepsiCo-IS'!M3</f>
        <v>12</v>
      </c>
      <c r="L3" s="137">
        <f>'PepsiCo-IS'!N3</f>
        <v>12</v>
      </c>
    </row>
    <row r="4" spans="1:19" ht="16.5" customHeight="1" x14ac:dyDescent="0.3">
      <c r="A4" s="54"/>
      <c r="B4" s="138">
        <v>42735</v>
      </c>
      <c r="C4" s="138">
        <f>'PepsiCo-IS'!E4</f>
        <v>43100</v>
      </c>
      <c r="D4" s="138">
        <f>'PepsiCo-IS'!F4</f>
        <v>43465</v>
      </c>
      <c r="E4" s="138">
        <f>'PepsiCo-IS'!G4</f>
        <v>43830</v>
      </c>
      <c r="F4" s="138">
        <f>'PepsiCo-IS'!H4</f>
        <v>44196</v>
      </c>
      <c r="G4" s="138">
        <f>'PepsiCo-IS'!I4</f>
        <v>44561</v>
      </c>
      <c r="H4" s="92">
        <f>'PepsiCo-IS'!J4</f>
        <v>44926</v>
      </c>
      <c r="I4" s="92">
        <f>'PepsiCo-IS'!K4</f>
        <v>45291</v>
      </c>
      <c r="J4" s="92">
        <f>'PepsiCo-IS'!L4</f>
        <v>45657</v>
      </c>
      <c r="K4" s="92">
        <f>'PepsiCo-IS'!M4</f>
        <v>46022</v>
      </c>
      <c r="L4" s="92">
        <f>'PepsiCo-IS'!N4</f>
        <v>46387</v>
      </c>
    </row>
    <row r="5" spans="1:19" s="416" customFormat="1" x14ac:dyDescent="0.3">
      <c r="A5" s="67" t="s">
        <v>67</v>
      </c>
      <c r="B5" s="36">
        <v>15549</v>
      </c>
      <c r="C5" s="36">
        <v>15798</v>
      </c>
      <c r="D5" s="36">
        <v>16346</v>
      </c>
      <c r="E5" s="36">
        <v>17078</v>
      </c>
      <c r="F5" s="36">
        <v>18189</v>
      </c>
      <c r="G5" s="106">
        <v>19608</v>
      </c>
      <c r="H5" s="106">
        <f>G5*(1+$H7)</f>
        <v>20486.0775724948</v>
      </c>
      <c r="I5" s="106">
        <f t="shared" ref="I5:L5" si="0">H5*(1+$H7)</f>
        <v>21403.476861805102</v>
      </c>
      <c r="J5" s="106">
        <f t="shared" si="0"/>
        <v>22361.958757243825</v>
      </c>
      <c r="K5" s="106">
        <f t="shared" si="0"/>
        <v>23363.363003561117</v>
      </c>
      <c r="L5" s="106">
        <f t="shared" si="0"/>
        <v>24409.611732216857</v>
      </c>
      <c r="M5" s="1"/>
    </row>
    <row r="6" spans="1:19" s="416" customFormat="1" x14ac:dyDescent="0.3">
      <c r="A6" s="70" t="s">
        <v>75</v>
      </c>
      <c r="B6" s="36"/>
      <c r="C6" s="69">
        <v>0.02</v>
      </c>
      <c r="D6" s="69">
        <f>D5/C5-1</f>
        <v>3.4687935181668461E-2</v>
      </c>
      <c r="E6" s="71">
        <f>E5/D5-1</f>
        <v>4.4781597944451246E-2</v>
      </c>
      <c r="F6" s="71">
        <f>F5/E5-1</f>
        <v>6.5054456025295693E-2</v>
      </c>
      <c r="G6" s="71">
        <f t="shared" ref="G6" si="1">G5/F5-1</f>
        <v>7.8014184397163122E-2</v>
      </c>
      <c r="H6" s="194"/>
      <c r="I6" s="194"/>
      <c r="J6" s="194"/>
      <c r="K6" s="194"/>
      <c r="L6" s="194"/>
      <c r="M6" s="1"/>
      <c r="N6" s="482"/>
      <c r="O6" s="483"/>
      <c r="P6" s="483"/>
      <c r="Q6" s="483"/>
      <c r="R6" s="483"/>
      <c r="S6" s="483"/>
    </row>
    <row r="7" spans="1:19" s="416" customFormat="1" x14ac:dyDescent="0.3">
      <c r="A7" s="221" t="s">
        <v>77</v>
      </c>
      <c r="B7" s="121"/>
      <c r="C7" s="382">
        <v>0.03</v>
      </c>
      <c r="D7" s="382">
        <v>0.03</v>
      </c>
      <c r="E7" s="382">
        <f>E6</f>
        <v>4.4781597944451246E-2</v>
      </c>
      <c r="F7" s="382">
        <v>0.06</v>
      </c>
      <c r="G7" s="382">
        <v>7.0000000000000007E-2</v>
      </c>
      <c r="H7" s="113">
        <f>MEDIAN(C7:G7)</f>
        <v>4.4781597944451246E-2</v>
      </c>
      <c r="I7" s="107"/>
      <c r="J7" s="107"/>
      <c r="K7" s="107"/>
      <c r="L7" s="107"/>
      <c r="M7" s="1"/>
      <c r="N7" s="482"/>
      <c r="O7" s="483"/>
      <c r="P7" s="483"/>
      <c r="Q7" s="483"/>
      <c r="R7" s="483"/>
      <c r="S7" s="483"/>
    </row>
    <row r="8" spans="1:19" s="416" customFormat="1" outlineLevel="1" x14ac:dyDescent="0.3">
      <c r="A8" s="72" t="s">
        <v>76</v>
      </c>
      <c r="B8" s="36"/>
      <c r="C8" s="71">
        <v>0.01</v>
      </c>
      <c r="D8" s="71">
        <v>0.01</v>
      </c>
      <c r="E8" s="71">
        <v>0.02</v>
      </c>
      <c r="F8" s="71"/>
      <c r="G8" s="1"/>
      <c r="H8" s="223"/>
      <c r="I8" s="223"/>
      <c r="J8" s="223"/>
      <c r="K8" s="223"/>
      <c r="L8" s="223"/>
      <c r="M8" s="1"/>
      <c r="N8" s="482"/>
      <c r="O8" s="483"/>
      <c r="P8" s="483"/>
      <c r="Q8" s="483"/>
      <c r="R8" s="483"/>
      <c r="S8" s="483"/>
    </row>
    <row r="9" spans="1:19" s="416" customFormat="1" outlineLevel="1" x14ac:dyDescent="0.3">
      <c r="A9" s="72" t="s">
        <v>45</v>
      </c>
      <c r="B9" s="36"/>
      <c r="C9" s="71">
        <f>C7-C8</f>
        <v>1.9999999999999997E-2</v>
      </c>
      <c r="D9" s="71">
        <f>D7-D8</f>
        <v>1.9999999999999997E-2</v>
      </c>
      <c r="E9" s="71">
        <f>E7-E8</f>
        <v>2.4781597944451245E-2</v>
      </c>
      <c r="F9" s="71"/>
      <c r="G9" s="1"/>
      <c r="H9" s="223"/>
      <c r="I9" s="223"/>
      <c r="J9" s="223"/>
      <c r="K9" s="223"/>
      <c r="L9" s="223"/>
      <c r="M9" s="1"/>
      <c r="N9" s="482"/>
      <c r="O9" s="483"/>
      <c r="P9" s="483"/>
      <c r="Q9" s="483"/>
      <c r="R9" s="483"/>
      <c r="S9" s="483"/>
    </row>
    <row r="10" spans="1:19" s="416" customFormat="1" x14ac:dyDescent="0.3">
      <c r="A10" s="67"/>
      <c r="B10" s="36"/>
      <c r="C10" s="36"/>
      <c r="D10" s="36"/>
      <c r="E10" s="36"/>
      <c r="F10" s="36"/>
      <c r="G10" s="1"/>
      <c r="H10" s="223"/>
      <c r="I10" s="223"/>
      <c r="J10" s="223"/>
      <c r="K10" s="223"/>
      <c r="L10" s="223"/>
      <c r="M10" s="1"/>
      <c r="N10" s="482"/>
      <c r="O10" s="483"/>
      <c r="P10" s="483"/>
      <c r="Q10" s="483"/>
      <c r="R10" s="483"/>
      <c r="S10" s="483"/>
    </row>
    <row r="11" spans="1:19" s="416" customFormat="1" x14ac:dyDescent="0.3">
      <c r="A11" s="67" t="s">
        <v>68</v>
      </c>
      <c r="B11" s="36">
        <v>2564</v>
      </c>
      <c r="C11" s="36">
        <v>2503</v>
      </c>
      <c r="D11" s="36">
        <v>2465</v>
      </c>
      <c r="E11" s="36">
        <v>2482</v>
      </c>
      <c r="F11" s="36">
        <v>2742</v>
      </c>
      <c r="G11" s="1">
        <v>2751</v>
      </c>
      <c r="H11" s="106">
        <f>G11*(1+$H13)</f>
        <v>2751</v>
      </c>
      <c r="I11" s="106">
        <f t="shared" ref="I11:L11" si="2">H11*(1+$H13)</f>
        <v>2751</v>
      </c>
      <c r="J11" s="106">
        <f t="shared" si="2"/>
        <v>2751</v>
      </c>
      <c r="K11" s="106">
        <f t="shared" si="2"/>
        <v>2751</v>
      </c>
      <c r="L11" s="106">
        <f t="shared" si="2"/>
        <v>2751</v>
      </c>
      <c r="M11" s="1"/>
      <c r="N11" s="482"/>
      <c r="O11" s="483"/>
      <c r="P11" s="483"/>
      <c r="Q11" s="483"/>
      <c r="R11" s="483"/>
      <c r="S11" s="483"/>
    </row>
    <row r="12" spans="1:19" s="416" customFormat="1" x14ac:dyDescent="0.3">
      <c r="A12" s="70" t="s">
        <v>75</v>
      </c>
      <c r="B12" s="36"/>
      <c r="C12" s="69">
        <v>-0.02</v>
      </c>
      <c r="D12" s="69">
        <f>D11/C11-1</f>
        <v>-1.5181781861765886E-2</v>
      </c>
      <c r="E12" s="69">
        <f>E11/D11-1</f>
        <v>6.8965517241379448E-3</v>
      </c>
      <c r="F12" s="71">
        <f>F11/E11-1</f>
        <v>0.10475423045930699</v>
      </c>
      <c r="G12" s="71">
        <f t="shared" ref="G12" si="3">G11/F11-1</f>
        <v>3.2822757111596879E-3</v>
      </c>
      <c r="H12" s="194"/>
      <c r="I12" s="194"/>
      <c r="J12" s="194"/>
      <c r="K12" s="194"/>
      <c r="L12" s="194"/>
      <c r="M12" s="1"/>
      <c r="N12" s="482"/>
      <c r="O12" s="483"/>
      <c r="P12" s="483"/>
      <c r="Q12" s="483"/>
      <c r="R12" s="483"/>
      <c r="S12" s="483"/>
    </row>
    <row r="13" spans="1:19" s="416" customFormat="1" x14ac:dyDescent="0.3">
      <c r="A13" s="221" t="s">
        <v>77</v>
      </c>
      <c r="B13" s="121"/>
      <c r="C13" s="382">
        <v>-0.01</v>
      </c>
      <c r="D13" s="382">
        <v>-0.02</v>
      </c>
      <c r="E13" s="382">
        <v>0.01</v>
      </c>
      <c r="F13" s="382">
        <v>0.11</v>
      </c>
      <c r="G13" s="382">
        <v>0</v>
      </c>
      <c r="H13" s="113">
        <f>MEDIAN(C13:G13)</f>
        <v>0</v>
      </c>
      <c r="I13" s="107"/>
      <c r="J13" s="107"/>
      <c r="K13" s="107"/>
      <c r="L13" s="107"/>
      <c r="M13" s="1"/>
      <c r="N13" s="482"/>
      <c r="O13" s="420"/>
      <c r="P13" s="420"/>
      <c r="Q13" s="420"/>
      <c r="R13" s="420"/>
      <c r="S13" s="420"/>
    </row>
    <row r="14" spans="1:19" s="416" customFormat="1" hidden="1" outlineLevel="1" x14ac:dyDescent="0.3">
      <c r="A14" s="72" t="s">
        <v>76</v>
      </c>
      <c r="B14" s="36"/>
      <c r="C14" s="71">
        <v>0</v>
      </c>
      <c r="D14" s="71">
        <v>-5.0000000000000001E-3</v>
      </c>
      <c r="E14" s="71">
        <v>0</v>
      </c>
      <c r="F14" s="71"/>
      <c r="G14" s="1"/>
      <c r="H14" s="223"/>
      <c r="I14" s="223"/>
      <c r="J14" s="223"/>
      <c r="K14" s="223"/>
      <c r="L14" s="223"/>
      <c r="M14" s="1"/>
    </row>
    <row r="15" spans="1:19" s="416" customFormat="1" hidden="1" outlineLevel="1" x14ac:dyDescent="0.3">
      <c r="A15" s="72" t="s">
        <v>45</v>
      </c>
      <c r="B15" s="36"/>
      <c r="C15" s="71">
        <f>C13-C14</f>
        <v>-0.01</v>
      </c>
      <c r="D15" s="71">
        <f>D13-D14</f>
        <v>-1.4999999999999999E-2</v>
      </c>
      <c r="E15" s="71">
        <f>E13-E14</f>
        <v>0.01</v>
      </c>
      <c r="F15" s="71"/>
      <c r="G15" s="1"/>
      <c r="H15" s="223"/>
      <c r="I15" s="223"/>
      <c r="J15" s="223"/>
      <c r="K15" s="223"/>
      <c r="L15" s="223"/>
      <c r="M15" s="1"/>
    </row>
    <row r="16" spans="1:19" s="416" customFormat="1" collapsed="1" x14ac:dyDescent="0.3">
      <c r="A16" s="67"/>
      <c r="B16" s="36"/>
      <c r="C16" s="36"/>
      <c r="D16" s="36"/>
      <c r="E16" s="36"/>
      <c r="F16" s="36"/>
      <c r="G16" s="1"/>
      <c r="H16" s="223"/>
      <c r="I16" s="223"/>
      <c r="J16" s="223"/>
      <c r="K16" s="223"/>
      <c r="L16" s="223"/>
      <c r="M16" s="1"/>
      <c r="O16" s="417"/>
      <c r="P16" s="417"/>
      <c r="Q16" s="417"/>
      <c r="R16" s="417"/>
      <c r="S16" s="417"/>
    </row>
    <row r="17" spans="1:19" s="416" customFormat="1" x14ac:dyDescent="0.3">
      <c r="A17" s="67" t="s">
        <v>69</v>
      </c>
      <c r="B17" s="36">
        <v>21312</v>
      </c>
      <c r="C17" s="36">
        <v>20936</v>
      </c>
      <c r="D17" s="36">
        <v>21072</v>
      </c>
      <c r="E17" s="36">
        <v>21730</v>
      </c>
      <c r="F17" s="36">
        <v>22559</v>
      </c>
      <c r="G17" s="1">
        <v>25276</v>
      </c>
      <c r="H17" s="106">
        <f>G17*(1+$H19)</f>
        <v>25781.52</v>
      </c>
      <c r="I17" s="106">
        <f t="shared" ref="I17:L17" si="4">H17*(1+$H19)</f>
        <v>26297.150400000002</v>
      </c>
      <c r="J17" s="106">
        <f t="shared" si="4"/>
        <v>26823.093408000004</v>
      </c>
      <c r="K17" s="106">
        <f t="shared" si="4"/>
        <v>27359.555276160005</v>
      </c>
      <c r="L17" s="106">
        <f t="shared" si="4"/>
        <v>27906.746381683206</v>
      </c>
      <c r="M17" s="185"/>
      <c r="O17" s="418"/>
      <c r="P17" s="418"/>
      <c r="Q17" s="418"/>
      <c r="R17" s="418"/>
      <c r="S17" s="418"/>
    </row>
    <row r="18" spans="1:19" s="416" customFormat="1" x14ac:dyDescent="0.3">
      <c r="A18" s="70" t="s">
        <v>75</v>
      </c>
      <c r="B18" s="36"/>
      <c r="C18" s="383">
        <v>-0.02</v>
      </c>
      <c r="D18" s="69">
        <f>D17/C17-1</f>
        <v>6.4959877722583492E-3</v>
      </c>
      <c r="E18" s="69">
        <f>E17/D17-1</f>
        <v>3.1226271829916552E-2</v>
      </c>
      <c r="F18" s="71">
        <f>F17/E17-1</f>
        <v>3.815002300966408E-2</v>
      </c>
      <c r="G18" s="71">
        <f t="shared" ref="G18" si="5">G17/F17-1</f>
        <v>0.120439735803892</v>
      </c>
      <c r="H18" s="194"/>
      <c r="I18" s="194"/>
      <c r="J18" s="194"/>
      <c r="K18" s="194"/>
      <c r="L18" s="194"/>
      <c r="M18" s="1"/>
      <c r="O18" s="419"/>
      <c r="P18" s="419"/>
      <c r="Q18" s="419"/>
      <c r="R18" s="419"/>
      <c r="S18" s="419"/>
    </row>
    <row r="19" spans="1:19" s="416" customFormat="1" x14ac:dyDescent="0.3">
      <c r="A19" s="221" t="s">
        <v>77</v>
      </c>
      <c r="B19" s="121"/>
      <c r="C19" s="382">
        <f>C18</f>
        <v>-0.02</v>
      </c>
      <c r="D19" s="382">
        <v>5.0000000000000001E-3</v>
      </c>
      <c r="E19" s="382">
        <v>0.03</v>
      </c>
      <c r="F19" s="382">
        <v>0.02</v>
      </c>
      <c r="G19" s="382">
        <v>0.1</v>
      </c>
      <c r="H19" s="113">
        <f>MEDIAN(C19:G19)</f>
        <v>0.02</v>
      </c>
      <c r="I19" s="107"/>
      <c r="J19" s="107"/>
      <c r="K19" s="107"/>
      <c r="L19" s="107"/>
      <c r="M19" s="1"/>
      <c r="N19" s="482"/>
      <c r="O19" s="419"/>
      <c r="P19" s="419"/>
      <c r="Q19" s="419"/>
      <c r="R19" s="419"/>
      <c r="S19" s="419"/>
    </row>
    <row r="20" spans="1:19" s="416" customFormat="1" outlineLevel="1" x14ac:dyDescent="0.3">
      <c r="A20" s="72" t="s">
        <v>76</v>
      </c>
      <c r="B20" s="36"/>
      <c r="C20" s="71"/>
      <c r="D20" s="71">
        <v>-0.01</v>
      </c>
      <c r="E20" s="71">
        <v>-0.01</v>
      </c>
      <c r="F20" s="71"/>
      <c r="G20" s="1"/>
      <c r="H20" s="223"/>
      <c r="I20" s="223"/>
      <c r="J20" s="223"/>
      <c r="K20" s="223"/>
      <c r="L20" s="223"/>
      <c r="M20" s="1"/>
      <c r="N20" s="482"/>
      <c r="O20" s="419"/>
      <c r="P20" s="419"/>
      <c r="Q20" s="419"/>
      <c r="R20" s="419"/>
      <c r="S20" s="419"/>
    </row>
    <row r="21" spans="1:19" s="416" customFormat="1" outlineLevel="1" x14ac:dyDescent="0.3">
      <c r="A21" s="72" t="s">
        <v>45</v>
      </c>
      <c r="B21" s="36"/>
      <c r="C21" s="71"/>
      <c r="D21" s="71">
        <f>D19-D20</f>
        <v>1.4999999999999999E-2</v>
      </c>
      <c r="E21" s="71">
        <f>E19-E20</f>
        <v>0.04</v>
      </c>
      <c r="F21" s="71"/>
      <c r="G21" s="1"/>
      <c r="H21" s="223"/>
      <c r="I21" s="223"/>
      <c r="J21" s="223"/>
      <c r="K21" s="223"/>
      <c r="L21" s="223"/>
      <c r="M21" s="1"/>
      <c r="N21" s="482"/>
      <c r="O21" s="419"/>
      <c r="P21" s="419"/>
      <c r="Q21" s="419"/>
      <c r="R21" s="419"/>
      <c r="S21" s="419"/>
    </row>
    <row r="22" spans="1:19" s="416" customFormat="1" x14ac:dyDescent="0.3">
      <c r="A22" s="67"/>
      <c r="B22" s="36"/>
      <c r="C22" s="36"/>
      <c r="D22" s="36"/>
      <c r="E22" s="36"/>
      <c r="F22" s="36"/>
      <c r="G22" s="1"/>
      <c r="H22" s="223"/>
      <c r="I22" s="223"/>
      <c r="J22" s="223"/>
      <c r="K22" s="223"/>
      <c r="L22" s="223"/>
      <c r="M22" s="1"/>
      <c r="N22" s="482"/>
      <c r="O22" s="419"/>
      <c r="P22" s="419"/>
      <c r="Q22" s="419"/>
      <c r="R22" s="419"/>
      <c r="S22" s="419"/>
    </row>
    <row r="23" spans="1:19" s="416" customFormat="1" x14ac:dyDescent="0.3">
      <c r="A23" s="67" t="s">
        <v>70</v>
      </c>
      <c r="B23" s="36">
        <v>6820</v>
      </c>
      <c r="C23" s="36">
        <v>7208</v>
      </c>
      <c r="D23" s="36">
        <v>7354</v>
      </c>
      <c r="E23" s="36">
        <v>7573</v>
      </c>
      <c r="F23" s="36">
        <v>6942</v>
      </c>
      <c r="G23" s="1">
        <v>8108</v>
      </c>
      <c r="H23" s="106">
        <f>G23*(1+$H25)</f>
        <v>8675.5600000000013</v>
      </c>
      <c r="I23" s="106">
        <f t="shared" ref="I23:L23" si="6">H23*(1+$H25)</f>
        <v>9282.8492000000024</v>
      </c>
      <c r="J23" s="106">
        <f t="shared" si="6"/>
        <v>9932.6486440000026</v>
      </c>
      <c r="K23" s="106">
        <f t="shared" si="6"/>
        <v>10627.934049080004</v>
      </c>
      <c r="L23" s="106">
        <f t="shared" si="6"/>
        <v>11371.889432515605</v>
      </c>
      <c r="M23" s="1"/>
      <c r="N23" s="482"/>
      <c r="O23" s="419"/>
      <c r="P23" s="419"/>
      <c r="Q23" s="419"/>
      <c r="R23" s="419"/>
      <c r="S23" s="419"/>
    </row>
    <row r="24" spans="1:19" s="416" customFormat="1" x14ac:dyDescent="0.3">
      <c r="A24" s="70" t="s">
        <v>75</v>
      </c>
      <c r="B24" s="36"/>
      <c r="C24" s="69">
        <f>C23/B23-1</f>
        <v>5.6891495601173014E-2</v>
      </c>
      <c r="D24" s="69">
        <f>D23/C23-1</f>
        <v>2.0255271920088802E-2</v>
      </c>
      <c r="E24" s="69">
        <f>E23/D23-1</f>
        <v>2.977971172151217E-2</v>
      </c>
      <c r="F24" s="71">
        <f>F23/E23-1</f>
        <v>-8.3322329327875311E-2</v>
      </c>
      <c r="G24" s="71">
        <f t="shared" ref="G24" si="7">G23/F23-1</f>
        <v>0.16796312301930283</v>
      </c>
      <c r="H24" s="194"/>
      <c r="I24" s="194"/>
      <c r="J24" s="194"/>
      <c r="K24" s="194"/>
      <c r="L24" s="194"/>
      <c r="M24" s="1"/>
      <c r="N24" s="482"/>
      <c r="O24" s="419"/>
      <c r="P24" s="419"/>
      <c r="Q24" s="419"/>
      <c r="R24" s="419"/>
      <c r="S24" s="419"/>
    </row>
    <row r="25" spans="1:19" s="416" customFormat="1" x14ac:dyDescent="0.3">
      <c r="A25" s="221" t="s">
        <v>77</v>
      </c>
      <c r="B25" s="121"/>
      <c r="C25" s="382">
        <v>0.05</v>
      </c>
      <c r="D25" s="382">
        <v>0.08</v>
      </c>
      <c r="E25" s="382">
        <v>7.0000000000000007E-2</v>
      </c>
      <c r="F25" s="382">
        <v>0.03</v>
      </c>
      <c r="G25" s="382">
        <v>0.15</v>
      </c>
      <c r="H25" s="113">
        <f>MEDIAN(C25:G25)</f>
        <v>7.0000000000000007E-2</v>
      </c>
      <c r="I25" s="107"/>
      <c r="J25" s="107"/>
      <c r="K25" s="107"/>
      <c r="L25" s="107"/>
      <c r="M25" s="1"/>
      <c r="N25" s="482"/>
      <c r="O25" s="419"/>
      <c r="P25" s="419"/>
      <c r="Q25" s="419"/>
      <c r="R25" s="419"/>
      <c r="S25" s="419"/>
    </row>
    <row r="26" spans="1:19" hidden="1" outlineLevel="1" x14ac:dyDescent="0.3">
      <c r="A26" s="72" t="s">
        <v>76</v>
      </c>
      <c r="B26" s="36"/>
      <c r="C26" s="71"/>
      <c r="D26" s="71">
        <v>0.01</v>
      </c>
      <c r="E26" s="71">
        <v>0</v>
      </c>
      <c r="F26" s="71"/>
      <c r="H26" s="223"/>
      <c r="I26" s="223"/>
      <c r="J26" s="223"/>
      <c r="K26" s="223"/>
      <c r="L26" s="223"/>
      <c r="N26" s="67"/>
    </row>
    <row r="27" spans="1:19" hidden="1" outlineLevel="1" x14ac:dyDescent="0.3">
      <c r="A27" s="72" t="s">
        <v>45</v>
      </c>
      <c r="B27" s="36"/>
      <c r="C27" s="71"/>
      <c r="D27" s="71">
        <f>D25-D26</f>
        <v>7.0000000000000007E-2</v>
      </c>
      <c r="E27" s="71">
        <f>E25-E26</f>
        <v>7.0000000000000007E-2</v>
      </c>
      <c r="F27" s="71"/>
      <c r="H27" s="223"/>
      <c r="I27" s="223"/>
      <c r="J27" s="223"/>
      <c r="K27" s="223"/>
      <c r="L27" s="223"/>
      <c r="N27" s="67"/>
    </row>
    <row r="28" spans="1:19" collapsed="1" x14ac:dyDescent="0.3">
      <c r="A28" s="67"/>
      <c r="B28" s="36"/>
      <c r="C28" s="36"/>
      <c r="D28" s="36"/>
      <c r="E28" s="36"/>
      <c r="F28" s="36"/>
      <c r="H28" s="223"/>
      <c r="I28" s="223"/>
      <c r="J28" s="223"/>
      <c r="K28" s="223"/>
      <c r="L28" s="223"/>
      <c r="N28" s="67"/>
      <c r="O28" s="232"/>
      <c r="P28" s="232"/>
      <c r="Q28" s="232"/>
      <c r="R28" s="232"/>
      <c r="S28" s="232"/>
    </row>
    <row r="29" spans="1:19" x14ac:dyDescent="0.3">
      <c r="A29" s="67" t="s">
        <v>71</v>
      </c>
      <c r="B29" s="36"/>
      <c r="C29" s="36">
        <v>10522</v>
      </c>
      <c r="D29" s="36">
        <v>10973</v>
      </c>
      <c r="E29" s="36">
        <v>11728</v>
      </c>
      <c r="F29" s="36">
        <v>11922</v>
      </c>
      <c r="G29" s="1">
        <v>13038</v>
      </c>
      <c r="H29" s="106">
        <f>G29*(1+$H31)</f>
        <v>13885.47</v>
      </c>
      <c r="I29" s="106">
        <f t="shared" ref="I29:L29" si="8">H29*(1+$H31)</f>
        <v>14788.025549999998</v>
      </c>
      <c r="J29" s="106">
        <f t="shared" si="8"/>
        <v>15749.247210749998</v>
      </c>
      <c r="K29" s="106">
        <f t="shared" si="8"/>
        <v>16772.948279448749</v>
      </c>
      <c r="L29" s="106">
        <f t="shared" si="8"/>
        <v>17863.189917612915</v>
      </c>
      <c r="N29" s="67"/>
    </row>
    <row r="30" spans="1:19" x14ac:dyDescent="0.3">
      <c r="A30" s="70" t="s">
        <v>75</v>
      </c>
      <c r="B30" s="36"/>
      <c r="C30" s="69"/>
      <c r="D30" s="69">
        <f>D29/C29-1</f>
        <v>4.2862573655198632E-2</v>
      </c>
      <c r="E30" s="69">
        <f>E29/D29-1</f>
        <v>6.8805249248154565E-2</v>
      </c>
      <c r="F30" s="71">
        <f>F29/E29-1</f>
        <v>1.6541609822646741E-2</v>
      </c>
      <c r="G30" s="71">
        <f t="shared" ref="G30" si="9">G29/F29-1</f>
        <v>9.3608454957222031E-2</v>
      </c>
      <c r="H30" s="194"/>
      <c r="I30" s="194"/>
      <c r="J30" s="194"/>
      <c r="K30" s="194"/>
      <c r="L30" s="194"/>
    </row>
    <row r="31" spans="1:19" x14ac:dyDescent="0.3">
      <c r="A31" s="221" t="s">
        <v>77</v>
      </c>
      <c r="B31" s="121"/>
      <c r="C31" s="222"/>
      <c r="D31" s="222">
        <v>7.0000000000000007E-2</v>
      </c>
      <c r="E31" s="222">
        <v>5.5E-2</v>
      </c>
      <c r="F31" s="222">
        <v>0.06</v>
      </c>
      <c r="G31" s="222">
        <v>0.09</v>
      </c>
      <c r="H31" s="113">
        <f>MEDIAN(C31:G31)</f>
        <v>6.5000000000000002E-2</v>
      </c>
      <c r="I31" s="107"/>
      <c r="J31" s="107"/>
      <c r="K31" s="107"/>
      <c r="L31" s="107"/>
    </row>
    <row r="32" spans="1:19" hidden="1" outlineLevel="1" x14ac:dyDescent="0.3">
      <c r="A32" s="72" t="s">
        <v>76</v>
      </c>
      <c r="B32" s="36"/>
      <c r="C32" s="71"/>
      <c r="D32" s="71">
        <v>0.05</v>
      </c>
      <c r="E32" s="71">
        <v>-0.01</v>
      </c>
      <c r="F32" s="71"/>
      <c r="H32" s="223"/>
      <c r="I32" s="223"/>
      <c r="J32" s="223"/>
      <c r="K32" s="223"/>
      <c r="L32" s="223"/>
    </row>
    <row r="33" spans="1:12" hidden="1" outlineLevel="1" x14ac:dyDescent="0.3">
      <c r="A33" s="72" t="s">
        <v>45</v>
      </c>
      <c r="B33" s="36"/>
      <c r="C33" s="71"/>
      <c r="D33" s="71">
        <f>D31-D32</f>
        <v>2.0000000000000004E-2</v>
      </c>
      <c r="E33" s="71">
        <f>E31-E32</f>
        <v>6.5000000000000002E-2</v>
      </c>
      <c r="F33" s="71"/>
      <c r="H33" s="223"/>
      <c r="I33" s="223"/>
      <c r="J33" s="223"/>
      <c r="K33" s="223"/>
      <c r="L33" s="223"/>
    </row>
    <row r="34" spans="1:12" collapsed="1" x14ac:dyDescent="0.3">
      <c r="A34" s="67"/>
      <c r="B34" s="36"/>
      <c r="C34" s="36"/>
      <c r="D34" s="36"/>
      <c r="E34" s="36"/>
      <c r="F34" s="36"/>
      <c r="H34" s="223"/>
      <c r="I34" s="223"/>
      <c r="J34" s="223"/>
      <c r="K34" s="223"/>
      <c r="L34" s="223"/>
    </row>
    <row r="35" spans="1:12" x14ac:dyDescent="0.3">
      <c r="A35" s="67" t="s">
        <v>72</v>
      </c>
      <c r="B35" s="36"/>
      <c r="C35" s="36">
        <v>3674</v>
      </c>
      <c r="D35" s="36">
        <v>3657</v>
      </c>
      <c r="E35" s="36">
        <v>3651</v>
      </c>
      <c r="F35" s="36">
        <v>4573</v>
      </c>
      <c r="G35" s="1">
        <v>6078</v>
      </c>
      <c r="H35" s="106">
        <f>G35*(1+$H37)</f>
        <v>6412.29</v>
      </c>
      <c r="I35" s="106">
        <f t="shared" ref="I35:L35" si="10">H35*(1+$H37)</f>
        <v>6764.9659499999998</v>
      </c>
      <c r="J35" s="106">
        <f t="shared" si="10"/>
        <v>7137.0390772499995</v>
      </c>
      <c r="K35" s="106">
        <f t="shared" si="10"/>
        <v>7529.5762264987488</v>
      </c>
      <c r="L35" s="106">
        <f t="shared" si="10"/>
        <v>7943.7029189561799</v>
      </c>
    </row>
    <row r="36" spans="1:12" x14ac:dyDescent="0.3">
      <c r="A36" s="70" t="s">
        <v>75</v>
      </c>
      <c r="B36" s="36"/>
      <c r="C36" s="69"/>
      <c r="D36" s="69">
        <f>D35/C35-1</f>
        <v>-4.6271094175285299E-3</v>
      </c>
      <c r="E36" s="69">
        <f>E35/D35-1</f>
        <v>-1.6406890894175019E-3</v>
      </c>
      <c r="F36" s="71">
        <f>F35/E35-1</f>
        <v>0.2525335524513832</v>
      </c>
      <c r="G36" s="71">
        <f t="shared" ref="G36" si="11">G35/F35-1</f>
        <v>0.32910561994314458</v>
      </c>
      <c r="H36" s="194"/>
      <c r="I36" s="194"/>
      <c r="J36" s="194"/>
      <c r="K36" s="194"/>
      <c r="L36" s="194"/>
    </row>
    <row r="37" spans="1:12" x14ac:dyDescent="0.3">
      <c r="A37" s="221" t="s">
        <v>77</v>
      </c>
      <c r="B37" s="121"/>
      <c r="C37" s="222"/>
      <c r="D37" s="382">
        <v>0.05</v>
      </c>
      <c r="E37" s="382">
        <v>0.06</v>
      </c>
      <c r="F37" s="382">
        <v>0.01</v>
      </c>
      <c r="G37" s="382">
        <v>0.12</v>
      </c>
      <c r="H37" s="113">
        <f>MEDIAN(C37:G37)</f>
        <v>5.5E-2</v>
      </c>
      <c r="I37" s="107"/>
      <c r="J37" s="107"/>
      <c r="K37" s="107"/>
      <c r="L37" s="107"/>
    </row>
    <row r="38" spans="1:12" hidden="1" outlineLevel="1" x14ac:dyDescent="0.3">
      <c r="A38" s="72" t="s">
        <v>76</v>
      </c>
      <c r="B38" s="36"/>
      <c r="C38" s="71"/>
      <c r="D38" s="71">
        <v>1.4999999999999999E-2</v>
      </c>
      <c r="E38" s="71">
        <v>3.5000000000000003E-2</v>
      </c>
      <c r="F38" s="71"/>
      <c r="H38" s="223"/>
      <c r="I38" s="223"/>
      <c r="J38" s="223"/>
      <c r="K38" s="223"/>
      <c r="L38" s="223"/>
    </row>
    <row r="39" spans="1:12" hidden="1" outlineLevel="1" x14ac:dyDescent="0.3">
      <c r="A39" s="72" t="s">
        <v>45</v>
      </c>
      <c r="B39" s="36"/>
      <c r="C39" s="71"/>
      <c r="D39" s="71">
        <f>D37-D38</f>
        <v>3.5000000000000003E-2</v>
      </c>
      <c r="E39" s="71">
        <f>E37-E38</f>
        <v>2.4999999999999994E-2</v>
      </c>
      <c r="F39" s="71"/>
      <c r="H39" s="223"/>
      <c r="I39" s="223"/>
      <c r="J39" s="223"/>
      <c r="K39" s="223"/>
      <c r="L39" s="223"/>
    </row>
    <row r="40" spans="1:12" collapsed="1" x14ac:dyDescent="0.3">
      <c r="A40" s="67"/>
      <c r="B40" s="36"/>
      <c r="C40" s="36"/>
      <c r="D40" s="36"/>
      <c r="E40" s="36"/>
      <c r="F40" s="36"/>
      <c r="H40" s="223"/>
      <c r="I40" s="223"/>
      <c r="J40" s="223"/>
      <c r="K40" s="223"/>
      <c r="L40" s="223"/>
    </row>
    <row r="41" spans="1:12" x14ac:dyDescent="0.3">
      <c r="A41" s="67" t="s">
        <v>73</v>
      </c>
      <c r="B41" s="36"/>
      <c r="C41" s="36">
        <v>2884</v>
      </c>
      <c r="D41" s="36">
        <v>2794</v>
      </c>
      <c r="E41" s="36">
        <v>2919</v>
      </c>
      <c r="F41" s="36">
        <v>3445</v>
      </c>
      <c r="G41" s="1">
        <v>4615</v>
      </c>
      <c r="H41" s="106">
        <f>G41*(1+$H43)</f>
        <v>5007.2749999999996</v>
      </c>
      <c r="I41" s="106">
        <f t="shared" ref="I41:L41" si="12">H41*(1+$H43)</f>
        <v>5432.8933749999997</v>
      </c>
      <c r="J41" s="106">
        <f t="shared" si="12"/>
        <v>5894.6893118749995</v>
      </c>
      <c r="K41" s="106">
        <f t="shared" si="12"/>
        <v>6395.7379033843745</v>
      </c>
      <c r="L41" s="106">
        <f t="shared" si="12"/>
        <v>6939.3756251720461</v>
      </c>
    </row>
    <row r="42" spans="1:12" x14ac:dyDescent="0.3">
      <c r="A42" s="70" t="s">
        <v>75</v>
      </c>
      <c r="B42" s="36"/>
      <c r="C42" s="69"/>
      <c r="D42" s="69">
        <f>D41/C41-1</f>
        <v>-3.1206657420249639E-2</v>
      </c>
      <c r="E42" s="69">
        <f>E41/D41-1</f>
        <v>4.4738725841088067E-2</v>
      </c>
      <c r="F42" s="71">
        <f>F41/E41-1</f>
        <v>0.18019869818430978</v>
      </c>
      <c r="G42" s="71">
        <f t="shared" ref="G42" si="13">G41/F41-1</f>
        <v>0.33962264150943389</v>
      </c>
      <c r="H42" s="194"/>
      <c r="I42" s="194"/>
      <c r="J42" s="194"/>
      <c r="K42" s="194"/>
      <c r="L42" s="194"/>
    </row>
    <row r="43" spans="1:12" x14ac:dyDescent="0.3">
      <c r="A43" s="221" t="s">
        <v>77</v>
      </c>
      <c r="B43" s="121"/>
      <c r="C43" s="222"/>
      <c r="D43" s="481">
        <v>-3.1199999999999999E-2</v>
      </c>
      <c r="E43" s="382">
        <v>0.09</v>
      </c>
      <c r="F43" s="382">
        <v>0.08</v>
      </c>
      <c r="G43" s="382">
        <v>0.13</v>
      </c>
      <c r="H43" s="113">
        <f>MEDIAN(C43:G43)</f>
        <v>8.4999999999999992E-2</v>
      </c>
      <c r="I43" s="107"/>
      <c r="J43" s="107"/>
      <c r="K43" s="107"/>
      <c r="L43" s="107"/>
    </row>
    <row r="44" spans="1:12" hidden="1" outlineLevel="1" x14ac:dyDescent="0.3">
      <c r="A44" s="72" t="s">
        <v>76</v>
      </c>
      <c r="B44" s="36"/>
      <c r="C44" s="71"/>
      <c r="D44" s="71">
        <v>0.06</v>
      </c>
      <c r="E44" s="71">
        <v>7.0000000000000007E-2</v>
      </c>
      <c r="F44" s="71"/>
      <c r="H44" s="223"/>
      <c r="I44" s="223"/>
      <c r="J44" s="223"/>
      <c r="K44" s="223"/>
      <c r="L44" s="223"/>
    </row>
    <row r="45" spans="1:12" hidden="1" outlineLevel="1" x14ac:dyDescent="0.3">
      <c r="A45" s="72" t="s">
        <v>45</v>
      </c>
      <c r="B45" s="36"/>
      <c r="C45" s="71"/>
      <c r="D45" s="71">
        <f>D43-D44</f>
        <v>-9.1200000000000003E-2</v>
      </c>
      <c r="E45" s="71">
        <f>E43-E44</f>
        <v>1.999999999999999E-2</v>
      </c>
      <c r="F45" s="71"/>
      <c r="H45" s="223"/>
      <c r="I45" s="223"/>
      <c r="J45" s="223"/>
      <c r="K45" s="223"/>
      <c r="L45" s="223"/>
    </row>
    <row r="46" spans="1:12" collapsed="1" x14ac:dyDescent="0.3">
      <c r="A46" s="67"/>
      <c r="B46" s="36"/>
      <c r="C46" s="36"/>
      <c r="D46" s="36"/>
      <c r="E46" s="36"/>
      <c r="F46" s="36"/>
      <c r="H46" s="223"/>
      <c r="I46" s="223"/>
      <c r="J46" s="223"/>
      <c r="K46" s="223"/>
      <c r="L46" s="223"/>
    </row>
    <row r="47" spans="1:12" x14ac:dyDescent="0.3">
      <c r="A47" s="67"/>
      <c r="B47" s="36"/>
      <c r="C47" s="36"/>
      <c r="D47" s="36"/>
      <c r="E47" s="36"/>
      <c r="F47" s="36"/>
      <c r="H47" s="194"/>
      <c r="I47" s="194"/>
      <c r="J47" s="194"/>
      <c r="K47" s="194"/>
      <c r="L47" s="194"/>
    </row>
    <row r="48" spans="1:12" x14ac:dyDescent="0.3">
      <c r="A48" s="224" t="s">
        <v>74</v>
      </c>
      <c r="B48" s="225">
        <v>62799</v>
      </c>
      <c r="C48" s="225">
        <f>C5+C11+C17+C23+C29+C35+C41</f>
        <v>63525</v>
      </c>
      <c r="D48" s="225">
        <f>D5+D11+D17+D23+D29+D35+D41</f>
        <v>64661</v>
      </c>
      <c r="E48" s="225">
        <f>E5+E11+E17+E23+E29+E35+E41</f>
        <v>67161</v>
      </c>
      <c r="F48" s="225">
        <f>F5+F11+F17+F23+F29+F35+F41</f>
        <v>70372</v>
      </c>
      <c r="G48" s="225">
        <f t="shared" ref="G48" si="14">G5+G11+G17+G23+G29+G35+G41</f>
        <v>79474</v>
      </c>
      <c r="H48" s="226">
        <f>H5+H11+H17+H23+H29+H35+H41</f>
        <v>82999.192572494794</v>
      </c>
      <c r="I48" s="226">
        <f t="shared" ref="I48:L48" si="15">I5+I11+I17+I23+I29+I35+I41</f>
        <v>86720.361336805101</v>
      </c>
      <c r="J48" s="226">
        <f t="shared" si="15"/>
        <v>90649.676409118823</v>
      </c>
      <c r="K48" s="226">
        <f t="shared" si="15"/>
        <v>94800.114738132994</v>
      </c>
      <c r="L48" s="226">
        <f t="shared" si="15"/>
        <v>99185.516008156788</v>
      </c>
    </row>
    <row r="49" spans="1:13" x14ac:dyDescent="0.3">
      <c r="A49" s="36"/>
      <c r="B49" s="36"/>
      <c r="C49" s="36"/>
      <c r="D49" s="73">
        <f>D48/C48-1</f>
        <v>1.7882723337268702E-2</v>
      </c>
      <c r="E49" s="73">
        <f>E48/D48-1</f>
        <v>3.8663181825211446E-2</v>
      </c>
      <c r="F49" s="71">
        <f>F48/E48-1</f>
        <v>4.7810485251857493E-2</v>
      </c>
      <c r="G49" s="71">
        <f t="shared" ref="G49" si="16">G48/F48-1</f>
        <v>0.12934121525606779</v>
      </c>
      <c r="H49" s="195"/>
      <c r="I49" s="195"/>
      <c r="J49" s="195"/>
      <c r="K49" s="195"/>
      <c r="L49" s="195"/>
    </row>
    <row r="50" spans="1:13" x14ac:dyDescent="0.3">
      <c r="C50" s="174"/>
      <c r="D50" s="174"/>
      <c r="M50" s="227"/>
    </row>
    <row r="51" spans="1:13" ht="25.05" customHeight="1" x14ac:dyDescent="0.3">
      <c r="A51" s="146"/>
      <c r="B51" s="164"/>
      <c r="C51" s="469"/>
      <c r="D51" s="469"/>
      <c r="E51" s="469"/>
      <c r="F51" s="421"/>
      <c r="G51" s="421"/>
      <c r="H51" s="480"/>
      <c r="I51" s="480"/>
      <c r="J51" s="480"/>
      <c r="K51" s="480"/>
      <c r="L51" s="480"/>
    </row>
    <row r="52" spans="1:13" x14ac:dyDescent="0.3">
      <c r="D52" s="179"/>
    </row>
    <row r="56" spans="1:13" x14ac:dyDescent="0.3">
      <c r="F56" s="196"/>
      <c r="G56" s="196"/>
      <c r="H56" s="196"/>
    </row>
    <row r="63" spans="1:13" x14ac:dyDescent="0.3">
      <c r="A63" s="177"/>
      <c r="B63" s="177"/>
      <c r="C63" s="177"/>
      <c r="D63" s="177"/>
      <c r="E63" s="177"/>
      <c r="F63" s="177"/>
      <c r="G63" s="177"/>
    </row>
    <row r="64" spans="1:13" x14ac:dyDescent="0.3">
      <c r="A64" s="174"/>
      <c r="B64" s="174"/>
      <c r="C64" s="174"/>
      <c r="D64" s="174"/>
      <c r="E64" s="174"/>
      <c r="F64" s="174"/>
      <c r="G64" s="174"/>
    </row>
  </sheetData>
  <mergeCells count="2">
    <mergeCell ref="C51:E51"/>
    <mergeCell ref="H51:L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 Page</vt:lpstr>
      <vt:lpstr>DCF</vt:lpstr>
      <vt:lpstr>WACC</vt:lpstr>
      <vt:lpstr>Beta Calculation</vt:lpstr>
      <vt:lpstr>Debt Schedule</vt:lpstr>
      <vt:lpstr>PepsiCo-BS</vt:lpstr>
      <vt:lpstr>PepsiCo-CFS</vt:lpstr>
      <vt:lpstr>Fixed Assets Schedule</vt:lpstr>
      <vt:lpstr>PepsiCo-IS</vt:lpstr>
      <vt:lpstr>Revenue 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Vohra</dc:creator>
  <cp:lastModifiedBy>Dell</cp:lastModifiedBy>
  <cp:lastPrinted>2022-02-22T15:35:47Z</cp:lastPrinted>
  <dcterms:created xsi:type="dcterms:W3CDTF">2018-05-17T07:31:57Z</dcterms:created>
  <dcterms:modified xsi:type="dcterms:W3CDTF">2022-09-10T08:31:58Z</dcterms:modified>
</cp:coreProperties>
</file>