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6DF70F01-C0CE-4994-BBE8-1B336A2FC84F}" xr6:coauthVersionLast="47" xr6:coauthVersionMax="47" xr10:uidLastSave="{00000000-0000-0000-0000-000000000000}"/>
  <bookViews>
    <workbookView xWindow="-108" yWindow="-108" windowWidth="23256" windowHeight="13176" tabRatio="810" xr2:uid="{00000000-000D-0000-FFFF-FFFF00000000}"/>
  </bookViews>
  <sheets>
    <sheet name="Cover Page" sheetId="1" r:id="rId1"/>
    <sheet name="Dashboard" sheetId="8" r:id="rId2"/>
    <sheet name="IS" sheetId="2" r:id="rId3"/>
    <sheet name="BS" sheetId="3" r:id="rId4"/>
    <sheet name="CFS" sheetId="4" r:id="rId5"/>
    <sheet name="Assumptions" sheetId="5" r:id="rId6"/>
    <sheet name="Schedules" sheetId="6" r:id="rId7"/>
    <sheet name="FCFF" sheetId="9" r:id="rId8"/>
    <sheet name="DCF" sheetId="10" r:id="rId9"/>
    <sheet name="Relative Valuation" sheetId="11" r:id="rId10"/>
    <sheet name="WACC" sheetId="12" r:id="rId11"/>
    <sheet name="Market Return" sheetId="14" r:id="rId12"/>
    <sheet name="Share Price" sheetId="15" r:id="rId13"/>
  </sheets>
  <externalReferences>
    <externalReference r:id="rId14"/>
  </externalReferences>
  <definedNames>
    <definedName name="_RoundBillions">#REF!</definedName>
    <definedName name="_Vdate">#REF!</definedName>
    <definedName name="_WACC">'[1]Control Panel'!$W$22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9" i="2" l="1"/>
  <c r="F19" i="2"/>
  <c r="G19" i="2"/>
  <c r="H19" i="2"/>
  <c r="D19" i="2"/>
  <c r="E16" i="2"/>
  <c r="F16" i="2"/>
  <c r="G16" i="2"/>
  <c r="H16" i="2"/>
  <c r="D16" i="2"/>
  <c r="AG10" i="8"/>
  <c r="AG11" i="8" s="1"/>
  <c r="AJ10" i="8"/>
  <c r="AJ9" i="8"/>
  <c r="AI9" i="8"/>
  <c r="F29" i="5"/>
  <c r="G29" i="5" s="1"/>
  <c r="H29" i="5" s="1"/>
  <c r="I29" i="5" s="1"/>
  <c r="B13" i="1" l="1"/>
  <c r="B14" i="1" s="1"/>
  <c r="B15" i="1" s="1"/>
  <c r="B16" i="1" s="1"/>
  <c r="B17" i="1" s="1"/>
  <c r="B18" i="1" s="1"/>
  <c r="B19" i="1" s="1"/>
  <c r="B20" i="1" s="1"/>
  <c r="Q20" i="5" l="1"/>
  <c r="D8" i="15"/>
  <c r="D7" i="15"/>
  <c r="AE10" i="8" s="1"/>
  <c r="D6" i="15"/>
  <c r="AF10" i="8" s="1"/>
  <c r="F24" i="11"/>
  <c r="M9" i="11"/>
  <c r="M10" i="11"/>
  <c r="K8" i="11"/>
  <c r="L8" i="11"/>
  <c r="K9" i="11"/>
  <c r="K13" i="11" s="1"/>
  <c r="L9" i="11"/>
  <c r="K10" i="11"/>
  <c r="L10" i="11"/>
  <c r="M7" i="11"/>
  <c r="M15" i="11" s="1"/>
  <c r="L7" i="11"/>
  <c r="K7" i="11"/>
  <c r="K16" i="11" s="1"/>
  <c r="D35" i="10"/>
  <c r="E19" i="11" s="1"/>
  <c r="D32" i="10"/>
  <c r="D23" i="10"/>
  <c r="P10" i="14"/>
  <c r="P9" i="14"/>
  <c r="P8" i="14"/>
  <c r="P12" i="14" s="1"/>
  <c r="J21" i="12" s="1"/>
  <c r="J24" i="12" s="1"/>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102" i="14"/>
  <c r="J103" i="14"/>
  <c r="J104" i="14"/>
  <c r="J105" i="14"/>
  <c r="J106" i="14"/>
  <c r="J107" i="14"/>
  <c r="J108" i="14"/>
  <c r="J109" i="14"/>
  <c r="J110" i="14"/>
  <c r="J111" i="14"/>
  <c r="J112" i="14"/>
  <c r="J113" i="14"/>
  <c r="J114" i="14"/>
  <c r="J115" i="14"/>
  <c r="J116" i="14"/>
  <c r="J117" i="14"/>
  <c r="J118" i="14"/>
  <c r="J119" i="14"/>
  <c r="J120" i="14"/>
  <c r="J121" i="14"/>
  <c r="J122" i="14"/>
  <c r="J123" i="14"/>
  <c r="J124" i="14"/>
  <c r="J125" i="14"/>
  <c r="J126" i="14"/>
  <c r="J127" i="14"/>
  <c r="J128" i="14"/>
  <c r="J129" i="14"/>
  <c r="J130" i="14"/>
  <c r="J131" i="14"/>
  <c r="J132" i="14"/>
  <c r="J133" i="14"/>
  <c r="J134" i="14"/>
  <c r="J135" i="14"/>
  <c r="J136" i="14"/>
  <c r="J137" i="14"/>
  <c r="J138" i="14"/>
  <c r="J139" i="14"/>
  <c r="J140" i="14"/>
  <c r="J141" i="14"/>
  <c r="J142" i="14"/>
  <c r="J143" i="14"/>
  <c r="J144" i="14"/>
  <c r="J145" i="14"/>
  <c r="J146" i="14"/>
  <c r="J147" i="14"/>
  <c r="J148" i="14"/>
  <c r="J149" i="14"/>
  <c r="J150" i="14"/>
  <c r="J151" i="14"/>
  <c r="J152" i="14"/>
  <c r="J153" i="14"/>
  <c r="J154" i="14"/>
  <c r="J155" i="14"/>
  <c r="J156" i="14"/>
  <c r="J157" i="14"/>
  <c r="J158" i="14"/>
  <c r="J159" i="14"/>
  <c r="J160" i="14"/>
  <c r="J161" i="14"/>
  <c r="J162" i="14"/>
  <c r="J163" i="14"/>
  <c r="J164" i="14"/>
  <c r="J165" i="14"/>
  <c r="J166" i="14"/>
  <c r="J167" i="14"/>
  <c r="J168" i="14"/>
  <c r="J169" i="14"/>
  <c r="J170" i="14"/>
  <c r="J171" i="14"/>
  <c r="J172" i="14"/>
  <c r="J173" i="14"/>
  <c r="J174" i="14"/>
  <c r="J175" i="14"/>
  <c r="J176" i="14"/>
  <c r="J177" i="14"/>
  <c r="J178" i="14"/>
  <c r="J179" i="14"/>
  <c r="J180" i="14"/>
  <c r="J181" i="14"/>
  <c r="J182" i="14"/>
  <c r="J183" i="14"/>
  <c r="J184" i="14"/>
  <c r="J185" i="14"/>
  <c r="J186" i="14"/>
  <c r="J187" i="14"/>
  <c r="J188" i="14"/>
  <c r="J189" i="14"/>
  <c r="J190" i="14"/>
  <c r="J191" i="14"/>
  <c r="J192" i="14"/>
  <c r="J193" i="14"/>
  <c r="J194" i="14"/>
  <c r="J195" i="14"/>
  <c r="J196" i="14"/>
  <c r="J197" i="14"/>
  <c r="J198" i="14"/>
  <c r="J199" i="14"/>
  <c r="J200" i="14"/>
  <c r="J201" i="14"/>
  <c r="J202" i="14"/>
  <c r="J203" i="14"/>
  <c r="J204" i="14"/>
  <c r="J205" i="14"/>
  <c r="J206" i="14"/>
  <c r="J207" i="14"/>
  <c r="J208" i="14"/>
  <c r="J209" i="14"/>
  <c r="J210" i="14"/>
  <c r="J211" i="14"/>
  <c r="J212" i="14"/>
  <c r="J213" i="14"/>
  <c r="J214" i="14"/>
  <c r="J215" i="14"/>
  <c r="J216" i="14"/>
  <c r="J217" i="14"/>
  <c r="J218" i="14"/>
  <c r="J219" i="14"/>
  <c r="J220" i="14"/>
  <c r="J221" i="14"/>
  <c r="J222" i="14"/>
  <c r="J223" i="14"/>
  <c r="J224" i="14"/>
  <c r="J225" i="14"/>
  <c r="J226" i="14"/>
  <c r="J227" i="14"/>
  <c r="J228" i="14"/>
  <c r="J229" i="14"/>
  <c r="J230" i="14"/>
  <c r="J231" i="14"/>
  <c r="J232" i="14"/>
  <c r="J233" i="14"/>
  <c r="J234" i="14"/>
  <c r="J235" i="14"/>
  <c r="J236" i="14"/>
  <c r="J237" i="14"/>
  <c r="J238" i="14"/>
  <c r="J239" i="14"/>
  <c r="J240" i="14"/>
  <c r="J241" i="14"/>
  <c r="J242" i="14"/>
  <c r="J243" i="14"/>
  <c r="J244" i="14"/>
  <c r="J245" i="14"/>
  <c r="J246" i="14"/>
  <c r="J247" i="14"/>
  <c r="J248" i="14"/>
  <c r="J249" i="14"/>
  <c r="J250" i="14"/>
  <c r="J251" i="14"/>
  <c r="J252" i="14"/>
  <c r="J253" i="14"/>
  <c r="J254" i="14"/>
  <c r="J255" i="14"/>
  <c r="J256" i="14"/>
  <c r="J257" i="14"/>
  <c r="J258" i="14"/>
  <c r="J259" i="14"/>
  <c r="J260" i="14"/>
  <c r="J261" i="14"/>
  <c r="J262" i="14"/>
  <c r="J263" i="14"/>
  <c r="J264" i="14"/>
  <c r="J265" i="14"/>
  <c r="J266" i="14"/>
  <c r="J267" i="14"/>
  <c r="J268" i="14"/>
  <c r="J269" i="14"/>
  <c r="J270" i="14"/>
  <c r="J271" i="14"/>
  <c r="J272" i="14"/>
  <c r="J273" i="14"/>
  <c r="J274" i="14"/>
  <c r="J275" i="14"/>
  <c r="J276" i="14"/>
  <c r="J277" i="14"/>
  <c r="J278" i="14"/>
  <c r="J279" i="14"/>
  <c r="J280" i="14"/>
  <c r="J281" i="14"/>
  <c r="J282" i="14"/>
  <c r="J283" i="14"/>
  <c r="J284" i="14"/>
  <c r="J285" i="14"/>
  <c r="J286" i="14"/>
  <c r="J287" i="14"/>
  <c r="J288" i="14"/>
  <c r="J289" i="14"/>
  <c r="J290" i="14"/>
  <c r="J291" i="14"/>
  <c r="J292" i="14"/>
  <c r="J293" i="14"/>
  <c r="J294" i="14"/>
  <c r="J295" i="14"/>
  <c r="J296" i="14"/>
  <c r="J297" i="14"/>
  <c r="J298" i="14"/>
  <c r="J299" i="14"/>
  <c r="J300" i="14"/>
  <c r="J301" i="14"/>
  <c r="J302" i="14"/>
  <c r="J303" i="14"/>
  <c r="J304" i="14"/>
  <c r="J305" i="14"/>
  <c r="J306" i="14"/>
  <c r="J307" i="14"/>
  <c r="J308" i="14"/>
  <c r="J309" i="14"/>
  <c r="J310" i="14"/>
  <c r="J311" i="14"/>
  <c r="J312" i="14"/>
  <c r="J313" i="14"/>
  <c r="J314" i="14"/>
  <c r="J315" i="14"/>
  <c r="J316" i="14"/>
  <c r="J317" i="14"/>
  <c r="J318" i="14"/>
  <c r="J319" i="14"/>
  <c r="J320" i="14"/>
  <c r="J321" i="14"/>
  <c r="J322" i="14"/>
  <c r="J323" i="14"/>
  <c r="J324" i="14"/>
  <c r="J325" i="14"/>
  <c r="J326" i="14"/>
  <c r="J327" i="14"/>
  <c r="J328" i="14"/>
  <c r="J329" i="14"/>
  <c r="J330" i="14"/>
  <c r="J331" i="14"/>
  <c r="J332" i="14"/>
  <c r="J333" i="14"/>
  <c r="J334" i="14"/>
  <c r="J335" i="14"/>
  <c r="J336" i="14"/>
  <c r="J337" i="14"/>
  <c r="J338" i="14"/>
  <c r="J339" i="14"/>
  <c r="J340" i="14"/>
  <c r="J341" i="14"/>
  <c r="J342" i="14"/>
  <c r="J343" i="14"/>
  <c r="J344" i="14"/>
  <c r="J345" i="14"/>
  <c r="J346" i="14"/>
  <c r="J347" i="14"/>
  <c r="J348" i="14"/>
  <c r="J349" i="14"/>
  <c r="J350" i="14"/>
  <c r="J351" i="14"/>
  <c r="J352" i="14"/>
  <c r="J353" i="14"/>
  <c r="J354" i="14"/>
  <c r="J355" i="14"/>
  <c r="J356" i="14"/>
  <c r="J357" i="14"/>
  <c r="J358" i="14"/>
  <c r="J359" i="14"/>
  <c r="J360" i="14"/>
  <c r="J361" i="14"/>
  <c r="J362" i="14"/>
  <c r="J363" i="14"/>
  <c r="J364" i="14"/>
  <c r="J365" i="14"/>
  <c r="J366" i="14"/>
  <c r="J367" i="14"/>
  <c r="J368" i="14"/>
  <c r="J369" i="14"/>
  <c r="J370" i="14"/>
  <c r="J371" i="14"/>
  <c r="J372" i="14"/>
  <c r="J373" i="14"/>
  <c r="J374" i="14"/>
  <c r="J375" i="14"/>
  <c r="J376" i="14"/>
  <c r="J377" i="14"/>
  <c r="J378" i="14"/>
  <c r="J379" i="14"/>
  <c r="J380" i="14"/>
  <c r="J381" i="14"/>
  <c r="J382" i="14"/>
  <c r="J383" i="14"/>
  <c r="J384" i="14"/>
  <c r="J385" i="14"/>
  <c r="J386" i="14"/>
  <c r="J387" i="14"/>
  <c r="J388" i="14"/>
  <c r="J389" i="14"/>
  <c r="J390" i="14"/>
  <c r="J391" i="14"/>
  <c r="J392" i="14"/>
  <c r="J393" i="14"/>
  <c r="J394" i="14"/>
  <c r="J395" i="14"/>
  <c r="J396" i="14"/>
  <c r="J397" i="14"/>
  <c r="J398" i="14"/>
  <c r="J399" i="14"/>
  <c r="J400" i="14"/>
  <c r="J401" i="14"/>
  <c r="J402" i="14"/>
  <c r="J403" i="14"/>
  <c r="J404" i="14"/>
  <c r="J405" i="14"/>
  <c r="J406" i="14"/>
  <c r="J407" i="14"/>
  <c r="J408" i="14"/>
  <c r="J409" i="14"/>
  <c r="J410" i="14"/>
  <c r="J411" i="14"/>
  <c r="J412" i="14"/>
  <c r="J413" i="14"/>
  <c r="J414" i="14"/>
  <c r="J415" i="14"/>
  <c r="J416" i="14"/>
  <c r="J417" i="14"/>
  <c r="J418" i="14"/>
  <c r="J419" i="14"/>
  <c r="J420" i="14"/>
  <c r="J421" i="14"/>
  <c r="J422" i="14"/>
  <c r="J423" i="14"/>
  <c r="J424" i="14"/>
  <c r="J425" i="14"/>
  <c r="J426" i="14"/>
  <c r="J427" i="14"/>
  <c r="J428" i="14"/>
  <c r="J429" i="14"/>
  <c r="J430" i="14"/>
  <c r="J431" i="14"/>
  <c r="J432" i="14"/>
  <c r="J433" i="14"/>
  <c r="J434" i="14"/>
  <c r="J435" i="14"/>
  <c r="J436" i="14"/>
  <c r="J437" i="14"/>
  <c r="J438" i="14"/>
  <c r="J439" i="14"/>
  <c r="J440" i="14"/>
  <c r="J441" i="14"/>
  <c r="J442" i="14"/>
  <c r="J443" i="14"/>
  <c r="J444" i="14"/>
  <c r="J445" i="14"/>
  <c r="J446" i="14"/>
  <c r="J447" i="14"/>
  <c r="J448" i="14"/>
  <c r="J449" i="14"/>
  <c r="J450" i="14"/>
  <c r="J451" i="14"/>
  <c r="J452" i="14"/>
  <c r="J453" i="14"/>
  <c r="J454" i="14"/>
  <c r="J455" i="14"/>
  <c r="J456" i="14"/>
  <c r="J457" i="14"/>
  <c r="J458" i="14"/>
  <c r="J459" i="14"/>
  <c r="J460" i="14"/>
  <c r="J461" i="14"/>
  <c r="J462" i="14"/>
  <c r="J463" i="14"/>
  <c r="J464" i="14"/>
  <c r="J465" i="14"/>
  <c r="J466" i="14"/>
  <c r="J467" i="14"/>
  <c r="J468" i="14"/>
  <c r="J469" i="14"/>
  <c r="J470" i="14"/>
  <c r="J471" i="14"/>
  <c r="J472" i="14"/>
  <c r="J473" i="14"/>
  <c r="J474" i="14"/>
  <c r="J475" i="14"/>
  <c r="J476" i="14"/>
  <c r="J477" i="14"/>
  <c r="J478" i="14"/>
  <c r="J479" i="14"/>
  <c r="J480" i="14"/>
  <c r="J481" i="14"/>
  <c r="J482" i="14"/>
  <c r="J483" i="14"/>
  <c r="J484" i="14"/>
  <c r="J485" i="14"/>
  <c r="J486" i="14"/>
  <c r="J487" i="14"/>
  <c r="J488" i="14"/>
  <c r="J489" i="14"/>
  <c r="J490" i="14"/>
  <c r="J491" i="14"/>
  <c r="J492" i="14"/>
  <c r="J493" i="14"/>
  <c r="J494" i="14"/>
  <c r="J495" i="14"/>
  <c r="J496" i="14"/>
  <c r="J497" i="14"/>
  <c r="J498" i="14"/>
  <c r="J499" i="14"/>
  <c r="J500" i="14"/>
  <c r="J501" i="14"/>
  <c r="J502" i="14"/>
  <c r="J503" i="14"/>
  <c r="J504" i="14"/>
  <c r="J505" i="14"/>
  <c r="J506" i="14"/>
  <c r="J507" i="14"/>
  <c r="J508" i="14"/>
  <c r="J509" i="14"/>
  <c r="J510" i="14"/>
  <c r="J511" i="14"/>
  <c r="J512" i="14"/>
  <c r="J513" i="14"/>
  <c r="J514" i="14"/>
  <c r="J515" i="14"/>
  <c r="J516" i="14"/>
  <c r="J517" i="14"/>
  <c r="J518" i="14"/>
  <c r="J519" i="14"/>
  <c r="J520" i="14"/>
  <c r="J521" i="14"/>
  <c r="J522" i="14"/>
  <c r="J523" i="14"/>
  <c r="J524" i="14"/>
  <c r="J525" i="14"/>
  <c r="J526" i="14"/>
  <c r="J527" i="14"/>
  <c r="J528" i="14"/>
  <c r="J529" i="14"/>
  <c r="J530" i="14"/>
  <c r="J531" i="14"/>
  <c r="J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82" i="14"/>
  <c r="E183" i="14"/>
  <c r="E184" i="14"/>
  <c r="E185" i="14"/>
  <c r="E186" i="14"/>
  <c r="E187" i="14"/>
  <c r="E188" i="14"/>
  <c r="E189" i="14"/>
  <c r="E190" i="14"/>
  <c r="E191" i="14"/>
  <c r="E192" i="14"/>
  <c r="E193" i="14"/>
  <c r="E194" i="14"/>
  <c r="E195" i="14"/>
  <c r="E196" i="14"/>
  <c r="E197" i="14"/>
  <c r="E198" i="14"/>
  <c r="E199" i="14"/>
  <c r="E200" i="14"/>
  <c r="E201" i="14"/>
  <c r="E202" i="14"/>
  <c r="E203" i="14"/>
  <c r="E204" i="14"/>
  <c r="E205" i="14"/>
  <c r="E206" i="14"/>
  <c r="E207" i="14"/>
  <c r="E208" i="14"/>
  <c r="E209" i="14"/>
  <c r="E210" i="14"/>
  <c r="E211" i="14"/>
  <c r="E212" i="14"/>
  <c r="E213" i="14"/>
  <c r="E214" i="14"/>
  <c r="E215" i="14"/>
  <c r="E216" i="14"/>
  <c r="E217" i="14"/>
  <c r="E218" i="14"/>
  <c r="E219" i="14"/>
  <c r="E220" i="14"/>
  <c r="E221" i="14"/>
  <c r="E222" i="14"/>
  <c r="E223" i="14"/>
  <c r="E224" i="14"/>
  <c r="E225" i="14"/>
  <c r="E226" i="14"/>
  <c r="E227" i="14"/>
  <c r="E228" i="14"/>
  <c r="E229" i="14"/>
  <c r="E230" i="14"/>
  <c r="E231" i="14"/>
  <c r="E232" i="14"/>
  <c r="E233" i="14"/>
  <c r="E234" i="14"/>
  <c r="E235" i="14"/>
  <c r="E236" i="14"/>
  <c r="E237" i="14"/>
  <c r="E238" i="14"/>
  <c r="E239" i="14"/>
  <c r="E240" i="14"/>
  <c r="E241" i="14"/>
  <c r="E242" i="14"/>
  <c r="E243" i="14"/>
  <c r="E244" i="14"/>
  <c r="E245" i="14"/>
  <c r="E246" i="14"/>
  <c r="E247" i="14"/>
  <c r="E248" i="14"/>
  <c r="E249" i="14"/>
  <c r="E250" i="14"/>
  <c r="E251" i="14"/>
  <c r="E252" i="14"/>
  <c r="E253" i="14"/>
  <c r="E254" i="14"/>
  <c r="E255" i="14"/>
  <c r="E256" i="14"/>
  <c r="E257" i="14"/>
  <c r="E258" i="14"/>
  <c r="E259" i="14"/>
  <c r="E260" i="14"/>
  <c r="E261" i="14"/>
  <c r="E262" i="14"/>
  <c r="E263" i="14"/>
  <c r="E264" i="14"/>
  <c r="E265" i="14"/>
  <c r="E266" i="14"/>
  <c r="E267" i="14"/>
  <c r="E268" i="14"/>
  <c r="E269" i="14"/>
  <c r="E270" i="14"/>
  <c r="E271" i="14"/>
  <c r="E272" i="14"/>
  <c r="E273" i="14"/>
  <c r="E274" i="14"/>
  <c r="E275" i="14"/>
  <c r="E276" i="14"/>
  <c r="E277" i="14"/>
  <c r="E278" i="14"/>
  <c r="E279" i="14"/>
  <c r="E280" i="14"/>
  <c r="E281" i="14"/>
  <c r="E282" i="14"/>
  <c r="E283" i="14"/>
  <c r="E284" i="14"/>
  <c r="E285" i="14"/>
  <c r="E286" i="14"/>
  <c r="E287" i="14"/>
  <c r="E288" i="14"/>
  <c r="E289" i="14"/>
  <c r="E290" i="14"/>
  <c r="E291" i="14"/>
  <c r="E292" i="14"/>
  <c r="E293" i="14"/>
  <c r="E294" i="14"/>
  <c r="E295" i="14"/>
  <c r="E296" i="14"/>
  <c r="E297" i="14"/>
  <c r="E298" i="14"/>
  <c r="E299" i="14"/>
  <c r="E300" i="14"/>
  <c r="E301" i="14"/>
  <c r="E302" i="14"/>
  <c r="E303" i="14"/>
  <c r="E304" i="14"/>
  <c r="E305" i="14"/>
  <c r="E306" i="14"/>
  <c r="E307" i="14"/>
  <c r="E308" i="14"/>
  <c r="E309" i="14"/>
  <c r="E310" i="14"/>
  <c r="E311" i="14"/>
  <c r="E312" i="14"/>
  <c r="E313" i="14"/>
  <c r="E314" i="14"/>
  <c r="E315" i="14"/>
  <c r="E316" i="14"/>
  <c r="E317" i="14"/>
  <c r="E318" i="14"/>
  <c r="E319" i="14"/>
  <c r="E320" i="14"/>
  <c r="E321" i="14"/>
  <c r="E322" i="14"/>
  <c r="E323" i="14"/>
  <c r="E324" i="14"/>
  <c r="E325" i="14"/>
  <c r="E326" i="14"/>
  <c r="E327" i="14"/>
  <c r="E328" i="14"/>
  <c r="E329" i="14"/>
  <c r="E330" i="14"/>
  <c r="E331" i="14"/>
  <c r="E332" i="14"/>
  <c r="E333" i="14"/>
  <c r="E334" i="14"/>
  <c r="E335" i="14"/>
  <c r="E336" i="14"/>
  <c r="E337" i="14"/>
  <c r="E338" i="14"/>
  <c r="E339" i="14"/>
  <c r="E340" i="14"/>
  <c r="E341" i="14"/>
  <c r="E342" i="14"/>
  <c r="E343" i="14"/>
  <c r="E344" i="14"/>
  <c r="E345" i="14"/>
  <c r="E346" i="14"/>
  <c r="E347" i="14"/>
  <c r="E348" i="14"/>
  <c r="E349" i="14"/>
  <c r="E350" i="14"/>
  <c r="E351" i="14"/>
  <c r="E352" i="14"/>
  <c r="E353" i="14"/>
  <c r="E354" i="14"/>
  <c r="E355" i="14"/>
  <c r="E356" i="14"/>
  <c r="E357" i="14"/>
  <c r="E358" i="14"/>
  <c r="E359" i="14"/>
  <c r="E360" i="14"/>
  <c r="E361" i="14"/>
  <c r="E362" i="14"/>
  <c r="E363" i="14"/>
  <c r="E364" i="14"/>
  <c r="E365" i="14"/>
  <c r="E366" i="14"/>
  <c r="E367" i="14"/>
  <c r="E368" i="14"/>
  <c r="E369" i="14"/>
  <c r="E370" i="14"/>
  <c r="E371" i="14"/>
  <c r="E372" i="14"/>
  <c r="E373" i="14"/>
  <c r="E374" i="14"/>
  <c r="E375" i="14"/>
  <c r="E376" i="14"/>
  <c r="E377" i="14"/>
  <c r="E378" i="14"/>
  <c r="E379" i="14"/>
  <c r="E380" i="14"/>
  <c r="E381" i="14"/>
  <c r="E382" i="14"/>
  <c r="E383" i="14"/>
  <c r="E384" i="14"/>
  <c r="E385" i="14"/>
  <c r="E386" i="14"/>
  <c r="E387" i="14"/>
  <c r="E388" i="14"/>
  <c r="E389" i="14"/>
  <c r="E390" i="14"/>
  <c r="E391" i="14"/>
  <c r="E392" i="14"/>
  <c r="E393" i="14"/>
  <c r="E394" i="14"/>
  <c r="E395" i="14"/>
  <c r="E396" i="14"/>
  <c r="E397" i="14"/>
  <c r="E398" i="14"/>
  <c r="E399" i="14"/>
  <c r="E400" i="14"/>
  <c r="E401" i="14"/>
  <c r="E402" i="14"/>
  <c r="E403" i="14"/>
  <c r="E404" i="14"/>
  <c r="E405" i="14"/>
  <c r="E406" i="14"/>
  <c r="E407" i="14"/>
  <c r="E408" i="14"/>
  <c r="E409" i="14"/>
  <c r="E410" i="14"/>
  <c r="E411" i="14"/>
  <c r="E412" i="14"/>
  <c r="E413" i="14"/>
  <c r="E414" i="14"/>
  <c r="E415" i="14"/>
  <c r="E416" i="14"/>
  <c r="E417" i="14"/>
  <c r="E418" i="14"/>
  <c r="E419" i="14"/>
  <c r="E420" i="14"/>
  <c r="E421" i="14"/>
  <c r="E422" i="14"/>
  <c r="E423" i="14"/>
  <c r="E424" i="14"/>
  <c r="E425" i="14"/>
  <c r="E426" i="14"/>
  <c r="E427" i="14"/>
  <c r="E428" i="14"/>
  <c r="E429" i="14"/>
  <c r="E430" i="14"/>
  <c r="E431" i="14"/>
  <c r="E432" i="14"/>
  <c r="E433" i="14"/>
  <c r="E434" i="14"/>
  <c r="E435" i="14"/>
  <c r="E436" i="14"/>
  <c r="E437" i="14"/>
  <c r="E438" i="14"/>
  <c r="E439" i="14"/>
  <c r="E440" i="14"/>
  <c r="E441" i="14"/>
  <c r="E442" i="14"/>
  <c r="E443" i="14"/>
  <c r="E444" i="14"/>
  <c r="E445" i="14"/>
  <c r="E446" i="14"/>
  <c r="E447" i="14"/>
  <c r="E448" i="14"/>
  <c r="E449" i="14"/>
  <c r="E450" i="14"/>
  <c r="E451" i="14"/>
  <c r="E452" i="14"/>
  <c r="E453" i="14"/>
  <c r="E454" i="14"/>
  <c r="E455" i="14"/>
  <c r="E456" i="14"/>
  <c r="E457" i="14"/>
  <c r="E458" i="14"/>
  <c r="E459" i="14"/>
  <c r="E460" i="14"/>
  <c r="E461" i="14"/>
  <c r="E462" i="14"/>
  <c r="E463" i="14"/>
  <c r="E464" i="14"/>
  <c r="E465" i="14"/>
  <c r="E466" i="14"/>
  <c r="E467" i="14"/>
  <c r="E468" i="14"/>
  <c r="E469" i="14"/>
  <c r="E470" i="14"/>
  <c r="E471" i="14"/>
  <c r="E472" i="14"/>
  <c r="E473" i="14"/>
  <c r="E474" i="14"/>
  <c r="E475" i="14"/>
  <c r="E476" i="14"/>
  <c r="E477" i="14"/>
  <c r="E478" i="14"/>
  <c r="E479" i="14"/>
  <c r="E480" i="14"/>
  <c r="E481" i="14"/>
  <c r="E482" i="14"/>
  <c r="E483" i="14"/>
  <c r="E484" i="14"/>
  <c r="E485" i="14"/>
  <c r="E486" i="14"/>
  <c r="E487" i="14"/>
  <c r="E488" i="14"/>
  <c r="E489" i="14"/>
  <c r="E490" i="14"/>
  <c r="E491" i="14"/>
  <c r="E492" i="14"/>
  <c r="E493" i="14"/>
  <c r="E494" i="14"/>
  <c r="E495" i="14"/>
  <c r="E496" i="14"/>
  <c r="E497" i="14"/>
  <c r="E498" i="14"/>
  <c r="E499" i="14"/>
  <c r="E500" i="14"/>
  <c r="E501" i="14"/>
  <c r="E502" i="14"/>
  <c r="E503" i="14"/>
  <c r="E504" i="14"/>
  <c r="E505" i="14"/>
  <c r="E506" i="14"/>
  <c r="E507" i="14"/>
  <c r="E508" i="14"/>
  <c r="E509" i="14"/>
  <c r="E510" i="14"/>
  <c r="E511" i="14"/>
  <c r="E512" i="14"/>
  <c r="E513" i="14"/>
  <c r="E514" i="14"/>
  <c r="E515" i="14"/>
  <c r="E516" i="14"/>
  <c r="E517" i="14"/>
  <c r="E518" i="14"/>
  <c r="E519" i="14"/>
  <c r="E520" i="14"/>
  <c r="E521" i="14"/>
  <c r="E522" i="14"/>
  <c r="E523" i="14"/>
  <c r="E524" i="14"/>
  <c r="E525" i="14"/>
  <c r="E526" i="14"/>
  <c r="E527" i="14"/>
  <c r="E528" i="14"/>
  <c r="E529" i="14"/>
  <c r="E530" i="14"/>
  <c r="E531" i="14"/>
  <c r="E10" i="14"/>
  <c r="F26" i="11" l="1"/>
  <c r="L15" i="11"/>
  <c r="F27" i="11"/>
  <c r="H22" i="11"/>
  <c r="AE12" i="8" s="1"/>
  <c r="K15" i="11"/>
  <c r="K14" i="11"/>
  <c r="M14" i="11"/>
  <c r="H21" i="11" s="1"/>
  <c r="M13" i="11"/>
  <c r="H20" i="11" s="1"/>
  <c r="AF12" i="8" s="1"/>
  <c r="L14" i="11"/>
  <c r="L13" i="11"/>
  <c r="F25" i="11" s="1"/>
  <c r="M16" i="11"/>
  <c r="L16" i="11"/>
  <c r="E10" i="10" l="1"/>
  <c r="F10" i="10" s="1"/>
  <c r="D10" i="10"/>
  <c r="F7" i="10"/>
  <c r="G7" i="10" s="1"/>
  <c r="H7" i="10" s="1"/>
  <c r="I7" i="10" s="1"/>
  <c r="J4" i="9"/>
  <c r="K4" i="9" s="1"/>
  <c r="L4" i="9" s="1"/>
  <c r="M4" i="9" s="1"/>
  <c r="D28" i="4"/>
  <c r="H25" i="6"/>
  <c r="I22" i="6" s="1"/>
  <c r="G10" i="10" l="1"/>
  <c r="F12" i="10"/>
  <c r="F11" i="10"/>
  <c r="E12" i="10"/>
  <c r="E11" i="10"/>
  <c r="D11" i="10"/>
  <c r="K53" i="3"/>
  <c r="L53" i="3" s="1"/>
  <c r="M53" i="3" s="1"/>
  <c r="N53" i="3" s="1"/>
  <c r="J53" i="3"/>
  <c r="J51" i="3"/>
  <c r="K51" i="3" s="1"/>
  <c r="L51" i="3" s="1"/>
  <c r="M51" i="3" s="1"/>
  <c r="N51" i="3" s="1"/>
  <c r="J50" i="3"/>
  <c r="K50" i="3" s="1"/>
  <c r="L50" i="3" s="1"/>
  <c r="M50" i="3" s="1"/>
  <c r="N50" i="3" s="1"/>
  <c r="J48" i="3"/>
  <c r="K48" i="3" s="1"/>
  <c r="L48" i="3" s="1"/>
  <c r="M48" i="3" s="1"/>
  <c r="N48" i="3" s="1"/>
  <c r="J43" i="3"/>
  <c r="K43" i="3" s="1"/>
  <c r="L43" i="3" s="1"/>
  <c r="M43" i="3" s="1"/>
  <c r="N43" i="3" s="1"/>
  <c r="K42" i="3"/>
  <c r="L42" i="3" s="1"/>
  <c r="M42" i="3" s="1"/>
  <c r="N42" i="3" s="1"/>
  <c r="J42" i="3"/>
  <c r="J35" i="3"/>
  <c r="K35" i="3" s="1"/>
  <c r="L35" i="3" s="1"/>
  <c r="M35" i="3" s="1"/>
  <c r="N35" i="3" s="1"/>
  <c r="H10" i="10" l="1"/>
  <c r="H11" i="10" s="1"/>
  <c r="G11" i="10"/>
  <c r="G12" i="10"/>
  <c r="K28" i="3"/>
  <c r="L28" i="3" s="1"/>
  <c r="M28" i="3" s="1"/>
  <c r="N28" i="3" s="1"/>
  <c r="J28" i="3"/>
  <c r="J25" i="3"/>
  <c r="K25" i="3" s="1"/>
  <c r="L25" i="3" s="1"/>
  <c r="M25" i="3" s="1"/>
  <c r="N25" i="3" s="1"/>
  <c r="J20" i="3"/>
  <c r="K20" i="3" s="1"/>
  <c r="L20" i="3" s="1"/>
  <c r="M20" i="3" s="1"/>
  <c r="N20" i="3" s="1"/>
  <c r="J19" i="3"/>
  <c r="K19" i="3" s="1"/>
  <c r="L19" i="3" s="1"/>
  <c r="M19" i="3" s="1"/>
  <c r="N19" i="3" s="1"/>
  <c r="J18" i="3"/>
  <c r="K18" i="3" s="1"/>
  <c r="L18" i="3" s="1"/>
  <c r="M18" i="3" s="1"/>
  <c r="N18" i="3" s="1"/>
  <c r="K17" i="3"/>
  <c r="L17" i="3" s="1"/>
  <c r="M17" i="3" s="1"/>
  <c r="N17" i="3" s="1"/>
  <c r="J17" i="3"/>
  <c r="J15" i="3"/>
  <c r="K15" i="3" s="1"/>
  <c r="L15" i="3" s="1"/>
  <c r="M15" i="3" s="1"/>
  <c r="N15" i="3" s="1"/>
  <c r="J14" i="3"/>
  <c r="K14" i="3" s="1"/>
  <c r="L14" i="3" s="1"/>
  <c r="M14" i="3" s="1"/>
  <c r="N14" i="3" s="1"/>
  <c r="J13" i="3"/>
  <c r="K13" i="3" s="1"/>
  <c r="L13" i="3" s="1"/>
  <c r="M13" i="3" s="1"/>
  <c r="N13" i="3" s="1"/>
  <c r="K12" i="3"/>
  <c r="L12" i="3" s="1"/>
  <c r="M12" i="3" s="1"/>
  <c r="N12" i="3" s="1"/>
  <c r="J12" i="3"/>
  <c r="J11" i="3"/>
  <c r="K11" i="3" s="1"/>
  <c r="L11" i="3" s="1"/>
  <c r="M11" i="3" s="1"/>
  <c r="N11" i="3" s="1"/>
  <c r="F11" i="5"/>
  <c r="G11" i="5"/>
  <c r="H11" i="5"/>
  <c r="I11" i="5"/>
  <c r="E11" i="5"/>
  <c r="J18" i="2"/>
  <c r="K18" i="2" s="1"/>
  <c r="L18" i="2" s="1"/>
  <c r="M18" i="2" s="1"/>
  <c r="N18" i="2" s="1"/>
  <c r="E18" i="6"/>
  <c r="F18" i="6"/>
  <c r="G18" i="6"/>
  <c r="H18" i="6"/>
  <c r="D18" i="6"/>
  <c r="E14" i="6"/>
  <c r="F14" i="6"/>
  <c r="G14" i="6"/>
  <c r="H14" i="6"/>
  <c r="I14" i="6" s="1"/>
  <c r="J41" i="3" s="1"/>
  <c r="J44" i="3" s="1"/>
  <c r="E15" i="6"/>
  <c r="F15" i="6"/>
  <c r="G15" i="6"/>
  <c r="H15" i="6"/>
  <c r="I15" i="6" s="1"/>
  <c r="E16" i="6"/>
  <c r="F16" i="6"/>
  <c r="F19" i="6" s="1"/>
  <c r="G16" i="6"/>
  <c r="G19" i="6" s="1"/>
  <c r="H16" i="6"/>
  <c r="D14" i="6"/>
  <c r="D16" i="6" s="1"/>
  <c r="D19" i="6" s="1"/>
  <c r="D15" i="6"/>
  <c r="E5" i="6"/>
  <c r="F7" i="6"/>
  <c r="G7" i="6"/>
  <c r="H7" i="6"/>
  <c r="E7" i="6"/>
  <c r="E11" i="6" s="1"/>
  <c r="E8" i="6"/>
  <c r="F5" i="6" s="1"/>
  <c r="F6" i="6" s="1"/>
  <c r="F10" i="6" s="1"/>
  <c r="F8" i="6"/>
  <c r="G5" i="6" s="1"/>
  <c r="G6" i="6" s="1"/>
  <c r="G10" i="6" s="1"/>
  <c r="G8" i="6"/>
  <c r="H5" i="6" s="1"/>
  <c r="H8" i="6"/>
  <c r="I5" i="6" s="1"/>
  <c r="D8" i="6"/>
  <c r="J4" i="6"/>
  <c r="K4" i="6" s="1"/>
  <c r="L4" i="6" s="1"/>
  <c r="M4" i="6" s="1"/>
  <c r="F4" i="6"/>
  <c r="G4" i="6" s="1"/>
  <c r="H4" i="6" s="1"/>
  <c r="E4" i="6"/>
  <c r="E25" i="5"/>
  <c r="F25" i="5" s="1"/>
  <c r="F22" i="5"/>
  <c r="G22" i="5" s="1"/>
  <c r="H22" i="5" s="1"/>
  <c r="I22" i="5" s="1"/>
  <c r="Q9" i="5"/>
  <c r="M9" i="5"/>
  <c r="L9" i="5"/>
  <c r="F18" i="5"/>
  <c r="G18" i="5"/>
  <c r="H18" i="5"/>
  <c r="I18" i="5"/>
  <c r="E18" i="5"/>
  <c r="F17" i="5"/>
  <c r="G17" i="5"/>
  <c r="H17" i="5"/>
  <c r="I17" i="5"/>
  <c r="E17" i="5"/>
  <c r="F16" i="5"/>
  <c r="G16" i="5"/>
  <c r="H16" i="5"/>
  <c r="I16" i="5"/>
  <c r="E16" i="5"/>
  <c r="F13" i="5"/>
  <c r="G13" i="5"/>
  <c r="H13" i="5"/>
  <c r="I13" i="5"/>
  <c r="E13" i="5"/>
  <c r="F14" i="5"/>
  <c r="G14" i="5"/>
  <c r="H14" i="5"/>
  <c r="I14" i="5"/>
  <c r="E14" i="5"/>
  <c r="E6" i="6" l="1"/>
  <c r="E10" i="6" s="1"/>
  <c r="H6" i="6"/>
  <c r="H10" i="6" s="1"/>
  <c r="H11" i="6"/>
  <c r="G11" i="6"/>
  <c r="I11" i="6" s="1"/>
  <c r="J11" i="6" s="1"/>
  <c r="K11" i="6" s="1"/>
  <c r="L11" i="6" s="1"/>
  <c r="M11" i="6" s="1"/>
  <c r="J13" i="5"/>
  <c r="F11" i="6"/>
  <c r="H19" i="6"/>
  <c r="J15" i="6"/>
  <c r="J47" i="3"/>
  <c r="E26" i="5"/>
  <c r="I10" i="6"/>
  <c r="J10" i="6" s="1"/>
  <c r="K10" i="6" s="1"/>
  <c r="L10" i="6" s="1"/>
  <c r="M10" i="6" s="1"/>
  <c r="E19" i="6"/>
  <c r="I19" i="6" s="1"/>
  <c r="K47" i="3"/>
  <c r="K15" i="6"/>
  <c r="J14" i="6"/>
  <c r="H26" i="11"/>
  <c r="H25" i="11"/>
  <c r="AF11" i="8" s="1"/>
  <c r="H27" i="11"/>
  <c r="AE11" i="8" s="1"/>
  <c r="D33" i="10"/>
  <c r="I16" i="6"/>
  <c r="J16" i="5"/>
  <c r="J11" i="5"/>
  <c r="J15" i="12" s="1"/>
  <c r="J14" i="5"/>
  <c r="J17" i="5"/>
  <c r="J18" i="5"/>
  <c r="H12" i="10"/>
  <c r="I10" i="10"/>
  <c r="I12" i="10" s="1"/>
  <c r="F27" i="5"/>
  <c r="E27" i="5"/>
  <c r="E24" i="5"/>
  <c r="J8" i="2" s="1"/>
  <c r="G25" i="5"/>
  <c r="F26" i="5"/>
  <c r="F24" i="5" s="1"/>
  <c r="F9" i="5"/>
  <c r="G9" i="5"/>
  <c r="H9" i="5"/>
  <c r="I9" i="5"/>
  <c r="F10" i="5"/>
  <c r="G10" i="5"/>
  <c r="H10" i="5"/>
  <c r="I10" i="5"/>
  <c r="E10" i="5"/>
  <c r="E9" i="5"/>
  <c r="F8" i="5"/>
  <c r="G8" i="5"/>
  <c r="H8" i="5"/>
  <c r="I8" i="5"/>
  <c r="E8" i="5"/>
  <c r="F7" i="5"/>
  <c r="G7" i="5"/>
  <c r="H7" i="5"/>
  <c r="I7" i="5"/>
  <c r="E7" i="5"/>
  <c r="G6" i="5"/>
  <c r="H6" i="5"/>
  <c r="I6" i="5"/>
  <c r="F6" i="5"/>
  <c r="G4" i="5"/>
  <c r="H4" i="5" s="1"/>
  <c r="I4" i="5" s="1"/>
  <c r="F4" i="5"/>
  <c r="K6" i="3"/>
  <c r="L6" i="3" s="1"/>
  <c r="M6" i="3" s="1"/>
  <c r="N6" i="3" s="1"/>
  <c r="E6" i="4"/>
  <c r="F6" i="4" s="1"/>
  <c r="G6" i="4" s="1"/>
  <c r="H6" i="4" s="1"/>
  <c r="K6" i="2"/>
  <c r="L6" i="2" s="1"/>
  <c r="M6" i="2" s="1"/>
  <c r="N6" i="2" s="1"/>
  <c r="E6" i="3"/>
  <c r="F6" i="3" s="1"/>
  <c r="G6" i="3" s="1"/>
  <c r="H6" i="3" s="1"/>
  <c r="E6" i="2"/>
  <c r="F6" i="2" s="1"/>
  <c r="G6" i="2" s="1"/>
  <c r="H6" i="2" s="1"/>
  <c r="I18" i="6" l="1"/>
  <c r="J17" i="2" s="1"/>
  <c r="K41" i="3"/>
  <c r="K44" i="3" s="1"/>
  <c r="K14" i="6"/>
  <c r="J16" i="6"/>
  <c r="L47" i="3"/>
  <c r="L15" i="6"/>
  <c r="J14" i="12"/>
  <c r="J16" i="12" s="1"/>
  <c r="J19" i="6"/>
  <c r="K19" i="6" s="1"/>
  <c r="L19" i="6" s="1"/>
  <c r="M19" i="6" s="1"/>
  <c r="J9" i="5"/>
  <c r="J11" i="2" s="1"/>
  <c r="J10" i="5"/>
  <c r="J12" i="2" s="1"/>
  <c r="J7" i="5"/>
  <c r="J13" i="2" s="1"/>
  <c r="J8" i="5"/>
  <c r="E32" i="5" s="1"/>
  <c r="J29" i="3"/>
  <c r="D14" i="4" s="1"/>
  <c r="K8" i="2"/>
  <c r="I6" i="6"/>
  <c r="J26" i="3"/>
  <c r="D13" i="4" s="1"/>
  <c r="I11" i="10"/>
  <c r="H25" i="5"/>
  <c r="G27" i="5"/>
  <c r="G26" i="5"/>
  <c r="G24" i="5" s="1"/>
  <c r="L41" i="3" l="1"/>
  <c r="L44" i="3" s="1"/>
  <c r="L14" i="6"/>
  <c r="K16" i="6"/>
  <c r="K18" i="6" s="1"/>
  <c r="L17" i="2" s="1"/>
  <c r="J18" i="6"/>
  <c r="K17" i="2" s="1"/>
  <c r="M47" i="3"/>
  <c r="M15" i="6"/>
  <c r="N47" i="3" s="1"/>
  <c r="E34" i="5"/>
  <c r="F32" i="5"/>
  <c r="E33" i="5"/>
  <c r="E31" i="5" s="1"/>
  <c r="J9" i="2" s="1"/>
  <c r="J23" i="3" s="1"/>
  <c r="D21" i="4"/>
  <c r="D22" i="4" s="1"/>
  <c r="I12" i="9"/>
  <c r="I7" i="6"/>
  <c r="J15" i="2" s="1"/>
  <c r="K29" i="3"/>
  <c r="E14" i="4" s="1"/>
  <c r="K11" i="2"/>
  <c r="K26" i="3"/>
  <c r="E13" i="4" s="1"/>
  <c r="K12" i="2"/>
  <c r="L8" i="2"/>
  <c r="J6" i="6"/>
  <c r="K13" i="2"/>
  <c r="I25" i="5"/>
  <c r="H27" i="5"/>
  <c r="H26" i="5"/>
  <c r="H24" i="5" s="1"/>
  <c r="L16" i="6" l="1"/>
  <c r="L18" i="6" s="1"/>
  <c r="M17" i="2" s="1"/>
  <c r="M41" i="3"/>
  <c r="M44" i="3" s="1"/>
  <c r="M14" i="6"/>
  <c r="J52" i="3"/>
  <c r="D16" i="4" s="1"/>
  <c r="J49" i="3"/>
  <c r="J10" i="2"/>
  <c r="J14" i="2" s="1"/>
  <c r="J16" i="2" s="1"/>
  <c r="G32" i="5"/>
  <c r="F34" i="5"/>
  <c r="F33" i="5"/>
  <c r="F31" i="5" s="1"/>
  <c r="K9" i="2" s="1"/>
  <c r="K10" i="2" s="1"/>
  <c r="D15" i="4"/>
  <c r="E21" i="4"/>
  <c r="E22" i="4" s="1"/>
  <c r="J12" i="9"/>
  <c r="K52" i="3"/>
  <c r="I8" i="6"/>
  <c r="D12" i="4"/>
  <c r="M8" i="2"/>
  <c r="L26" i="3"/>
  <c r="F13" i="4" s="1"/>
  <c r="L12" i="2"/>
  <c r="L29" i="3"/>
  <c r="F14" i="4" s="1"/>
  <c r="L11" i="2"/>
  <c r="K6" i="6"/>
  <c r="L13" i="2"/>
  <c r="K14" i="2"/>
  <c r="D10" i="4"/>
  <c r="I11" i="9"/>
  <c r="I27" i="5"/>
  <c r="I26" i="5"/>
  <c r="J19" i="2" l="1"/>
  <c r="I8" i="9"/>
  <c r="J54" i="3"/>
  <c r="J55" i="3" s="1"/>
  <c r="E16" i="4"/>
  <c r="K23" i="3"/>
  <c r="E12" i="4" s="1"/>
  <c r="M16" i="6"/>
  <c r="M18" i="6" s="1"/>
  <c r="N17" i="2" s="1"/>
  <c r="N41" i="3"/>
  <c r="N44" i="3" s="1"/>
  <c r="I5" i="9"/>
  <c r="E14" i="10" s="1"/>
  <c r="K49" i="3"/>
  <c r="E15" i="4" s="1"/>
  <c r="G33" i="5"/>
  <c r="G31" i="5" s="1"/>
  <c r="L9" i="2" s="1"/>
  <c r="L10" i="2" s="1"/>
  <c r="L14" i="2" s="1"/>
  <c r="H32" i="5"/>
  <c r="G34" i="5"/>
  <c r="I24" i="5"/>
  <c r="N8" i="2" s="1"/>
  <c r="J10" i="3"/>
  <c r="J21" i="3" s="1"/>
  <c r="J5" i="6"/>
  <c r="J5" i="9"/>
  <c r="F14" i="10" s="1"/>
  <c r="F21" i="4"/>
  <c r="F22" i="4" s="1"/>
  <c r="K12" i="9"/>
  <c r="J21" i="2"/>
  <c r="J23" i="2" s="1"/>
  <c r="L6" i="6"/>
  <c r="M13" i="2"/>
  <c r="M26" i="3"/>
  <c r="G13" i="4" s="1"/>
  <c r="M12" i="2"/>
  <c r="M29" i="3"/>
  <c r="G14" i="4" s="1"/>
  <c r="M11" i="2"/>
  <c r="I9" i="9"/>
  <c r="I10" i="9" s="1"/>
  <c r="D17" i="4"/>
  <c r="K5" i="9" l="1"/>
  <c r="G14" i="10" s="1"/>
  <c r="L23" i="3"/>
  <c r="F12" i="4" s="1"/>
  <c r="L52" i="3"/>
  <c r="F16" i="4" s="1"/>
  <c r="K54" i="3"/>
  <c r="K55" i="3" s="1"/>
  <c r="L49" i="3"/>
  <c r="F15" i="4" s="1"/>
  <c r="I32" i="5"/>
  <c r="H34" i="5"/>
  <c r="H33" i="5"/>
  <c r="H31" i="5" s="1"/>
  <c r="M9" i="2" s="1"/>
  <c r="M23" i="3" s="1"/>
  <c r="E17" i="4"/>
  <c r="J13" i="9" s="1"/>
  <c r="I13" i="9"/>
  <c r="I14" i="9" s="1"/>
  <c r="E15" i="10" s="1"/>
  <c r="E25" i="10" s="1"/>
  <c r="D9" i="4"/>
  <c r="D18" i="4" s="1"/>
  <c r="I23" i="6"/>
  <c r="L12" i="9"/>
  <c r="G21" i="4"/>
  <c r="G22" i="4" s="1"/>
  <c r="M6" i="6"/>
  <c r="N13" i="2"/>
  <c r="N29" i="3"/>
  <c r="H14" i="4" s="1"/>
  <c r="N11" i="2"/>
  <c r="N26" i="3"/>
  <c r="H13" i="4" s="1"/>
  <c r="N12" i="2"/>
  <c r="J7" i="6"/>
  <c r="K15" i="2" s="1"/>
  <c r="K16" i="2" s="1"/>
  <c r="K19" i="2" l="1"/>
  <c r="L54" i="3"/>
  <c r="L55" i="3" s="1"/>
  <c r="M49" i="3"/>
  <c r="G15" i="4" s="1"/>
  <c r="M52" i="3"/>
  <c r="G16" i="4" s="1"/>
  <c r="M10" i="2"/>
  <c r="M14" i="2" s="1"/>
  <c r="I33" i="5"/>
  <c r="I31" i="5" s="1"/>
  <c r="N9" i="2" s="1"/>
  <c r="N23" i="3" s="1"/>
  <c r="I34" i="5"/>
  <c r="J8" i="6"/>
  <c r="K10" i="3" s="1"/>
  <c r="K21" i="3" s="1"/>
  <c r="F17" i="4"/>
  <c r="E10" i="4"/>
  <c r="J11" i="9"/>
  <c r="J8" i="9"/>
  <c r="I24" i="6"/>
  <c r="D25" i="4" s="1"/>
  <c r="D26" i="4" s="1"/>
  <c r="D29" i="4" s="1"/>
  <c r="D30" i="4" s="1"/>
  <c r="G12" i="4"/>
  <c r="M12" i="9"/>
  <c r="H21" i="4"/>
  <c r="H22" i="4" s="1"/>
  <c r="L5" i="9" l="1"/>
  <c r="H14" i="10" s="1"/>
  <c r="M54" i="3"/>
  <c r="M55" i="3" s="1"/>
  <c r="N10" i="2"/>
  <c r="N14" i="2" s="1"/>
  <c r="N49" i="3"/>
  <c r="H15" i="4" s="1"/>
  <c r="N52" i="3"/>
  <c r="H16" i="4" s="1"/>
  <c r="K5" i="6"/>
  <c r="K7" i="6" s="1"/>
  <c r="L15" i="2" s="1"/>
  <c r="L16" i="2" s="1"/>
  <c r="I25" i="6"/>
  <c r="J36" i="3" s="1"/>
  <c r="J37" i="3" s="1"/>
  <c r="G17" i="4"/>
  <c r="L13" i="9" s="1"/>
  <c r="E28" i="4"/>
  <c r="J27" i="3"/>
  <c r="J30" i="3" s="1"/>
  <c r="J31" i="3" s="1"/>
  <c r="K21" i="2"/>
  <c r="K23" i="2" s="1"/>
  <c r="J9" i="9"/>
  <c r="J10" i="9" s="1"/>
  <c r="J14" i="9" s="1"/>
  <c r="F15" i="10" s="1"/>
  <c r="F25" i="10" s="1"/>
  <c r="H12" i="4"/>
  <c r="K13" i="9"/>
  <c r="M5" i="9" l="1"/>
  <c r="I14" i="10" s="1"/>
  <c r="I18" i="10" s="1"/>
  <c r="L19" i="2"/>
  <c r="N54" i="3"/>
  <c r="N55" i="3" s="1"/>
  <c r="J22" i="6"/>
  <c r="K8" i="6"/>
  <c r="L5" i="6" s="1"/>
  <c r="E9" i="4"/>
  <c r="E18" i="4" s="1"/>
  <c r="J23" i="6"/>
  <c r="J24" i="6" s="1"/>
  <c r="E25" i="4" s="1"/>
  <c r="E26" i="4" s="1"/>
  <c r="K11" i="9"/>
  <c r="F10" i="4"/>
  <c r="K8" i="9"/>
  <c r="L21" i="2"/>
  <c r="L23" i="2" s="1"/>
  <c r="J56" i="3"/>
  <c r="J58" i="3" s="1"/>
  <c r="J9" i="12"/>
  <c r="H17" i="4"/>
  <c r="L10" i="3" l="1"/>
  <c r="L21" i="3" s="1"/>
  <c r="J25" i="6"/>
  <c r="K22" i="6" s="1"/>
  <c r="L7" i="6"/>
  <c r="M15" i="2" s="1"/>
  <c r="M16" i="2" s="1"/>
  <c r="M13" i="9"/>
  <c r="J10" i="12"/>
  <c r="J26" i="12" s="1"/>
  <c r="Q27" i="5" s="1"/>
  <c r="Q18" i="5" s="1"/>
  <c r="F9" i="4"/>
  <c r="F18" i="4" s="1"/>
  <c r="K23" i="6"/>
  <c r="K24" i="6" s="1"/>
  <c r="F25" i="4" s="1"/>
  <c r="F26" i="4" s="1"/>
  <c r="K9" i="9"/>
  <c r="K10" i="9" s="1"/>
  <c r="K14" i="9" s="1"/>
  <c r="G15" i="10" s="1"/>
  <c r="G25" i="10" s="1"/>
  <c r="E29" i="4"/>
  <c r="E30" i="4" s="1"/>
  <c r="M19" i="2" l="1"/>
  <c r="M21" i="2" s="1"/>
  <c r="M23" i="2" s="1"/>
  <c r="K36" i="3"/>
  <c r="K37" i="3" s="1"/>
  <c r="K56" i="3" s="1"/>
  <c r="L8" i="6"/>
  <c r="M5" i="6" s="1"/>
  <c r="F29" i="4"/>
  <c r="F28" i="4"/>
  <c r="K27" i="3"/>
  <c r="K30" i="3" s="1"/>
  <c r="K31" i="3" s="1"/>
  <c r="K25" i="6"/>
  <c r="L11" i="9"/>
  <c r="G10" i="4"/>
  <c r="L8" i="9"/>
  <c r="M10" i="3" l="1"/>
  <c r="M21" i="3" s="1"/>
  <c r="K58" i="3"/>
  <c r="M7" i="6"/>
  <c r="N15" i="2" s="1"/>
  <c r="N16" i="2" s="1"/>
  <c r="G9" i="4"/>
  <c r="G18" i="4" s="1"/>
  <c r="L23" i="6"/>
  <c r="L24" i="6" s="1"/>
  <c r="G25" i="4" s="1"/>
  <c r="G26" i="4" s="1"/>
  <c r="L9" i="9"/>
  <c r="L10" i="9" s="1"/>
  <c r="L14" i="9" s="1"/>
  <c r="H15" i="10" s="1"/>
  <c r="H25" i="10" s="1"/>
  <c r="L22" i="6"/>
  <c r="L36" i="3"/>
  <c r="L37" i="3" s="1"/>
  <c r="L56" i="3" s="1"/>
  <c r="F30" i="4"/>
  <c r="N19" i="2" l="1"/>
  <c r="M8" i="6"/>
  <c r="N10" i="3" s="1"/>
  <c r="N21" i="3" s="1"/>
  <c r="L25" i="6"/>
  <c r="M22" i="6" s="1"/>
  <c r="G29" i="4"/>
  <c r="G28" i="4"/>
  <c r="L27" i="3"/>
  <c r="L30" i="3" s="1"/>
  <c r="L31" i="3" s="1"/>
  <c r="L58" i="3" s="1"/>
  <c r="M11" i="9"/>
  <c r="H10" i="4"/>
  <c r="M8" i="9"/>
  <c r="N21" i="2"/>
  <c r="N23" i="2" s="1"/>
  <c r="M36" i="3" l="1"/>
  <c r="M37" i="3" s="1"/>
  <c r="M56" i="3" s="1"/>
  <c r="M23" i="6"/>
  <c r="M24" i="6" s="1"/>
  <c r="H25" i="4" s="1"/>
  <c r="H26" i="4" s="1"/>
  <c r="H9" i="4"/>
  <c r="H18" i="4" s="1"/>
  <c r="M9" i="9"/>
  <c r="M10" i="9" s="1"/>
  <c r="M14" i="9" s="1"/>
  <c r="I15" i="10" s="1"/>
  <c r="G30" i="4"/>
  <c r="H29" i="4" l="1"/>
  <c r="H28" i="4"/>
  <c r="M27" i="3"/>
  <c r="M30" i="3" s="1"/>
  <c r="M31" i="3" s="1"/>
  <c r="M58" i="3" s="1"/>
  <c r="I19" i="10"/>
  <c r="I25" i="10"/>
  <c r="D29" i="10" s="1"/>
  <c r="M25" i="6"/>
  <c r="N36" i="3" s="1"/>
  <c r="N37" i="3" s="1"/>
  <c r="N56" i="3" s="1"/>
  <c r="I20" i="10" l="1"/>
  <c r="I23" i="10"/>
  <c r="I26" i="10" s="1"/>
  <c r="D30" i="10" s="1"/>
  <c r="C58" i="10" s="1"/>
  <c r="C57" i="10"/>
  <c r="H30" i="4"/>
  <c r="N27" i="3" s="1"/>
  <c r="N30" i="3" s="1"/>
  <c r="N31" i="3" s="1"/>
  <c r="N58" i="3" s="1"/>
  <c r="D31" i="10" l="1"/>
  <c r="C59" i="10" s="1"/>
  <c r="D34" i="10"/>
  <c r="D36" i="10" s="1"/>
  <c r="AH11" i="8" l="1"/>
  <c r="AJ11" i="8" s="1"/>
  <c r="AI10" i="8"/>
  <c r="AI11" i="8" s="1"/>
</calcChain>
</file>

<file path=xl/sharedStrings.xml><?xml version="1.0" encoding="utf-8"?>
<sst xmlns="http://schemas.openxmlformats.org/spreadsheetml/2006/main" count="319" uniqueCount="247">
  <si>
    <t>Income Statement - Trident</t>
  </si>
  <si>
    <t>(All figures in Rs millions)</t>
  </si>
  <si>
    <t xml:space="preserve">Actual </t>
  </si>
  <si>
    <t>Forecast</t>
  </si>
  <si>
    <t>Fiscal Year End</t>
  </si>
  <si>
    <t>Revenue From Operations</t>
  </si>
  <si>
    <t>Cost of Goods Sold</t>
  </si>
  <si>
    <t>Gross Profit</t>
  </si>
  <si>
    <t>Employee Benefit Expense</t>
  </si>
  <si>
    <t>Other Expenses</t>
  </si>
  <si>
    <t>Other Income</t>
  </si>
  <si>
    <t>EBITDA</t>
  </si>
  <si>
    <t>Depreciaition and Amortization Expenses</t>
  </si>
  <si>
    <t>Finance Cost</t>
  </si>
  <si>
    <t>Exceptional Items</t>
  </si>
  <si>
    <t>PBT</t>
  </si>
  <si>
    <t>Tax Expenses</t>
  </si>
  <si>
    <t xml:space="preserve">Net Income </t>
  </si>
  <si>
    <t>ASSETS</t>
  </si>
  <si>
    <t>Non Current Assets</t>
  </si>
  <si>
    <t>Property,Plant and Equipment</t>
  </si>
  <si>
    <t>Capital Work in Progress</t>
  </si>
  <si>
    <t>Intangible Assets</t>
  </si>
  <si>
    <t>Right of Use of Assets</t>
  </si>
  <si>
    <t>Intangible assets under development</t>
  </si>
  <si>
    <t>Investments in Subsidiaries and associates</t>
  </si>
  <si>
    <t>Financial Assets</t>
  </si>
  <si>
    <t>Investments</t>
  </si>
  <si>
    <t>Other Financial assets</t>
  </si>
  <si>
    <t>Non-Current Tax Asset (net)</t>
  </si>
  <si>
    <t>Other Non Current Assets</t>
  </si>
  <si>
    <t>Total Non Current Assets</t>
  </si>
  <si>
    <t>Current Assets</t>
  </si>
  <si>
    <t>Inventories</t>
  </si>
  <si>
    <t>Trade Receivables</t>
  </si>
  <si>
    <t>Cash and Cash Equivivalents</t>
  </si>
  <si>
    <t>Others Financial assets</t>
  </si>
  <si>
    <t>Other Current Assets</t>
  </si>
  <si>
    <t>Total Current Assets</t>
  </si>
  <si>
    <t>TOTAL ASSETS</t>
  </si>
  <si>
    <t>EQUITY AND LIABILITIES</t>
  </si>
  <si>
    <t>Equity</t>
  </si>
  <si>
    <t>Equity Share Capital</t>
  </si>
  <si>
    <t>Other Equity</t>
  </si>
  <si>
    <t>Total Equity</t>
  </si>
  <si>
    <t>Liabilities</t>
  </si>
  <si>
    <t>Non Current Liabilities</t>
  </si>
  <si>
    <t>Financial Liabiities</t>
  </si>
  <si>
    <t xml:space="preserve">Borrowings </t>
  </si>
  <si>
    <t>Lease Liabilities</t>
  </si>
  <si>
    <t>Deffered Tax liablities (Net)</t>
  </si>
  <si>
    <t>Total Non Current Liabilities</t>
  </si>
  <si>
    <t>Current Liabilities</t>
  </si>
  <si>
    <t>Trade Payables</t>
  </si>
  <si>
    <t>Other Financial Liabilities</t>
  </si>
  <si>
    <t>Provisions</t>
  </si>
  <si>
    <t>Other current liabilities</t>
  </si>
  <si>
    <t>Current Tax Liabilities (Net)</t>
  </si>
  <si>
    <t>Total Current Liabilities</t>
  </si>
  <si>
    <t>Total Liabilities</t>
  </si>
  <si>
    <t>Total Equity and Liabilities</t>
  </si>
  <si>
    <t>Balance Sheet - Trident</t>
  </si>
  <si>
    <t>Net Income</t>
  </si>
  <si>
    <t>Change in Working Capital</t>
  </si>
  <si>
    <t>Net Change in Working Capital</t>
  </si>
  <si>
    <t>Cash Flow From Operations</t>
  </si>
  <si>
    <t>Dividend Paid</t>
  </si>
  <si>
    <t>Net Change in Cash</t>
  </si>
  <si>
    <t>Closing balance</t>
  </si>
  <si>
    <t>Add : Depriciation</t>
  </si>
  <si>
    <t xml:space="preserve">Cash Flow From Investing </t>
  </si>
  <si>
    <t>Capital Expenditure</t>
  </si>
  <si>
    <t xml:space="preserve">Cash Flow From Financing </t>
  </si>
  <si>
    <t>Cash Flow From Financing</t>
  </si>
  <si>
    <t>Opening Balance of Cash and Cash Equivalents</t>
  </si>
  <si>
    <t>Assumptions</t>
  </si>
  <si>
    <t>Common Size Summary and Historical analysis</t>
  </si>
  <si>
    <t>Other Income (as a % of Sales)</t>
  </si>
  <si>
    <t>Employee Benefit Expenses</t>
  </si>
  <si>
    <t>Tax Rate</t>
  </si>
  <si>
    <t>Forecasted</t>
  </si>
  <si>
    <t>Inventory Days</t>
  </si>
  <si>
    <t>Accounts Receivable Days</t>
  </si>
  <si>
    <t>Accounts Payable Days</t>
  </si>
  <si>
    <t>Other Current Liabilities</t>
  </si>
  <si>
    <t>Other Current assets (% of Revenue)</t>
  </si>
  <si>
    <t>Revenue Growth</t>
  </si>
  <si>
    <t>Base Case</t>
  </si>
  <si>
    <t>Bull Case</t>
  </si>
  <si>
    <t>Scenario Selection Toggle</t>
  </si>
  <si>
    <t>Base</t>
  </si>
  <si>
    <t>Bull</t>
  </si>
  <si>
    <t xml:space="preserve">Base (+) 8%. </t>
  </si>
  <si>
    <t>Bear</t>
  </si>
  <si>
    <t xml:space="preserve">Base (-) 8%. </t>
  </si>
  <si>
    <t>Based on Demonstrated Historical Growth</t>
  </si>
  <si>
    <t>Scenario</t>
  </si>
  <si>
    <t xml:space="preserve">Choose Scenario here </t>
  </si>
  <si>
    <t>&lt;-----------</t>
  </si>
  <si>
    <t>Base Case Annual Growth Taper</t>
  </si>
  <si>
    <t>Bull Case Growth (+ Base %)</t>
  </si>
  <si>
    <t>Bear Case Growth (- Base %)</t>
  </si>
  <si>
    <t>Live Case</t>
  </si>
  <si>
    <t>Bear Case</t>
  </si>
  <si>
    <t>Sensitivity Tab</t>
  </si>
  <si>
    <t>Input</t>
  </si>
  <si>
    <t xml:space="preserve">Put Your Assumption here </t>
  </si>
  <si>
    <t>WACC</t>
  </si>
  <si>
    <t>Terminal Value : EBITDA Multiple</t>
  </si>
  <si>
    <t>Base Annual Growth Taper</t>
  </si>
  <si>
    <t>Forecasted Sales Growth</t>
  </si>
  <si>
    <t>Cash flow Statement - Trident</t>
  </si>
  <si>
    <t>Supporting Schedules</t>
  </si>
  <si>
    <t>PP&amp;E Schedule</t>
  </si>
  <si>
    <t>Opening Balance</t>
  </si>
  <si>
    <t>Depreciation</t>
  </si>
  <si>
    <t>Closing Balance</t>
  </si>
  <si>
    <t>Capital Expenditure as % of Revenue</t>
  </si>
  <si>
    <t>Debt Schedule</t>
  </si>
  <si>
    <t>Long Term Borrowing</t>
  </si>
  <si>
    <t>Short Term Borrowing</t>
  </si>
  <si>
    <t>Total Debt</t>
  </si>
  <si>
    <t>% of Debt</t>
  </si>
  <si>
    <t>Retained Earnings</t>
  </si>
  <si>
    <t>Dividends</t>
  </si>
  <si>
    <t>Divedend Payout Ratio (5 Year Average)</t>
  </si>
  <si>
    <t>Check</t>
  </si>
  <si>
    <t>FCFF- Trident</t>
  </si>
  <si>
    <t>Determination of  EBITDA &amp; Free Cash Flow</t>
  </si>
  <si>
    <t>Free cash Flow to Firm (FCFF)</t>
  </si>
  <si>
    <t>EBIT</t>
  </si>
  <si>
    <t>Operating Taxes</t>
  </si>
  <si>
    <t>NOPAT</t>
  </si>
  <si>
    <t>Add : Depreciation</t>
  </si>
  <si>
    <t>Less : Capex</t>
  </si>
  <si>
    <t>Add : Net Change in Working Capital</t>
  </si>
  <si>
    <t>FCFF</t>
  </si>
  <si>
    <t>Discounted Cash Flow (DCF) Analysis</t>
  </si>
  <si>
    <t>Fiscal Year</t>
  </si>
  <si>
    <t>Discounted Cash Flow Analysis</t>
  </si>
  <si>
    <t>Valuation Date</t>
  </si>
  <si>
    <t>Time Periods</t>
  </si>
  <si>
    <t>Valuation Date/Fiscal End</t>
  </si>
  <si>
    <t>Date for NPV Calculation</t>
  </si>
  <si>
    <t>Year End Date</t>
  </si>
  <si>
    <t>Year Fraction</t>
  </si>
  <si>
    <t>Free Cash Flow to Firm (FCFF)</t>
  </si>
  <si>
    <t>Terminal Value</t>
  </si>
  <si>
    <t>Terminal Value :Exit Multiple</t>
  </si>
  <si>
    <t>Terminal Value :Perpetual Growth</t>
  </si>
  <si>
    <t>Valuation Method</t>
  </si>
  <si>
    <t>Terminal Value : Average</t>
  </si>
  <si>
    <t>Long Term Growth</t>
  </si>
  <si>
    <t>EBITDA Multiple</t>
  </si>
  <si>
    <t>Weighted-Average Cost of Capital (WACC)</t>
  </si>
  <si>
    <t>Trident WACC Calculation</t>
  </si>
  <si>
    <t>Target Capital Structure</t>
  </si>
  <si>
    <t>Proportion of Debt</t>
  </si>
  <si>
    <t>Propportion of Equity</t>
  </si>
  <si>
    <t>Cost of Debt</t>
  </si>
  <si>
    <t>Pretax Cost of Debt</t>
  </si>
  <si>
    <t>After Tax Cost of Debt</t>
  </si>
  <si>
    <t>Cost of Equity</t>
  </si>
  <si>
    <t>Risk Free Rate</t>
  </si>
  <si>
    <t>Equity Risk Premium</t>
  </si>
  <si>
    <t>Levered Equity Beta</t>
  </si>
  <si>
    <t>Equity Beta and Market Return</t>
  </si>
  <si>
    <t>Date</t>
  </si>
  <si>
    <t>Close</t>
  </si>
  <si>
    <t>Return</t>
  </si>
  <si>
    <t>NIFTY 50</t>
  </si>
  <si>
    <t>Trident Ltd</t>
  </si>
  <si>
    <t>Value on End Date</t>
  </si>
  <si>
    <t>Value on Start Date</t>
  </si>
  <si>
    <t>Time Period</t>
  </si>
  <si>
    <t>Market Return</t>
  </si>
  <si>
    <t>Country Specific Risk Premium</t>
  </si>
  <si>
    <t>Selected Terminal Value Method :</t>
  </si>
  <si>
    <t>DCF Value Summary</t>
  </si>
  <si>
    <t>NPV-Future Cash Flows</t>
  </si>
  <si>
    <t>NPV- Terminal Value</t>
  </si>
  <si>
    <t>Valuation FCFF</t>
  </si>
  <si>
    <t>Enterprise Value</t>
  </si>
  <si>
    <t>Add: Cash</t>
  </si>
  <si>
    <t>Less : Debt</t>
  </si>
  <si>
    <t>Equity Value</t>
  </si>
  <si>
    <t>Fully Diluted Equity Shares</t>
  </si>
  <si>
    <t>Equity Value Rs per Share</t>
  </si>
  <si>
    <t>Discount Rate</t>
  </si>
  <si>
    <t/>
  </si>
  <si>
    <t>Market Data</t>
  </si>
  <si>
    <t>Financial Data</t>
  </si>
  <si>
    <t>Multiples</t>
  </si>
  <si>
    <t>Peers In Industry</t>
  </si>
  <si>
    <t>Price</t>
  </si>
  <si>
    <t>Market Cap</t>
  </si>
  <si>
    <t>Sales</t>
  </si>
  <si>
    <t>Earnings</t>
  </si>
  <si>
    <t>EV/Sales</t>
  </si>
  <si>
    <t>EV/EBITDA</t>
  </si>
  <si>
    <t>P/E</t>
  </si>
  <si>
    <t>Welspun India</t>
  </si>
  <si>
    <t>Grasim Industries</t>
  </si>
  <si>
    <t>Arvind Ltd</t>
  </si>
  <si>
    <t>Vardhaman Textiles</t>
  </si>
  <si>
    <t>Minimum</t>
  </si>
  <si>
    <t>Maximum</t>
  </si>
  <si>
    <t>Average</t>
  </si>
  <si>
    <t>Median</t>
  </si>
  <si>
    <t>Implied Value Derived</t>
  </si>
  <si>
    <t>Equity Multiple</t>
  </si>
  <si>
    <t>EPS of Trident</t>
  </si>
  <si>
    <t>EV Multiple</t>
  </si>
  <si>
    <t>EBITDA Trident</t>
  </si>
  <si>
    <t>Share Price Chart</t>
  </si>
  <si>
    <t>52-week high</t>
  </si>
  <si>
    <t>52-week low</t>
  </si>
  <si>
    <t>52-week average</t>
  </si>
  <si>
    <t>Triednt Ltd</t>
  </si>
  <si>
    <t>Terminal Value EBITDA Multiple</t>
  </si>
  <si>
    <t>Inputs</t>
  </si>
  <si>
    <t>Sensitivity Control</t>
  </si>
  <si>
    <t>You Can Put Your Assumptions Below</t>
  </si>
  <si>
    <t>Valuation summary</t>
  </si>
  <si>
    <t>Company Overview</t>
  </si>
  <si>
    <t xml:space="preserve">Overview of Company </t>
  </si>
  <si>
    <t>lo (bar)</t>
  </si>
  <si>
    <t>hi (bar)</t>
  </si>
  <si>
    <t>DCF</t>
  </si>
  <si>
    <t>Sh/Price</t>
  </si>
  <si>
    <t>CONTENTS</t>
  </si>
  <si>
    <t>Dashboard</t>
  </si>
  <si>
    <t>Income Statement</t>
  </si>
  <si>
    <t>Balance Sheet</t>
  </si>
  <si>
    <t>Cash Flow Statement</t>
  </si>
  <si>
    <t>Assumption Panel</t>
  </si>
  <si>
    <t>Schedules</t>
  </si>
  <si>
    <t>Relative Valuation</t>
  </si>
  <si>
    <t>Financial Model of Trident Limited</t>
  </si>
  <si>
    <t>52-Week Trading</t>
  </si>
  <si>
    <t>Football Field Chart</t>
  </si>
  <si>
    <t>Current Share Price</t>
  </si>
  <si>
    <t>Average Implied Value</t>
  </si>
  <si>
    <t>X</t>
  </si>
  <si>
    <t>Y</t>
  </si>
  <si>
    <t xml:space="preserve">Current Share Price </t>
  </si>
  <si>
    <t xml:space="preserve">Valuation Summary - Equity Value per Share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</si>
</sst>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4" formatCode="_(&quot;$&quot;* #,##0.00_);_(&quot;$&quot;* \(#,##0.00\);_(&quot;$&quot;* &quot;-&quot;??_);_(@_)"/>
    <numFmt numFmtId="43" formatCode="_(* #,##0.00_);_(* \(#,##0.00\);_(* &quot;-&quot;??_);_(@_)"/>
    <numFmt numFmtId="164" formatCode="0&quot;A&quot;"/>
    <numFmt numFmtId="165" formatCode="0&quot;E&quot;"/>
    <numFmt numFmtId="166" formatCode="_(* #,##0_);_(* \(#,##0\);_(* &quot;-&quot;??_);_(@_)"/>
    <numFmt numFmtId="167" formatCode="0.0%"/>
    <numFmt numFmtId="168" formatCode="0_);\(0\)"/>
    <numFmt numFmtId="169" formatCode="yyyy/mm/dd;@"/>
    <numFmt numFmtId="170" formatCode="0.0&quot;x&quot;"/>
    <numFmt numFmtId="171" formatCode="0.0"/>
    <numFmt numFmtId="172" formatCode="_ [$₹-4009]\ * #,##0.00_ ;_ [$₹-4009]\ * \-#,##0.00_ ;_ [$₹-4009]\ * &quot;-&quot;??_ ;_ @_ "/>
    <numFmt numFmtId="173" formatCode="_ [$₹-4009]\ * #,##0_ ;_ [$₹-4009]\ * \-#,##0_ ;_ [$₹-4009]\ * &quot;-&quot;??_ ;_ @_ "/>
    <numFmt numFmtId="174" formatCode="0.0\x"/>
    <numFmt numFmtId="175" formatCode="0&quot;x&quot;"/>
    <numFmt numFmtId="176" formatCode="[$₹-4009]\ #,##0"/>
    <numFmt numFmtId="177" formatCode="&quot;$&quot;#,##0;\-&quot;$&quot;#,##0"/>
    <numFmt numFmtId="178" formatCode="#,##0_ ;\-#,##0\ "/>
    <numFmt numFmtId="179" formatCode="&quot;$&quot;#,##0_);\(&quot;$&quot;#,##0\);&quot;-&quot;"/>
  </numFmts>
  <fonts count="5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i/>
      <sz val="11"/>
      <color theme="0"/>
      <name val="Calibri"/>
      <family val="2"/>
      <scheme val="minor"/>
    </font>
    <font>
      <i/>
      <sz val="11"/>
      <color indexed="9"/>
      <name val="Calibri"/>
      <family val="2"/>
      <scheme val="minor"/>
    </font>
    <font>
      <b/>
      <sz val="11"/>
      <color indexed="8"/>
      <name val="Calibri"/>
      <family val="2"/>
      <scheme val="minor"/>
    </font>
    <font>
      <i/>
      <sz val="10"/>
      <color theme="1"/>
      <name val="Calibri"/>
      <family val="2"/>
      <scheme val="minor"/>
    </font>
    <font>
      <i/>
      <sz val="10"/>
      <color indexed="8"/>
      <name val="Calibri"/>
      <family val="2"/>
      <scheme val="minor"/>
    </font>
    <font>
      <b/>
      <sz val="11"/>
      <color theme="1"/>
      <name val="Arial Narrow"/>
      <family val="2"/>
    </font>
    <font>
      <sz val="12"/>
      <color theme="1"/>
      <name val="Arial Narrow"/>
      <family val="2"/>
    </font>
    <font>
      <sz val="11"/>
      <color theme="1"/>
      <name val="Arial Narrow"/>
      <family val="2"/>
    </font>
    <font>
      <sz val="11"/>
      <color rgb="FF0070C0"/>
      <name val="Arial Narrow"/>
      <family val="2"/>
    </font>
    <font>
      <i/>
      <u/>
      <sz val="12"/>
      <color theme="1"/>
      <name val="Arial Narrow"/>
      <family val="2"/>
    </font>
    <font>
      <b/>
      <sz val="12"/>
      <color theme="1"/>
      <name val="Arial Narrow"/>
      <family val="2"/>
    </font>
    <font>
      <b/>
      <i/>
      <sz val="12"/>
      <color theme="1"/>
      <name val="Arial Narrow"/>
      <family val="2"/>
    </font>
    <font>
      <i/>
      <sz val="11"/>
      <color theme="1"/>
      <name val="Arial Narrow"/>
      <family val="2"/>
    </font>
    <font>
      <b/>
      <sz val="12"/>
      <color theme="1"/>
      <name val="Calibri"/>
      <family val="2"/>
      <scheme val="minor"/>
    </font>
    <font>
      <sz val="12"/>
      <color rgb="FF0000FF"/>
      <name val="Arial Narrow"/>
      <family val="2"/>
    </font>
    <font>
      <i/>
      <sz val="9"/>
      <color rgb="FFFF0000"/>
      <name val="Calibri"/>
      <family val="2"/>
      <scheme val="minor"/>
    </font>
    <font>
      <sz val="11"/>
      <color rgb="FF0000FF"/>
      <name val="Calibri"/>
      <family val="2"/>
      <scheme val="minor"/>
    </font>
    <font>
      <b/>
      <sz val="16"/>
      <color theme="0"/>
      <name val="Arial Narrow"/>
      <family val="2"/>
    </font>
    <font>
      <sz val="12"/>
      <color theme="1"/>
      <name val="Calibri"/>
      <family val="2"/>
      <scheme val="minor"/>
    </font>
    <font>
      <b/>
      <sz val="14"/>
      <color rgb="FFFFFFFF"/>
      <name val="Arial Narrow"/>
      <family val="2"/>
    </font>
    <font>
      <sz val="10"/>
      <name val="Times New Roman"/>
      <family val="1"/>
    </font>
    <font>
      <b/>
      <sz val="12"/>
      <name val="Arial Narrow"/>
      <family val="2"/>
    </font>
    <font>
      <b/>
      <sz val="11"/>
      <color theme="0"/>
      <name val="Calibri"/>
      <family val="2"/>
      <scheme val="minor"/>
    </font>
    <font>
      <sz val="11"/>
      <color rgb="FF00B050"/>
      <name val="Calibri"/>
      <family val="2"/>
      <scheme val="minor"/>
    </font>
    <font>
      <sz val="11"/>
      <color theme="0"/>
      <name val="Arial Narrow"/>
      <family val="2"/>
    </font>
    <font>
      <b/>
      <sz val="12"/>
      <color rgb="FF0000FF"/>
      <name val="Arial Narrow"/>
      <family val="2"/>
    </font>
    <font>
      <b/>
      <sz val="11"/>
      <name val="Arial Narrow"/>
      <family val="2"/>
    </font>
    <font>
      <b/>
      <sz val="11"/>
      <color rgb="FF0000FF"/>
      <name val="Arial Narrow"/>
      <family val="2"/>
    </font>
    <font>
      <sz val="11"/>
      <name val="Arial Narrow"/>
      <family val="2"/>
    </font>
    <font>
      <b/>
      <sz val="11"/>
      <color theme="0"/>
      <name val="Arial Narrow"/>
      <family val="2"/>
    </font>
    <font>
      <sz val="11"/>
      <color rgb="FF0070C0"/>
      <name val="Calibri"/>
      <family val="2"/>
      <scheme val="minor"/>
    </font>
    <font>
      <i/>
      <u/>
      <sz val="12"/>
      <color theme="1"/>
      <name val="Calibri"/>
      <family val="2"/>
      <scheme val="minor"/>
    </font>
    <font>
      <b/>
      <i/>
      <sz val="12"/>
      <color theme="1"/>
      <name val="Calibri"/>
      <family val="2"/>
      <scheme val="minor"/>
    </font>
    <font>
      <b/>
      <sz val="11"/>
      <color rgb="FF00B050"/>
      <name val="Calibri"/>
      <family val="2"/>
      <scheme val="minor"/>
    </font>
    <font>
      <sz val="10"/>
      <name val="Arial"/>
      <family val="2"/>
    </font>
    <font>
      <b/>
      <sz val="10"/>
      <name val="Arial Narrow"/>
      <family val="2"/>
    </font>
    <font>
      <b/>
      <sz val="11"/>
      <color rgb="FF0000FF"/>
      <name val="Calibri"/>
      <family val="2"/>
      <scheme val="minor"/>
    </font>
    <font>
      <b/>
      <sz val="11"/>
      <color rgb="FFFF0000"/>
      <name val="Calibri"/>
      <family val="2"/>
      <scheme val="minor"/>
    </font>
    <font>
      <u/>
      <sz val="11"/>
      <color theme="10"/>
      <name val="Calibri"/>
      <family val="2"/>
      <scheme val="minor"/>
    </font>
    <font>
      <b/>
      <sz val="18"/>
      <color theme="1"/>
      <name val="Calibri"/>
      <family val="2"/>
      <scheme val="minor"/>
    </font>
    <font>
      <sz val="12"/>
      <color theme="0" tint="-0.499984740745262"/>
      <name val="Arial Narrow"/>
      <family val="2"/>
    </font>
    <font>
      <b/>
      <sz val="12"/>
      <color theme="0"/>
      <name val="Calibri"/>
      <family val="2"/>
      <scheme val="minor"/>
    </font>
    <font>
      <b/>
      <sz val="12"/>
      <color theme="0"/>
      <name val="Arial Narrow"/>
      <family val="2"/>
    </font>
    <font>
      <sz val="12"/>
      <color theme="0" tint="-0.499984740745262"/>
      <name val="Calibri"/>
      <family val="2"/>
      <scheme val="minor"/>
    </font>
    <font>
      <b/>
      <sz val="14"/>
      <color theme="1"/>
      <name val="Calibri"/>
      <family val="2"/>
      <scheme val="minor"/>
    </font>
    <font>
      <sz val="12"/>
      <color rgb="FF1F995B"/>
      <name val="Arial Narrow"/>
      <family val="2"/>
    </font>
  </fonts>
  <fills count="18">
    <fill>
      <patternFill patternType="none"/>
    </fill>
    <fill>
      <patternFill patternType="gray125"/>
    </fill>
    <fill>
      <patternFill patternType="solid">
        <fgColor theme="8" tint="-0.249977111117893"/>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8" tint="-0.49998474074526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0" tint="-0.249977111117893"/>
        <bgColor indexed="64"/>
      </patternFill>
    </fill>
  </fills>
  <borders count="14">
    <border>
      <left/>
      <right/>
      <top/>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ashed">
        <color auto="1"/>
      </left>
      <right style="dashed">
        <color auto="1"/>
      </right>
      <top style="dashed">
        <color auto="1"/>
      </top>
      <bottom style="dashed">
        <color auto="1"/>
      </bottom>
      <diagonal/>
    </border>
    <border>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26" fillId="0" borderId="0"/>
    <xf numFmtId="44" fontId="1" fillId="0" borderId="0" applyFont="0" applyFill="0" applyBorder="0" applyAlignment="0" applyProtection="0"/>
    <xf numFmtId="0" fontId="40" fillId="0" borderId="0">
      <alignment vertical="center"/>
    </xf>
    <xf numFmtId="0" fontId="44" fillId="0" borderId="0" applyNumberFormat="0" applyFill="0" applyBorder="0" applyAlignment="0" applyProtection="0"/>
  </cellStyleXfs>
  <cellXfs count="264">
    <xf numFmtId="0" fontId="0" fillId="0" borderId="0" xfId="0"/>
    <xf numFmtId="0" fontId="0" fillId="0" borderId="0" xfId="0" applyAlignment="1">
      <alignment wrapText="1"/>
    </xf>
    <xf numFmtId="0" fontId="0" fillId="2" borderId="0" xfId="0" applyFill="1" applyAlignment="1">
      <alignment wrapText="1"/>
    </xf>
    <xf numFmtId="0" fontId="5" fillId="2" borderId="0" xfId="0" applyFont="1" applyFill="1"/>
    <xf numFmtId="0" fontId="6" fillId="2" borderId="0" xfId="0" applyFont="1" applyFill="1"/>
    <xf numFmtId="0" fontId="7" fillId="2" borderId="0" xfId="0" applyFont="1" applyFill="1"/>
    <xf numFmtId="164" fontId="3" fillId="0" borderId="0" xfId="0" applyNumberFormat="1" applyFont="1" applyAlignment="1">
      <alignment wrapText="1"/>
    </xf>
    <xf numFmtId="164" fontId="8" fillId="0" borderId="0" xfId="0" applyNumberFormat="1" applyFont="1" applyAlignment="1">
      <alignment wrapText="1"/>
    </xf>
    <xf numFmtId="165" fontId="3" fillId="0" borderId="0" xfId="0" applyNumberFormat="1" applyFont="1" applyAlignment="1">
      <alignment wrapText="1"/>
    </xf>
    <xf numFmtId="165" fontId="8" fillId="0" borderId="0" xfId="0" applyNumberFormat="1" applyFont="1" applyAlignment="1">
      <alignment wrapText="1"/>
    </xf>
    <xf numFmtId="166" fontId="14" fillId="0" borderId="0" xfId="0" applyNumberFormat="1" applyFont="1" applyAlignment="1">
      <alignment horizontal="right"/>
    </xf>
    <xf numFmtId="0" fontId="0" fillId="0" borderId="1" xfId="0" applyBorder="1" applyAlignment="1">
      <alignment wrapText="1"/>
    </xf>
    <xf numFmtId="0" fontId="0" fillId="0" borderId="2" xfId="0" applyBorder="1" applyAlignment="1">
      <alignment wrapText="1"/>
    </xf>
    <xf numFmtId="0" fontId="12" fillId="0" borderId="0" xfId="0" applyFont="1"/>
    <xf numFmtId="0" fontId="13" fillId="0" borderId="0" xfId="0" applyFont="1"/>
    <xf numFmtId="0" fontId="3" fillId="0" borderId="0" xfId="0" applyFont="1"/>
    <xf numFmtId="0" fontId="0" fillId="6" borderId="0" xfId="0" applyFill="1"/>
    <xf numFmtId="0" fontId="0" fillId="2" borderId="0" xfId="0" applyFill="1"/>
    <xf numFmtId="0" fontId="4" fillId="2" borderId="0" xfId="0" applyFont="1" applyFill="1"/>
    <xf numFmtId="0" fontId="0" fillId="3" borderId="0" xfId="0" applyFill="1"/>
    <xf numFmtId="0" fontId="0" fillId="4" borderId="0" xfId="0" applyFill="1"/>
    <xf numFmtId="0" fontId="3" fillId="4" borderId="0" xfId="0" applyFont="1" applyFill="1"/>
    <xf numFmtId="0" fontId="0" fillId="0" borderId="0" xfId="0" applyAlignment="1">
      <alignment horizontal="left"/>
    </xf>
    <xf numFmtId="0" fontId="3" fillId="4" borderId="0" xfId="0" applyFont="1" applyFill="1" applyAlignment="1">
      <alignment horizontal="left"/>
    </xf>
    <xf numFmtId="167" fontId="0" fillId="0" borderId="0" xfId="0" applyNumberFormat="1"/>
    <xf numFmtId="2" fontId="0" fillId="0" borderId="0" xfId="0" applyNumberFormat="1"/>
    <xf numFmtId="1" fontId="0" fillId="0" borderId="0" xfId="0" applyNumberFormat="1"/>
    <xf numFmtId="167" fontId="12" fillId="0" borderId="0" xfId="0" applyNumberFormat="1" applyFont="1"/>
    <xf numFmtId="0" fontId="20" fillId="0" borderId="0" xfId="0" applyFont="1"/>
    <xf numFmtId="0" fontId="0" fillId="0" borderId="1" xfId="0" applyBorder="1"/>
    <xf numFmtId="0" fontId="0" fillId="0" borderId="3" xfId="0" applyBorder="1"/>
    <xf numFmtId="0" fontId="0" fillId="0" borderId="4" xfId="0" applyBorder="1"/>
    <xf numFmtId="0" fontId="21" fillId="0" borderId="0" xfId="0" applyFont="1"/>
    <xf numFmtId="167" fontId="20" fillId="0" borderId="5" xfId="2" applyNumberFormat="1" applyFont="1" applyBorder="1"/>
    <xf numFmtId="167" fontId="0" fillId="0" borderId="0" xfId="2" applyNumberFormat="1" applyFont="1"/>
    <xf numFmtId="0" fontId="2" fillId="0" borderId="0" xfId="0" applyFont="1"/>
    <xf numFmtId="166" fontId="0" fillId="0" borderId="0" xfId="0" applyNumberFormat="1" applyAlignment="1">
      <alignment wrapText="1"/>
    </xf>
    <xf numFmtId="0" fontId="0" fillId="5" borderId="0" xfId="0" applyFill="1"/>
    <xf numFmtId="1" fontId="22" fillId="0" borderId="0" xfId="0" applyNumberFormat="1" applyFont="1"/>
    <xf numFmtId="1" fontId="0" fillId="0" borderId="0" xfId="0" applyNumberFormat="1" applyAlignment="1">
      <alignment wrapText="1"/>
    </xf>
    <xf numFmtId="0" fontId="0" fillId="7" borderId="0" xfId="0" applyFill="1"/>
    <xf numFmtId="1" fontId="0" fillId="0" borderId="1" xfId="0" applyNumberFormat="1" applyBorder="1"/>
    <xf numFmtId="0" fontId="10" fillId="0" borderId="0" xfId="0" applyFont="1" applyAlignment="1">
      <alignment horizontal="left" wrapText="1"/>
    </xf>
    <xf numFmtId="1" fontId="0" fillId="7" borderId="0" xfId="0" applyNumberFormat="1" applyFill="1"/>
    <xf numFmtId="10" fontId="22" fillId="0" borderId="0" xfId="2" applyNumberFormat="1" applyFont="1"/>
    <xf numFmtId="168" fontId="0" fillId="0" borderId="0" xfId="0" applyNumberFormat="1"/>
    <xf numFmtId="1" fontId="0" fillId="5" borderId="0" xfId="0" applyNumberFormat="1" applyFill="1"/>
    <xf numFmtId="0" fontId="0" fillId="0" borderId="6" xfId="0" applyBorder="1"/>
    <xf numFmtId="37" fontId="23" fillId="2" borderId="0" xfId="0" applyNumberFormat="1" applyFont="1" applyFill="1" applyAlignment="1">
      <alignment horizontal="left" vertical="top"/>
    </xf>
    <xf numFmtId="14" fontId="0" fillId="0" borderId="0" xfId="0" applyNumberFormat="1"/>
    <xf numFmtId="15" fontId="0" fillId="0" borderId="0" xfId="0" applyNumberFormat="1"/>
    <xf numFmtId="9" fontId="22" fillId="0" borderId="0" xfId="2" applyFont="1"/>
    <xf numFmtId="170" fontId="22" fillId="0" borderId="0" xfId="0" applyNumberFormat="1" applyFont="1"/>
    <xf numFmtId="0" fontId="25" fillId="2" borderId="0" xfId="0" applyFont="1" applyFill="1" applyAlignment="1">
      <alignment horizontal="left" vertical="center" readingOrder="1"/>
    </xf>
    <xf numFmtId="0" fontId="27" fillId="9" borderId="0" xfId="3" applyFont="1" applyFill="1" applyAlignment="1">
      <alignment horizontal="left"/>
    </xf>
    <xf numFmtId="0" fontId="12" fillId="9" borderId="0" xfId="0" applyFont="1" applyFill="1"/>
    <xf numFmtId="0" fontId="0" fillId="9" borderId="0" xfId="0" applyFill="1"/>
    <xf numFmtId="0" fontId="16" fillId="9" borderId="0" xfId="0" applyFont="1" applyFill="1"/>
    <xf numFmtId="0" fontId="3" fillId="0" borderId="6" xfId="0" applyFont="1" applyBorder="1"/>
    <xf numFmtId="10" fontId="0" fillId="0" borderId="6" xfId="2" applyNumberFormat="1" applyFont="1" applyBorder="1"/>
    <xf numFmtId="0" fontId="24" fillId="0" borderId="0" xfId="0" applyFont="1"/>
    <xf numFmtId="171" fontId="0" fillId="0" borderId="0" xfId="0" applyNumberFormat="1"/>
    <xf numFmtId="173" fontId="0" fillId="0" borderId="0" xfId="0" applyNumberFormat="1"/>
    <xf numFmtId="0" fontId="0" fillId="10" borderId="0" xfId="0" applyFill="1"/>
    <xf numFmtId="10" fontId="0" fillId="0" borderId="0" xfId="2" applyNumberFormat="1" applyFont="1"/>
    <xf numFmtId="10" fontId="0" fillId="0" borderId="0" xfId="0" applyNumberFormat="1"/>
    <xf numFmtId="0" fontId="24" fillId="0" borderId="1" xfId="0" applyFont="1" applyBorder="1"/>
    <xf numFmtId="10" fontId="0" fillId="0" borderId="1" xfId="0" applyNumberFormat="1" applyBorder="1"/>
    <xf numFmtId="0" fontId="0" fillId="11" borderId="0" xfId="0" applyFill="1"/>
    <xf numFmtId="173" fontId="0" fillId="11" borderId="0" xfId="0" applyNumberFormat="1" applyFill="1"/>
    <xf numFmtId="173" fontId="0" fillId="0" borderId="6" xfId="0" applyNumberFormat="1" applyBorder="1"/>
    <xf numFmtId="1" fontId="29" fillId="0" borderId="0" xfId="0" applyNumberFormat="1" applyFont="1"/>
    <xf numFmtId="173" fontId="29" fillId="0" borderId="0" xfId="0" applyNumberFormat="1" applyFont="1"/>
    <xf numFmtId="173" fontId="3" fillId="0" borderId="6" xfId="0" applyNumberFormat="1" applyFont="1" applyBorder="1"/>
    <xf numFmtId="0" fontId="3" fillId="0" borderId="2" xfId="0" applyFont="1" applyBorder="1"/>
    <xf numFmtId="172" fontId="3" fillId="0" borderId="2" xfId="0" applyNumberFormat="1" applyFont="1" applyBorder="1"/>
    <xf numFmtId="0" fontId="1" fillId="0" borderId="0" xfId="0" applyFont="1" applyAlignment="1">
      <alignment wrapText="1"/>
    </xf>
    <xf numFmtId="166" fontId="1" fillId="0" borderId="0" xfId="0" applyNumberFormat="1" applyFont="1" applyAlignment="1">
      <alignment wrapText="1"/>
    </xf>
    <xf numFmtId="166" fontId="0" fillId="0" borderId="0" xfId="0" applyNumberFormat="1"/>
    <xf numFmtId="0" fontId="28" fillId="2" borderId="0" xfId="0" applyFont="1" applyFill="1"/>
    <xf numFmtId="0" fontId="0" fillId="0" borderId="0" xfId="0" applyAlignment="1">
      <alignment horizontal="left" indent="2"/>
    </xf>
    <xf numFmtId="43" fontId="0" fillId="0" borderId="0" xfId="0" applyNumberFormat="1"/>
    <xf numFmtId="0" fontId="3" fillId="11" borderId="0" xfId="0" applyFont="1" applyFill="1" applyAlignment="1">
      <alignment horizontal="left" indent="2"/>
    </xf>
    <xf numFmtId="0" fontId="3" fillId="11" borderId="0" xfId="0" applyFont="1" applyFill="1" applyAlignment="1">
      <alignment horizontal="left" indent="1"/>
    </xf>
    <xf numFmtId="0" fontId="32" fillId="13" borderId="0" xfId="0" applyFont="1" applyFill="1"/>
    <xf numFmtId="176" fontId="16" fillId="13" borderId="0" xfId="0" applyNumberFormat="1" applyFont="1" applyFill="1" applyAlignment="1">
      <alignment horizontal="right"/>
    </xf>
    <xf numFmtId="0" fontId="32" fillId="0" borderId="0" xfId="5" applyFont="1">
      <alignment vertical="center"/>
    </xf>
    <xf numFmtId="0" fontId="41" fillId="0" borderId="0" xfId="5" applyFont="1" applyAlignment="1">
      <alignment horizontal="centerContinuous" vertical="center"/>
    </xf>
    <xf numFmtId="176" fontId="16" fillId="5" borderId="0" xfId="0" applyNumberFormat="1" applyFont="1" applyFill="1" applyAlignment="1">
      <alignment horizontal="right"/>
    </xf>
    <xf numFmtId="0" fontId="3" fillId="4" borderId="0" xfId="0" applyFont="1" applyFill="1" applyAlignment="1">
      <alignment horizontal="center"/>
    </xf>
    <xf numFmtId="0" fontId="42" fillId="0" borderId="0" xfId="0" applyFont="1"/>
    <xf numFmtId="0" fontId="0" fillId="0" borderId="0" xfId="0" applyAlignment="1">
      <alignment vertical="center"/>
    </xf>
    <xf numFmtId="167" fontId="20" fillId="0" borderId="0" xfId="2" applyNumberFormat="1" applyFont="1" applyBorder="1"/>
    <xf numFmtId="9" fontId="0" fillId="12" borderId="0" xfId="2" applyFont="1" applyFill="1"/>
    <xf numFmtId="175" fontId="0" fillId="12" borderId="0" xfId="0" applyNumberFormat="1" applyFill="1"/>
    <xf numFmtId="172" fontId="3" fillId="0" borderId="0" xfId="0" applyNumberFormat="1" applyFont="1"/>
    <xf numFmtId="0" fontId="43" fillId="0" borderId="0" xfId="0" applyFont="1"/>
    <xf numFmtId="0" fontId="16" fillId="5" borderId="0" xfId="0" applyFont="1" applyFill="1" applyAlignment="1">
      <alignment horizontal="centerContinuous" vertical="center"/>
    </xf>
    <xf numFmtId="0" fontId="11" fillId="5" borderId="0" xfId="0" applyFont="1" applyFill="1" applyAlignment="1">
      <alignment horizontal="centerContinuous"/>
    </xf>
    <xf numFmtId="0" fontId="0" fillId="5" borderId="0" xfId="0" applyFill="1" applyAlignment="1">
      <alignment horizontal="centerContinuous"/>
    </xf>
    <xf numFmtId="167" fontId="30" fillId="5" borderId="0" xfId="0" applyNumberFormat="1" applyFont="1" applyFill="1"/>
    <xf numFmtId="174" fontId="31" fillId="5" borderId="0" xfId="2" applyNumberFormat="1" applyFont="1" applyFill="1" applyBorder="1"/>
    <xf numFmtId="174" fontId="16" fillId="5" borderId="0" xfId="2" applyNumberFormat="1" applyFont="1" applyFill="1" applyBorder="1"/>
    <xf numFmtId="9" fontId="33" fillId="5" borderId="0" xfId="2" applyFont="1" applyFill="1" applyBorder="1"/>
    <xf numFmtId="166" fontId="34" fillId="5" borderId="0" xfId="1" applyNumberFormat="1" applyFont="1" applyFill="1" applyBorder="1"/>
    <xf numFmtId="0" fontId="32" fillId="5" borderId="0" xfId="0" applyFont="1" applyFill="1" applyAlignment="1">
      <alignment vertical="center"/>
    </xf>
    <xf numFmtId="166" fontId="0" fillId="5" borderId="0" xfId="1" applyNumberFormat="1" applyFont="1" applyFill="1" applyBorder="1"/>
    <xf numFmtId="9" fontId="11" fillId="5" borderId="0" xfId="2" applyFont="1" applyFill="1" applyBorder="1"/>
    <xf numFmtId="0" fontId="12" fillId="5" borderId="0" xfId="0" applyFont="1" applyFill="1"/>
    <xf numFmtId="167" fontId="31" fillId="5" borderId="0" xfId="2" applyNumberFormat="1" applyFont="1" applyFill="1" applyBorder="1"/>
    <xf numFmtId="9" fontId="31" fillId="5" borderId="0" xfId="2" applyFont="1" applyFill="1" applyBorder="1"/>
    <xf numFmtId="167" fontId="16" fillId="5" borderId="0" xfId="2" applyNumberFormat="1" applyFont="1" applyFill="1" applyBorder="1"/>
    <xf numFmtId="0" fontId="39" fillId="6" borderId="0" xfId="0" applyFont="1" applyFill="1"/>
    <xf numFmtId="2" fontId="39" fillId="6" borderId="0" xfId="0" applyNumberFormat="1" applyFont="1" applyFill="1"/>
    <xf numFmtId="0" fontId="44" fillId="4" borderId="0" xfId="6" applyFill="1"/>
    <xf numFmtId="0" fontId="9" fillId="0" borderId="0" xfId="0" applyFont="1" applyAlignment="1">
      <alignment horizontal="left" wrapText="1"/>
    </xf>
    <xf numFmtId="169" fontId="20" fillId="0" borderId="0" xfId="0" applyNumberFormat="1" applyFont="1" applyAlignment="1">
      <alignment horizontal="right"/>
    </xf>
    <xf numFmtId="0" fontId="3" fillId="8" borderId="0" xfId="0" applyFont="1" applyFill="1"/>
    <xf numFmtId="0" fontId="3" fillId="8" borderId="0" xfId="0" applyFont="1" applyFill="1" applyAlignment="1">
      <alignment horizontal="right"/>
    </xf>
    <xf numFmtId="0" fontId="46" fillId="0" borderId="0" xfId="0" applyFont="1"/>
    <xf numFmtId="0" fontId="35" fillId="5" borderId="0" xfId="5" applyFont="1" applyFill="1" applyAlignment="1">
      <alignment horizontal="left"/>
    </xf>
    <xf numFmtId="0" fontId="35" fillId="5" borderId="0" xfId="5" applyFont="1" applyFill="1" applyAlignment="1">
      <alignment horizontal="right"/>
    </xf>
    <xf numFmtId="0" fontId="46" fillId="0" borderId="0" xfId="0" applyFont="1" applyAlignment="1">
      <alignment horizontal="center"/>
    </xf>
    <xf numFmtId="177" fontId="12" fillId="12" borderId="0" xfId="0" applyNumberFormat="1" applyFont="1" applyFill="1"/>
    <xf numFmtId="177" fontId="46" fillId="12" borderId="0" xfId="0" applyNumberFormat="1" applyFont="1" applyFill="1" applyAlignment="1">
      <alignment horizontal="right"/>
    </xf>
    <xf numFmtId="177" fontId="12" fillId="5" borderId="0" xfId="0" applyNumberFormat="1" applyFont="1" applyFill="1"/>
    <xf numFmtId="0" fontId="47" fillId="2" borderId="0" xfId="0" applyFont="1" applyFill="1"/>
    <xf numFmtId="176" fontId="46" fillId="0" borderId="0" xfId="1" applyNumberFormat="1" applyFont="1"/>
    <xf numFmtId="173" fontId="20" fillId="0" borderId="0" xfId="1" applyNumberFormat="1" applyFont="1"/>
    <xf numFmtId="172" fontId="47" fillId="2" borderId="0" xfId="4" applyNumberFormat="1" applyFont="1" applyFill="1" applyAlignment="1"/>
    <xf numFmtId="177" fontId="20" fillId="0" borderId="0" xfId="1" applyNumberFormat="1" applyFont="1"/>
    <xf numFmtId="177" fontId="46" fillId="12" borderId="0" xfId="1" applyNumberFormat="1" applyFont="1" applyFill="1"/>
    <xf numFmtId="177" fontId="46" fillId="5" borderId="0" xfId="0" applyNumberFormat="1" applyFont="1" applyFill="1" applyAlignment="1">
      <alignment horizontal="right"/>
    </xf>
    <xf numFmtId="0" fontId="49" fillId="0" borderId="0" xfId="0" applyFont="1"/>
    <xf numFmtId="0" fontId="48" fillId="2" borderId="0" xfId="0" applyFont="1" applyFill="1" applyAlignment="1">
      <alignment horizontal="centerContinuous"/>
    </xf>
    <xf numFmtId="0" fontId="12" fillId="2" borderId="0" xfId="0" applyFont="1" applyFill="1" applyAlignment="1">
      <alignment horizontal="centerContinuous"/>
    </xf>
    <xf numFmtId="0" fontId="50" fillId="0" borderId="0" xfId="0" applyFont="1"/>
    <xf numFmtId="166" fontId="36" fillId="15" borderId="0" xfId="0" applyNumberFormat="1" applyFont="1" applyFill="1" applyAlignment="1">
      <alignment horizontal="right"/>
    </xf>
    <xf numFmtId="166" fontId="36" fillId="15" borderId="1" xfId="1" applyNumberFormat="1" applyFont="1" applyFill="1" applyBorder="1"/>
    <xf numFmtId="0" fontId="0" fillId="15" borderId="0" xfId="0" applyFill="1" applyAlignment="1">
      <alignment wrapText="1"/>
    </xf>
    <xf numFmtId="166" fontId="36" fillId="15" borderId="2" xfId="1" applyNumberFormat="1" applyFont="1" applyFill="1" applyBorder="1"/>
    <xf numFmtId="166" fontId="0" fillId="16" borderId="0" xfId="1" applyNumberFormat="1" applyFont="1" applyFill="1" applyAlignment="1">
      <alignment wrapText="1"/>
    </xf>
    <xf numFmtId="166" fontId="0" fillId="16" borderId="0" xfId="0" applyNumberFormat="1" applyFill="1" applyAlignment="1">
      <alignment wrapText="1"/>
    </xf>
    <xf numFmtId="166" fontId="0" fillId="16" borderId="1" xfId="0" applyNumberFormat="1" applyFill="1" applyBorder="1" applyAlignment="1">
      <alignment wrapText="1"/>
    </xf>
    <xf numFmtId="1" fontId="0" fillId="16" borderId="0" xfId="0" applyNumberFormat="1" applyFill="1" applyAlignment="1">
      <alignment wrapText="1"/>
    </xf>
    <xf numFmtId="0" fontId="0" fillId="16" borderId="0" xfId="0" applyFill="1" applyAlignment="1">
      <alignment wrapText="1"/>
    </xf>
    <xf numFmtId="166" fontId="0" fillId="16" borderId="2" xfId="0" applyNumberFormat="1" applyFill="1" applyBorder="1" applyAlignment="1">
      <alignment wrapText="1"/>
    </xf>
    <xf numFmtId="0" fontId="3" fillId="11" borderId="1" xfId="0" applyFont="1" applyFill="1" applyBorder="1" applyAlignment="1">
      <alignment horizontal="left"/>
    </xf>
    <xf numFmtId="0" fontId="0" fillId="11" borderId="0" xfId="0" applyFill="1" applyAlignment="1">
      <alignment horizontal="left"/>
    </xf>
    <xf numFmtId="0" fontId="24" fillId="11" borderId="0" xfId="0" applyFont="1" applyFill="1"/>
    <xf numFmtId="0" fontId="3" fillId="11" borderId="1" xfId="0" applyFont="1" applyFill="1" applyBorder="1"/>
    <xf numFmtId="0" fontId="0" fillId="11" borderId="0" xfId="0" applyFill="1" applyAlignment="1">
      <alignment wrapText="1"/>
    </xf>
    <xf numFmtId="0" fontId="3" fillId="11" borderId="2" xfId="0" applyFont="1" applyFill="1" applyBorder="1" applyAlignment="1">
      <alignment horizontal="left"/>
    </xf>
    <xf numFmtId="0" fontId="37" fillId="11" borderId="0" xfId="0" applyFont="1" applyFill="1"/>
    <xf numFmtId="0" fontId="38" fillId="11" borderId="0" xfId="0" applyFont="1" applyFill="1"/>
    <xf numFmtId="0" fontId="24" fillId="11" borderId="0" xfId="0" applyFont="1" applyFill="1" applyAlignment="1">
      <alignment horizontal="left"/>
    </xf>
    <xf numFmtId="0" fontId="24" fillId="11" borderId="0" xfId="0" applyFont="1" applyFill="1" applyAlignment="1">
      <alignment horizontal="left" indent="1"/>
    </xf>
    <xf numFmtId="0" fontId="19" fillId="11" borderId="0" xfId="0" applyFont="1" applyFill="1"/>
    <xf numFmtId="166" fontId="22" fillId="4" borderId="0" xfId="1" applyNumberFormat="1" applyFont="1" applyFill="1" applyBorder="1"/>
    <xf numFmtId="0" fontId="1" fillId="4" borderId="0" xfId="0" applyFont="1" applyFill="1" applyAlignment="1">
      <alignment wrapText="1"/>
    </xf>
    <xf numFmtId="1" fontId="1" fillId="16" borderId="0" xfId="0" applyNumberFormat="1" applyFont="1" applyFill="1" applyAlignment="1">
      <alignment horizontal="right" wrapText="1"/>
    </xf>
    <xf numFmtId="166" fontId="1" fillId="16" borderId="0" xfId="0" applyNumberFormat="1" applyFont="1" applyFill="1" applyAlignment="1">
      <alignment horizontal="right" wrapText="1"/>
    </xf>
    <xf numFmtId="0" fontId="1" fillId="16" borderId="0" xfId="0" applyFont="1" applyFill="1" applyAlignment="1">
      <alignment horizontal="right" wrapText="1"/>
    </xf>
    <xf numFmtId="0" fontId="1" fillId="16" borderId="0" xfId="0" applyFont="1" applyFill="1" applyAlignment="1">
      <alignment wrapText="1"/>
    </xf>
    <xf numFmtId="166" fontId="1" fillId="16" borderId="0" xfId="0" applyNumberFormat="1" applyFont="1" applyFill="1" applyAlignment="1">
      <alignment wrapText="1"/>
    </xf>
    <xf numFmtId="1" fontId="1" fillId="16" borderId="0" xfId="0" applyNumberFormat="1" applyFont="1" applyFill="1" applyAlignment="1">
      <alignment wrapText="1"/>
    </xf>
    <xf numFmtId="166" fontId="0" fillId="16" borderId="0" xfId="0" applyNumberFormat="1" applyFill="1" applyAlignment="1">
      <alignment horizontal="right"/>
    </xf>
    <xf numFmtId="166" fontId="0" fillId="16" borderId="0" xfId="1" applyNumberFormat="1" applyFont="1" applyFill="1" applyBorder="1"/>
    <xf numFmtId="166" fontId="36" fillId="16" borderId="0" xfId="0" applyNumberFormat="1" applyFont="1" applyFill="1" applyAlignment="1">
      <alignment horizontal="right"/>
    </xf>
    <xf numFmtId="166" fontId="0" fillId="16" borderId="1" xfId="0" applyNumberFormat="1" applyFill="1" applyBorder="1" applyAlignment="1">
      <alignment horizontal="right"/>
    </xf>
    <xf numFmtId="166" fontId="0" fillId="16" borderId="1" xfId="1" applyNumberFormat="1" applyFont="1" applyFill="1" applyBorder="1"/>
    <xf numFmtId="0" fontId="3" fillId="11" borderId="0" xfId="0" applyFont="1" applyFill="1" applyAlignment="1">
      <alignment wrapText="1"/>
    </xf>
    <xf numFmtId="0" fontId="13" fillId="11" borderId="0" xfId="0" applyFont="1" applyFill="1" applyAlignment="1">
      <alignment horizontal="left"/>
    </xf>
    <xf numFmtId="0" fontId="0" fillId="11" borderId="0" xfId="0" applyFill="1" applyAlignment="1">
      <alignment horizontal="left" indent="1"/>
    </xf>
    <xf numFmtId="0" fontId="13" fillId="11" borderId="0" xfId="0" applyFont="1" applyFill="1" applyAlignment="1">
      <alignment horizontal="left" indent="1"/>
    </xf>
    <xf numFmtId="0" fontId="12" fillId="11" borderId="0" xfId="0" applyFont="1" applyFill="1" applyAlignment="1">
      <alignment horizontal="left" indent="1"/>
    </xf>
    <xf numFmtId="0" fontId="18" fillId="11" borderId="0" xfId="0" applyFont="1" applyFill="1"/>
    <xf numFmtId="0" fontId="3" fillId="11" borderId="1" xfId="0" applyFont="1" applyFill="1" applyBorder="1" applyAlignment="1">
      <alignment wrapText="1"/>
    </xf>
    <xf numFmtId="0" fontId="3" fillId="11" borderId="0" xfId="0" applyFont="1" applyFill="1"/>
    <xf numFmtId="167" fontId="0" fillId="4" borderId="0" xfId="0" applyNumberFormat="1" applyFill="1"/>
    <xf numFmtId="9" fontId="0" fillId="4" borderId="0" xfId="2" applyFont="1" applyFill="1"/>
    <xf numFmtId="1" fontId="0" fillId="4" borderId="0" xfId="0" applyNumberFormat="1" applyFill="1"/>
    <xf numFmtId="9" fontId="0" fillId="4" borderId="0" xfId="0" applyNumberFormat="1" applyFill="1"/>
    <xf numFmtId="167" fontId="0" fillId="4" borderId="0" xfId="2" applyNumberFormat="1" applyFont="1" applyFill="1"/>
    <xf numFmtId="9" fontId="0" fillId="17" borderId="0" xfId="0" applyNumberFormat="1" applyFill="1"/>
    <xf numFmtId="167" fontId="0" fillId="16" borderId="0" xfId="2" applyNumberFormat="1" applyFont="1" applyFill="1"/>
    <xf numFmtId="167" fontId="0" fillId="16" borderId="0" xfId="0" applyNumberFormat="1" applyFill="1"/>
    <xf numFmtId="0" fontId="3" fillId="16" borderId="7" xfId="0" applyFont="1" applyFill="1" applyBorder="1"/>
    <xf numFmtId="165" fontId="3" fillId="16" borderId="7" xfId="0" applyNumberFormat="1" applyFont="1" applyFill="1" applyBorder="1"/>
    <xf numFmtId="0" fontId="3" fillId="8" borderId="7" xfId="0" applyFont="1" applyFill="1" applyBorder="1"/>
    <xf numFmtId="0" fontId="0" fillId="8" borderId="7" xfId="0" applyFill="1" applyBorder="1"/>
    <xf numFmtId="164" fontId="3" fillId="8" borderId="7" xfId="0" applyNumberFormat="1" applyFont="1" applyFill="1" applyBorder="1"/>
    <xf numFmtId="0" fontId="3" fillId="8" borderId="7" xfId="0" applyFont="1" applyFill="1" applyBorder="1" applyAlignment="1">
      <alignment horizontal="left"/>
    </xf>
    <xf numFmtId="165" fontId="0" fillId="8" borderId="7" xfId="0" applyNumberFormat="1" applyFill="1" applyBorder="1"/>
    <xf numFmtId="165" fontId="3" fillId="8" borderId="7" xfId="0" applyNumberFormat="1" applyFont="1" applyFill="1" applyBorder="1"/>
    <xf numFmtId="0" fontId="3" fillId="5" borderId="0" xfId="0" applyFont="1" applyFill="1"/>
    <xf numFmtId="164" fontId="3" fillId="5" borderId="0" xfId="0" applyNumberFormat="1" applyFont="1" applyFill="1"/>
    <xf numFmtId="0" fontId="3" fillId="5" borderId="0" xfId="0" applyFont="1" applyFill="1" applyAlignment="1">
      <alignment horizontal="left"/>
    </xf>
    <xf numFmtId="165" fontId="0" fillId="5" borderId="0" xfId="0" applyNumberFormat="1" applyFill="1"/>
    <xf numFmtId="165" fontId="3" fillId="5" borderId="0" xfId="0" applyNumberFormat="1" applyFont="1" applyFill="1"/>
    <xf numFmtId="9" fontId="0" fillId="5" borderId="0" xfId="2" applyFont="1" applyFill="1"/>
    <xf numFmtId="0" fontId="16" fillId="11" borderId="0" xfId="0" applyFont="1" applyFill="1"/>
    <xf numFmtId="0" fontId="15" fillId="11" borderId="0" xfId="0" applyFont="1" applyFill="1"/>
    <xf numFmtId="0" fontId="12" fillId="11" borderId="0" xfId="0" applyFont="1" applyFill="1"/>
    <xf numFmtId="0" fontId="17" fillId="11" borderId="0" xfId="0" applyFont="1" applyFill="1"/>
    <xf numFmtId="0" fontId="12" fillId="11" borderId="0" xfId="0" applyFont="1" applyFill="1" applyAlignment="1">
      <alignment horizontal="left" indent="2"/>
    </xf>
    <xf numFmtId="0" fontId="11" fillId="11" borderId="0" xfId="0" applyFont="1" applyFill="1"/>
    <xf numFmtId="0" fontId="0" fillId="16" borderId="0" xfId="0" applyFill="1"/>
    <xf numFmtId="0" fontId="11" fillId="11" borderId="7" xfId="0" applyFont="1" applyFill="1" applyBorder="1"/>
    <xf numFmtId="37" fontId="0" fillId="11" borderId="7" xfId="0" applyNumberFormat="1" applyFill="1" applyBorder="1"/>
    <xf numFmtId="164" fontId="3" fillId="16" borderId="7" xfId="0" applyNumberFormat="1" applyFont="1" applyFill="1" applyBorder="1"/>
    <xf numFmtId="37" fontId="0" fillId="16" borderId="7" xfId="0" applyNumberFormat="1" applyFill="1" applyBorder="1"/>
    <xf numFmtId="0" fontId="0" fillId="16" borderId="7" xfId="0" applyFill="1" applyBorder="1"/>
    <xf numFmtId="0" fontId="0" fillId="11" borderId="1" xfId="0" applyFill="1" applyBorder="1"/>
    <xf numFmtId="0" fontId="3" fillId="11" borderId="2" xfId="0" applyFont="1" applyFill="1" applyBorder="1"/>
    <xf numFmtId="1" fontId="0" fillId="16" borderId="0" xfId="0" applyNumberFormat="1" applyFill="1"/>
    <xf numFmtId="1" fontId="0" fillId="16" borderId="1" xfId="0" applyNumberFormat="1" applyFill="1" applyBorder="1"/>
    <xf numFmtId="1" fontId="3" fillId="16" borderId="2" xfId="0" applyNumberFormat="1" applyFont="1" applyFill="1" applyBorder="1"/>
    <xf numFmtId="164" fontId="3" fillId="11" borderId="7" xfId="0" applyNumberFormat="1" applyFont="1" applyFill="1" applyBorder="1"/>
    <xf numFmtId="15" fontId="0" fillId="16" borderId="0" xfId="0" applyNumberFormat="1" applyFill="1"/>
    <xf numFmtId="14" fontId="0" fillId="16" borderId="0" xfId="0" applyNumberFormat="1" applyFill="1"/>
    <xf numFmtId="2" fontId="0" fillId="16" borderId="0" xfId="0" applyNumberFormat="1" applyFill="1"/>
    <xf numFmtId="0" fontId="16" fillId="11" borderId="7" xfId="0" applyFont="1" applyFill="1" applyBorder="1"/>
    <xf numFmtId="0" fontId="16" fillId="16" borderId="7" xfId="0" applyFont="1" applyFill="1" applyBorder="1"/>
    <xf numFmtId="0" fontId="3" fillId="10" borderId="10" xfId="0" applyFont="1" applyFill="1" applyBorder="1"/>
    <xf numFmtId="0" fontId="0" fillId="10" borderId="6" xfId="0" applyFill="1" applyBorder="1"/>
    <xf numFmtId="0" fontId="0" fillId="10" borderId="11" xfId="0" applyFill="1" applyBorder="1"/>
    <xf numFmtId="0" fontId="0" fillId="10" borderId="8" xfId="0" applyFill="1" applyBorder="1"/>
    <xf numFmtId="173" fontId="0" fillId="10" borderId="9" xfId="0" applyNumberFormat="1" applyFill="1" applyBorder="1"/>
    <xf numFmtId="0" fontId="0" fillId="10" borderId="12" xfId="0" applyFill="1" applyBorder="1"/>
    <xf numFmtId="0" fontId="0" fillId="10" borderId="7" xfId="0" applyFill="1" applyBorder="1"/>
    <xf numFmtId="173" fontId="0" fillId="10" borderId="13" xfId="0" applyNumberFormat="1" applyFill="1" applyBorder="1"/>
    <xf numFmtId="0" fontId="13" fillId="11" borderId="0" xfId="0" quotePrefix="1" applyFont="1" applyFill="1" applyAlignment="1">
      <alignment horizontal="center"/>
    </xf>
    <xf numFmtId="164" fontId="11" fillId="11" borderId="0" xfId="0" applyNumberFormat="1" applyFont="1" applyFill="1"/>
    <xf numFmtId="165" fontId="11" fillId="11" borderId="0" xfId="0" applyNumberFormat="1" applyFont="1" applyFill="1"/>
    <xf numFmtId="0" fontId="16" fillId="0" borderId="0" xfId="0" applyFont="1"/>
    <xf numFmtId="0" fontId="35" fillId="5" borderId="0" xfId="0" applyFont="1" applyFill="1" applyAlignment="1">
      <alignment horizontal="left" vertical="center"/>
    </xf>
    <xf numFmtId="0" fontId="35" fillId="5" borderId="0" xfId="0" applyFont="1" applyFill="1" applyAlignment="1">
      <alignment horizontal="centerContinuous" vertical="center"/>
    </xf>
    <xf numFmtId="172" fontId="12" fillId="5" borderId="0" xfId="0" applyNumberFormat="1" applyFont="1" applyFill="1"/>
    <xf numFmtId="0" fontId="16" fillId="5" borderId="0" xfId="0" applyFont="1" applyFill="1"/>
    <xf numFmtId="177" fontId="16" fillId="5" borderId="0" xfId="0" applyNumberFormat="1" applyFont="1" applyFill="1"/>
    <xf numFmtId="172" fontId="16" fillId="5" borderId="0" xfId="0" applyNumberFormat="1" applyFont="1" applyFill="1"/>
    <xf numFmtId="179" fontId="51" fillId="5" borderId="0" xfId="1" applyNumberFormat="1" applyFont="1" applyFill="1" applyBorder="1"/>
    <xf numFmtId="178" fontId="51" fillId="5" borderId="0" xfId="0" applyNumberFormat="1" applyFont="1" applyFill="1"/>
    <xf numFmtId="166" fontId="14" fillId="10" borderId="0" xfId="0" applyNumberFormat="1" applyFont="1" applyFill="1" applyAlignment="1">
      <alignment horizontal="right"/>
    </xf>
    <xf numFmtId="175" fontId="13" fillId="10" borderId="0" xfId="0" applyNumberFormat="1" applyFont="1" applyFill="1" applyAlignment="1">
      <alignment horizontal="right"/>
    </xf>
    <xf numFmtId="0" fontId="19" fillId="11" borderId="1" xfId="0" applyFont="1" applyFill="1" applyBorder="1"/>
    <xf numFmtId="166" fontId="36" fillId="15" borderId="1" xfId="0" applyNumberFormat="1" applyFont="1" applyFill="1" applyBorder="1" applyAlignment="1">
      <alignment horizontal="right"/>
    </xf>
    <xf numFmtId="1" fontId="0" fillId="16" borderId="1" xfId="0" applyNumberFormat="1" applyFill="1" applyBorder="1" applyAlignment="1">
      <alignment wrapText="1"/>
    </xf>
    <xf numFmtId="9" fontId="0" fillId="0" borderId="0" xfId="2" applyFont="1" applyAlignment="1">
      <alignment wrapText="1"/>
    </xf>
    <xf numFmtId="0" fontId="3" fillId="0" borderId="0" xfId="0" applyFont="1" applyAlignment="1">
      <alignment wrapText="1"/>
    </xf>
    <xf numFmtId="0" fontId="4" fillId="14" borderId="0" xfId="0" applyFont="1" applyFill="1" applyAlignment="1">
      <alignment horizontal="center"/>
    </xf>
    <xf numFmtId="0" fontId="45" fillId="0" borderId="0" xfId="0" applyFont="1" applyAlignment="1">
      <alignment horizontal="center" vertical="center"/>
    </xf>
    <xf numFmtId="0" fontId="3" fillId="8" borderId="0" xfId="0" applyFont="1" applyFill="1" applyAlignment="1">
      <alignment horizontal="center" wrapText="1"/>
    </xf>
    <xf numFmtId="0" fontId="3" fillId="16" borderId="0" xfId="0" applyFont="1" applyFill="1" applyAlignment="1">
      <alignment horizontal="center" wrapText="1"/>
    </xf>
    <xf numFmtId="0" fontId="8" fillId="4" borderId="0" xfId="0" applyFont="1" applyFill="1" applyAlignment="1">
      <alignment horizontal="center" wrapText="1"/>
    </xf>
    <xf numFmtId="0" fontId="8" fillId="16" borderId="0" xfId="0" applyFont="1" applyFill="1" applyAlignment="1">
      <alignment horizontal="center" wrapText="1"/>
    </xf>
    <xf numFmtId="0" fontId="8" fillId="5" borderId="0" xfId="0" applyFont="1" applyFill="1" applyAlignment="1">
      <alignment horizontal="center" wrapText="1"/>
    </xf>
    <xf numFmtId="0" fontId="24" fillId="6" borderId="0" xfId="0" applyFont="1" applyFill="1" applyAlignment="1">
      <alignment horizontal="center"/>
    </xf>
    <xf numFmtId="0" fontId="19" fillId="8" borderId="0" xfId="0" applyFont="1" applyFill="1" applyAlignment="1">
      <alignment horizontal="center"/>
    </xf>
    <xf numFmtId="0" fontId="32" fillId="5" borderId="0" xfId="0" applyFont="1" applyFill="1" applyAlignment="1">
      <alignment horizontal="center" vertical="center" wrapText="1"/>
    </xf>
    <xf numFmtId="0" fontId="11" fillId="11" borderId="0" xfId="0" applyFont="1" applyFill="1" applyAlignment="1">
      <alignment horizontal="center"/>
    </xf>
    <xf numFmtId="165" fontId="11" fillId="11" borderId="0" xfId="0" applyNumberFormat="1" applyFont="1" applyFill="1" applyAlignment="1">
      <alignment horizontal="center"/>
    </xf>
    <xf numFmtId="0" fontId="0" fillId="4" borderId="0" xfId="0" applyFill="1" applyAlignment="1">
      <alignment horizontal="center"/>
    </xf>
  </cellXfs>
  <cellStyles count="7">
    <cellStyle name="Comma" xfId="1" builtinId="3"/>
    <cellStyle name="Currency" xfId="4" builtinId="4"/>
    <cellStyle name="Hyperlink" xfId="6" builtinId="8"/>
    <cellStyle name="Normal" xfId="0" builtinId="0"/>
    <cellStyle name="Normal 2" xfId="5" xr:uid="{00000000-0005-0000-0000-000004000000}"/>
    <cellStyle name="Normal 5" xfId="3" xr:uid="{00000000-0005-0000-0000-000005000000}"/>
    <cellStyle name="Percent" xfId="2" builtinId="5"/>
  </cellStyles>
  <dxfs count="0"/>
  <tableStyles count="0" defaultTableStyle="TableStyleMedium2" defaultPivotStyle="PivotStyleLight16"/>
  <colors>
    <mruColors>
      <color rgb="FFFCF1B9"/>
      <color rgb="FFC8F1C8"/>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CA" sz="1800" b="1" i="0" baseline="0">
                <a:effectLst/>
              </a:rPr>
              <a:t>Trident Ltd . - 52-week Share Pricing</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'Share Price'!$B$11:$B$258</c:f>
              <c:numCache>
                <c:formatCode>d\-mmm\-yy</c:formatCode>
                <c:ptCount val="248"/>
                <c:pt idx="0">
                  <c:v>44173</c:v>
                </c:pt>
                <c:pt idx="1">
                  <c:v>44174</c:v>
                </c:pt>
                <c:pt idx="2">
                  <c:v>44175</c:v>
                </c:pt>
                <c:pt idx="3">
                  <c:v>44176</c:v>
                </c:pt>
                <c:pt idx="4">
                  <c:v>44179</c:v>
                </c:pt>
                <c:pt idx="5">
                  <c:v>44180</c:v>
                </c:pt>
                <c:pt idx="6">
                  <c:v>44181</c:v>
                </c:pt>
                <c:pt idx="7">
                  <c:v>44182</c:v>
                </c:pt>
                <c:pt idx="8">
                  <c:v>44183</c:v>
                </c:pt>
                <c:pt idx="9">
                  <c:v>44186</c:v>
                </c:pt>
                <c:pt idx="10">
                  <c:v>44187</c:v>
                </c:pt>
                <c:pt idx="11">
                  <c:v>44188</c:v>
                </c:pt>
                <c:pt idx="12">
                  <c:v>44189</c:v>
                </c:pt>
                <c:pt idx="13">
                  <c:v>44193</c:v>
                </c:pt>
                <c:pt idx="14">
                  <c:v>44194</c:v>
                </c:pt>
                <c:pt idx="15">
                  <c:v>44195</c:v>
                </c:pt>
                <c:pt idx="16">
                  <c:v>44196</c:v>
                </c:pt>
                <c:pt idx="17">
                  <c:v>44197</c:v>
                </c:pt>
                <c:pt idx="18">
                  <c:v>44200</c:v>
                </c:pt>
                <c:pt idx="19">
                  <c:v>44201</c:v>
                </c:pt>
                <c:pt idx="20">
                  <c:v>44202</c:v>
                </c:pt>
                <c:pt idx="21">
                  <c:v>44203</c:v>
                </c:pt>
                <c:pt idx="22">
                  <c:v>44204</c:v>
                </c:pt>
                <c:pt idx="23">
                  <c:v>44207</c:v>
                </c:pt>
                <c:pt idx="24">
                  <c:v>44208</c:v>
                </c:pt>
                <c:pt idx="25">
                  <c:v>44209</c:v>
                </c:pt>
                <c:pt idx="26">
                  <c:v>44210</c:v>
                </c:pt>
                <c:pt idx="27">
                  <c:v>44211</c:v>
                </c:pt>
                <c:pt idx="28">
                  <c:v>44214</c:v>
                </c:pt>
                <c:pt idx="29">
                  <c:v>44215</c:v>
                </c:pt>
                <c:pt idx="30">
                  <c:v>44216</c:v>
                </c:pt>
                <c:pt idx="31">
                  <c:v>44217</c:v>
                </c:pt>
                <c:pt idx="32">
                  <c:v>44218</c:v>
                </c:pt>
                <c:pt idx="33">
                  <c:v>44221</c:v>
                </c:pt>
                <c:pt idx="34">
                  <c:v>44223</c:v>
                </c:pt>
                <c:pt idx="35">
                  <c:v>44224</c:v>
                </c:pt>
                <c:pt idx="36">
                  <c:v>44225</c:v>
                </c:pt>
                <c:pt idx="37">
                  <c:v>44228</c:v>
                </c:pt>
                <c:pt idx="38">
                  <c:v>44229</c:v>
                </c:pt>
                <c:pt idx="39">
                  <c:v>44230</c:v>
                </c:pt>
                <c:pt idx="40">
                  <c:v>44231</c:v>
                </c:pt>
                <c:pt idx="41">
                  <c:v>44232</c:v>
                </c:pt>
                <c:pt idx="42">
                  <c:v>44235</c:v>
                </c:pt>
                <c:pt idx="43">
                  <c:v>44236</c:v>
                </c:pt>
                <c:pt idx="44">
                  <c:v>44237</c:v>
                </c:pt>
                <c:pt idx="45">
                  <c:v>44238</c:v>
                </c:pt>
                <c:pt idx="46">
                  <c:v>44239</c:v>
                </c:pt>
                <c:pt idx="47">
                  <c:v>44242</c:v>
                </c:pt>
                <c:pt idx="48">
                  <c:v>44243</c:v>
                </c:pt>
                <c:pt idx="49">
                  <c:v>44244</c:v>
                </c:pt>
                <c:pt idx="50">
                  <c:v>44245</c:v>
                </c:pt>
                <c:pt idx="51">
                  <c:v>44246</c:v>
                </c:pt>
                <c:pt idx="52">
                  <c:v>44249</c:v>
                </c:pt>
                <c:pt idx="53">
                  <c:v>44250</c:v>
                </c:pt>
                <c:pt idx="54">
                  <c:v>44251</c:v>
                </c:pt>
                <c:pt idx="55">
                  <c:v>44252</c:v>
                </c:pt>
                <c:pt idx="56">
                  <c:v>44253</c:v>
                </c:pt>
                <c:pt idx="57">
                  <c:v>44256</c:v>
                </c:pt>
                <c:pt idx="58">
                  <c:v>44257</c:v>
                </c:pt>
                <c:pt idx="59">
                  <c:v>44258</c:v>
                </c:pt>
                <c:pt idx="60">
                  <c:v>44259</c:v>
                </c:pt>
                <c:pt idx="61">
                  <c:v>44260</c:v>
                </c:pt>
                <c:pt idx="62">
                  <c:v>44263</c:v>
                </c:pt>
                <c:pt idx="63">
                  <c:v>44264</c:v>
                </c:pt>
                <c:pt idx="64">
                  <c:v>44265</c:v>
                </c:pt>
                <c:pt idx="65">
                  <c:v>44267</c:v>
                </c:pt>
                <c:pt idx="66">
                  <c:v>44270</c:v>
                </c:pt>
                <c:pt idx="67">
                  <c:v>44271</c:v>
                </c:pt>
                <c:pt idx="68">
                  <c:v>44272</c:v>
                </c:pt>
                <c:pt idx="69">
                  <c:v>44273</c:v>
                </c:pt>
                <c:pt idx="70">
                  <c:v>44274</c:v>
                </c:pt>
                <c:pt idx="71">
                  <c:v>44277</c:v>
                </c:pt>
                <c:pt idx="72">
                  <c:v>44278</c:v>
                </c:pt>
                <c:pt idx="73">
                  <c:v>44279</c:v>
                </c:pt>
                <c:pt idx="74">
                  <c:v>44280</c:v>
                </c:pt>
                <c:pt idx="75">
                  <c:v>44281</c:v>
                </c:pt>
                <c:pt idx="76">
                  <c:v>44285</c:v>
                </c:pt>
                <c:pt idx="77">
                  <c:v>44286</c:v>
                </c:pt>
                <c:pt idx="78">
                  <c:v>44287</c:v>
                </c:pt>
                <c:pt idx="79">
                  <c:v>44291</c:v>
                </c:pt>
                <c:pt idx="80">
                  <c:v>44292</c:v>
                </c:pt>
                <c:pt idx="81">
                  <c:v>44293</c:v>
                </c:pt>
                <c:pt idx="82">
                  <c:v>44294</c:v>
                </c:pt>
                <c:pt idx="83">
                  <c:v>44295</c:v>
                </c:pt>
                <c:pt idx="84">
                  <c:v>44298</c:v>
                </c:pt>
                <c:pt idx="85">
                  <c:v>44299</c:v>
                </c:pt>
                <c:pt idx="86">
                  <c:v>44301</c:v>
                </c:pt>
                <c:pt idx="87">
                  <c:v>44302</c:v>
                </c:pt>
                <c:pt idx="88">
                  <c:v>44305</c:v>
                </c:pt>
                <c:pt idx="89">
                  <c:v>44306</c:v>
                </c:pt>
                <c:pt idx="90">
                  <c:v>44308</c:v>
                </c:pt>
                <c:pt idx="91">
                  <c:v>44309</c:v>
                </c:pt>
                <c:pt idx="92">
                  <c:v>44312</c:v>
                </c:pt>
                <c:pt idx="93">
                  <c:v>44313</c:v>
                </c:pt>
                <c:pt idx="94">
                  <c:v>44314</c:v>
                </c:pt>
                <c:pt idx="95">
                  <c:v>44315</c:v>
                </c:pt>
                <c:pt idx="96">
                  <c:v>44316</c:v>
                </c:pt>
                <c:pt idx="97">
                  <c:v>44319</c:v>
                </c:pt>
                <c:pt idx="98">
                  <c:v>44320</c:v>
                </c:pt>
                <c:pt idx="99">
                  <c:v>44321</c:v>
                </c:pt>
                <c:pt idx="100">
                  <c:v>44322</c:v>
                </c:pt>
                <c:pt idx="101">
                  <c:v>44323</c:v>
                </c:pt>
                <c:pt idx="102">
                  <c:v>44326</c:v>
                </c:pt>
                <c:pt idx="103">
                  <c:v>44327</c:v>
                </c:pt>
                <c:pt idx="104">
                  <c:v>44328</c:v>
                </c:pt>
                <c:pt idx="105">
                  <c:v>44330</c:v>
                </c:pt>
                <c:pt idx="106">
                  <c:v>44333</c:v>
                </c:pt>
                <c:pt idx="107">
                  <c:v>44334</c:v>
                </c:pt>
                <c:pt idx="108">
                  <c:v>44335</c:v>
                </c:pt>
                <c:pt idx="109">
                  <c:v>44336</c:v>
                </c:pt>
                <c:pt idx="110">
                  <c:v>44337</c:v>
                </c:pt>
                <c:pt idx="111">
                  <c:v>44340</c:v>
                </c:pt>
                <c:pt idx="112">
                  <c:v>44341</c:v>
                </c:pt>
                <c:pt idx="113">
                  <c:v>44342</c:v>
                </c:pt>
                <c:pt idx="114">
                  <c:v>44343</c:v>
                </c:pt>
                <c:pt idx="115">
                  <c:v>44344</c:v>
                </c:pt>
                <c:pt idx="116">
                  <c:v>44347</c:v>
                </c:pt>
                <c:pt idx="117">
                  <c:v>44348</c:v>
                </c:pt>
                <c:pt idx="118">
                  <c:v>44349</c:v>
                </c:pt>
                <c:pt idx="119">
                  <c:v>44350</c:v>
                </c:pt>
                <c:pt idx="120">
                  <c:v>44351</c:v>
                </c:pt>
                <c:pt idx="121">
                  <c:v>44354</c:v>
                </c:pt>
                <c:pt idx="122">
                  <c:v>44355</c:v>
                </c:pt>
                <c:pt idx="123">
                  <c:v>44356</c:v>
                </c:pt>
                <c:pt idx="124">
                  <c:v>44357</c:v>
                </c:pt>
                <c:pt idx="125">
                  <c:v>44358</c:v>
                </c:pt>
                <c:pt idx="126">
                  <c:v>44361</c:v>
                </c:pt>
                <c:pt idx="127">
                  <c:v>44362</c:v>
                </c:pt>
                <c:pt idx="128">
                  <c:v>44363</c:v>
                </c:pt>
                <c:pt idx="129">
                  <c:v>44364</c:v>
                </c:pt>
                <c:pt idx="130">
                  <c:v>44365</c:v>
                </c:pt>
                <c:pt idx="131">
                  <c:v>44368</c:v>
                </c:pt>
                <c:pt idx="132">
                  <c:v>44369</c:v>
                </c:pt>
                <c:pt idx="133">
                  <c:v>44370</c:v>
                </c:pt>
                <c:pt idx="134">
                  <c:v>44371</c:v>
                </c:pt>
                <c:pt idx="135">
                  <c:v>44372</c:v>
                </c:pt>
                <c:pt idx="136">
                  <c:v>44375</c:v>
                </c:pt>
                <c:pt idx="137">
                  <c:v>44376</c:v>
                </c:pt>
                <c:pt idx="138">
                  <c:v>44377</c:v>
                </c:pt>
                <c:pt idx="139">
                  <c:v>44378</c:v>
                </c:pt>
                <c:pt idx="140">
                  <c:v>44379</c:v>
                </c:pt>
                <c:pt idx="141">
                  <c:v>44382</c:v>
                </c:pt>
                <c:pt idx="142">
                  <c:v>44383</c:v>
                </c:pt>
                <c:pt idx="143">
                  <c:v>44384</c:v>
                </c:pt>
                <c:pt idx="144">
                  <c:v>44385</c:v>
                </c:pt>
                <c:pt idx="145">
                  <c:v>44386</c:v>
                </c:pt>
                <c:pt idx="146">
                  <c:v>44389</c:v>
                </c:pt>
                <c:pt idx="147">
                  <c:v>44390</c:v>
                </c:pt>
                <c:pt idx="148">
                  <c:v>44391</c:v>
                </c:pt>
                <c:pt idx="149">
                  <c:v>44392</c:v>
                </c:pt>
                <c:pt idx="150">
                  <c:v>44393</c:v>
                </c:pt>
                <c:pt idx="151">
                  <c:v>44396</c:v>
                </c:pt>
                <c:pt idx="152">
                  <c:v>44397</c:v>
                </c:pt>
                <c:pt idx="153">
                  <c:v>44399</c:v>
                </c:pt>
                <c:pt idx="154">
                  <c:v>44400</c:v>
                </c:pt>
                <c:pt idx="155">
                  <c:v>44403</c:v>
                </c:pt>
                <c:pt idx="156">
                  <c:v>44404</c:v>
                </c:pt>
                <c:pt idx="157">
                  <c:v>44405</c:v>
                </c:pt>
                <c:pt idx="158">
                  <c:v>44406</c:v>
                </c:pt>
                <c:pt idx="159">
                  <c:v>44407</c:v>
                </c:pt>
                <c:pt idx="160">
                  <c:v>44410</c:v>
                </c:pt>
                <c:pt idx="161">
                  <c:v>44411</c:v>
                </c:pt>
                <c:pt idx="162">
                  <c:v>44412</c:v>
                </c:pt>
                <c:pt idx="163">
                  <c:v>44413</c:v>
                </c:pt>
                <c:pt idx="164">
                  <c:v>44414</c:v>
                </c:pt>
                <c:pt idx="165">
                  <c:v>44417</c:v>
                </c:pt>
                <c:pt idx="166">
                  <c:v>44418</c:v>
                </c:pt>
                <c:pt idx="167">
                  <c:v>44419</c:v>
                </c:pt>
                <c:pt idx="168">
                  <c:v>44420</c:v>
                </c:pt>
                <c:pt idx="169">
                  <c:v>44421</c:v>
                </c:pt>
                <c:pt idx="170">
                  <c:v>44424</c:v>
                </c:pt>
                <c:pt idx="171">
                  <c:v>44425</c:v>
                </c:pt>
                <c:pt idx="172">
                  <c:v>44426</c:v>
                </c:pt>
                <c:pt idx="173">
                  <c:v>44428</c:v>
                </c:pt>
                <c:pt idx="174">
                  <c:v>44431</c:v>
                </c:pt>
                <c:pt idx="175">
                  <c:v>44432</c:v>
                </c:pt>
                <c:pt idx="176">
                  <c:v>44433</c:v>
                </c:pt>
                <c:pt idx="177">
                  <c:v>44434</c:v>
                </c:pt>
                <c:pt idx="178">
                  <c:v>44435</c:v>
                </c:pt>
                <c:pt idx="179">
                  <c:v>44438</c:v>
                </c:pt>
                <c:pt idx="180">
                  <c:v>44439</c:v>
                </c:pt>
                <c:pt idx="181">
                  <c:v>44440</c:v>
                </c:pt>
                <c:pt idx="182">
                  <c:v>44441</c:v>
                </c:pt>
                <c:pt idx="183">
                  <c:v>44442</c:v>
                </c:pt>
                <c:pt idx="184">
                  <c:v>44445</c:v>
                </c:pt>
                <c:pt idx="185">
                  <c:v>44446</c:v>
                </c:pt>
                <c:pt idx="186">
                  <c:v>44447</c:v>
                </c:pt>
                <c:pt idx="187">
                  <c:v>44448</c:v>
                </c:pt>
                <c:pt idx="188">
                  <c:v>44452</c:v>
                </c:pt>
                <c:pt idx="189">
                  <c:v>44453</c:v>
                </c:pt>
                <c:pt idx="190">
                  <c:v>44454</c:v>
                </c:pt>
                <c:pt idx="191">
                  <c:v>44455</c:v>
                </c:pt>
                <c:pt idx="192">
                  <c:v>44456</c:v>
                </c:pt>
                <c:pt idx="193">
                  <c:v>44459</c:v>
                </c:pt>
                <c:pt idx="194">
                  <c:v>44460</c:v>
                </c:pt>
                <c:pt idx="195">
                  <c:v>44461</c:v>
                </c:pt>
                <c:pt idx="196">
                  <c:v>44462</c:v>
                </c:pt>
                <c:pt idx="197">
                  <c:v>44463</c:v>
                </c:pt>
                <c:pt idx="198">
                  <c:v>44466</c:v>
                </c:pt>
                <c:pt idx="199">
                  <c:v>44467</c:v>
                </c:pt>
                <c:pt idx="200">
                  <c:v>44468</c:v>
                </c:pt>
                <c:pt idx="201">
                  <c:v>44469</c:v>
                </c:pt>
                <c:pt idx="202">
                  <c:v>44470</c:v>
                </c:pt>
                <c:pt idx="203">
                  <c:v>44473</c:v>
                </c:pt>
                <c:pt idx="204">
                  <c:v>44474</c:v>
                </c:pt>
                <c:pt idx="205">
                  <c:v>44475</c:v>
                </c:pt>
                <c:pt idx="206">
                  <c:v>44476</c:v>
                </c:pt>
                <c:pt idx="207">
                  <c:v>44477</c:v>
                </c:pt>
                <c:pt idx="208">
                  <c:v>44480</c:v>
                </c:pt>
                <c:pt idx="209">
                  <c:v>44481</c:v>
                </c:pt>
                <c:pt idx="210">
                  <c:v>44482</c:v>
                </c:pt>
                <c:pt idx="211">
                  <c:v>44483</c:v>
                </c:pt>
                <c:pt idx="212">
                  <c:v>44487</c:v>
                </c:pt>
                <c:pt idx="213">
                  <c:v>44488</c:v>
                </c:pt>
                <c:pt idx="214">
                  <c:v>44489</c:v>
                </c:pt>
                <c:pt idx="215">
                  <c:v>44490</c:v>
                </c:pt>
                <c:pt idx="216">
                  <c:v>44491</c:v>
                </c:pt>
                <c:pt idx="217">
                  <c:v>44494</c:v>
                </c:pt>
                <c:pt idx="218">
                  <c:v>44495</c:v>
                </c:pt>
                <c:pt idx="219">
                  <c:v>44496</c:v>
                </c:pt>
                <c:pt idx="220">
                  <c:v>44497</c:v>
                </c:pt>
                <c:pt idx="221">
                  <c:v>44498</c:v>
                </c:pt>
                <c:pt idx="222">
                  <c:v>44501</c:v>
                </c:pt>
                <c:pt idx="223">
                  <c:v>44502</c:v>
                </c:pt>
                <c:pt idx="224">
                  <c:v>44503</c:v>
                </c:pt>
                <c:pt idx="225">
                  <c:v>44504</c:v>
                </c:pt>
                <c:pt idx="226">
                  <c:v>44508</c:v>
                </c:pt>
                <c:pt idx="227">
                  <c:v>44509</c:v>
                </c:pt>
                <c:pt idx="228">
                  <c:v>44510</c:v>
                </c:pt>
                <c:pt idx="229">
                  <c:v>44511</c:v>
                </c:pt>
                <c:pt idx="230">
                  <c:v>44512</c:v>
                </c:pt>
                <c:pt idx="231">
                  <c:v>44515</c:v>
                </c:pt>
                <c:pt idx="232">
                  <c:v>44516</c:v>
                </c:pt>
                <c:pt idx="233">
                  <c:v>44517</c:v>
                </c:pt>
                <c:pt idx="234">
                  <c:v>44518</c:v>
                </c:pt>
                <c:pt idx="235">
                  <c:v>44522</c:v>
                </c:pt>
                <c:pt idx="236">
                  <c:v>44523</c:v>
                </c:pt>
                <c:pt idx="237">
                  <c:v>44524</c:v>
                </c:pt>
                <c:pt idx="238">
                  <c:v>44525</c:v>
                </c:pt>
                <c:pt idx="239">
                  <c:v>44526</c:v>
                </c:pt>
                <c:pt idx="240">
                  <c:v>44529</c:v>
                </c:pt>
                <c:pt idx="241">
                  <c:v>44530</c:v>
                </c:pt>
                <c:pt idx="242">
                  <c:v>44531</c:v>
                </c:pt>
                <c:pt idx="243">
                  <c:v>44532</c:v>
                </c:pt>
                <c:pt idx="244">
                  <c:v>44533</c:v>
                </c:pt>
                <c:pt idx="245">
                  <c:v>44536</c:v>
                </c:pt>
                <c:pt idx="246">
                  <c:v>44537</c:v>
                </c:pt>
                <c:pt idx="247">
                  <c:v>44538</c:v>
                </c:pt>
              </c:numCache>
            </c:numRef>
          </c:cat>
          <c:val>
            <c:numRef>
              <c:f>'Share Price'!$C$11:$C$258</c:f>
              <c:numCache>
                <c:formatCode>0.00</c:formatCode>
                <c:ptCount val="248"/>
                <c:pt idx="0">
                  <c:v>10.15</c:v>
                </c:pt>
                <c:pt idx="1">
                  <c:v>10.1</c:v>
                </c:pt>
                <c:pt idx="2">
                  <c:v>9.75</c:v>
                </c:pt>
                <c:pt idx="3">
                  <c:v>9.85</c:v>
                </c:pt>
                <c:pt idx="4">
                  <c:v>9.9499999999999993</c:v>
                </c:pt>
                <c:pt idx="5">
                  <c:v>9.8000000000000007</c:v>
                </c:pt>
                <c:pt idx="6">
                  <c:v>9.8000000000000007</c:v>
                </c:pt>
                <c:pt idx="7">
                  <c:v>9.65</c:v>
                </c:pt>
                <c:pt idx="8">
                  <c:v>9.4</c:v>
                </c:pt>
                <c:pt idx="9">
                  <c:v>8.65</c:v>
                </c:pt>
                <c:pt idx="10">
                  <c:v>8.9499999999999993</c:v>
                </c:pt>
                <c:pt idx="11">
                  <c:v>9.3000000000000007</c:v>
                </c:pt>
                <c:pt idx="12">
                  <c:v>9.35</c:v>
                </c:pt>
                <c:pt idx="13">
                  <c:v>9.65</c:v>
                </c:pt>
                <c:pt idx="14">
                  <c:v>9.6999999999999993</c:v>
                </c:pt>
                <c:pt idx="15">
                  <c:v>9.6999999999999993</c:v>
                </c:pt>
                <c:pt idx="16">
                  <c:v>9.9</c:v>
                </c:pt>
                <c:pt idx="17">
                  <c:v>10.75</c:v>
                </c:pt>
                <c:pt idx="18">
                  <c:v>12.9</c:v>
                </c:pt>
                <c:pt idx="19">
                  <c:v>15.45</c:v>
                </c:pt>
                <c:pt idx="20">
                  <c:v>16</c:v>
                </c:pt>
                <c:pt idx="21">
                  <c:v>14.5</c:v>
                </c:pt>
                <c:pt idx="22">
                  <c:v>14.6</c:v>
                </c:pt>
                <c:pt idx="23">
                  <c:v>14.7</c:v>
                </c:pt>
                <c:pt idx="24">
                  <c:v>14.35</c:v>
                </c:pt>
                <c:pt idx="25">
                  <c:v>14.35</c:v>
                </c:pt>
                <c:pt idx="26">
                  <c:v>14.35</c:v>
                </c:pt>
                <c:pt idx="27">
                  <c:v>14.7</c:v>
                </c:pt>
                <c:pt idx="28">
                  <c:v>14.9</c:v>
                </c:pt>
                <c:pt idx="29">
                  <c:v>15.15</c:v>
                </c:pt>
                <c:pt idx="30">
                  <c:v>14.8</c:v>
                </c:pt>
                <c:pt idx="31">
                  <c:v>14.45</c:v>
                </c:pt>
                <c:pt idx="32">
                  <c:v>14.15</c:v>
                </c:pt>
                <c:pt idx="33">
                  <c:v>13.85</c:v>
                </c:pt>
                <c:pt idx="34">
                  <c:v>13.25</c:v>
                </c:pt>
                <c:pt idx="35">
                  <c:v>14.55</c:v>
                </c:pt>
                <c:pt idx="36">
                  <c:v>14.5</c:v>
                </c:pt>
                <c:pt idx="37">
                  <c:v>14.45</c:v>
                </c:pt>
                <c:pt idx="38">
                  <c:v>14.3</c:v>
                </c:pt>
                <c:pt idx="39">
                  <c:v>14.15</c:v>
                </c:pt>
                <c:pt idx="40">
                  <c:v>14.5</c:v>
                </c:pt>
                <c:pt idx="41">
                  <c:v>14.1</c:v>
                </c:pt>
                <c:pt idx="42">
                  <c:v>14.15</c:v>
                </c:pt>
                <c:pt idx="43">
                  <c:v>13.95</c:v>
                </c:pt>
                <c:pt idx="44">
                  <c:v>13.9</c:v>
                </c:pt>
                <c:pt idx="45">
                  <c:v>13.95</c:v>
                </c:pt>
                <c:pt idx="46">
                  <c:v>14.1</c:v>
                </c:pt>
                <c:pt idx="47">
                  <c:v>13.95</c:v>
                </c:pt>
                <c:pt idx="48">
                  <c:v>13.55</c:v>
                </c:pt>
                <c:pt idx="49">
                  <c:v>13.95</c:v>
                </c:pt>
                <c:pt idx="50">
                  <c:v>13.85</c:v>
                </c:pt>
                <c:pt idx="51">
                  <c:v>14</c:v>
                </c:pt>
                <c:pt idx="52">
                  <c:v>13.8</c:v>
                </c:pt>
                <c:pt idx="53">
                  <c:v>14.05</c:v>
                </c:pt>
                <c:pt idx="54">
                  <c:v>14.05</c:v>
                </c:pt>
                <c:pt idx="55">
                  <c:v>13.95</c:v>
                </c:pt>
                <c:pt idx="56">
                  <c:v>13.8</c:v>
                </c:pt>
                <c:pt idx="57">
                  <c:v>13.75</c:v>
                </c:pt>
                <c:pt idx="58">
                  <c:v>13.95</c:v>
                </c:pt>
                <c:pt idx="59">
                  <c:v>14.1</c:v>
                </c:pt>
                <c:pt idx="60">
                  <c:v>14.7</c:v>
                </c:pt>
                <c:pt idx="61">
                  <c:v>14.55</c:v>
                </c:pt>
                <c:pt idx="62">
                  <c:v>14.3</c:v>
                </c:pt>
                <c:pt idx="63">
                  <c:v>14.05</c:v>
                </c:pt>
                <c:pt idx="64">
                  <c:v>14.4</c:v>
                </c:pt>
                <c:pt idx="65">
                  <c:v>15.3</c:v>
                </c:pt>
                <c:pt idx="66">
                  <c:v>15.35</c:v>
                </c:pt>
                <c:pt idx="67">
                  <c:v>15.75</c:v>
                </c:pt>
                <c:pt idx="68">
                  <c:v>14.8</c:v>
                </c:pt>
                <c:pt idx="69">
                  <c:v>14.3</c:v>
                </c:pt>
                <c:pt idx="70">
                  <c:v>14.5</c:v>
                </c:pt>
                <c:pt idx="71">
                  <c:v>14.55</c:v>
                </c:pt>
                <c:pt idx="72">
                  <c:v>14.5</c:v>
                </c:pt>
                <c:pt idx="73">
                  <c:v>14.1</c:v>
                </c:pt>
                <c:pt idx="74">
                  <c:v>13.8</c:v>
                </c:pt>
                <c:pt idx="75">
                  <c:v>13.7</c:v>
                </c:pt>
                <c:pt idx="76">
                  <c:v>14.2</c:v>
                </c:pt>
                <c:pt idx="77">
                  <c:v>14.05</c:v>
                </c:pt>
                <c:pt idx="78">
                  <c:v>14.2</c:v>
                </c:pt>
                <c:pt idx="79">
                  <c:v>14</c:v>
                </c:pt>
                <c:pt idx="80">
                  <c:v>13.8</c:v>
                </c:pt>
                <c:pt idx="81">
                  <c:v>13.85</c:v>
                </c:pt>
                <c:pt idx="82">
                  <c:v>14.2</c:v>
                </c:pt>
                <c:pt idx="83">
                  <c:v>14.1</c:v>
                </c:pt>
                <c:pt idx="84">
                  <c:v>13.4</c:v>
                </c:pt>
                <c:pt idx="85">
                  <c:v>13.7</c:v>
                </c:pt>
                <c:pt idx="86">
                  <c:v>13.95</c:v>
                </c:pt>
                <c:pt idx="87">
                  <c:v>14</c:v>
                </c:pt>
                <c:pt idx="88">
                  <c:v>13.45</c:v>
                </c:pt>
                <c:pt idx="89">
                  <c:v>13.55</c:v>
                </c:pt>
                <c:pt idx="90">
                  <c:v>13.5</c:v>
                </c:pt>
                <c:pt idx="91">
                  <c:v>13.5</c:v>
                </c:pt>
                <c:pt idx="92">
                  <c:v>13.6</c:v>
                </c:pt>
                <c:pt idx="93">
                  <c:v>14.1</c:v>
                </c:pt>
                <c:pt idx="94">
                  <c:v>14</c:v>
                </c:pt>
                <c:pt idx="95">
                  <c:v>13.8</c:v>
                </c:pt>
                <c:pt idx="96">
                  <c:v>13.8</c:v>
                </c:pt>
                <c:pt idx="97">
                  <c:v>14.1</c:v>
                </c:pt>
                <c:pt idx="98">
                  <c:v>13.85</c:v>
                </c:pt>
                <c:pt idx="99">
                  <c:v>13.85</c:v>
                </c:pt>
                <c:pt idx="100">
                  <c:v>13.9</c:v>
                </c:pt>
                <c:pt idx="101">
                  <c:v>15.25</c:v>
                </c:pt>
                <c:pt idx="102">
                  <c:v>16.75</c:v>
                </c:pt>
                <c:pt idx="103">
                  <c:v>18.399999999999999</c:v>
                </c:pt>
                <c:pt idx="104">
                  <c:v>17.5</c:v>
                </c:pt>
                <c:pt idx="105">
                  <c:v>16.950001</c:v>
                </c:pt>
                <c:pt idx="106">
                  <c:v>16.149999999999999</c:v>
                </c:pt>
                <c:pt idx="107">
                  <c:v>16.950001</c:v>
                </c:pt>
                <c:pt idx="108">
                  <c:v>16.799999</c:v>
                </c:pt>
                <c:pt idx="109">
                  <c:v>16.799999</c:v>
                </c:pt>
                <c:pt idx="110">
                  <c:v>16.649999999999999</c:v>
                </c:pt>
                <c:pt idx="111">
                  <c:v>16.75</c:v>
                </c:pt>
                <c:pt idx="112">
                  <c:v>16.600000000000001</c:v>
                </c:pt>
                <c:pt idx="113">
                  <c:v>16.799999</c:v>
                </c:pt>
                <c:pt idx="114">
                  <c:v>16.549999</c:v>
                </c:pt>
                <c:pt idx="115">
                  <c:v>16.25</c:v>
                </c:pt>
                <c:pt idx="116">
                  <c:v>15.95</c:v>
                </c:pt>
                <c:pt idx="117">
                  <c:v>15.85</c:v>
                </c:pt>
                <c:pt idx="118">
                  <c:v>16</c:v>
                </c:pt>
                <c:pt idx="119">
                  <c:v>16.100000000000001</c:v>
                </c:pt>
                <c:pt idx="120">
                  <c:v>16</c:v>
                </c:pt>
                <c:pt idx="121">
                  <c:v>16.799999</c:v>
                </c:pt>
                <c:pt idx="122">
                  <c:v>16.399999999999999</c:v>
                </c:pt>
                <c:pt idx="123">
                  <c:v>16.149999999999999</c:v>
                </c:pt>
                <c:pt idx="124">
                  <c:v>16.950001</c:v>
                </c:pt>
                <c:pt idx="125">
                  <c:v>16.700001</c:v>
                </c:pt>
                <c:pt idx="126">
                  <c:v>16.799999</c:v>
                </c:pt>
                <c:pt idx="127">
                  <c:v>16.649999999999999</c:v>
                </c:pt>
                <c:pt idx="128">
                  <c:v>16.549999</c:v>
                </c:pt>
                <c:pt idx="129">
                  <c:v>16.75</c:v>
                </c:pt>
                <c:pt idx="130">
                  <c:v>16.5</c:v>
                </c:pt>
                <c:pt idx="131">
                  <c:v>16.649999999999999</c:v>
                </c:pt>
                <c:pt idx="132">
                  <c:v>16.700001</c:v>
                </c:pt>
                <c:pt idx="133">
                  <c:v>16.600000000000001</c:v>
                </c:pt>
                <c:pt idx="134">
                  <c:v>16.600000000000001</c:v>
                </c:pt>
                <c:pt idx="135">
                  <c:v>16.600000000000001</c:v>
                </c:pt>
                <c:pt idx="136">
                  <c:v>16.5</c:v>
                </c:pt>
                <c:pt idx="137">
                  <c:v>16.25</c:v>
                </c:pt>
                <c:pt idx="138">
                  <c:v>16.350000000000001</c:v>
                </c:pt>
                <c:pt idx="139">
                  <c:v>16.350000000000001</c:v>
                </c:pt>
                <c:pt idx="140">
                  <c:v>16.399999999999999</c:v>
                </c:pt>
                <c:pt idx="141">
                  <c:v>17.200001</c:v>
                </c:pt>
                <c:pt idx="142">
                  <c:v>18.049999</c:v>
                </c:pt>
                <c:pt idx="143">
                  <c:v>17.149999999999999</c:v>
                </c:pt>
                <c:pt idx="144">
                  <c:v>17.299999</c:v>
                </c:pt>
                <c:pt idx="145">
                  <c:v>17.399999999999999</c:v>
                </c:pt>
                <c:pt idx="146">
                  <c:v>17.899999999999999</c:v>
                </c:pt>
                <c:pt idx="147">
                  <c:v>17.850000000000001</c:v>
                </c:pt>
                <c:pt idx="148">
                  <c:v>17.950001</c:v>
                </c:pt>
                <c:pt idx="149">
                  <c:v>17.649999999999999</c:v>
                </c:pt>
                <c:pt idx="150">
                  <c:v>17.700001</c:v>
                </c:pt>
                <c:pt idx="151">
                  <c:v>17.649999999999999</c:v>
                </c:pt>
                <c:pt idx="152">
                  <c:v>17.299999</c:v>
                </c:pt>
                <c:pt idx="153">
                  <c:v>17.75</c:v>
                </c:pt>
                <c:pt idx="154">
                  <c:v>17.600000000000001</c:v>
                </c:pt>
                <c:pt idx="155">
                  <c:v>17.100000000000001</c:v>
                </c:pt>
                <c:pt idx="156">
                  <c:v>17.950001</c:v>
                </c:pt>
                <c:pt idx="157">
                  <c:v>18.799999</c:v>
                </c:pt>
                <c:pt idx="158">
                  <c:v>19.700001</c:v>
                </c:pt>
                <c:pt idx="159">
                  <c:v>20.65</c:v>
                </c:pt>
                <c:pt idx="160">
                  <c:v>20.149999999999999</c:v>
                </c:pt>
                <c:pt idx="161">
                  <c:v>21.15</c:v>
                </c:pt>
                <c:pt idx="162">
                  <c:v>22.15</c:v>
                </c:pt>
                <c:pt idx="163">
                  <c:v>21.049999</c:v>
                </c:pt>
                <c:pt idx="164">
                  <c:v>20.350000000000001</c:v>
                </c:pt>
                <c:pt idx="165">
                  <c:v>21</c:v>
                </c:pt>
                <c:pt idx="166">
                  <c:v>19.950001</c:v>
                </c:pt>
                <c:pt idx="167">
                  <c:v>19.549999</c:v>
                </c:pt>
                <c:pt idx="168">
                  <c:v>20.450001</c:v>
                </c:pt>
                <c:pt idx="169">
                  <c:v>21.450001</c:v>
                </c:pt>
                <c:pt idx="170">
                  <c:v>21.049999</c:v>
                </c:pt>
                <c:pt idx="171">
                  <c:v>20.549999</c:v>
                </c:pt>
                <c:pt idx="172">
                  <c:v>20.65</c:v>
                </c:pt>
                <c:pt idx="173">
                  <c:v>20.200001</c:v>
                </c:pt>
                <c:pt idx="174">
                  <c:v>19.5</c:v>
                </c:pt>
                <c:pt idx="175">
                  <c:v>20.450001</c:v>
                </c:pt>
                <c:pt idx="176">
                  <c:v>20.450001</c:v>
                </c:pt>
                <c:pt idx="177">
                  <c:v>20.350000000000001</c:v>
                </c:pt>
                <c:pt idx="178">
                  <c:v>20.149999999999999</c:v>
                </c:pt>
                <c:pt idx="179">
                  <c:v>20.200001</c:v>
                </c:pt>
                <c:pt idx="180">
                  <c:v>20.65</c:v>
                </c:pt>
                <c:pt idx="181">
                  <c:v>21.549999</c:v>
                </c:pt>
                <c:pt idx="182">
                  <c:v>22.6</c:v>
                </c:pt>
                <c:pt idx="183">
                  <c:v>23.700001</c:v>
                </c:pt>
                <c:pt idx="184">
                  <c:v>23.9</c:v>
                </c:pt>
                <c:pt idx="185">
                  <c:v>23.6</c:v>
                </c:pt>
                <c:pt idx="186">
                  <c:v>24.75</c:v>
                </c:pt>
                <c:pt idx="187">
                  <c:v>25.5</c:v>
                </c:pt>
                <c:pt idx="188">
                  <c:v>25.25</c:v>
                </c:pt>
                <c:pt idx="189">
                  <c:v>25.049999</c:v>
                </c:pt>
                <c:pt idx="190">
                  <c:v>24.6</c:v>
                </c:pt>
                <c:pt idx="191">
                  <c:v>24.6</c:v>
                </c:pt>
                <c:pt idx="192">
                  <c:v>23.75</c:v>
                </c:pt>
                <c:pt idx="193">
                  <c:v>24.1</c:v>
                </c:pt>
                <c:pt idx="194">
                  <c:v>23.9</c:v>
                </c:pt>
                <c:pt idx="195">
                  <c:v>23.950001</c:v>
                </c:pt>
                <c:pt idx="196">
                  <c:v>24.35</c:v>
                </c:pt>
                <c:pt idx="197">
                  <c:v>24.200001</c:v>
                </c:pt>
                <c:pt idx="198">
                  <c:v>24.549999</c:v>
                </c:pt>
                <c:pt idx="199">
                  <c:v>25.75</c:v>
                </c:pt>
                <c:pt idx="200">
                  <c:v>26.75</c:v>
                </c:pt>
                <c:pt idx="201">
                  <c:v>28</c:v>
                </c:pt>
                <c:pt idx="202">
                  <c:v>29.4</c:v>
                </c:pt>
                <c:pt idx="203">
                  <c:v>30.85</c:v>
                </c:pt>
                <c:pt idx="204">
                  <c:v>32.349997999999999</c:v>
                </c:pt>
                <c:pt idx="205">
                  <c:v>33.950001</c:v>
                </c:pt>
                <c:pt idx="206">
                  <c:v>32.400002000000001</c:v>
                </c:pt>
                <c:pt idx="207">
                  <c:v>34</c:v>
                </c:pt>
                <c:pt idx="208">
                  <c:v>35.700001</c:v>
                </c:pt>
                <c:pt idx="209">
                  <c:v>37.450001</c:v>
                </c:pt>
                <c:pt idx="210">
                  <c:v>39.299999</c:v>
                </c:pt>
                <c:pt idx="211">
                  <c:v>38.450001</c:v>
                </c:pt>
                <c:pt idx="212">
                  <c:v>40.349997999999999</c:v>
                </c:pt>
                <c:pt idx="213">
                  <c:v>41.849997999999999</c:v>
                </c:pt>
                <c:pt idx="214">
                  <c:v>40.200001</c:v>
                </c:pt>
                <c:pt idx="215">
                  <c:v>38.650002000000001</c:v>
                </c:pt>
                <c:pt idx="216">
                  <c:v>40.549999</c:v>
                </c:pt>
                <c:pt idx="217">
                  <c:v>39.650002000000001</c:v>
                </c:pt>
                <c:pt idx="218">
                  <c:v>39.900002000000001</c:v>
                </c:pt>
                <c:pt idx="219">
                  <c:v>39.25</c:v>
                </c:pt>
                <c:pt idx="220">
                  <c:v>37.650002000000001</c:v>
                </c:pt>
                <c:pt idx="221">
                  <c:v>37.950001</c:v>
                </c:pt>
                <c:pt idx="222">
                  <c:v>39.799999</c:v>
                </c:pt>
                <c:pt idx="223">
                  <c:v>40.099997999999999</c:v>
                </c:pt>
                <c:pt idx="224">
                  <c:v>38.599997999999999</c:v>
                </c:pt>
                <c:pt idx="225">
                  <c:v>39.700001</c:v>
                </c:pt>
                <c:pt idx="226">
                  <c:v>39.849997999999999</c:v>
                </c:pt>
                <c:pt idx="227">
                  <c:v>40.150002000000001</c:v>
                </c:pt>
                <c:pt idx="228">
                  <c:v>39.950001</c:v>
                </c:pt>
                <c:pt idx="229">
                  <c:v>39.650002000000001</c:v>
                </c:pt>
                <c:pt idx="230">
                  <c:v>39.650002000000001</c:v>
                </c:pt>
                <c:pt idx="231">
                  <c:v>39.049999</c:v>
                </c:pt>
                <c:pt idx="232">
                  <c:v>41</c:v>
                </c:pt>
                <c:pt idx="233">
                  <c:v>43.049999</c:v>
                </c:pt>
                <c:pt idx="234">
                  <c:v>45.200001</c:v>
                </c:pt>
                <c:pt idx="235">
                  <c:v>47.450001</c:v>
                </c:pt>
                <c:pt idx="236">
                  <c:v>49.799999</c:v>
                </c:pt>
                <c:pt idx="237">
                  <c:v>52.25</c:v>
                </c:pt>
                <c:pt idx="238">
                  <c:v>54.849997999999999</c:v>
                </c:pt>
                <c:pt idx="239">
                  <c:v>57.549999</c:v>
                </c:pt>
                <c:pt idx="240">
                  <c:v>54.700001</c:v>
                </c:pt>
                <c:pt idx="241">
                  <c:v>52</c:v>
                </c:pt>
                <c:pt idx="242">
                  <c:v>49.400002000000001</c:v>
                </c:pt>
                <c:pt idx="243">
                  <c:v>46.950001</c:v>
                </c:pt>
                <c:pt idx="244">
                  <c:v>44.650002000000001</c:v>
                </c:pt>
                <c:pt idx="245">
                  <c:v>46.849997999999999</c:v>
                </c:pt>
                <c:pt idx="246">
                  <c:v>49.150002000000001</c:v>
                </c:pt>
                <c:pt idx="247">
                  <c:v>51.599997999999999</c:v>
                </c:pt>
              </c:numCache>
            </c:numRef>
          </c:val>
          <c:smooth val="0"/>
          <c:extLst>
            <c:ext xmlns:c16="http://schemas.microsoft.com/office/drawing/2014/chart" uri="{C3380CC4-5D6E-409C-BE32-E72D297353CC}">
              <c16:uniqueId val="{00000000-6334-4D95-B781-09AA8B1D776D}"/>
            </c:ext>
          </c:extLst>
        </c:ser>
        <c:dLbls>
          <c:showLegendKey val="0"/>
          <c:showVal val="0"/>
          <c:showCatName val="0"/>
          <c:showSerName val="0"/>
          <c:showPercent val="0"/>
          <c:showBubbleSize val="0"/>
        </c:dLbls>
        <c:smooth val="0"/>
        <c:axId val="2029354912"/>
        <c:axId val="2029344928"/>
      </c:lineChart>
      <c:dateAx>
        <c:axId val="2029354912"/>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344928"/>
        <c:crosses val="autoZero"/>
        <c:auto val="1"/>
        <c:lblOffset val="100"/>
        <c:baseTimeUnit val="days"/>
      </c:dateAx>
      <c:valAx>
        <c:axId val="20293449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354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50991740494912"/>
          <c:y val="4.9724928954217471E-2"/>
          <c:w val="0.77197011096219004"/>
          <c:h val="0.77750354517031051"/>
        </c:manualLayout>
      </c:layout>
      <c:barChart>
        <c:barDir val="bar"/>
        <c:grouping val="clustered"/>
        <c:varyColors val="0"/>
        <c:ser>
          <c:idx val="1"/>
          <c:order val="0"/>
          <c:spPr>
            <a:solidFill>
              <a:srgbClr val="1E8496"/>
            </a:solidFill>
            <a:ln>
              <a:noFill/>
            </a:ln>
            <a:effectLst/>
          </c:spPr>
          <c:invertIfNegative val="0"/>
          <c:dPt>
            <c:idx val="0"/>
            <c:invertIfNegative val="0"/>
            <c:bubble3D val="0"/>
            <c:spPr>
              <a:solidFill>
                <a:srgbClr val="FA621C"/>
              </a:solidFill>
              <a:ln>
                <a:noFill/>
              </a:ln>
              <a:effectLst/>
            </c:spPr>
            <c:extLst>
              <c:ext xmlns:c16="http://schemas.microsoft.com/office/drawing/2014/chart" uri="{C3380CC4-5D6E-409C-BE32-E72D297353CC}">
                <c16:uniqueId val="{00000001-708A-468F-9A21-2DB85BAA86A4}"/>
              </c:ext>
            </c:extLst>
          </c:dPt>
          <c:dPt>
            <c:idx val="1"/>
            <c:invertIfNegative val="0"/>
            <c:bubble3D val="0"/>
            <c:spPr>
              <a:solidFill>
                <a:srgbClr val="FA621C"/>
              </a:solidFill>
              <a:ln>
                <a:noFill/>
              </a:ln>
              <a:effectLst/>
            </c:spPr>
            <c:extLst>
              <c:ext xmlns:c16="http://schemas.microsoft.com/office/drawing/2014/chart" uri="{C3380CC4-5D6E-409C-BE32-E72D297353CC}">
                <c16:uniqueId val="{00000003-708A-468F-9A21-2DB85BAA86A4}"/>
              </c:ext>
            </c:extLst>
          </c:dPt>
          <c:dPt>
            <c:idx val="2"/>
            <c:invertIfNegative val="0"/>
            <c:bubble3D val="0"/>
            <c:spPr>
              <a:solidFill>
                <a:srgbClr val="25A2AF"/>
              </a:solidFill>
              <a:ln>
                <a:noFill/>
              </a:ln>
              <a:effectLst/>
            </c:spPr>
            <c:extLst>
              <c:ext xmlns:c16="http://schemas.microsoft.com/office/drawing/2014/chart" uri="{C3380CC4-5D6E-409C-BE32-E72D297353CC}">
                <c16:uniqueId val="{00000005-708A-468F-9A21-2DB85BAA86A4}"/>
              </c:ext>
            </c:extLst>
          </c:dPt>
          <c:dPt>
            <c:idx val="3"/>
            <c:invertIfNegative val="0"/>
            <c:bubble3D val="0"/>
            <c:spPr>
              <a:solidFill>
                <a:srgbClr val="25A2AF"/>
              </a:solidFill>
              <a:ln>
                <a:noFill/>
              </a:ln>
              <a:effectLst/>
            </c:spPr>
            <c:extLst>
              <c:ext xmlns:c16="http://schemas.microsoft.com/office/drawing/2014/chart" uri="{C3380CC4-5D6E-409C-BE32-E72D297353CC}">
                <c16:uniqueId val="{00000007-708A-468F-9A21-2DB85BAA86A4}"/>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Dashboard!$AD$10:$AD$13</c:f>
              <c:strCache>
                <c:ptCount val="4"/>
                <c:pt idx="0">
                  <c:v>52-Week Trading</c:v>
                </c:pt>
                <c:pt idx="1">
                  <c:v>EV Multiple</c:v>
                </c:pt>
                <c:pt idx="2">
                  <c:v>Equity Multiple</c:v>
                </c:pt>
                <c:pt idx="3">
                  <c:v>DCF</c:v>
                </c:pt>
              </c:strCache>
            </c:strRef>
          </c:cat>
          <c:val>
            <c:numRef>
              <c:f>Dashboard!$AF$10:$AF$13</c:f>
              <c:numCache>
                <c:formatCode>[$₹-4009]\ #,##0</c:formatCode>
                <c:ptCount val="4"/>
                <c:pt idx="0">
                  <c:v>57.549999</c:v>
                </c:pt>
                <c:pt idx="1">
                  <c:v>82.680892787491118</c:v>
                </c:pt>
                <c:pt idx="2" formatCode="_ [$₹-4009]\ * #,##0_ ;_ [$₹-4009]\ * \-#,##0_ ;_ [$₹-4009]\ * &quot;-&quot;??_ ;_ @_ ">
                  <c:v>84.668571428571553</c:v>
                </c:pt>
                <c:pt idx="3" formatCode="_ [$₹-4009]\ * #,##0_ ;_ [$₹-4009]\ * \-#,##0_ ;_ [$₹-4009]\ * &quot;-&quot;??_ ;_ @_ ">
                  <c:v>72.222141620201214</c:v>
                </c:pt>
              </c:numCache>
            </c:numRef>
          </c:val>
          <c:extLst>
            <c:ext xmlns:c16="http://schemas.microsoft.com/office/drawing/2014/chart" uri="{C3380CC4-5D6E-409C-BE32-E72D297353CC}">
              <c16:uniqueId val="{0000000A-708A-468F-9A21-2DB85BAA86A4}"/>
            </c:ext>
          </c:extLst>
        </c:ser>
        <c:ser>
          <c:idx val="0"/>
          <c:order val="1"/>
          <c:spPr>
            <a:solidFill>
              <a:schemeClr val="bg1"/>
            </a:solidFill>
            <a:ln>
              <a:solidFill>
                <a:schemeClr val="bg1"/>
              </a:solidFill>
            </a:ln>
            <a:effectLst/>
          </c:spPr>
          <c:invertIfNegative val="0"/>
          <c:dLbls>
            <c:numFmt formatCode="[$₹-4009]\ #,##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Dashboard!$AD$10:$AD$13</c:f>
              <c:strCache>
                <c:ptCount val="4"/>
                <c:pt idx="0">
                  <c:v>52-Week Trading</c:v>
                </c:pt>
                <c:pt idx="1">
                  <c:v>EV Multiple</c:v>
                </c:pt>
                <c:pt idx="2">
                  <c:v>Equity Multiple</c:v>
                </c:pt>
                <c:pt idx="3">
                  <c:v>DCF</c:v>
                </c:pt>
              </c:strCache>
            </c:strRef>
          </c:cat>
          <c:val>
            <c:numRef>
              <c:f>Dashboard!$AE$10:$AE$14</c:f>
              <c:numCache>
                <c:formatCode>[$₹-4009]\ #,##0</c:formatCode>
                <c:ptCount val="5"/>
                <c:pt idx="0">
                  <c:v>8.65</c:v>
                </c:pt>
                <c:pt idx="1">
                  <c:v>11.97546277954569</c:v>
                </c:pt>
                <c:pt idx="2" formatCode="_ [$₹-4009]\ * #,##0_ ;_ [$₹-4009]\ * \-#,##0_ ;_ [$₹-4009]\ * &quot;-&quot;??_ ;_ @_ ">
                  <c:v>14.925549450549473</c:v>
                </c:pt>
                <c:pt idx="3" formatCode="_ [$₹-4009]\ * #,##0_ ;_ [$₹-4009]\ * \-#,##0_ ;_ [$₹-4009]\ * &quot;-&quot;??_ ;_ @_ ">
                  <c:v>48.940168179202111</c:v>
                </c:pt>
              </c:numCache>
            </c:numRef>
          </c:val>
          <c:extLst>
            <c:ext xmlns:c16="http://schemas.microsoft.com/office/drawing/2014/chart" uri="{C3380CC4-5D6E-409C-BE32-E72D297353CC}">
              <c16:uniqueId val="{0000000B-708A-468F-9A21-2DB85BAA86A4}"/>
            </c:ext>
          </c:extLst>
        </c:ser>
        <c:dLbls>
          <c:dLblPos val="outEnd"/>
          <c:showLegendKey val="0"/>
          <c:showVal val="1"/>
          <c:showCatName val="0"/>
          <c:showSerName val="0"/>
          <c:showPercent val="0"/>
          <c:showBubbleSize val="0"/>
        </c:dLbls>
        <c:gapWidth val="182"/>
        <c:overlap val="100"/>
        <c:axId val="1750772160"/>
        <c:axId val="1750839968"/>
      </c:barChart>
      <c:scatterChart>
        <c:scatterStyle val="lineMarker"/>
        <c:varyColors val="0"/>
        <c:ser>
          <c:idx val="2"/>
          <c:order val="2"/>
          <c:tx>
            <c:strRef>
              <c:f>Dashboard!$AG$8</c:f>
              <c:strCache>
                <c:ptCount val="1"/>
                <c:pt idx="0">
                  <c:v>Current Share Price</c:v>
                </c:pt>
              </c:strCache>
            </c:strRef>
          </c:tx>
          <c:spPr>
            <a:ln w="28575" cap="rnd">
              <a:solidFill>
                <a:srgbClr val="ED942D"/>
              </a:solidFill>
              <a:prstDash val="sysDash"/>
              <a:round/>
            </a:ln>
            <a:effectLst/>
          </c:spPr>
          <c:marker>
            <c:symbol val="none"/>
          </c:marker>
          <c:dLbls>
            <c:dLbl>
              <c:idx val="0"/>
              <c:layout>
                <c:manualLayout>
                  <c:x val="-0.18445633621798321"/>
                  <c:y val="0.11376045754053438"/>
                </c:manualLayout>
              </c:layout>
              <c:tx>
                <c:rich>
                  <a:bodyPr/>
                  <a:lstStyle/>
                  <a:p>
                    <a:endParaRPr lang="en-US">
                      <a:solidFill>
                        <a:srgbClr val="ED942D"/>
                      </a:solidFill>
                    </a:endParaRP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708A-468F-9A21-2DB85BAA86A4}"/>
                </c:ext>
              </c:extLst>
            </c:dLbl>
            <c:dLbl>
              <c:idx val="1"/>
              <c:delete val="1"/>
              <c:extLst>
                <c:ext xmlns:c15="http://schemas.microsoft.com/office/drawing/2012/chart" uri="{CE6537A1-D6FC-4f65-9D91-7224C49458BB}"/>
                <c:ext xmlns:c16="http://schemas.microsoft.com/office/drawing/2014/chart" uri="{C3380CC4-5D6E-409C-BE32-E72D297353CC}">
                  <c16:uniqueId val="{0000000D-708A-468F-9A21-2DB85BAA86A4}"/>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Dashboard!$AG$10:$AG$11</c:f>
              <c:numCache>
                <c:formatCode>[$₹-4009]\ #,##0</c:formatCode>
                <c:ptCount val="2"/>
                <c:pt idx="0">
                  <c:v>39.700000000000003</c:v>
                </c:pt>
                <c:pt idx="1">
                  <c:v>39.700000000000003</c:v>
                </c:pt>
              </c:numCache>
            </c:numRef>
          </c:xVal>
          <c:yVal>
            <c:numRef>
              <c:f>Dashboard!$AH$10:$AH$11</c:f>
              <c:numCache>
                <c:formatCode>[$₹-4009]\ #,##0</c:formatCode>
                <c:ptCount val="2"/>
                <c:pt idx="0">
                  <c:v>0</c:v>
                </c:pt>
                <c:pt idx="1">
                  <c:v>4</c:v>
                </c:pt>
              </c:numCache>
            </c:numRef>
          </c:yVal>
          <c:smooth val="0"/>
          <c:extLst>
            <c:ext xmlns:c16="http://schemas.microsoft.com/office/drawing/2014/chart" uri="{C3380CC4-5D6E-409C-BE32-E72D297353CC}">
              <c16:uniqueId val="{0000000E-708A-468F-9A21-2DB85BAA86A4}"/>
            </c:ext>
          </c:extLst>
        </c:ser>
        <c:ser>
          <c:idx val="3"/>
          <c:order val="3"/>
          <c:tx>
            <c:strRef>
              <c:f>Dashboard!$AI$8</c:f>
              <c:strCache>
                <c:ptCount val="1"/>
                <c:pt idx="0">
                  <c:v>Average Implied Value</c:v>
                </c:pt>
              </c:strCache>
            </c:strRef>
          </c:tx>
          <c:spPr>
            <a:ln w="28575" cap="rnd">
              <a:solidFill>
                <a:srgbClr val="132E57"/>
              </a:solidFill>
              <a:prstDash val="sysDash"/>
              <a:round/>
            </a:ln>
            <a:effectLst/>
          </c:spPr>
          <c:marker>
            <c:symbol val="none"/>
          </c:marker>
          <c:xVal>
            <c:numRef>
              <c:f>Dashboard!$AI$10:$AI$11</c:f>
              <c:numCache>
                <c:formatCode>[$₹-4009]\ #,##0</c:formatCode>
                <c:ptCount val="2"/>
                <c:pt idx="0">
                  <c:v>55.189107669631085</c:v>
                </c:pt>
                <c:pt idx="1">
                  <c:v>55.189107669631085</c:v>
                </c:pt>
              </c:numCache>
            </c:numRef>
          </c:xVal>
          <c:yVal>
            <c:numRef>
              <c:f>Dashboard!$AJ$10:$AJ$11</c:f>
              <c:numCache>
                <c:formatCode>[$₹-4009]\ #,##0</c:formatCode>
                <c:ptCount val="2"/>
                <c:pt idx="0">
                  <c:v>0</c:v>
                </c:pt>
                <c:pt idx="1">
                  <c:v>4</c:v>
                </c:pt>
              </c:numCache>
            </c:numRef>
          </c:yVal>
          <c:smooth val="0"/>
          <c:extLst>
            <c:ext xmlns:c16="http://schemas.microsoft.com/office/drawing/2014/chart" uri="{C3380CC4-5D6E-409C-BE32-E72D297353CC}">
              <c16:uniqueId val="{00000011-708A-468F-9A21-2DB85BAA86A4}"/>
            </c:ext>
          </c:extLst>
        </c:ser>
        <c:dLbls>
          <c:showLegendKey val="0"/>
          <c:showVal val="0"/>
          <c:showCatName val="0"/>
          <c:showSerName val="0"/>
          <c:showPercent val="0"/>
          <c:showBubbleSize val="0"/>
        </c:dLbls>
        <c:axId val="1578216256"/>
        <c:axId val="1578215008"/>
      </c:scatterChart>
      <c:catAx>
        <c:axId val="1750772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750839968"/>
        <c:crosses val="autoZero"/>
        <c:auto val="1"/>
        <c:lblAlgn val="ctr"/>
        <c:lblOffset val="100"/>
        <c:noMultiLvlLbl val="0"/>
      </c:catAx>
      <c:valAx>
        <c:axId val="1750839968"/>
        <c:scaling>
          <c:orientation val="minMax"/>
          <c:max val="100"/>
          <c:min val="0"/>
        </c:scaling>
        <c:delete val="0"/>
        <c:axPos val="b"/>
        <c:numFmt formatCode="[$₹-4009]\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750772160"/>
        <c:crosses val="autoZero"/>
        <c:crossBetween val="between"/>
      </c:valAx>
      <c:valAx>
        <c:axId val="1578215008"/>
        <c:scaling>
          <c:orientation val="minMax"/>
          <c:max val="5"/>
        </c:scaling>
        <c:delete val="1"/>
        <c:axPos val="r"/>
        <c:numFmt formatCode="[$₹-4009]\ #,##0" sourceLinked="1"/>
        <c:majorTickMark val="out"/>
        <c:minorTickMark val="none"/>
        <c:tickLblPos val="nextTo"/>
        <c:crossAx val="1578216256"/>
        <c:crosses val="max"/>
        <c:crossBetween val="midCat"/>
      </c:valAx>
      <c:valAx>
        <c:axId val="1578216256"/>
        <c:scaling>
          <c:orientation val="minMax"/>
        </c:scaling>
        <c:delete val="1"/>
        <c:axPos val="b"/>
        <c:numFmt formatCode="[$₹-4009]\ #,##0" sourceLinked="1"/>
        <c:majorTickMark val="out"/>
        <c:minorTickMark val="none"/>
        <c:tickLblPos val="nextTo"/>
        <c:crossAx val="1578215008"/>
        <c:crosses val="autoZero"/>
        <c:crossBetween val="midCat"/>
      </c:valAx>
      <c:spPr>
        <a:no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Narrow" panose="020B060602020203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CA" sz="1800" b="1" i="0" baseline="0">
                <a:effectLst/>
              </a:rPr>
              <a:t>Trident Ltd . - 52-week Share Pricing</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'Share Price'!$B$11:$B$258</c:f>
              <c:numCache>
                <c:formatCode>d\-mmm\-yy</c:formatCode>
                <c:ptCount val="248"/>
                <c:pt idx="0">
                  <c:v>44173</c:v>
                </c:pt>
                <c:pt idx="1">
                  <c:v>44174</c:v>
                </c:pt>
                <c:pt idx="2">
                  <c:v>44175</c:v>
                </c:pt>
                <c:pt idx="3">
                  <c:v>44176</c:v>
                </c:pt>
                <c:pt idx="4">
                  <c:v>44179</c:v>
                </c:pt>
                <c:pt idx="5">
                  <c:v>44180</c:v>
                </c:pt>
                <c:pt idx="6">
                  <c:v>44181</c:v>
                </c:pt>
                <c:pt idx="7">
                  <c:v>44182</c:v>
                </c:pt>
                <c:pt idx="8">
                  <c:v>44183</c:v>
                </c:pt>
                <c:pt idx="9">
                  <c:v>44186</c:v>
                </c:pt>
                <c:pt idx="10">
                  <c:v>44187</c:v>
                </c:pt>
                <c:pt idx="11">
                  <c:v>44188</c:v>
                </c:pt>
                <c:pt idx="12">
                  <c:v>44189</c:v>
                </c:pt>
                <c:pt idx="13">
                  <c:v>44193</c:v>
                </c:pt>
                <c:pt idx="14">
                  <c:v>44194</c:v>
                </c:pt>
                <c:pt idx="15">
                  <c:v>44195</c:v>
                </c:pt>
                <c:pt idx="16">
                  <c:v>44196</c:v>
                </c:pt>
                <c:pt idx="17">
                  <c:v>44197</c:v>
                </c:pt>
                <c:pt idx="18">
                  <c:v>44200</c:v>
                </c:pt>
                <c:pt idx="19">
                  <c:v>44201</c:v>
                </c:pt>
                <c:pt idx="20">
                  <c:v>44202</c:v>
                </c:pt>
                <c:pt idx="21">
                  <c:v>44203</c:v>
                </c:pt>
                <c:pt idx="22">
                  <c:v>44204</c:v>
                </c:pt>
                <c:pt idx="23">
                  <c:v>44207</c:v>
                </c:pt>
                <c:pt idx="24">
                  <c:v>44208</c:v>
                </c:pt>
                <c:pt idx="25">
                  <c:v>44209</c:v>
                </c:pt>
                <c:pt idx="26">
                  <c:v>44210</c:v>
                </c:pt>
                <c:pt idx="27">
                  <c:v>44211</c:v>
                </c:pt>
                <c:pt idx="28">
                  <c:v>44214</c:v>
                </c:pt>
                <c:pt idx="29">
                  <c:v>44215</c:v>
                </c:pt>
                <c:pt idx="30">
                  <c:v>44216</c:v>
                </c:pt>
                <c:pt idx="31">
                  <c:v>44217</c:v>
                </c:pt>
                <c:pt idx="32">
                  <c:v>44218</c:v>
                </c:pt>
                <c:pt idx="33">
                  <c:v>44221</c:v>
                </c:pt>
                <c:pt idx="34">
                  <c:v>44223</c:v>
                </c:pt>
                <c:pt idx="35">
                  <c:v>44224</c:v>
                </c:pt>
                <c:pt idx="36">
                  <c:v>44225</c:v>
                </c:pt>
                <c:pt idx="37">
                  <c:v>44228</c:v>
                </c:pt>
                <c:pt idx="38">
                  <c:v>44229</c:v>
                </c:pt>
                <c:pt idx="39">
                  <c:v>44230</c:v>
                </c:pt>
                <c:pt idx="40">
                  <c:v>44231</c:v>
                </c:pt>
                <c:pt idx="41">
                  <c:v>44232</c:v>
                </c:pt>
                <c:pt idx="42">
                  <c:v>44235</c:v>
                </c:pt>
                <c:pt idx="43">
                  <c:v>44236</c:v>
                </c:pt>
                <c:pt idx="44">
                  <c:v>44237</c:v>
                </c:pt>
                <c:pt idx="45">
                  <c:v>44238</c:v>
                </c:pt>
                <c:pt idx="46">
                  <c:v>44239</c:v>
                </c:pt>
                <c:pt idx="47">
                  <c:v>44242</c:v>
                </c:pt>
                <c:pt idx="48">
                  <c:v>44243</c:v>
                </c:pt>
                <c:pt idx="49">
                  <c:v>44244</c:v>
                </c:pt>
                <c:pt idx="50">
                  <c:v>44245</c:v>
                </c:pt>
                <c:pt idx="51">
                  <c:v>44246</c:v>
                </c:pt>
                <c:pt idx="52">
                  <c:v>44249</c:v>
                </c:pt>
                <c:pt idx="53">
                  <c:v>44250</c:v>
                </c:pt>
                <c:pt idx="54">
                  <c:v>44251</c:v>
                </c:pt>
                <c:pt idx="55">
                  <c:v>44252</c:v>
                </c:pt>
                <c:pt idx="56">
                  <c:v>44253</c:v>
                </c:pt>
                <c:pt idx="57">
                  <c:v>44256</c:v>
                </c:pt>
                <c:pt idx="58">
                  <c:v>44257</c:v>
                </c:pt>
                <c:pt idx="59">
                  <c:v>44258</c:v>
                </c:pt>
                <c:pt idx="60">
                  <c:v>44259</c:v>
                </c:pt>
                <c:pt idx="61">
                  <c:v>44260</c:v>
                </c:pt>
                <c:pt idx="62">
                  <c:v>44263</c:v>
                </c:pt>
                <c:pt idx="63">
                  <c:v>44264</c:v>
                </c:pt>
                <c:pt idx="64">
                  <c:v>44265</c:v>
                </c:pt>
                <c:pt idx="65">
                  <c:v>44267</c:v>
                </c:pt>
                <c:pt idx="66">
                  <c:v>44270</c:v>
                </c:pt>
                <c:pt idx="67">
                  <c:v>44271</c:v>
                </c:pt>
                <c:pt idx="68">
                  <c:v>44272</c:v>
                </c:pt>
                <c:pt idx="69">
                  <c:v>44273</c:v>
                </c:pt>
                <c:pt idx="70">
                  <c:v>44274</c:v>
                </c:pt>
                <c:pt idx="71">
                  <c:v>44277</c:v>
                </c:pt>
                <c:pt idx="72">
                  <c:v>44278</c:v>
                </c:pt>
                <c:pt idx="73">
                  <c:v>44279</c:v>
                </c:pt>
                <c:pt idx="74">
                  <c:v>44280</c:v>
                </c:pt>
                <c:pt idx="75">
                  <c:v>44281</c:v>
                </c:pt>
                <c:pt idx="76">
                  <c:v>44285</c:v>
                </c:pt>
                <c:pt idx="77">
                  <c:v>44286</c:v>
                </c:pt>
                <c:pt idx="78">
                  <c:v>44287</c:v>
                </c:pt>
                <c:pt idx="79">
                  <c:v>44291</c:v>
                </c:pt>
                <c:pt idx="80">
                  <c:v>44292</c:v>
                </c:pt>
                <c:pt idx="81">
                  <c:v>44293</c:v>
                </c:pt>
                <c:pt idx="82">
                  <c:v>44294</c:v>
                </c:pt>
                <c:pt idx="83">
                  <c:v>44295</c:v>
                </c:pt>
                <c:pt idx="84">
                  <c:v>44298</c:v>
                </c:pt>
                <c:pt idx="85">
                  <c:v>44299</c:v>
                </c:pt>
                <c:pt idx="86">
                  <c:v>44301</c:v>
                </c:pt>
                <c:pt idx="87">
                  <c:v>44302</c:v>
                </c:pt>
                <c:pt idx="88">
                  <c:v>44305</c:v>
                </c:pt>
                <c:pt idx="89">
                  <c:v>44306</c:v>
                </c:pt>
                <c:pt idx="90">
                  <c:v>44308</c:v>
                </c:pt>
                <c:pt idx="91">
                  <c:v>44309</c:v>
                </c:pt>
                <c:pt idx="92">
                  <c:v>44312</c:v>
                </c:pt>
                <c:pt idx="93">
                  <c:v>44313</c:v>
                </c:pt>
                <c:pt idx="94">
                  <c:v>44314</c:v>
                </c:pt>
                <c:pt idx="95">
                  <c:v>44315</c:v>
                </c:pt>
                <c:pt idx="96">
                  <c:v>44316</c:v>
                </c:pt>
                <c:pt idx="97">
                  <c:v>44319</c:v>
                </c:pt>
                <c:pt idx="98">
                  <c:v>44320</c:v>
                </c:pt>
                <c:pt idx="99">
                  <c:v>44321</c:v>
                </c:pt>
                <c:pt idx="100">
                  <c:v>44322</c:v>
                </c:pt>
                <c:pt idx="101">
                  <c:v>44323</c:v>
                </c:pt>
                <c:pt idx="102">
                  <c:v>44326</c:v>
                </c:pt>
                <c:pt idx="103">
                  <c:v>44327</c:v>
                </c:pt>
                <c:pt idx="104">
                  <c:v>44328</c:v>
                </c:pt>
                <c:pt idx="105">
                  <c:v>44330</c:v>
                </c:pt>
                <c:pt idx="106">
                  <c:v>44333</c:v>
                </c:pt>
                <c:pt idx="107">
                  <c:v>44334</c:v>
                </c:pt>
                <c:pt idx="108">
                  <c:v>44335</c:v>
                </c:pt>
                <c:pt idx="109">
                  <c:v>44336</c:v>
                </c:pt>
                <c:pt idx="110">
                  <c:v>44337</c:v>
                </c:pt>
                <c:pt idx="111">
                  <c:v>44340</c:v>
                </c:pt>
                <c:pt idx="112">
                  <c:v>44341</c:v>
                </c:pt>
                <c:pt idx="113">
                  <c:v>44342</c:v>
                </c:pt>
                <c:pt idx="114">
                  <c:v>44343</c:v>
                </c:pt>
                <c:pt idx="115">
                  <c:v>44344</c:v>
                </c:pt>
                <c:pt idx="116">
                  <c:v>44347</c:v>
                </c:pt>
                <c:pt idx="117">
                  <c:v>44348</c:v>
                </c:pt>
                <c:pt idx="118">
                  <c:v>44349</c:v>
                </c:pt>
                <c:pt idx="119">
                  <c:v>44350</c:v>
                </c:pt>
                <c:pt idx="120">
                  <c:v>44351</c:v>
                </c:pt>
                <c:pt idx="121">
                  <c:v>44354</c:v>
                </c:pt>
                <c:pt idx="122">
                  <c:v>44355</c:v>
                </c:pt>
                <c:pt idx="123">
                  <c:v>44356</c:v>
                </c:pt>
                <c:pt idx="124">
                  <c:v>44357</c:v>
                </c:pt>
                <c:pt idx="125">
                  <c:v>44358</c:v>
                </c:pt>
                <c:pt idx="126">
                  <c:v>44361</c:v>
                </c:pt>
                <c:pt idx="127">
                  <c:v>44362</c:v>
                </c:pt>
                <c:pt idx="128">
                  <c:v>44363</c:v>
                </c:pt>
                <c:pt idx="129">
                  <c:v>44364</c:v>
                </c:pt>
                <c:pt idx="130">
                  <c:v>44365</c:v>
                </c:pt>
                <c:pt idx="131">
                  <c:v>44368</c:v>
                </c:pt>
                <c:pt idx="132">
                  <c:v>44369</c:v>
                </c:pt>
                <c:pt idx="133">
                  <c:v>44370</c:v>
                </c:pt>
                <c:pt idx="134">
                  <c:v>44371</c:v>
                </c:pt>
                <c:pt idx="135">
                  <c:v>44372</c:v>
                </c:pt>
                <c:pt idx="136">
                  <c:v>44375</c:v>
                </c:pt>
                <c:pt idx="137">
                  <c:v>44376</c:v>
                </c:pt>
                <c:pt idx="138">
                  <c:v>44377</c:v>
                </c:pt>
                <c:pt idx="139">
                  <c:v>44378</c:v>
                </c:pt>
                <c:pt idx="140">
                  <c:v>44379</c:v>
                </c:pt>
                <c:pt idx="141">
                  <c:v>44382</c:v>
                </c:pt>
                <c:pt idx="142">
                  <c:v>44383</c:v>
                </c:pt>
                <c:pt idx="143">
                  <c:v>44384</c:v>
                </c:pt>
                <c:pt idx="144">
                  <c:v>44385</c:v>
                </c:pt>
                <c:pt idx="145">
                  <c:v>44386</c:v>
                </c:pt>
                <c:pt idx="146">
                  <c:v>44389</c:v>
                </c:pt>
                <c:pt idx="147">
                  <c:v>44390</c:v>
                </c:pt>
                <c:pt idx="148">
                  <c:v>44391</c:v>
                </c:pt>
                <c:pt idx="149">
                  <c:v>44392</c:v>
                </c:pt>
                <c:pt idx="150">
                  <c:v>44393</c:v>
                </c:pt>
                <c:pt idx="151">
                  <c:v>44396</c:v>
                </c:pt>
                <c:pt idx="152">
                  <c:v>44397</c:v>
                </c:pt>
                <c:pt idx="153">
                  <c:v>44399</c:v>
                </c:pt>
                <c:pt idx="154">
                  <c:v>44400</c:v>
                </c:pt>
                <c:pt idx="155">
                  <c:v>44403</c:v>
                </c:pt>
                <c:pt idx="156">
                  <c:v>44404</c:v>
                </c:pt>
                <c:pt idx="157">
                  <c:v>44405</c:v>
                </c:pt>
                <c:pt idx="158">
                  <c:v>44406</c:v>
                </c:pt>
                <c:pt idx="159">
                  <c:v>44407</c:v>
                </c:pt>
                <c:pt idx="160">
                  <c:v>44410</c:v>
                </c:pt>
                <c:pt idx="161">
                  <c:v>44411</c:v>
                </c:pt>
                <c:pt idx="162">
                  <c:v>44412</c:v>
                </c:pt>
                <c:pt idx="163">
                  <c:v>44413</c:v>
                </c:pt>
                <c:pt idx="164">
                  <c:v>44414</c:v>
                </c:pt>
                <c:pt idx="165">
                  <c:v>44417</c:v>
                </c:pt>
                <c:pt idx="166">
                  <c:v>44418</c:v>
                </c:pt>
                <c:pt idx="167">
                  <c:v>44419</c:v>
                </c:pt>
                <c:pt idx="168">
                  <c:v>44420</c:v>
                </c:pt>
                <c:pt idx="169">
                  <c:v>44421</c:v>
                </c:pt>
                <c:pt idx="170">
                  <c:v>44424</c:v>
                </c:pt>
                <c:pt idx="171">
                  <c:v>44425</c:v>
                </c:pt>
                <c:pt idx="172">
                  <c:v>44426</c:v>
                </c:pt>
                <c:pt idx="173">
                  <c:v>44428</c:v>
                </c:pt>
                <c:pt idx="174">
                  <c:v>44431</c:v>
                </c:pt>
                <c:pt idx="175">
                  <c:v>44432</c:v>
                </c:pt>
                <c:pt idx="176">
                  <c:v>44433</c:v>
                </c:pt>
                <c:pt idx="177">
                  <c:v>44434</c:v>
                </c:pt>
                <c:pt idx="178">
                  <c:v>44435</c:v>
                </c:pt>
                <c:pt idx="179">
                  <c:v>44438</c:v>
                </c:pt>
                <c:pt idx="180">
                  <c:v>44439</c:v>
                </c:pt>
                <c:pt idx="181">
                  <c:v>44440</c:v>
                </c:pt>
                <c:pt idx="182">
                  <c:v>44441</c:v>
                </c:pt>
                <c:pt idx="183">
                  <c:v>44442</c:v>
                </c:pt>
                <c:pt idx="184">
                  <c:v>44445</c:v>
                </c:pt>
                <c:pt idx="185">
                  <c:v>44446</c:v>
                </c:pt>
                <c:pt idx="186">
                  <c:v>44447</c:v>
                </c:pt>
                <c:pt idx="187">
                  <c:v>44448</c:v>
                </c:pt>
                <c:pt idx="188">
                  <c:v>44452</c:v>
                </c:pt>
                <c:pt idx="189">
                  <c:v>44453</c:v>
                </c:pt>
                <c:pt idx="190">
                  <c:v>44454</c:v>
                </c:pt>
                <c:pt idx="191">
                  <c:v>44455</c:v>
                </c:pt>
                <c:pt idx="192">
                  <c:v>44456</c:v>
                </c:pt>
                <c:pt idx="193">
                  <c:v>44459</c:v>
                </c:pt>
                <c:pt idx="194">
                  <c:v>44460</c:v>
                </c:pt>
                <c:pt idx="195">
                  <c:v>44461</c:v>
                </c:pt>
                <c:pt idx="196">
                  <c:v>44462</c:v>
                </c:pt>
                <c:pt idx="197">
                  <c:v>44463</c:v>
                </c:pt>
                <c:pt idx="198">
                  <c:v>44466</c:v>
                </c:pt>
                <c:pt idx="199">
                  <c:v>44467</c:v>
                </c:pt>
                <c:pt idx="200">
                  <c:v>44468</c:v>
                </c:pt>
                <c:pt idx="201">
                  <c:v>44469</c:v>
                </c:pt>
                <c:pt idx="202">
                  <c:v>44470</c:v>
                </c:pt>
                <c:pt idx="203">
                  <c:v>44473</c:v>
                </c:pt>
                <c:pt idx="204">
                  <c:v>44474</c:v>
                </c:pt>
                <c:pt idx="205">
                  <c:v>44475</c:v>
                </c:pt>
                <c:pt idx="206">
                  <c:v>44476</c:v>
                </c:pt>
                <c:pt idx="207">
                  <c:v>44477</c:v>
                </c:pt>
                <c:pt idx="208">
                  <c:v>44480</c:v>
                </c:pt>
                <c:pt idx="209">
                  <c:v>44481</c:v>
                </c:pt>
                <c:pt idx="210">
                  <c:v>44482</c:v>
                </c:pt>
                <c:pt idx="211">
                  <c:v>44483</c:v>
                </c:pt>
                <c:pt idx="212">
                  <c:v>44487</c:v>
                </c:pt>
                <c:pt idx="213">
                  <c:v>44488</c:v>
                </c:pt>
                <c:pt idx="214">
                  <c:v>44489</c:v>
                </c:pt>
                <c:pt idx="215">
                  <c:v>44490</c:v>
                </c:pt>
                <c:pt idx="216">
                  <c:v>44491</c:v>
                </c:pt>
                <c:pt idx="217">
                  <c:v>44494</c:v>
                </c:pt>
                <c:pt idx="218">
                  <c:v>44495</c:v>
                </c:pt>
                <c:pt idx="219">
                  <c:v>44496</c:v>
                </c:pt>
                <c:pt idx="220">
                  <c:v>44497</c:v>
                </c:pt>
                <c:pt idx="221">
                  <c:v>44498</c:v>
                </c:pt>
                <c:pt idx="222">
                  <c:v>44501</c:v>
                </c:pt>
                <c:pt idx="223">
                  <c:v>44502</c:v>
                </c:pt>
                <c:pt idx="224">
                  <c:v>44503</c:v>
                </c:pt>
                <c:pt idx="225">
                  <c:v>44504</c:v>
                </c:pt>
                <c:pt idx="226">
                  <c:v>44508</c:v>
                </c:pt>
                <c:pt idx="227">
                  <c:v>44509</c:v>
                </c:pt>
                <c:pt idx="228">
                  <c:v>44510</c:v>
                </c:pt>
                <c:pt idx="229">
                  <c:v>44511</c:v>
                </c:pt>
                <c:pt idx="230">
                  <c:v>44512</c:v>
                </c:pt>
                <c:pt idx="231">
                  <c:v>44515</c:v>
                </c:pt>
                <c:pt idx="232">
                  <c:v>44516</c:v>
                </c:pt>
                <c:pt idx="233">
                  <c:v>44517</c:v>
                </c:pt>
                <c:pt idx="234">
                  <c:v>44518</c:v>
                </c:pt>
                <c:pt idx="235">
                  <c:v>44522</c:v>
                </c:pt>
                <c:pt idx="236">
                  <c:v>44523</c:v>
                </c:pt>
                <c:pt idx="237">
                  <c:v>44524</c:v>
                </c:pt>
                <c:pt idx="238">
                  <c:v>44525</c:v>
                </c:pt>
                <c:pt idx="239">
                  <c:v>44526</c:v>
                </c:pt>
                <c:pt idx="240">
                  <c:v>44529</c:v>
                </c:pt>
                <c:pt idx="241">
                  <c:v>44530</c:v>
                </c:pt>
                <c:pt idx="242">
                  <c:v>44531</c:v>
                </c:pt>
                <c:pt idx="243">
                  <c:v>44532</c:v>
                </c:pt>
                <c:pt idx="244">
                  <c:v>44533</c:v>
                </c:pt>
                <c:pt idx="245">
                  <c:v>44536</c:v>
                </c:pt>
                <c:pt idx="246">
                  <c:v>44537</c:v>
                </c:pt>
                <c:pt idx="247">
                  <c:v>44538</c:v>
                </c:pt>
              </c:numCache>
            </c:numRef>
          </c:cat>
          <c:val>
            <c:numRef>
              <c:f>'Share Price'!$C$11:$C$258</c:f>
              <c:numCache>
                <c:formatCode>0.00</c:formatCode>
                <c:ptCount val="248"/>
                <c:pt idx="0">
                  <c:v>10.15</c:v>
                </c:pt>
                <c:pt idx="1">
                  <c:v>10.1</c:v>
                </c:pt>
                <c:pt idx="2">
                  <c:v>9.75</c:v>
                </c:pt>
                <c:pt idx="3">
                  <c:v>9.85</c:v>
                </c:pt>
                <c:pt idx="4">
                  <c:v>9.9499999999999993</c:v>
                </c:pt>
                <c:pt idx="5">
                  <c:v>9.8000000000000007</c:v>
                </c:pt>
                <c:pt idx="6">
                  <c:v>9.8000000000000007</c:v>
                </c:pt>
                <c:pt idx="7">
                  <c:v>9.65</c:v>
                </c:pt>
                <c:pt idx="8">
                  <c:v>9.4</c:v>
                </c:pt>
                <c:pt idx="9">
                  <c:v>8.65</c:v>
                </c:pt>
                <c:pt idx="10">
                  <c:v>8.9499999999999993</c:v>
                </c:pt>
                <c:pt idx="11">
                  <c:v>9.3000000000000007</c:v>
                </c:pt>
                <c:pt idx="12">
                  <c:v>9.35</c:v>
                </c:pt>
                <c:pt idx="13">
                  <c:v>9.65</c:v>
                </c:pt>
                <c:pt idx="14">
                  <c:v>9.6999999999999993</c:v>
                </c:pt>
                <c:pt idx="15">
                  <c:v>9.6999999999999993</c:v>
                </c:pt>
                <c:pt idx="16">
                  <c:v>9.9</c:v>
                </c:pt>
                <c:pt idx="17">
                  <c:v>10.75</c:v>
                </c:pt>
                <c:pt idx="18">
                  <c:v>12.9</c:v>
                </c:pt>
                <c:pt idx="19">
                  <c:v>15.45</c:v>
                </c:pt>
                <c:pt idx="20">
                  <c:v>16</c:v>
                </c:pt>
                <c:pt idx="21">
                  <c:v>14.5</c:v>
                </c:pt>
                <c:pt idx="22">
                  <c:v>14.6</c:v>
                </c:pt>
                <c:pt idx="23">
                  <c:v>14.7</c:v>
                </c:pt>
                <c:pt idx="24">
                  <c:v>14.35</c:v>
                </c:pt>
                <c:pt idx="25">
                  <c:v>14.35</c:v>
                </c:pt>
                <c:pt idx="26">
                  <c:v>14.35</c:v>
                </c:pt>
                <c:pt idx="27">
                  <c:v>14.7</c:v>
                </c:pt>
                <c:pt idx="28">
                  <c:v>14.9</c:v>
                </c:pt>
                <c:pt idx="29">
                  <c:v>15.15</c:v>
                </c:pt>
                <c:pt idx="30">
                  <c:v>14.8</c:v>
                </c:pt>
                <c:pt idx="31">
                  <c:v>14.45</c:v>
                </c:pt>
                <c:pt idx="32">
                  <c:v>14.15</c:v>
                </c:pt>
                <c:pt idx="33">
                  <c:v>13.85</c:v>
                </c:pt>
                <c:pt idx="34">
                  <c:v>13.25</c:v>
                </c:pt>
                <c:pt idx="35">
                  <c:v>14.55</c:v>
                </c:pt>
                <c:pt idx="36">
                  <c:v>14.5</c:v>
                </c:pt>
                <c:pt idx="37">
                  <c:v>14.45</c:v>
                </c:pt>
                <c:pt idx="38">
                  <c:v>14.3</c:v>
                </c:pt>
                <c:pt idx="39">
                  <c:v>14.15</c:v>
                </c:pt>
                <c:pt idx="40">
                  <c:v>14.5</c:v>
                </c:pt>
                <c:pt idx="41">
                  <c:v>14.1</c:v>
                </c:pt>
                <c:pt idx="42">
                  <c:v>14.15</c:v>
                </c:pt>
                <c:pt idx="43">
                  <c:v>13.95</c:v>
                </c:pt>
                <c:pt idx="44">
                  <c:v>13.9</c:v>
                </c:pt>
                <c:pt idx="45">
                  <c:v>13.95</c:v>
                </c:pt>
                <c:pt idx="46">
                  <c:v>14.1</c:v>
                </c:pt>
                <c:pt idx="47">
                  <c:v>13.95</c:v>
                </c:pt>
                <c:pt idx="48">
                  <c:v>13.55</c:v>
                </c:pt>
                <c:pt idx="49">
                  <c:v>13.95</c:v>
                </c:pt>
                <c:pt idx="50">
                  <c:v>13.85</c:v>
                </c:pt>
                <c:pt idx="51">
                  <c:v>14</c:v>
                </c:pt>
                <c:pt idx="52">
                  <c:v>13.8</c:v>
                </c:pt>
                <c:pt idx="53">
                  <c:v>14.05</c:v>
                </c:pt>
                <c:pt idx="54">
                  <c:v>14.05</c:v>
                </c:pt>
                <c:pt idx="55">
                  <c:v>13.95</c:v>
                </c:pt>
                <c:pt idx="56">
                  <c:v>13.8</c:v>
                </c:pt>
                <c:pt idx="57">
                  <c:v>13.75</c:v>
                </c:pt>
                <c:pt idx="58">
                  <c:v>13.95</c:v>
                </c:pt>
                <c:pt idx="59">
                  <c:v>14.1</c:v>
                </c:pt>
                <c:pt idx="60">
                  <c:v>14.7</c:v>
                </c:pt>
                <c:pt idx="61">
                  <c:v>14.55</c:v>
                </c:pt>
                <c:pt idx="62">
                  <c:v>14.3</c:v>
                </c:pt>
                <c:pt idx="63">
                  <c:v>14.05</c:v>
                </c:pt>
                <c:pt idx="64">
                  <c:v>14.4</c:v>
                </c:pt>
                <c:pt idx="65">
                  <c:v>15.3</c:v>
                </c:pt>
                <c:pt idx="66">
                  <c:v>15.35</c:v>
                </c:pt>
                <c:pt idx="67">
                  <c:v>15.75</c:v>
                </c:pt>
                <c:pt idx="68">
                  <c:v>14.8</c:v>
                </c:pt>
                <c:pt idx="69">
                  <c:v>14.3</c:v>
                </c:pt>
                <c:pt idx="70">
                  <c:v>14.5</c:v>
                </c:pt>
                <c:pt idx="71">
                  <c:v>14.55</c:v>
                </c:pt>
                <c:pt idx="72">
                  <c:v>14.5</c:v>
                </c:pt>
                <c:pt idx="73">
                  <c:v>14.1</c:v>
                </c:pt>
                <c:pt idx="74">
                  <c:v>13.8</c:v>
                </c:pt>
                <c:pt idx="75">
                  <c:v>13.7</c:v>
                </c:pt>
                <c:pt idx="76">
                  <c:v>14.2</c:v>
                </c:pt>
                <c:pt idx="77">
                  <c:v>14.05</c:v>
                </c:pt>
                <c:pt idx="78">
                  <c:v>14.2</c:v>
                </c:pt>
                <c:pt idx="79">
                  <c:v>14</c:v>
                </c:pt>
                <c:pt idx="80">
                  <c:v>13.8</c:v>
                </c:pt>
                <c:pt idx="81">
                  <c:v>13.85</c:v>
                </c:pt>
                <c:pt idx="82">
                  <c:v>14.2</c:v>
                </c:pt>
                <c:pt idx="83">
                  <c:v>14.1</c:v>
                </c:pt>
                <c:pt idx="84">
                  <c:v>13.4</c:v>
                </c:pt>
                <c:pt idx="85">
                  <c:v>13.7</c:v>
                </c:pt>
                <c:pt idx="86">
                  <c:v>13.95</c:v>
                </c:pt>
                <c:pt idx="87">
                  <c:v>14</c:v>
                </c:pt>
                <c:pt idx="88">
                  <c:v>13.45</c:v>
                </c:pt>
                <c:pt idx="89">
                  <c:v>13.55</c:v>
                </c:pt>
                <c:pt idx="90">
                  <c:v>13.5</c:v>
                </c:pt>
                <c:pt idx="91">
                  <c:v>13.5</c:v>
                </c:pt>
                <c:pt idx="92">
                  <c:v>13.6</c:v>
                </c:pt>
                <c:pt idx="93">
                  <c:v>14.1</c:v>
                </c:pt>
                <c:pt idx="94">
                  <c:v>14</c:v>
                </c:pt>
                <c:pt idx="95">
                  <c:v>13.8</c:v>
                </c:pt>
                <c:pt idx="96">
                  <c:v>13.8</c:v>
                </c:pt>
                <c:pt idx="97">
                  <c:v>14.1</c:v>
                </c:pt>
                <c:pt idx="98">
                  <c:v>13.85</c:v>
                </c:pt>
                <c:pt idx="99">
                  <c:v>13.85</c:v>
                </c:pt>
                <c:pt idx="100">
                  <c:v>13.9</c:v>
                </c:pt>
                <c:pt idx="101">
                  <c:v>15.25</c:v>
                </c:pt>
                <c:pt idx="102">
                  <c:v>16.75</c:v>
                </c:pt>
                <c:pt idx="103">
                  <c:v>18.399999999999999</c:v>
                </c:pt>
                <c:pt idx="104">
                  <c:v>17.5</c:v>
                </c:pt>
                <c:pt idx="105">
                  <c:v>16.950001</c:v>
                </c:pt>
                <c:pt idx="106">
                  <c:v>16.149999999999999</c:v>
                </c:pt>
                <c:pt idx="107">
                  <c:v>16.950001</c:v>
                </c:pt>
                <c:pt idx="108">
                  <c:v>16.799999</c:v>
                </c:pt>
                <c:pt idx="109">
                  <c:v>16.799999</c:v>
                </c:pt>
                <c:pt idx="110">
                  <c:v>16.649999999999999</c:v>
                </c:pt>
                <c:pt idx="111">
                  <c:v>16.75</c:v>
                </c:pt>
                <c:pt idx="112">
                  <c:v>16.600000000000001</c:v>
                </c:pt>
                <c:pt idx="113">
                  <c:v>16.799999</c:v>
                </c:pt>
                <c:pt idx="114">
                  <c:v>16.549999</c:v>
                </c:pt>
                <c:pt idx="115">
                  <c:v>16.25</c:v>
                </c:pt>
                <c:pt idx="116">
                  <c:v>15.95</c:v>
                </c:pt>
                <c:pt idx="117">
                  <c:v>15.85</c:v>
                </c:pt>
                <c:pt idx="118">
                  <c:v>16</c:v>
                </c:pt>
                <c:pt idx="119">
                  <c:v>16.100000000000001</c:v>
                </c:pt>
                <c:pt idx="120">
                  <c:v>16</c:v>
                </c:pt>
                <c:pt idx="121">
                  <c:v>16.799999</c:v>
                </c:pt>
                <c:pt idx="122">
                  <c:v>16.399999999999999</c:v>
                </c:pt>
                <c:pt idx="123">
                  <c:v>16.149999999999999</c:v>
                </c:pt>
                <c:pt idx="124">
                  <c:v>16.950001</c:v>
                </c:pt>
                <c:pt idx="125">
                  <c:v>16.700001</c:v>
                </c:pt>
                <c:pt idx="126">
                  <c:v>16.799999</c:v>
                </c:pt>
                <c:pt idx="127">
                  <c:v>16.649999999999999</c:v>
                </c:pt>
                <c:pt idx="128">
                  <c:v>16.549999</c:v>
                </c:pt>
                <c:pt idx="129">
                  <c:v>16.75</c:v>
                </c:pt>
                <c:pt idx="130">
                  <c:v>16.5</c:v>
                </c:pt>
                <c:pt idx="131">
                  <c:v>16.649999999999999</c:v>
                </c:pt>
                <c:pt idx="132">
                  <c:v>16.700001</c:v>
                </c:pt>
                <c:pt idx="133">
                  <c:v>16.600000000000001</c:v>
                </c:pt>
                <c:pt idx="134">
                  <c:v>16.600000000000001</c:v>
                </c:pt>
                <c:pt idx="135">
                  <c:v>16.600000000000001</c:v>
                </c:pt>
                <c:pt idx="136">
                  <c:v>16.5</c:v>
                </c:pt>
                <c:pt idx="137">
                  <c:v>16.25</c:v>
                </c:pt>
                <c:pt idx="138">
                  <c:v>16.350000000000001</c:v>
                </c:pt>
                <c:pt idx="139">
                  <c:v>16.350000000000001</c:v>
                </c:pt>
                <c:pt idx="140">
                  <c:v>16.399999999999999</c:v>
                </c:pt>
                <c:pt idx="141">
                  <c:v>17.200001</c:v>
                </c:pt>
                <c:pt idx="142">
                  <c:v>18.049999</c:v>
                </c:pt>
                <c:pt idx="143">
                  <c:v>17.149999999999999</c:v>
                </c:pt>
                <c:pt idx="144">
                  <c:v>17.299999</c:v>
                </c:pt>
                <c:pt idx="145">
                  <c:v>17.399999999999999</c:v>
                </c:pt>
                <c:pt idx="146">
                  <c:v>17.899999999999999</c:v>
                </c:pt>
                <c:pt idx="147">
                  <c:v>17.850000000000001</c:v>
                </c:pt>
                <c:pt idx="148">
                  <c:v>17.950001</c:v>
                </c:pt>
                <c:pt idx="149">
                  <c:v>17.649999999999999</c:v>
                </c:pt>
                <c:pt idx="150">
                  <c:v>17.700001</c:v>
                </c:pt>
                <c:pt idx="151">
                  <c:v>17.649999999999999</c:v>
                </c:pt>
                <c:pt idx="152">
                  <c:v>17.299999</c:v>
                </c:pt>
                <c:pt idx="153">
                  <c:v>17.75</c:v>
                </c:pt>
                <c:pt idx="154">
                  <c:v>17.600000000000001</c:v>
                </c:pt>
                <c:pt idx="155">
                  <c:v>17.100000000000001</c:v>
                </c:pt>
                <c:pt idx="156">
                  <c:v>17.950001</c:v>
                </c:pt>
                <c:pt idx="157">
                  <c:v>18.799999</c:v>
                </c:pt>
                <c:pt idx="158">
                  <c:v>19.700001</c:v>
                </c:pt>
                <c:pt idx="159">
                  <c:v>20.65</c:v>
                </c:pt>
                <c:pt idx="160">
                  <c:v>20.149999999999999</c:v>
                </c:pt>
                <c:pt idx="161">
                  <c:v>21.15</c:v>
                </c:pt>
                <c:pt idx="162">
                  <c:v>22.15</c:v>
                </c:pt>
                <c:pt idx="163">
                  <c:v>21.049999</c:v>
                </c:pt>
                <c:pt idx="164">
                  <c:v>20.350000000000001</c:v>
                </c:pt>
                <c:pt idx="165">
                  <c:v>21</c:v>
                </c:pt>
                <c:pt idx="166">
                  <c:v>19.950001</c:v>
                </c:pt>
                <c:pt idx="167">
                  <c:v>19.549999</c:v>
                </c:pt>
                <c:pt idx="168">
                  <c:v>20.450001</c:v>
                </c:pt>
                <c:pt idx="169">
                  <c:v>21.450001</c:v>
                </c:pt>
                <c:pt idx="170">
                  <c:v>21.049999</c:v>
                </c:pt>
                <c:pt idx="171">
                  <c:v>20.549999</c:v>
                </c:pt>
                <c:pt idx="172">
                  <c:v>20.65</c:v>
                </c:pt>
                <c:pt idx="173">
                  <c:v>20.200001</c:v>
                </c:pt>
                <c:pt idx="174">
                  <c:v>19.5</c:v>
                </c:pt>
                <c:pt idx="175">
                  <c:v>20.450001</c:v>
                </c:pt>
                <c:pt idx="176">
                  <c:v>20.450001</c:v>
                </c:pt>
                <c:pt idx="177">
                  <c:v>20.350000000000001</c:v>
                </c:pt>
                <c:pt idx="178">
                  <c:v>20.149999999999999</c:v>
                </c:pt>
                <c:pt idx="179">
                  <c:v>20.200001</c:v>
                </c:pt>
                <c:pt idx="180">
                  <c:v>20.65</c:v>
                </c:pt>
                <c:pt idx="181">
                  <c:v>21.549999</c:v>
                </c:pt>
                <c:pt idx="182">
                  <c:v>22.6</c:v>
                </c:pt>
                <c:pt idx="183">
                  <c:v>23.700001</c:v>
                </c:pt>
                <c:pt idx="184">
                  <c:v>23.9</c:v>
                </c:pt>
                <c:pt idx="185">
                  <c:v>23.6</c:v>
                </c:pt>
                <c:pt idx="186">
                  <c:v>24.75</c:v>
                </c:pt>
                <c:pt idx="187">
                  <c:v>25.5</c:v>
                </c:pt>
                <c:pt idx="188">
                  <c:v>25.25</c:v>
                </c:pt>
                <c:pt idx="189">
                  <c:v>25.049999</c:v>
                </c:pt>
                <c:pt idx="190">
                  <c:v>24.6</c:v>
                </c:pt>
                <c:pt idx="191">
                  <c:v>24.6</c:v>
                </c:pt>
                <c:pt idx="192">
                  <c:v>23.75</c:v>
                </c:pt>
                <c:pt idx="193">
                  <c:v>24.1</c:v>
                </c:pt>
                <c:pt idx="194">
                  <c:v>23.9</c:v>
                </c:pt>
                <c:pt idx="195">
                  <c:v>23.950001</c:v>
                </c:pt>
                <c:pt idx="196">
                  <c:v>24.35</c:v>
                </c:pt>
                <c:pt idx="197">
                  <c:v>24.200001</c:v>
                </c:pt>
                <c:pt idx="198">
                  <c:v>24.549999</c:v>
                </c:pt>
                <c:pt idx="199">
                  <c:v>25.75</c:v>
                </c:pt>
                <c:pt idx="200">
                  <c:v>26.75</c:v>
                </c:pt>
                <c:pt idx="201">
                  <c:v>28</c:v>
                </c:pt>
                <c:pt idx="202">
                  <c:v>29.4</c:v>
                </c:pt>
                <c:pt idx="203">
                  <c:v>30.85</c:v>
                </c:pt>
                <c:pt idx="204">
                  <c:v>32.349997999999999</c:v>
                </c:pt>
                <c:pt idx="205">
                  <c:v>33.950001</c:v>
                </c:pt>
                <c:pt idx="206">
                  <c:v>32.400002000000001</c:v>
                </c:pt>
                <c:pt idx="207">
                  <c:v>34</c:v>
                </c:pt>
                <c:pt idx="208">
                  <c:v>35.700001</c:v>
                </c:pt>
                <c:pt idx="209">
                  <c:v>37.450001</c:v>
                </c:pt>
                <c:pt idx="210">
                  <c:v>39.299999</c:v>
                </c:pt>
                <c:pt idx="211">
                  <c:v>38.450001</c:v>
                </c:pt>
                <c:pt idx="212">
                  <c:v>40.349997999999999</c:v>
                </c:pt>
                <c:pt idx="213">
                  <c:v>41.849997999999999</c:v>
                </c:pt>
                <c:pt idx="214">
                  <c:v>40.200001</c:v>
                </c:pt>
                <c:pt idx="215">
                  <c:v>38.650002000000001</c:v>
                </c:pt>
                <c:pt idx="216">
                  <c:v>40.549999</c:v>
                </c:pt>
                <c:pt idx="217">
                  <c:v>39.650002000000001</c:v>
                </c:pt>
                <c:pt idx="218">
                  <c:v>39.900002000000001</c:v>
                </c:pt>
                <c:pt idx="219">
                  <c:v>39.25</c:v>
                </c:pt>
                <c:pt idx="220">
                  <c:v>37.650002000000001</c:v>
                </c:pt>
                <c:pt idx="221">
                  <c:v>37.950001</c:v>
                </c:pt>
                <c:pt idx="222">
                  <c:v>39.799999</c:v>
                </c:pt>
                <c:pt idx="223">
                  <c:v>40.099997999999999</c:v>
                </c:pt>
                <c:pt idx="224">
                  <c:v>38.599997999999999</c:v>
                </c:pt>
                <c:pt idx="225">
                  <c:v>39.700001</c:v>
                </c:pt>
                <c:pt idx="226">
                  <c:v>39.849997999999999</c:v>
                </c:pt>
                <c:pt idx="227">
                  <c:v>40.150002000000001</c:v>
                </c:pt>
                <c:pt idx="228">
                  <c:v>39.950001</c:v>
                </c:pt>
                <c:pt idx="229">
                  <c:v>39.650002000000001</c:v>
                </c:pt>
                <c:pt idx="230">
                  <c:v>39.650002000000001</c:v>
                </c:pt>
                <c:pt idx="231">
                  <c:v>39.049999</c:v>
                </c:pt>
                <c:pt idx="232">
                  <c:v>41</c:v>
                </c:pt>
                <c:pt idx="233">
                  <c:v>43.049999</c:v>
                </c:pt>
                <c:pt idx="234">
                  <c:v>45.200001</c:v>
                </c:pt>
                <c:pt idx="235">
                  <c:v>47.450001</c:v>
                </c:pt>
                <c:pt idx="236">
                  <c:v>49.799999</c:v>
                </c:pt>
                <c:pt idx="237">
                  <c:v>52.25</c:v>
                </c:pt>
                <c:pt idx="238">
                  <c:v>54.849997999999999</c:v>
                </c:pt>
                <c:pt idx="239">
                  <c:v>57.549999</c:v>
                </c:pt>
                <c:pt idx="240">
                  <c:v>54.700001</c:v>
                </c:pt>
                <c:pt idx="241">
                  <c:v>52</c:v>
                </c:pt>
                <c:pt idx="242">
                  <c:v>49.400002000000001</c:v>
                </c:pt>
                <c:pt idx="243">
                  <c:v>46.950001</c:v>
                </c:pt>
                <c:pt idx="244">
                  <c:v>44.650002000000001</c:v>
                </c:pt>
                <c:pt idx="245">
                  <c:v>46.849997999999999</c:v>
                </c:pt>
                <c:pt idx="246">
                  <c:v>49.150002000000001</c:v>
                </c:pt>
                <c:pt idx="247">
                  <c:v>51.599997999999999</c:v>
                </c:pt>
              </c:numCache>
            </c:numRef>
          </c:val>
          <c:smooth val="0"/>
          <c:extLst>
            <c:ext xmlns:c16="http://schemas.microsoft.com/office/drawing/2014/chart" uri="{C3380CC4-5D6E-409C-BE32-E72D297353CC}">
              <c16:uniqueId val="{00000000-FD57-4DD0-8FA7-5B6B22E493BF}"/>
            </c:ext>
          </c:extLst>
        </c:ser>
        <c:dLbls>
          <c:showLegendKey val="0"/>
          <c:showVal val="0"/>
          <c:showCatName val="0"/>
          <c:showSerName val="0"/>
          <c:showPercent val="0"/>
          <c:showBubbleSize val="0"/>
        </c:dLbls>
        <c:smooth val="0"/>
        <c:axId val="2029354912"/>
        <c:axId val="2029344928"/>
      </c:lineChart>
      <c:dateAx>
        <c:axId val="2029354912"/>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344928"/>
        <c:crosses val="autoZero"/>
        <c:auto val="1"/>
        <c:lblOffset val="100"/>
        <c:baseTimeUnit val="days"/>
      </c:dateAx>
      <c:valAx>
        <c:axId val="20293449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354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161925</xdr:colOff>
      <xdr:row>0</xdr:row>
      <xdr:rowOff>180975</xdr:rowOff>
    </xdr:from>
    <xdr:to>
      <xdr:col>5</xdr:col>
      <xdr:colOff>590550</xdr:colOff>
      <xdr:row>9</xdr:row>
      <xdr:rowOff>57150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8625" y="180975"/>
          <a:ext cx="2867025" cy="1590675"/>
        </a:xfrm>
        <a:prstGeom prst="rect">
          <a:avLst/>
        </a:prstGeom>
      </xdr:spPr>
    </xdr:pic>
    <xdr:clientData/>
  </xdr:twoCellAnchor>
  <xdr:twoCellAnchor>
    <xdr:from>
      <xdr:col>10</xdr:col>
      <xdr:colOff>254000</xdr:colOff>
      <xdr:row>8</xdr:row>
      <xdr:rowOff>31750</xdr:rowOff>
    </xdr:from>
    <xdr:to>
      <xdr:col>20</xdr:col>
      <xdr:colOff>240241</xdr:colOff>
      <xdr:row>22</xdr:row>
      <xdr:rowOff>107950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4</xdr:row>
      <xdr:rowOff>28575</xdr:rowOff>
    </xdr:from>
    <xdr:to>
      <xdr:col>1</xdr:col>
      <xdr:colOff>5905500</xdr:colOff>
      <xdr:row>21</xdr:row>
      <xdr:rowOff>171450</xdr:rowOff>
    </xdr:to>
    <xdr:sp macro="" textlink="">
      <xdr:nvSpPr>
        <xdr:cNvPr id="2" name="TextBox 1">
          <a:extLst>
            <a:ext uri="{FF2B5EF4-FFF2-40B4-BE49-F238E27FC236}">
              <a16:creationId xmlns:a16="http://schemas.microsoft.com/office/drawing/2014/main" id="{3354FE1C-0387-4814-9F96-B2CBB4A23A3A}"/>
            </a:ext>
          </a:extLst>
        </xdr:cNvPr>
        <xdr:cNvSpPr txBox="1"/>
      </xdr:nvSpPr>
      <xdr:spPr>
        <a:xfrm>
          <a:off x="295275" y="866775"/>
          <a:ext cx="5876925" cy="338137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20000"/>
            </a:lnSpc>
            <a:spcBef>
              <a:spcPts val="600"/>
            </a:spcBef>
          </a:pPr>
          <a:r>
            <a:rPr lang="en-US" sz="1100" b="0" i="0">
              <a:solidFill>
                <a:schemeClr val="dk1"/>
              </a:solidFill>
              <a:effectLst/>
              <a:latin typeface="+mn-lt"/>
              <a:ea typeface="+mn-ea"/>
              <a:cs typeface="+mn-cs"/>
            </a:rPr>
            <a:t>Trident Limited</a:t>
          </a:r>
          <a:r>
            <a:rPr lang="en-US" sz="1100" b="0" i="0" baseline="0">
              <a:solidFill>
                <a:schemeClr val="dk1"/>
              </a:solidFill>
              <a:effectLst/>
              <a:latin typeface="+mn-lt"/>
              <a:ea typeface="+mn-ea"/>
              <a:cs typeface="+mn-cs"/>
            </a:rPr>
            <a:t> is a flagship company of Trident Group, which is a leading Manufacrer of yarn, Bath Linen, Bed Linen amd wheat straw based paperand Captive Power.It is Headquartered in Punjab. It is one of the emerging players in the Textile Industry. Company derives majority of revenue  from HomeTextile segment i.e </a:t>
          </a:r>
          <a:r>
            <a:rPr lang="en-US" sz="1100" b="1" i="0" baseline="0">
              <a:solidFill>
                <a:schemeClr val="dk1"/>
              </a:solidFill>
              <a:effectLst/>
              <a:latin typeface="+mn-lt"/>
              <a:ea typeface="+mn-ea"/>
              <a:cs typeface="+mn-cs"/>
            </a:rPr>
            <a:t>85% of total Revenue </a:t>
          </a:r>
          <a:r>
            <a:rPr lang="en-US" sz="1100" b="0" i="0" baseline="0">
              <a:solidFill>
                <a:schemeClr val="dk1"/>
              </a:solidFill>
              <a:effectLst/>
              <a:latin typeface="+mn-lt"/>
              <a:ea typeface="+mn-ea"/>
              <a:cs typeface="+mn-cs"/>
            </a:rPr>
            <a:t>besides that company on an average derives </a:t>
          </a:r>
          <a:r>
            <a:rPr lang="en-US" sz="1100" b="1" i="0" baseline="0">
              <a:solidFill>
                <a:schemeClr val="dk1"/>
              </a:solidFill>
              <a:effectLst/>
              <a:latin typeface="+mn-lt"/>
              <a:ea typeface="+mn-ea"/>
              <a:cs typeface="+mn-cs"/>
            </a:rPr>
            <a:t>70% of the revenue from exports</a:t>
          </a:r>
          <a:r>
            <a:rPr lang="en-US" sz="1100" b="0" i="0" baseline="0">
              <a:solidFill>
                <a:schemeClr val="dk1"/>
              </a:solidFill>
              <a:effectLst/>
              <a:latin typeface="+mn-lt"/>
              <a:ea typeface="+mn-ea"/>
              <a:cs typeface="+mn-cs"/>
            </a:rPr>
            <a:t>.                                          </a:t>
          </a:r>
          <a:endParaRPr lang="en-CA" sz="1200">
            <a:latin typeface="Arial Narrow" panose="020B0606020202030204" pitchFamily="34" charset="0"/>
          </a:endParaRPr>
        </a:p>
        <a:p>
          <a:pPr marL="360000" lvl="1" indent="-171450">
            <a:lnSpc>
              <a:spcPct val="120000"/>
            </a:lnSpc>
            <a:spcBef>
              <a:spcPts val="300"/>
            </a:spcBef>
            <a:buFont typeface="Arial" panose="020B0604020202020204" pitchFamily="34" charset="0"/>
            <a:buChar char="•"/>
          </a:pPr>
          <a:r>
            <a:rPr lang="en-US" sz="1100" b="0" i="0">
              <a:solidFill>
                <a:schemeClr val="dk1"/>
              </a:solidFill>
              <a:effectLst/>
              <a:latin typeface="+mn-lt"/>
              <a:ea typeface="+mn-ea"/>
              <a:cs typeface="+mn-cs"/>
            </a:rPr>
            <a:t>The</a:t>
          </a:r>
          <a:r>
            <a:rPr lang="en-US" sz="1100" b="0" i="0" baseline="0">
              <a:solidFill>
                <a:schemeClr val="dk1"/>
              </a:solidFill>
              <a:effectLst/>
              <a:latin typeface="+mn-lt"/>
              <a:ea typeface="+mn-ea"/>
              <a:cs typeface="+mn-cs"/>
            </a:rPr>
            <a:t> company Product portfolio includes under diffrent segments Namely </a:t>
          </a:r>
          <a:r>
            <a:rPr lang="en-US" sz="1100" b="1" i="0" baseline="0">
              <a:solidFill>
                <a:schemeClr val="dk1"/>
              </a:solidFill>
              <a:effectLst/>
              <a:latin typeface="+mn-lt"/>
              <a:ea typeface="+mn-ea"/>
              <a:cs typeface="+mn-cs"/>
            </a:rPr>
            <a:t>Home Textile,Paper segment, Chemical and Power</a:t>
          </a:r>
          <a:endParaRPr lang="en-CA" sz="1200" b="1">
            <a:latin typeface="Arial Narrow" panose="020B0606020202030204" pitchFamily="34" charset="0"/>
          </a:endParaRPr>
        </a:p>
        <a:p>
          <a:pPr marL="360000" lvl="1" indent="-171450">
            <a:lnSpc>
              <a:spcPct val="120000"/>
            </a:lnSpc>
            <a:spcBef>
              <a:spcPts val="300"/>
            </a:spcBef>
            <a:buFont typeface="Arial" panose="020B0604020202020204" pitchFamily="34" charset="0"/>
            <a:buChar char="•"/>
          </a:pPr>
          <a:r>
            <a:rPr lang="en-US" sz="1100" b="1">
              <a:solidFill>
                <a:schemeClr val="dk1"/>
              </a:solidFill>
              <a:effectLst/>
              <a:latin typeface="+mn-lt"/>
              <a:ea typeface="+mn-ea"/>
              <a:cs typeface="+mn-cs"/>
            </a:rPr>
            <a:t>Home Textile : </a:t>
          </a:r>
          <a:r>
            <a:rPr lang="en-US" sz="1100" b="0">
              <a:solidFill>
                <a:schemeClr val="dk1"/>
              </a:solidFill>
              <a:effectLst/>
              <a:latin typeface="+mn-lt"/>
              <a:ea typeface="+mn-ea"/>
              <a:cs typeface="+mn-cs"/>
            </a:rPr>
            <a:t>Under</a:t>
          </a:r>
          <a:r>
            <a:rPr lang="en-US" sz="1100" b="0" baseline="0">
              <a:solidFill>
                <a:schemeClr val="dk1"/>
              </a:solidFill>
              <a:effectLst/>
              <a:latin typeface="+mn-lt"/>
              <a:ea typeface="+mn-ea"/>
              <a:cs typeface="+mn-cs"/>
            </a:rPr>
            <a:t> Home textile company operates and produces majorly - </a:t>
          </a:r>
          <a:r>
            <a:rPr lang="en-US" sz="1100" b="1" baseline="0">
              <a:solidFill>
                <a:schemeClr val="dk1"/>
              </a:solidFill>
              <a:effectLst/>
              <a:latin typeface="+mn-lt"/>
              <a:ea typeface="+mn-ea"/>
              <a:cs typeface="+mn-cs"/>
            </a:rPr>
            <a:t>Yarn </a:t>
          </a:r>
          <a:r>
            <a:rPr lang="en-US" sz="1100" b="0" baseline="0">
              <a:solidFill>
                <a:schemeClr val="dk1"/>
              </a:solidFill>
              <a:effectLst/>
              <a:latin typeface="+mn-lt"/>
              <a:ea typeface="+mn-ea"/>
              <a:cs typeface="+mn-cs"/>
            </a:rPr>
            <a:t>(company produces and sells yarn and also uses in its in-house Production,</a:t>
          </a:r>
        </a:p>
        <a:p>
          <a:pPr marL="360000" lvl="1" indent="-171450">
            <a:lnSpc>
              <a:spcPct val="120000"/>
            </a:lnSpc>
            <a:spcBef>
              <a:spcPts val="300"/>
            </a:spcBef>
            <a:buFont typeface="Arial" panose="020B0604020202020204" pitchFamily="34" charset="0"/>
            <a:buChar char="•"/>
          </a:pPr>
          <a:r>
            <a:rPr lang="en-US" sz="1100" b="1" baseline="0">
              <a:solidFill>
                <a:schemeClr val="dk1"/>
              </a:solidFill>
              <a:effectLst/>
              <a:latin typeface="+mn-lt"/>
              <a:ea typeface="+mn-ea"/>
              <a:cs typeface="+mn-cs"/>
            </a:rPr>
            <a:t>Bath Linen-</a:t>
          </a:r>
          <a:r>
            <a:rPr lang="en-US" sz="1100" b="0" baseline="0">
              <a:solidFill>
                <a:schemeClr val="dk1"/>
              </a:solidFill>
              <a:effectLst/>
              <a:latin typeface="+mn-lt"/>
              <a:ea typeface="+mn-ea"/>
              <a:cs typeface="+mn-cs"/>
            </a:rPr>
            <a:t>(company is a market leader with diversified portfolio in this segment with being leader in terry towel segment)  </a:t>
          </a:r>
          <a:endParaRPr lang="en-US" sz="1100" b="1" i="0">
            <a:solidFill>
              <a:schemeClr val="dk1"/>
            </a:solidFill>
            <a:effectLst/>
            <a:latin typeface="+mn-lt"/>
            <a:ea typeface="+mn-ea"/>
            <a:cs typeface="+mn-cs"/>
          </a:endParaRPr>
        </a:p>
        <a:p>
          <a:pPr marL="360000" lvl="1" indent="-171450">
            <a:lnSpc>
              <a:spcPct val="120000"/>
            </a:lnSpc>
            <a:spcBef>
              <a:spcPts val="300"/>
            </a:spcBef>
            <a:buFont typeface="Arial" panose="020B0604020202020204" pitchFamily="34" charset="0"/>
            <a:buChar char="•"/>
          </a:pPr>
          <a:r>
            <a:rPr lang="en-CA" sz="1100" b="1">
              <a:solidFill>
                <a:schemeClr val="dk1"/>
              </a:solidFill>
              <a:effectLst/>
              <a:latin typeface="+mn-lt"/>
              <a:ea typeface="+mn-ea"/>
              <a:cs typeface="+mn-cs"/>
            </a:rPr>
            <a:t>Bed Linen - :</a:t>
          </a:r>
          <a:r>
            <a:rPr lang="en-CA" sz="1200">
              <a:latin typeface="Arial Narrow" panose="020B0606020202030204" pitchFamily="34" charset="0"/>
            </a:rPr>
            <a:t> </a:t>
          </a:r>
          <a:r>
            <a:rPr lang="en-US" sz="1100" b="0" i="0">
              <a:solidFill>
                <a:schemeClr val="dk1"/>
              </a:solidFill>
              <a:effectLst/>
              <a:latin typeface="+mn-lt"/>
              <a:ea typeface="+mn-ea"/>
              <a:cs typeface="+mn-cs"/>
            </a:rPr>
            <a:t>Company</a:t>
          </a:r>
          <a:r>
            <a:rPr lang="en-US" sz="1100" b="0" i="0" baseline="0">
              <a:solidFill>
                <a:schemeClr val="dk1"/>
              </a:solidFill>
              <a:effectLst/>
              <a:latin typeface="+mn-lt"/>
              <a:ea typeface="+mn-ea"/>
              <a:cs typeface="+mn-cs"/>
            </a:rPr>
            <a:t> diversified and expanded its product portfolio by offering products in bed linen segment in 2016  which is alsoPerforming well</a:t>
          </a:r>
          <a:r>
            <a:rPr lang="en-US" sz="1100" b="0" i="0">
              <a:solidFill>
                <a:schemeClr val="dk1"/>
              </a:solidFill>
              <a:effectLst/>
              <a:latin typeface="+mn-lt"/>
              <a:ea typeface="+mn-ea"/>
              <a:cs typeface="+mn-cs"/>
            </a:rPr>
            <a:t>. </a:t>
          </a:r>
          <a:r>
            <a:rPr lang="en-CA" sz="1200">
              <a:latin typeface="Arial Narrow" panose="020B0606020202030204" pitchFamily="34" charset="0"/>
            </a:rPr>
            <a:t> </a:t>
          </a:r>
        </a:p>
        <a:p>
          <a:pPr marL="360000" lvl="1" indent="-171450">
            <a:lnSpc>
              <a:spcPct val="120000"/>
            </a:lnSpc>
            <a:spcBef>
              <a:spcPts val="300"/>
            </a:spcBef>
            <a:buFont typeface="Arial" panose="020B0604020202020204" pitchFamily="34" charset="0"/>
            <a:buChar char="•"/>
          </a:pPr>
          <a:r>
            <a:rPr lang="en-CA" sz="1100" b="1">
              <a:solidFill>
                <a:schemeClr val="dk1"/>
              </a:solidFill>
              <a:effectLst/>
              <a:latin typeface="+mn-lt"/>
              <a:ea typeface="+mn-ea"/>
              <a:cs typeface="+mn-cs"/>
            </a:rPr>
            <a:t>Paper Segment :</a:t>
          </a:r>
          <a:r>
            <a:rPr lang="en-CA" sz="1200">
              <a:latin typeface="Arial Narrow" panose="020B0606020202030204" pitchFamily="34" charset="0"/>
            </a:rPr>
            <a:t> </a:t>
          </a:r>
          <a:r>
            <a:rPr lang="en-US" sz="1200">
              <a:latin typeface="Arial Narrow" panose="020B0606020202030204" pitchFamily="34" charset="0"/>
            </a:rPr>
            <a:t>Company is the largest producer</a:t>
          </a:r>
          <a:r>
            <a:rPr lang="en-US" sz="1200" baseline="0">
              <a:latin typeface="Arial Narrow" panose="020B0606020202030204" pitchFamily="34" charset="0"/>
            </a:rPr>
            <a:t> of wheat straw based paper and have worked in recent past to make production process more effecient.</a:t>
          </a:r>
          <a:endParaRPr lang="en-US" sz="1100" b="0" i="0">
            <a:solidFill>
              <a:schemeClr val="dk1"/>
            </a:solidFill>
            <a:effectLst/>
            <a:latin typeface="+mn-lt"/>
            <a:ea typeface="+mn-ea"/>
            <a:cs typeface="+mn-cs"/>
          </a:endParaRPr>
        </a:p>
        <a:p>
          <a:pPr marL="360000" lvl="1" indent="-171450">
            <a:lnSpc>
              <a:spcPct val="120000"/>
            </a:lnSpc>
            <a:spcBef>
              <a:spcPts val="300"/>
            </a:spcBef>
            <a:buFont typeface="Arial" panose="020B0604020202020204" pitchFamily="34" charset="0"/>
            <a:buChar char="•"/>
          </a:pPr>
          <a:r>
            <a:rPr lang="en-CA" sz="1100" b="1">
              <a:solidFill>
                <a:schemeClr val="dk1"/>
              </a:solidFill>
              <a:effectLst/>
              <a:latin typeface="+mn-lt"/>
              <a:ea typeface="+mn-ea"/>
              <a:cs typeface="+mn-cs"/>
            </a:rPr>
            <a:t>Chemical and Power:</a:t>
          </a:r>
          <a:r>
            <a:rPr lang="en-CA" sz="1200">
              <a:latin typeface="Arial Narrow" panose="020B0606020202030204" pitchFamily="34" charset="0"/>
            </a:rPr>
            <a:t> </a:t>
          </a:r>
          <a:r>
            <a:rPr lang="en-US" sz="1100" b="0" i="0">
              <a:solidFill>
                <a:schemeClr val="dk1"/>
              </a:solidFill>
              <a:effectLst/>
              <a:latin typeface="+mn-lt"/>
              <a:ea typeface="+mn-ea"/>
              <a:cs typeface="+mn-cs"/>
            </a:rPr>
            <a:t>Trident is the leading manufactrer of sulphuric acid</a:t>
          </a:r>
          <a:r>
            <a:rPr lang="en-US" sz="1100" b="0" i="0" baseline="0">
              <a:solidFill>
                <a:schemeClr val="dk1"/>
              </a:solidFill>
              <a:effectLst/>
              <a:latin typeface="+mn-lt"/>
              <a:ea typeface="+mn-ea"/>
              <a:cs typeface="+mn-cs"/>
            </a:rPr>
            <a:t> in India which is used in commercial activities and battery.</a:t>
          </a:r>
          <a:endParaRPr lang="en-CA" sz="1200">
            <a:latin typeface="Arial Narrow" panose="020B0606020202030204" pitchFamily="34" charset="0"/>
          </a:endParaRPr>
        </a:p>
        <a:p>
          <a:br>
            <a:rPr lang="en-CA" sz="1100">
              <a:latin typeface="Arial Narrow" panose="020B0606020202030204" pitchFamily="34" charset="0"/>
            </a:rPr>
          </a:br>
          <a:endParaRPr lang="en-CA" sz="1100">
            <a:latin typeface="Arial Narrow" panose="020B0606020202030204" pitchFamily="34" charset="0"/>
          </a:endParaRPr>
        </a:p>
      </xdr:txBody>
    </xdr:sp>
    <xdr:clientData/>
  </xdr:twoCellAnchor>
  <xdr:twoCellAnchor>
    <xdr:from>
      <xdr:col>2</xdr:col>
      <xdr:colOff>9525</xdr:colOff>
      <xdr:row>5</xdr:row>
      <xdr:rowOff>190500</xdr:rowOff>
    </xdr:from>
    <xdr:to>
      <xdr:col>11</xdr:col>
      <xdr:colOff>9525</xdr:colOff>
      <xdr:row>22</xdr:row>
      <xdr:rowOff>10582</xdr:rowOff>
    </xdr:to>
    <xdr:graphicFrame macro="">
      <xdr:nvGraphicFramePr>
        <xdr:cNvPr id="6" name="Chart 5">
          <a:extLst>
            <a:ext uri="{FF2B5EF4-FFF2-40B4-BE49-F238E27FC236}">
              <a16:creationId xmlns:a16="http://schemas.microsoft.com/office/drawing/2014/main" id="{819CE2D1-751F-467C-A6A7-DBECBF0DF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114300</xdr:colOff>
      <xdr:row>8</xdr:row>
      <xdr:rowOff>161925</xdr:rowOff>
    </xdr:from>
    <xdr:to>
      <xdr:col>14</xdr:col>
      <xdr:colOff>142875</xdr:colOff>
      <xdr:row>23</xdr:row>
      <xdr:rowOff>47625</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kshay%20anand\AppData\Local\Temp\Temp1_AmazonCaseStudyAttachements-210611-105140.zip\2.%20AMZN%20Financial%20Model%20(Comple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shboard"/>
      <sheetName val="Implied Value Summary"/>
      <sheetName val="Outputs"/>
      <sheetName val="Control Panel"/>
      <sheetName val="Financial Statements"/>
      <sheetName val="Raw Data"/>
      <sheetName val="Scenarios"/>
      <sheetName val="DCF"/>
      <sheetName val="WACC"/>
      <sheetName val="SOTP"/>
      <sheetName val="Comps"/>
      <sheetName val="PrecedentsVal"/>
      <sheetName val="Precedents"/>
      <sheetName val="Market Size"/>
      <sheetName val="Macro"/>
      <sheetName val="Consensus"/>
      <sheetName val="Share Price"/>
    </sheetNames>
    <sheetDataSet>
      <sheetData sheetId="0"/>
      <sheetData sheetId="1"/>
      <sheetData sheetId="2"/>
      <sheetData sheetId="3"/>
      <sheetData sheetId="4">
        <row r="22">
          <cell r="W22">
            <v>0.08</v>
          </cell>
        </row>
      </sheetData>
      <sheetData sheetId="5"/>
      <sheetData sheetId="6"/>
      <sheetData sheetId="7"/>
      <sheetData sheetId="8">
        <row r="57">
          <cell r="B57">
            <v>0</v>
          </cell>
        </row>
      </sheetData>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U25"/>
  <sheetViews>
    <sheetView showGridLines="0" tabSelected="1" zoomScale="90" zoomScaleNormal="90" workbookViewId="0">
      <selection activeCell="E24" sqref="E24"/>
    </sheetView>
  </sheetViews>
  <sheetFormatPr defaultRowHeight="14.4" x14ac:dyDescent="0.3"/>
  <cols>
    <col min="1" max="1" width="4" customWidth="1"/>
  </cols>
  <sheetData>
    <row r="4" spans="2:21" x14ac:dyDescent="0.3">
      <c r="J4" s="252" t="s">
        <v>238</v>
      </c>
      <c r="K4" s="252"/>
      <c r="L4" s="252"/>
      <c r="M4" s="252"/>
      <c r="N4" s="252"/>
      <c r="O4" s="252"/>
      <c r="P4" s="252"/>
      <c r="Q4" s="252"/>
      <c r="R4" s="252"/>
      <c r="S4" s="252"/>
      <c r="T4" s="252"/>
      <c r="U4" s="252"/>
    </row>
    <row r="5" spans="2:21" x14ac:dyDescent="0.3">
      <c r="J5" s="252"/>
      <c r="K5" s="252"/>
      <c r="L5" s="252"/>
      <c r="M5" s="252"/>
      <c r="N5" s="252"/>
      <c r="O5" s="252"/>
      <c r="P5" s="252"/>
      <c r="Q5" s="252"/>
      <c r="R5" s="252"/>
      <c r="S5" s="252"/>
      <c r="T5" s="252"/>
      <c r="U5" s="252"/>
    </row>
    <row r="11" spans="2:21" x14ac:dyDescent="0.3">
      <c r="B11" s="251" t="s">
        <v>230</v>
      </c>
      <c r="C11" s="251"/>
      <c r="D11" s="251"/>
      <c r="E11" s="251"/>
      <c r="F11" s="251"/>
    </row>
    <row r="12" spans="2:21" x14ac:dyDescent="0.3">
      <c r="B12" s="20">
        <v>1</v>
      </c>
      <c r="C12" s="114" t="s">
        <v>231</v>
      </c>
      <c r="D12" s="20"/>
      <c r="E12" s="20"/>
      <c r="F12" s="20"/>
    </row>
    <row r="13" spans="2:21" x14ac:dyDescent="0.3">
      <c r="B13" s="20">
        <f t="shared" ref="B13:B20" si="0">B12+1</f>
        <v>2</v>
      </c>
      <c r="C13" s="114" t="s">
        <v>232</v>
      </c>
      <c r="D13" s="20"/>
      <c r="E13" s="20"/>
      <c r="F13" s="20"/>
    </row>
    <row r="14" spans="2:21" x14ac:dyDescent="0.3">
      <c r="B14" s="20">
        <f t="shared" si="0"/>
        <v>3</v>
      </c>
      <c r="C14" s="114" t="s">
        <v>233</v>
      </c>
      <c r="D14" s="20"/>
      <c r="E14" s="20"/>
      <c r="F14" s="20"/>
    </row>
    <row r="15" spans="2:21" x14ac:dyDescent="0.3">
      <c r="B15" s="20">
        <f t="shared" si="0"/>
        <v>4</v>
      </c>
      <c r="C15" s="114" t="s">
        <v>234</v>
      </c>
      <c r="D15" s="20"/>
      <c r="E15" s="20"/>
      <c r="F15" s="20"/>
    </row>
    <row r="16" spans="2:21" x14ac:dyDescent="0.3">
      <c r="B16" s="20">
        <f t="shared" si="0"/>
        <v>5</v>
      </c>
      <c r="C16" s="114" t="s">
        <v>235</v>
      </c>
      <c r="D16" s="20"/>
      <c r="E16" s="20"/>
      <c r="F16" s="20"/>
    </row>
    <row r="17" spans="2:20" x14ac:dyDescent="0.3">
      <c r="B17" s="20">
        <f t="shared" si="0"/>
        <v>6</v>
      </c>
      <c r="C17" s="114" t="s">
        <v>236</v>
      </c>
      <c r="D17" s="20"/>
      <c r="E17" s="20"/>
      <c r="F17" s="20"/>
    </row>
    <row r="18" spans="2:20" x14ac:dyDescent="0.3">
      <c r="B18" s="20">
        <f t="shared" si="0"/>
        <v>7</v>
      </c>
      <c r="C18" s="114" t="s">
        <v>228</v>
      </c>
      <c r="D18" s="20"/>
      <c r="E18" s="20"/>
      <c r="F18" s="20"/>
    </row>
    <row r="19" spans="2:20" x14ac:dyDescent="0.3">
      <c r="B19" s="20">
        <f t="shared" si="0"/>
        <v>8</v>
      </c>
      <c r="C19" s="114" t="s">
        <v>237</v>
      </c>
      <c r="D19" s="20"/>
      <c r="E19" s="20"/>
      <c r="F19" s="20"/>
    </row>
    <row r="20" spans="2:20" x14ac:dyDescent="0.3">
      <c r="B20" s="20">
        <f t="shared" si="0"/>
        <v>9</v>
      </c>
      <c r="C20" s="114" t="s">
        <v>107</v>
      </c>
      <c r="D20" s="20"/>
      <c r="E20" s="20"/>
      <c r="F20" s="20"/>
    </row>
    <row r="21" spans="2:20" x14ac:dyDescent="0.3">
      <c r="B21" s="20"/>
      <c r="C21" s="20"/>
      <c r="D21" s="20"/>
      <c r="E21" s="20"/>
      <c r="F21" s="20"/>
    </row>
    <row r="22" spans="2:20" x14ac:dyDescent="0.3">
      <c r="B22" s="20"/>
      <c r="C22" s="20"/>
      <c r="D22" s="20"/>
      <c r="E22" s="20"/>
      <c r="F22" s="20"/>
    </row>
    <row r="25" spans="2:20" ht="18" x14ac:dyDescent="0.35">
      <c r="T25" s="136"/>
    </row>
  </sheetData>
  <mergeCells count="2">
    <mergeCell ref="B11:F11"/>
    <mergeCell ref="J4:U5"/>
  </mergeCells>
  <hyperlinks>
    <hyperlink ref="C12" location="Dashboard!A1" display="Dashboard" xr:uid="{00000000-0004-0000-0000-000000000000}"/>
    <hyperlink ref="C13" location="IS!A1" display="Income Statement" xr:uid="{00000000-0004-0000-0000-000001000000}"/>
    <hyperlink ref="C14" location="BS!A1" display="Balance Sheet" xr:uid="{00000000-0004-0000-0000-000002000000}"/>
    <hyperlink ref="C15" location="CFS!A1" display="Cash Flow Statement" xr:uid="{00000000-0004-0000-0000-000003000000}"/>
    <hyperlink ref="C16" location="Assumptions!A1" display="Assumption Panel" xr:uid="{00000000-0004-0000-0000-000004000000}"/>
    <hyperlink ref="C17" location="Schedules!A1" display="Schedules" xr:uid="{00000000-0004-0000-0000-000005000000}"/>
    <hyperlink ref="C18" location="DCF!A1" display="DCF" xr:uid="{00000000-0004-0000-0000-000006000000}"/>
    <hyperlink ref="C19" location="'Relative Valuation'!A1" display="Relative Valuation" xr:uid="{00000000-0004-0000-0000-000007000000}"/>
    <hyperlink ref="C20" location="WACC!A1" display="WACC" xr:uid="{00000000-0004-0000-0000-000008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N27"/>
  <sheetViews>
    <sheetView showGridLines="0" workbookViewId="0">
      <selection activeCell="H1" sqref="H1"/>
    </sheetView>
  </sheetViews>
  <sheetFormatPr defaultRowHeight="14.4" x14ac:dyDescent="0.3"/>
  <cols>
    <col min="1" max="1" width="6" customWidth="1"/>
    <col min="2" max="2" width="30.6640625" customWidth="1"/>
    <col min="4" max="4" width="12.6640625" customWidth="1"/>
    <col min="5" max="5" width="13.5546875" customWidth="1"/>
    <col min="6" max="7" width="10.44140625" customWidth="1"/>
    <col min="8" max="8" width="11" customWidth="1"/>
    <col min="9" max="9" width="10.5546875" customWidth="1"/>
    <col min="11" max="11" width="12" customWidth="1"/>
    <col min="12" max="12" width="13.33203125" customWidth="1"/>
    <col min="13" max="13" width="10.109375" customWidth="1"/>
  </cols>
  <sheetData>
    <row r="1" spans="2:14" ht="20.399999999999999" x14ac:dyDescent="0.3">
      <c r="B1" s="48" t="s">
        <v>137</v>
      </c>
      <c r="C1" s="17"/>
      <c r="D1" s="17"/>
      <c r="E1" s="17"/>
      <c r="F1" s="17"/>
      <c r="G1" s="17"/>
      <c r="H1" s="17"/>
      <c r="I1" s="17"/>
      <c r="J1" s="17"/>
      <c r="K1" s="17"/>
      <c r="L1" s="17"/>
      <c r="M1" s="17"/>
      <c r="N1" s="17"/>
    </row>
    <row r="2" spans="2:14" x14ac:dyDescent="0.3">
      <c r="B2" s="5" t="s">
        <v>1</v>
      </c>
      <c r="C2" s="17"/>
      <c r="D2" s="17"/>
      <c r="E2" s="17"/>
      <c r="F2" s="17"/>
      <c r="G2" s="17"/>
      <c r="H2" s="17"/>
      <c r="I2" s="17"/>
      <c r="J2" s="17"/>
      <c r="K2" s="17"/>
      <c r="L2" s="17"/>
      <c r="M2" s="17"/>
      <c r="N2" s="17"/>
    </row>
    <row r="5" spans="2:14" x14ac:dyDescent="0.3">
      <c r="B5" s="232" t="s">
        <v>189</v>
      </c>
      <c r="C5" s="261" t="s">
        <v>190</v>
      </c>
      <c r="D5" s="261"/>
      <c r="E5" s="261"/>
      <c r="F5" s="233"/>
      <c r="G5" s="233" t="s">
        <v>191</v>
      </c>
      <c r="H5" s="234"/>
      <c r="I5" s="234"/>
      <c r="J5" s="262" t="s">
        <v>192</v>
      </c>
      <c r="K5" s="262"/>
      <c r="L5" s="262"/>
      <c r="M5" s="234"/>
    </row>
    <row r="6" spans="2:14" x14ac:dyDescent="0.3">
      <c r="B6" s="23" t="s">
        <v>193</v>
      </c>
      <c r="C6" s="21" t="s">
        <v>194</v>
      </c>
      <c r="D6" s="21" t="s">
        <v>195</v>
      </c>
      <c r="E6" s="21" t="s">
        <v>182</v>
      </c>
      <c r="F6" s="21"/>
      <c r="G6" s="21" t="s">
        <v>196</v>
      </c>
      <c r="H6" s="21" t="s">
        <v>11</v>
      </c>
      <c r="I6" s="21" t="s">
        <v>197</v>
      </c>
      <c r="J6" s="21"/>
      <c r="K6" s="21" t="s">
        <v>198</v>
      </c>
      <c r="L6" s="21" t="s">
        <v>199</v>
      </c>
      <c r="M6" s="21" t="s">
        <v>200</v>
      </c>
    </row>
    <row r="7" spans="2:14" x14ac:dyDescent="0.3">
      <c r="B7" s="63" t="s">
        <v>203</v>
      </c>
      <c r="C7" s="244">
        <v>115.3</v>
      </c>
      <c r="D7" s="244">
        <v>30045.5</v>
      </c>
      <c r="E7" s="244">
        <v>48990.8</v>
      </c>
      <c r="F7" s="244"/>
      <c r="G7" s="244">
        <v>45327.1</v>
      </c>
      <c r="H7" s="244">
        <v>5417.1</v>
      </c>
      <c r="I7" s="244">
        <v>3.58</v>
      </c>
      <c r="J7" s="244"/>
      <c r="K7" s="245">
        <f>$E7/G7</f>
        <v>1.0808280256182285</v>
      </c>
      <c r="L7" s="245">
        <f>$E7/H7</f>
        <v>9.0437318860644993</v>
      </c>
      <c r="M7" s="245">
        <f>C7/I7</f>
        <v>32.206703910614522</v>
      </c>
    </row>
    <row r="8" spans="2:14" x14ac:dyDescent="0.3">
      <c r="B8" s="63" t="s">
        <v>201</v>
      </c>
      <c r="C8" s="244">
        <v>142.05000000000001</v>
      </c>
      <c r="D8" s="244">
        <v>140353.70000000001</v>
      </c>
      <c r="E8" s="244">
        <v>152062.79999999999</v>
      </c>
      <c r="F8" s="244"/>
      <c r="G8" s="244">
        <v>59563.5</v>
      </c>
      <c r="H8" s="244">
        <v>11656.300000000001</v>
      </c>
      <c r="I8" s="244">
        <v>0.52</v>
      </c>
      <c r="J8" s="244"/>
      <c r="K8" s="245">
        <f t="shared" ref="K8:K10" si="0">$E8/G8</f>
        <v>2.5529527311188898</v>
      </c>
      <c r="L8" s="245">
        <f t="shared" ref="L8:L10" si="1">$E8/H8</f>
        <v>13.045546185324673</v>
      </c>
      <c r="M8" s="245">
        <v>22</v>
      </c>
    </row>
    <row r="9" spans="2:14" x14ac:dyDescent="0.3">
      <c r="B9" s="63" t="s">
        <v>204</v>
      </c>
      <c r="C9" s="244">
        <v>1983</v>
      </c>
      <c r="D9" s="244">
        <v>114413.3</v>
      </c>
      <c r="E9" s="244">
        <v>135055.5</v>
      </c>
      <c r="F9" s="244"/>
      <c r="G9" s="244">
        <v>57876.4</v>
      </c>
      <c r="H9" s="244">
        <v>9287.2000000000007</v>
      </c>
      <c r="I9" s="244">
        <v>60.88</v>
      </c>
      <c r="J9" s="244"/>
      <c r="K9" s="245">
        <f t="shared" si="0"/>
        <v>2.3335159063106898</v>
      </c>
      <c r="L9" s="245">
        <f t="shared" si="1"/>
        <v>14.542111723662675</v>
      </c>
      <c r="M9" s="245">
        <f t="shared" ref="M9:M10" si="2">C9/I9</f>
        <v>32.572273324572926</v>
      </c>
    </row>
    <row r="10" spans="2:14" x14ac:dyDescent="0.3">
      <c r="B10" s="63" t="s">
        <v>202</v>
      </c>
      <c r="C10" s="244">
        <v>1716</v>
      </c>
      <c r="D10" s="244">
        <v>1129514.7</v>
      </c>
      <c r="E10" s="244">
        <v>1169822.2</v>
      </c>
      <c r="F10" s="244"/>
      <c r="G10" s="244">
        <v>146441.9</v>
      </c>
      <c r="H10" s="244">
        <v>22234.400000000001</v>
      </c>
      <c r="I10" s="244">
        <v>13.75</v>
      </c>
      <c r="J10" s="244"/>
      <c r="K10" s="245">
        <f t="shared" si="0"/>
        <v>7.988302528169875</v>
      </c>
      <c r="L10" s="245">
        <f t="shared" si="1"/>
        <v>52.613166984492494</v>
      </c>
      <c r="M10" s="245">
        <f t="shared" si="2"/>
        <v>124.8</v>
      </c>
    </row>
    <row r="11" spans="2:14" x14ac:dyDescent="0.3">
      <c r="B11" s="63"/>
      <c r="C11" s="244"/>
      <c r="D11" s="244"/>
      <c r="E11" s="244"/>
      <c r="F11" s="244"/>
      <c r="G11" s="244"/>
      <c r="H11" s="244"/>
      <c r="I11" s="244"/>
      <c r="J11" s="244"/>
      <c r="K11" s="244"/>
      <c r="L11" s="244"/>
      <c r="M11" s="244"/>
    </row>
    <row r="12" spans="2:14" x14ac:dyDescent="0.3">
      <c r="B12" s="63"/>
      <c r="C12" s="63"/>
      <c r="D12" s="63"/>
      <c r="E12" s="63"/>
      <c r="F12" s="63"/>
      <c r="G12" s="63"/>
      <c r="H12" s="63"/>
      <c r="I12" s="63"/>
      <c r="J12" s="63"/>
      <c r="K12" s="63"/>
      <c r="L12" s="63"/>
      <c r="M12" s="63"/>
    </row>
    <row r="13" spans="2:14" x14ac:dyDescent="0.3">
      <c r="B13" s="63" t="s">
        <v>206</v>
      </c>
      <c r="C13" s="63"/>
      <c r="D13" s="63"/>
      <c r="E13" s="63"/>
      <c r="F13" s="63"/>
      <c r="G13" s="63"/>
      <c r="H13" s="63"/>
      <c r="I13" s="63"/>
      <c r="J13" s="63"/>
      <c r="K13" s="245">
        <f>MAX(K7:K10)</f>
        <v>7.988302528169875</v>
      </c>
      <c r="L13" s="245">
        <f t="shared" ref="L13:M13" si="3">MAX(L7:L10)</f>
        <v>52.613166984492494</v>
      </c>
      <c r="M13" s="245">
        <f t="shared" si="3"/>
        <v>124.8</v>
      </c>
    </row>
    <row r="14" spans="2:14" x14ac:dyDescent="0.3">
      <c r="B14" s="63" t="s">
        <v>207</v>
      </c>
      <c r="C14" s="63"/>
      <c r="D14" s="63"/>
      <c r="E14" s="63"/>
      <c r="F14" s="63"/>
      <c r="G14" s="63"/>
      <c r="H14" s="63"/>
      <c r="I14" s="63"/>
      <c r="J14" s="63"/>
      <c r="K14" s="245">
        <f>AVERAGE(K7:K10)</f>
        <v>3.4888997978044207</v>
      </c>
      <c r="L14" s="245">
        <f>AVERAGE(L7:L10)</f>
        <v>22.311139194886085</v>
      </c>
      <c r="M14" s="245">
        <f>AVERAGE(M7:M10)</f>
        <v>52.894744308796859</v>
      </c>
    </row>
    <row r="15" spans="2:14" x14ac:dyDescent="0.3">
      <c r="B15" s="63" t="s">
        <v>205</v>
      </c>
      <c r="C15" s="63"/>
      <c r="D15" s="63"/>
      <c r="E15" s="63"/>
      <c r="F15" s="63"/>
      <c r="G15" s="63"/>
      <c r="H15" s="63"/>
      <c r="I15" s="63"/>
      <c r="J15" s="63"/>
      <c r="K15" s="245">
        <f>MIN(K7:K10)</f>
        <v>1.0808280256182285</v>
      </c>
      <c r="L15" s="245">
        <f>MIN(L7:L10)</f>
        <v>9.0437318860644993</v>
      </c>
      <c r="M15" s="245">
        <f>MIN(M7:M10)</f>
        <v>22</v>
      </c>
    </row>
    <row r="16" spans="2:14" x14ac:dyDescent="0.3">
      <c r="B16" s="63" t="s">
        <v>208</v>
      </c>
      <c r="C16" s="63"/>
      <c r="D16" s="63"/>
      <c r="E16" s="63"/>
      <c r="F16" s="63"/>
      <c r="G16" s="63"/>
      <c r="H16" s="63"/>
      <c r="I16" s="63"/>
      <c r="J16" s="63"/>
      <c r="K16" s="245">
        <f>MEDIAN(K7:K10)</f>
        <v>2.44323431871479</v>
      </c>
      <c r="L16" s="245">
        <f t="shared" ref="L16:M16" si="4">MEDIAN(L7:L10)</f>
        <v>13.793828954493673</v>
      </c>
      <c r="M16" s="245">
        <f t="shared" si="4"/>
        <v>32.389488617593727</v>
      </c>
    </row>
    <row r="17" spans="2:13" x14ac:dyDescent="0.3">
      <c r="B17" s="63"/>
      <c r="C17" s="63"/>
      <c r="D17" s="63"/>
      <c r="E17" s="63"/>
      <c r="F17" s="63"/>
      <c r="G17" s="63"/>
      <c r="H17" s="63"/>
      <c r="I17" s="63"/>
      <c r="J17" s="63"/>
      <c r="K17" s="63"/>
      <c r="L17" s="63"/>
      <c r="M17" s="63"/>
    </row>
    <row r="18" spans="2:13" x14ac:dyDescent="0.3">
      <c r="B18" s="79" t="s">
        <v>209</v>
      </c>
      <c r="C18" s="79"/>
      <c r="D18" s="79"/>
      <c r="E18" s="17"/>
      <c r="F18" s="17"/>
      <c r="G18" s="79"/>
      <c r="H18" s="79"/>
      <c r="I18" s="79"/>
      <c r="J18" s="79"/>
      <c r="K18" s="79"/>
      <c r="L18" s="79"/>
      <c r="M18" s="79"/>
    </row>
    <row r="19" spans="2:13" x14ac:dyDescent="0.3">
      <c r="B19" s="83" t="s">
        <v>210</v>
      </c>
      <c r="C19" s="20"/>
      <c r="D19" s="21" t="s">
        <v>211</v>
      </c>
      <c r="E19" s="113">
        <f>IS!H23/DCF!D35</f>
        <v>0.67843406593406697</v>
      </c>
      <c r="F19" s="16"/>
      <c r="G19" s="16"/>
      <c r="H19" s="16" t="s">
        <v>229</v>
      </c>
    </row>
    <row r="20" spans="2:13" x14ac:dyDescent="0.3">
      <c r="B20" s="80" t="s">
        <v>206</v>
      </c>
      <c r="H20" s="81">
        <f>$E$19*M13</f>
        <v>84.668571428571553</v>
      </c>
    </row>
    <row r="21" spans="2:13" x14ac:dyDescent="0.3">
      <c r="B21" s="80" t="s">
        <v>207</v>
      </c>
      <c r="H21" s="81">
        <f>$E$19*M14</f>
        <v>35.885596447959905</v>
      </c>
    </row>
    <row r="22" spans="2:13" x14ac:dyDescent="0.3">
      <c r="B22" s="80" t="s">
        <v>205</v>
      </c>
      <c r="H22" s="81">
        <f>$E$19*M15</f>
        <v>14.925549450549473</v>
      </c>
    </row>
    <row r="24" spans="2:13" x14ac:dyDescent="0.3">
      <c r="B24" s="82" t="s">
        <v>212</v>
      </c>
      <c r="C24" s="20"/>
      <c r="D24" s="20"/>
      <c r="E24" s="21" t="s">
        <v>213</v>
      </c>
      <c r="F24" s="112">
        <f>IS!H14</f>
        <v>8269.9000000000051</v>
      </c>
      <c r="G24" s="16"/>
      <c r="H24" s="16" t="s">
        <v>229</v>
      </c>
    </row>
    <row r="25" spans="2:13" x14ac:dyDescent="0.3">
      <c r="B25" s="80" t="s">
        <v>206</v>
      </c>
      <c r="F25" s="78">
        <f>$F$24*L13</f>
        <v>435105.62964505475</v>
      </c>
      <c r="H25" s="25">
        <f>(F25-Schedules!$H$16+BS!$H$27)/BS!$H$35</f>
        <v>82.680892787491118</v>
      </c>
    </row>
    <row r="26" spans="2:13" x14ac:dyDescent="0.3">
      <c r="B26" s="80" t="s">
        <v>207</v>
      </c>
      <c r="F26" s="78">
        <f t="shared" ref="F26:F27" si="5">$F$24*L14</f>
        <v>184510.89002778856</v>
      </c>
      <c r="H26" s="25">
        <f>(F26-Schedules!$H$16+BS!$H$27)/BS!$H$35</f>
        <v>33.506100868875308</v>
      </c>
    </row>
    <row r="27" spans="2:13" x14ac:dyDescent="0.3">
      <c r="B27" s="80" t="s">
        <v>205</v>
      </c>
      <c r="F27" s="78">
        <f t="shared" si="5"/>
        <v>74790.758324564842</v>
      </c>
      <c r="H27" s="25">
        <f>(F27-Schedules!$H$16+BS!$H$27)/BS!$H$35</f>
        <v>11.97546277954569</v>
      </c>
    </row>
  </sheetData>
  <mergeCells count="2">
    <mergeCell ref="C5:E5"/>
    <mergeCell ref="J5:L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S26"/>
  <sheetViews>
    <sheetView showGridLines="0" workbookViewId="0">
      <selection activeCell="J1" sqref="J1"/>
    </sheetView>
  </sheetViews>
  <sheetFormatPr defaultRowHeight="14.4" x14ac:dyDescent="0.3"/>
  <cols>
    <col min="1" max="1" width="4.44140625" customWidth="1"/>
    <col min="10" max="10" width="14.109375" customWidth="1"/>
  </cols>
  <sheetData>
    <row r="1" spans="2:19" ht="18" x14ac:dyDescent="0.3">
      <c r="B1" s="53" t="s">
        <v>154</v>
      </c>
      <c r="C1" s="17"/>
      <c r="D1" s="17"/>
      <c r="E1" s="17"/>
      <c r="F1" s="17"/>
      <c r="G1" s="17"/>
      <c r="H1" s="17"/>
      <c r="I1" s="17"/>
      <c r="J1" s="17"/>
      <c r="K1" s="17"/>
      <c r="L1" s="17"/>
      <c r="M1" s="17"/>
      <c r="N1" s="17"/>
      <c r="O1" s="17"/>
      <c r="P1" s="17"/>
      <c r="Q1" s="17"/>
      <c r="R1" s="17"/>
      <c r="S1" s="17"/>
    </row>
    <row r="2" spans="2:19" x14ac:dyDescent="0.3">
      <c r="B2" s="5" t="s">
        <v>1</v>
      </c>
      <c r="C2" s="17"/>
      <c r="D2" s="17"/>
      <c r="E2" s="17"/>
      <c r="F2" s="17"/>
      <c r="G2" s="17"/>
      <c r="H2" s="17"/>
      <c r="I2" s="17"/>
      <c r="J2" s="17"/>
      <c r="K2" s="17"/>
      <c r="L2" s="17"/>
      <c r="M2" s="17"/>
      <c r="N2" s="17"/>
      <c r="O2" s="17"/>
      <c r="P2" s="17"/>
      <c r="Q2" s="17"/>
      <c r="R2" s="17"/>
      <c r="S2" s="17"/>
    </row>
    <row r="5" spans="2:19" x14ac:dyDescent="0.3">
      <c r="B5" s="21" t="s">
        <v>155</v>
      </c>
      <c r="C5" s="20"/>
      <c r="D5" s="20"/>
      <c r="E5" s="20"/>
      <c r="F5" s="20"/>
      <c r="G5" s="20"/>
      <c r="H5" s="20"/>
      <c r="I5" s="20"/>
      <c r="J5" s="20"/>
      <c r="K5" s="20"/>
    </row>
    <row r="6" spans="2:19" ht="11.25" customHeight="1" x14ac:dyDescent="0.3"/>
    <row r="7" spans="2:19" ht="15.6" x14ac:dyDescent="0.3">
      <c r="B7" s="54" t="s">
        <v>156</v>
      </c>
      <c r="C7" s="55"/>
      <c r="D7" s="55"/>
      <c r="E7" s="55"/>
      <c r="F7" s="55"/>
      <c r="G7" s="55"/>
      <c r="H7" s="56"/>
      <c r="I7" s="56"/>
      <c r="J7" s="56"/>
      <c r="K7" s="56"/>
    </row>
    <row r="9" spans="2:19" x14ac:dyDescent="0.3">
      <c r="B9" t="s">
        <v>157</v>
      </c>
      <c r="J9" s="34">
        <f>Schedules!I16/(Schedules!I16+BS!J37)</f>
        <v>0.29724479044993679</v>
      </c>
    </row>
    <row r="10" spans="2:19" x14ac:dyDescent="0.3">
      <c r="B10" t="s">
        <v>158</v>
      </c>
      <c r="J10" s="24">
        <f>1-J9</f>
        <v>0.70275520955006321</v>
      </c>
    </row>
    <row r="12" spans="2:19" ht="15.6" x14ac:dyDescent="0.3">
      <c r="B12" s="57" t="s">
        <v>159</v>
      </c>
      <c r="C12" s="55"/>
      <c r="D12" s="55"/>
      <c r="E12" s="55"/>
      <c r="F12" s="55"/>
      <c r="G12" s="55"/>
      <c r="H12" s="56"/>
      <c r="I12" s="56"/>
      <c r="J12" s="56"/>
      <c r="K12" s="56"/>
    </row>
    <row r="14" spans="2:19" x14ac:dyDescent="0.3">
      <c r="B14" t="s">
        <v>160</v>
      </c>
      <c r="J14" s="34">
        <f>Schedules!$I$19</f>
        <v>5.4777029479180082E-2</v>
      </c>
    </row>
    <row r="15" spans="2:19" x14ac:dyDescent="0.3">
      <c r="B15" t="s">
        <v>79</v>
      </c>
      <c r="J15" s="34">
        <f>Assumptions!J11</f>
        <v>0.26015818117238432</v>
      </c>
    </row>
    <row r="16" spans="2:19" x14ac:dyDescent="0.3">
      <c r="B16" s="58" t="s">
        <v>161</v>
      </c>
      <c r="C16" s="47"/>
      <c r="D16" s="47"/>
      <c r="E16" s="47"/>
      <c r="F16" s="47"/>
      <c r="G16" s="47"/>
      <c r="H16" s="47"/>
      <c r="I16" s="47"/>
      <c r="J16" s="59">
        <f>J14*(1-J15)</f>
        <v>4.0526337119850514E-2</v>
      </c>
      <c r="K16" s="47"/>
    </row>
    <row r="18" spans="2:11" ht="15.6" x14ac:dyDescent="0.3">
      <c r="B18" s="57" t="s">
        <v>162</v>
      </c>
      <c r="C18" s="55"/>
      <c r="D18" s="55"/>
      <c r="E18" s="55"/>
      <c r="F18" s="55"/>
      <c r="G18" s="55"/>
      <c r="H18" s="56"/>
      <c r="I18" s="56"/>
      <c r="J18" s="56"/>
      <c r="K18" s="56"/>
    </row>
    <row r="20" spans="2:11" ht="15.6" x14ac:dyDescent="0.3">
      <c r="B20" s="60" t="s">
        <v>163</v>
      </c>
      <c r="J20" s="34">
        <v>6.2440000000000002E-2</v>
      </c>
    </row>
    <row r="21" spans="2:11" ht="15.6" x14ac:dyDescent="0.3">
      <c r="B21" s="60" t="s">
        <v>164</v>
      </c>
      <c r="J21" s="65">
        <f>('Market Return'!P12-WACC!J20)</f>
        <v>7.1814615055446007E-2</v>
      </c>
    </row>
    <row r="22" spans="2:11" ht="15.6" x14ac:dyDescent="0.3">
      <c r="B22" s="60" t="s">
        <v>176</v>
      </c>
      <c r="J22" s="64">
        <v>2.1299999999999999E-2</v>
      </c>
    </row>
    <row r="23" spans="2:11" ht="15.6" x14ac:dyDescent="0.3">
      <c r="B23" s="60" t="s">
        <v>165</v>
      </c>
      <c r="J23" s="90">
        <v>0.59</v>
      </c>
    </row>
    <row r="24" spans="2:11" x14ac:dyDescent="0.3">
      <c r="B24" s="58" t="s">
        <v>162</v>
      </c>
      <c r="C24" s="47"/>
      <c r="D24" s="47"/>
      <c r="E24" s="47"/>
      <c r="F24" s="47"/>
      <c r="G24" s="47"/>
      <c r="H24" s="47"/>
      <c r="I24" s="47"/>
      <c r="J24" s="59">
        <f>J20+J22+(J21*J23)</f>
        <v>0.12611062288271316</v>
      </c>
      <c r="K24" s="47"/>
    </row>
    <row r="26" spans="2:11" ht="15.6" x14ac:dyDescent="0.3">
      <c r="B26" s="66" t="s">
        <v>107</v>
      </c>
      <c r="C26" s="29"/>
      <c r="D26" s="29"/>
      <c r="E26" s="29"/>
      <c r="F26" s="29"/>
      <c r="G26" s="29"/>
      <c r="H26" s="29"/>
      <c r="I26" s="29"/>
      <c r="J26" s="67">
        <f>J16*J9+(J24*J10)</f>
        <v>0.10067113979532355</v>
      </c>
      <c r="K26" s="2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S531"/>
  <sheetViews>
    <sheetView showGridLines="0" workbookViewId="0">
      <selection activeCell="C1" sqref="C1"/>
    </sheetView>
  </sheetViews>
  <sheetFormatPr defaultRowHeight="14.4" x14ac:dyDescent="0.3"/>
  <cols>
    <col min="1" max="1" width="3.6640625" customWidth="1"/>
    <col min="3" max="3" width="10.6640625" bestFit="1" customWidth="1"/>
    <col min="4" max="4" width="10.88671875" customWidth="1"/>
    <col min="5" max="5" width="10.5546875" customWidth="1"/>
    <col min="8" max="8" width="10.44140625" customWidth="1"/>
    <col min="9" max="10" width="10.5546875" customWidth="1"/>
    <col min="13" max="13" width="10.6640625" bestFit="1" customWidth="1"/>
  </cols>
  <sheetData>
    <row r="1" spans="2:19" ht="18" x14ac:dyDescent="0.3">
      <c r="B1" s="53" t="s">
        <v>166</v>
      </c>
      <c r="C1" s="17"/>
      <c r="D1" s="17"/>
      <c r="E1" s="17"/>
      <c r="F1" s="17"/>
      <c r="G1" s="17"/>
      <c r="H1" s="17"/>
      <c r="I1" s="17"/>
      <c r="J1" s="17"/>
      <c r="K1" s="17"/>
      <c r="L1" s="17"/>
      <c r="M1" s="17"/>
      <c r="N1" s="17"/>
      <c r="O1" s="17"/>
      <c r="P1" s="17"/>
      <c r="Q1" s="17"/>
      <c r="R1" s="17"/>
      <c r="S1" s="17"/>
    </row>
    <row r="2" spans="2:19" x14ac:dyDescent="0.3">
      <c r="B2" s="5" t="s">
        <v>1</v>
      </c>
      <c r="C2" s="17"/>
      <c r="D2" s="17"/>
      <c r="E2" s="17"/>
      <c r="F2" s="17"/>
      <c r="G2" s="17"/>
      <c r="H2" s="17"/>
      <c r="I2" s="17"/>
      <c r="J2" s="17"/>
      <c r="K2" s="17"/>
      <c r="L2" s="17"/>
      <c r="M2" s="17"/>
      <c r="N2" s="17"/>
      <c r="O2" s="17"/>
      <c r="P2" s="17"/>
      <c r="Q2" s="17"/>
      <c r="R2" s="17"/>
      <c r="S2" s="17"/>
    </row>
    <row r="5" spans="2:19" x14ac:dyDescent="0.3">
      <c r="C5" s="263" t="s">
        <v>171</v>
      </c>
      <c r="D5" s="263"/>
      <c r="E5" s="263"/>
      <c r="H5" s="263" t="s">
        <v>170</v>
      </c>
      <c r="I5" s="263"/>
      <c r="J5" s="263"/>
    </row>
    <row r="7" spans="2:19" x14ac:dyDescent="0.3">
      <c r="C7" s="63" t="s">
        <v>167</v>
      </c>
      <c r="D7" s="63" t="s">
        <v>168</v>
      </c>
      <c r="E7" s="63" t="s">
        <v>169</v>
      </c>
      <c r="H7" s="63" t="s">
        <v>167</v>
      </c>
      <c r="I7" s="63" t="s">
        <v>168</v>
      </c>
      <c r="J7" s="63" t="s">
        <v>169</v>
      </c>
    </row>
    <row r="8" spans="2:19" x14ac:dyDescent="0.3">
      <c r="M8" s="49" t="s">
        <v>172</v>
      </c>
      <c r="P8" s="25">
        <f>I531</f>
        <v>17176.699218999998</v>
      </c>
    </row>
    <row r="9" spans="2:19" x14ac:dyDescent="0.3">
      <c r="C9" s="49">
        <v>40882</v>
      </c>
      <c r="D9" s="25">
        <v>1.085</v>
      </c>
      <c r="H9" s="49">
        <v>40882</v>
      </c>
      <c r="I9" s="25">
        <v>4866.7001950000003</v>
      </c>
      <c r="M9" t="s">
        <v>173</v>
      </c>
      <c r="N9" s="25"/>
      <c r="P9" s="25">
        <f>I9</f>
        <v>4866.7001950000003</v>
      </c>
    </row>
    <row r="10" spans="2:19" x14ac:dyDescent="0.3">
      <c r="C10" s="49">
        <v>40889</v>
      </c>
      <c r="D10" s="25">
        <v>1.0049999999999999</v>
      </c>
      <c r="E10" s="64">
        <f>D10/D9-1</f>
        <v>-7.373271889400923E-2</v>
      </c>
      <c r="H10" s="49">
        <v>40889</v>
      </c>
      <c r="I10" s="25">
        <v>4651.6000979999999</v>
      </c>
      <c r="J10" s="64">
        <f>I10/I9-1</f>
        <v>-4.419834556913782E-2</v>
      </c>
      <c r="M10" s="49" t="s">
        <v>174</v>
      </c>
      <c r="N10" s="25"/>
      <c r="P10" s="61">
        <f>(H531-H9)/365</f>
        <v>10.010958904109589</v>
      </c>
    </row>
    <row r="11" spans="2:19" x14ac:dyDescent="0.3">
      <c r="C11" s="49">
        <v>40896</v>
      </c>
      <c r="D11" s="25">
        <v>1.0049999999999999</v>
      </c>
      <c r="E11" s="64">
        <f t="shared" ref="E11:E74" si="0">D11/D10-1</f>
        <v>0</v>
      </c>
      <c r="H11" s="49">
        <v>40896</v>
      </c>
      <c r="I11" s="25">
        <v>4714</v>
      </c>
      <c r="J11" s="64">
        <f t="shared" ref="J11:J74" si="1">I11/I10-1</f>
        <v>1.3414717663891462E-2</v>
      </c>
      <c r="M11" s="49"/>
      <c r="N11" s="25"/>
    </row>
    <row r="12" spans="2:19" x14ac:dyDescent="0.3">
      <c r="C12" s="49">
        <v>40903</v>
      </c>
      <c r="D12" s="25">
        <v>0.98</v>
      </c>
      <c r="E12" s="64">
        <f t="shared" si="0"/>
        <v>-2.487562189054715E-2</v>
      </c>
      <c r="H12" s="49">
        <v>40903</v>
      </c>
      <c r="I12" s="25">
        <v>4624.2998049999997</v>
      </c>
      <c r="J12" s="64">
        <f t="shared" si="1"/>
        <v>-1.9028467331353438E-2</v>
      </c>
      <c r="M12" s="49" t="s">
        <v>175</v>
      </c>
      <c r="N12" s="25"/>
      <c r="P12" s="64">
        <f>(P8/P9)^(1/P10)-1</f>
        <v>0.134254615055446</v>
      </c>
    </row>
    <row r="13" spans="2:19" x14ac:dyDescent="0.3">
      <c r="C13" s="49">
        <v>40910</v>
      </c>
      <c r="D13" s="25">
        <v>1.0149999999999999</v>
      </c>
      <c r="E13" s="64">
        <f t="shared" si="0"/>
        <v>3.5714285714285587E-2</v>
      </c>
      <c r="H13" s="49">
        <v>40910</v>
      </c>
      <c r="I13" s="25">
        <v>4754.1000979999999</v>
      </c>
      <c r="J13" s="64">
        <f t="shared" si="1"/>
        <v>2.8069177707650939E-2</v>
      </c>
      <c r="M13" s="49"/>
      <c r="N13" s="25"/>
    </row>
    <row r="14" spans="2:19" x14ac:dyDescent="0.3">
      <c r="C14" s="49">
        <v>40917</v>
      </c>
      <c r="D14" s="25">
        <v>1.1100000000000001</v>
      </c>
      <c r="E14" s="64">
        <f t="shared" si="0"/>
        <v>9.3596059113300711E-2</v>
      </c>
      <c r="H14" s="49">
        <v>40917</v>
      </c>
      <c r="I14" s="25">
        <v>4866</v>
      </c>
      <c r="J14" s="64">
        <f t="shared" si="1"/>
        <v>2.353755699150617E-2</v>
      </c>
      <c r="M14" s="49"/>
      <c r="N14" s="25"/>
    </row>
    <row r="15" spans="2:19" x14ac:dyDescent="0.3">
      <c r="C15" s="49">
        <v>40924</v>
      </c>
      <c r="D15" s="25">
        <v>1.0900000000000001</v>
      </c>
      <c r="E15" s="64">
        <f t="shared" si="0"/>
        <v>-1.8018018018018056E-2</v>
      </c>
      <c r="H15" s="49">
        <v>40924</v>
      </c>
      <c r="I15" s="25">
        <v>5048.6000979999999</v>
      </c>
      <c r="J15" s="64">
        <f t="shared" si="1"/>
        <v>3.7525708590217866E-2</v>
      </c>
      <c r="M15" s="49"/>
      <c r="N15" s="25"/>
    </row>
    <row r="16" spans="2:19" x14ac:dyDescent="0.3">
      <c r="C16" s="49">
        <v>40931</v>
      </c>
      <c r="D16" s="25">
        <v>1.125</v>
      </c>
      <c r="E16" s="64">
        <f t="shared" si="0"/>
        <v>3.2110091743119185E-2</v>
      </c>
      <c r="H16" s="49">
        <v>40931</v>
      </c>
      <c r="I16" s="25">
        <v>5204.7001950000003</v>
      </c>
      <c r="J16" s="64">
        <f t="shared" si="1"/>
        <v>3.091948143443557E-2</v>
      </c>
      <c r="M16" s="49"/>
      <c r="N16" s="25"/>
    </row>
    <row r="17" spans="3:14" x14ac:dyDescent="0.3">
      <c r="C17" s="49">
        <v>40938</v>
      </c>
      <c r="D17" s="25">
        <v>1.1200000000000001</v>
      </c>
      <c r="E17" s="64">
        <f t="shared" si="0"/>
        <v>-4.444444444444362E-3</v>
      </c>
      <c r="H17" s="49">
        <v>40938</v>
      </c>
      <c r="I17" s="25">
        <v>5325.8500979999999</v>
      </c>
      <c r="J17" s="64">
        <f t="shared" si="1"/>
        <v>2.3277018552650741E-2</v>
      </c>
      <c r="M17" s="49"/>
      <c r="N17" s="25"/>
    </row>
    <row r="18" spans="3:14" x14ac:dyDescent="0.3">
      <c r="C18" s="49">
        <v>40945</v>
      </c>
      <c r="D18" s="25">
        <v>1.155</v>
      </c>
      <c r="E18" s="64">
        <f t="shared" si="0"/>
        <v>3.125E-2</v>
      </c>
      <c r="H18" s="49">
        <v>40945</v>
      </c>
      <c r="I18" s="25">
        <v>5381.6000979999999</v>
      </c>
      <c r="J18" s="64">
        <f t="shared" si="1"/>
        <v>1.0467812457007675E-2</v>
      </c>
      <c r="M18" s="49"/>
      <c r="N18" s="25"/>
    </row>
    <row r="19" spans="3:14" x14ac:dyDescent="0.3">
      <c r="C19" s="49">
        <v>40952</v>
      </c>
      <c r="D19" s="25">
        <v>1.175</v>
      </c>
      <c r="E19" s="64">
        <f t="shared" si="0"/>
        <v>1.7316017316017396E-2</v>
      </c>
      <c r="H19" s="49">
        <v>40952</v>
      </c>
      <c r="I19" s="25">
        <v>5564.2998049999997</v>
      </c>
      <c r="J19" s="64">
        <f t="shared" si="1"/>
        <v>3.3948956383417883E-2</v>
      </c>
      <c r="M19" s="49"/>
      <c r="N19" s="25"/>
    </row>
    <row r="20" spans="3:14" x14ac:dyDescent="0.3">
      <c r="C20" s="49">
        <v>40959</v>
      </c>
      <c r="D20" s="25">
        <v>1.1000000000000001</v>
      </c>
      <c r="E20" s="64">
        <f t="shared" si="0"/>
        <v>-6.3829787234042534E-2</v>
      </c>
      <c r="H20" s="49">
        <v>40959</v>
      </c>
      <c r="I20" s="25">
        <v>5429.2998049999997</v>
      </c>
      <c r="J20" s="64">
        <f t="shared" si="1"/>
        <v>-2.4261812758308077E-2</v>
      </c>
      <c r="M20" s="49"/>
      <c r="N20" s="25"/>
    </row>
    <row r="21" spans="3:14" x14ac:dyDescent="0.3">
      <c r="C21" s="49">
        <v>40966</v>
      </c>
      <c r="D21" s="25">
        <v>1.115</v>
      </c>
      <c r="E21" s="64">
        <f t="shared" si="0"/>
        <v>1.3636363636363447E-2</v>
      </c>
      <c r="H21" s="49">
        <v>40966</v>
      </c>
      <c r="I21" s="25">
        <v>5359.3500979999999</v>
      </c>
      <c r="J21" s="64">
        <f t="shared" si="1"/>
        <v>-1.2883743670883852E-2</v>
      </c>
      <c r="M21" s="49"/>
      <c r="N21" s="25"/>
    </row>
    <row r="22" spans="3:14" x14ac:dyDescent="0.3">
      <c r="C22" s="49">
        <v>40973</v>
      </c>
      <c r="D22" s="25">
        <v>1.075</v>
      </c>
      <c r="E22" s="64">
        <f t="shared" si="0"/>
        <v>-3.5874439461883401E-2</v>
      </c>
      <c r="H22" s="49">
        <v>40973</v>
      </c>
      <c r="I22" s="25">
        <v>5333.5498049999997</v>
      </c>
      <c r="J22" s="64">
        <f t="shared" si="1"/>
        <v>-4.814071207930315E-3</v>
      </c>
      <c r="M22" s="49"/>
      <c r="N22" s="25"/>
    </row>
    <row r="23" spans="3:14" x14ac:dyDescent="0.3">
      <c r="C23" s="49">
        <v>40980</v>
      </c>
      <c r="D23" s="25">
        <v>1.06</v>
      </c>
      <c r="E23" s="64">
        <f t="shared" si="0"/>
        <v>-1.3953488372092981E-2</v>
      </c>
      <c r="H23" s="49">
        <v>40980</v>
      </c>
      <c r="I23" s="25">
        <v>5317.8999020000001</v>
      </c>
      <c r="J23" s="64">
        <f t="shared" si="1"/>
        <v>-2.9342377163757982E-3</v>
      </c>
      <c r="M23" s="49"/>
      <c r="N23" s="25"/>
    </row>
    <row r="24" spans="3:14" x14ac:dyDescent="0.3">
      <c r="C24" s="49">
        <v>40987</v>
      </c>
      <c r="D24" s="25">
        <v>1.0449999999999999</v>
      </c>
      <c r="E24" s="64">
        <f t="shared" si="0"/>
        <v>-1.4150943396226578E-2</v>
      </c>
      <c r="H24" s="49">
        <v>40987</v>
      </c>
      <c r="I24" s="25">
        <v>5278.2001950000003</v>
      </c>
      <c r="J24" s="64">
        <f t="shared" si="1"/>
        <v>-7.4652979054887769E-3</v>
      </c>
      <c r="M24" s="49"/>
      <c r="N24" s="25"/>
    </row>
    <row r="25" spans="3:14" x14ac:dyDescent="0.3">
      <c r="C25" s="49">
        <v>40994</v>
      </c>
      <c r="D25" s="25">
        <v>1.075</v>
      </c>
      <c r="E25" s="64">
        <f t="shared" si="0"/>
        <v>2.8708133971291794E-2</v>
      </c>
      <c r="H25" s="49">
        <v>40994</v>
      </c>
      <c r="I25" s="25">
        <v>5295.5498049999997</v>
      </c>
      <c r="J25" s="64">
        <f t="shared" si="1"/>
        <v>3.2870314423532054E-3</v>
      </c>
      <c r="M25" s="49"/>
      <c r="N25" s="25"/>
    </row>
    <row r="26" spans="3:14" x14ac:dyDescent="0.3">
      <c r="C26" s="49">
        <v>41001</v>
      </c>
      <c r="D26" s="25">
        <v>1.22</v>
      </c>
      <c r="E26" s="64">
        <f t="shared" si="0"/>
        <v>0.13488372093023249</v>
      </c>
      <c r="H26" s="49">
        <v>41001</v>
      </c>
      <c r="I26" s="25">
        <v>5322.8999020000001</v>
      </c>
      <c r="J26" s="64">
        <f t="shared" si="1"/>
        <v>5.1647322765573378E-3</v>
      </c>
      <c r="M26" s="49"/>
      <c r="N26" s="25"/>
    </row>
    <row r="27" spans="3:14" x14ac:dyDescent="0.3">
      <c r="C27" s="49">
        <v>41008</v>
      </c>
      <c r="D27" s="25">
        <v>1.08</v>
      </c>
      <c r="E27" s="64">
        <f t="shared" si="0"/>
        <v>-0.11475409836065564</v>
      </c>
      <c r="H27" s="49">
        <v>41008</v>
      </c>
      <c r="I27" s="25">
        <v>5207.4501950000003</v>
      </c>
      <c r="J27" s="64">
        <f t="shared" si="1"/>
        <v>-2.1689250056462828E-2</v>
      </c>
      <c r="M27" s="49"/>
      <c r="N27" s="25"/>
    </row>
    <row r="28" spans="3:14" x14ac:dyDescent="0.3">
      <c r="C28" s="49">
        <v>41015</v>
      </c>
      <c r="D28" s="25">
        <v>1.0649999999999999</v>
      </c>
      <c r="E28" s="64">
        <f t="shared" si="0"/>
        <v>-1.3888888888888951E-2</v>
      </c>
      <c r="H28" s="49">
        <v>41015</v>
      </c>
      <c r="I28" s="25">
        <v>5290.8500979999999</v>
      </c>
      <c r="J28" s="64">
        <f t="shared" si="1"/>
        <v>1.6015497004671753E-2</v>
      </c>
      <c r="M28" s="49"/>
      <c r="N28" s="25"/>
    </row>
    <row r="29" spans="3:14" x14ac:dyDescent="0.3">
      <c r="C29" s="49">
        <v>41022</v>
      </c>
      <c r="D29" s="25">
        <v>1.06</v>
      </c>
      <c r="E29" s="64">
        <f t="shared" si="0"/>
        <v>-4.6948356807510194E-3</v>
      </c>
      <c r="H29" s="49">
        <v>41022</v>
      </c>
      <c r="I29" s="25">
        <v>5190.6000979999999</v>
      </c>
      <c r="J29" s="64">
        <f t="shared" si="1"/>
        <v>-1.8947805767148052E-2</v>
      </c>
      <c r="M29" s="49"/>
      <c r="N29" s="25"/>
    </row>
    <row r="30" spans="3:14" x14ac:dyDescent="0.3">
      <c r="C30" s="49">
        <v>41029</v>
      </c>
      <c r="D30" s="25">
        <v>1.0249999999999999</v>
      </c>
      <c r="E30" s="64">
        <f t="shared" si="0"/>
        <v>-3.3018867924528461E-2</v>
      </c>
      <c r="H30" s="49">
        <v>41029</v>
      </c>
      <c r="I30" s="25">
        <v>5086.8500979999999</v>
      </c>
      <c r="J30" s="64">
        <f t="shared" si="1"/>
        <v>-1.9988054953410161E-2</v>
      </c>
      <c r="M30" s="49"/>
      <c r="N30" s="25"/>
    </row>
    <row r="31" spans="3:14" x14ac:dyDescent="0.3">
      <c r="C31" s="49">
        <v>41036</v>
      </c>
      <c r="D31" s="25">
        <v>0.995</v>
      </c>
      <c r="E31" s="64">
        <f t="shared" si="0"/>
        <v>-2.9268292682926744E-2</v>
      </c>
      <c r="H31" s="49">
        <v>41036</v>
      </c>
      <c r="I31" s="25">
        <v>4928.8999020000001</v>
      </c>
      <c r="J31" s="64">
        <f t="shared" si="1"/>
        <v>-3.1050688138441696E-2</v>
      </c>
      <c r="M31" s="49"/>
      <c r="N31" s="25"/>
    </row>
    <row r="32" spans="3:14" x14ac:dyDescent="0.3">
      <c r="C32" s="49">
        <v>41043</v>
      </c>
      <c r="D32" s="25">
        <v>1</v>
      </c>
      <c r="E32" s="64">
        <f t="shared" si="0"/>
        <v>5.0251256281406143E-3</v>
      </c>
      <c r="H32" s="49">
        <v>41043</v>
      </c>
      <c r="I32" s="25">
        <v>4891.4501950000003</v>
      </c>
      <c r="J32" s="64">
        <f t="shared" si="1"/>
        <v>-7.5979848941147843E-3</v>
      </c>
      <c r="M32" s="49"/>
      <c r="N32" s="25"/>
    </row>
    <row r="33" spans="3:14" x14ac:dyDescent="0.3">
      <c r="C33" s="49">
        <v>41050</v>
      </c>
      <c r="D33" s="25">
        <v>1.0449999999999999</v>
      </c>
      <c r="E33" s="64">
        <f t="shared" si="0"/>
        <v>4.4999999999999929E-2</v>
      </c>
      <c r="H33" s="49">
        <v>41050</v>
      </c>
      <c r="I33" s="25">
        <v>4920.3999020000001</v>
      </c>
      <c r="J33" s="64">
        <f t="shared" si="1"/>
        <v>5.9184302907944186E-3</v>
      </c>
      <c r="M33" s="49"/>
      <c r="N33" s="25"/>
    </row>
    <row r="34" spans="3:14" x14ac:dyDescent="0.3">
      <c r="C34" s="49">
        <v>41057</v>
      </c>
      <c r="D34" s="25">
        <v>0.96</v>
      </c>
      <c r="E34" s="64">
        <f t="shared" si="0"/>
        <v>-8.1339712918660267E-2</v>
      </c>
      <c r="H34" s="49">
        <v>41057</v>
      </c>
      <c r="I34" s="25">
        <v>4841.6000979999999</v>
      </c>
      <c r="J34" s="64">
        <f t="shared" si="1"/>
        <v>-1.6014918618295737E-2</v>
      </c>
      <c r="M34" s="49"/>
      <c r="N34" s="25"/>
    </row>
    <row r="35" spans="3:14" x14ac:dyDescent="0.3">
      <c r="C35" s="49">
        <v>41064</v>
      </c>
      <c r="D35" s="25">
        <v>0.96499999999999997</v>
      </c>
      <c r="E35" s="64">
        <f t="shared" si="0"/>
        <v>5.2083333333332593E-3</v>
      </c>
      <c r="H35" s="49">
        <v>41064</v>
      </c>
      <c r="I35" s="25">
        <v>5068.3500979999999</v>
      </c>
      <c r="J35" s="64">
        <f t="shared" si="1"/>
        <v>4.6833690393733196E-2</v>
      </c>
      <c r="M35" s="49"/>
      <c r="N35" s="25"/>
    </row>
    <row r="36" spans="3:14" x14ac:dyDescent="0.3">
      <c r="C36" s="49">
        <v>41071</v>
      </c>
      <c r="D36" s="25">
        <v>0.96</v>
      </c>
      <c r="E36" s="64">
        <f t="shared" si="0"/>
        <v>-5.1813471502590858E-3</v>
      </c>
      <c r="H36" s="49">
        <v>41071</v>
      </c>
      <c r="I36" s="25">
        <v>5139.0498049999997</v>
      </c>
      <c r="J36" s="64">
        <f t="shared" si="1"/>
        <v>1.3949254813296896E-2</v>
      </c>
      <c r="M36" s="49"/>
      <c r="N36" s="25"/>
    </row>
    <row r="37" spans="3:14" x14ac:dyDescent="0.3">
      <c r="C37" s="49">
        <v>41078</v>
      </c>
      <c r="D37" s="25">
        <v>0.96</v>
      </c>
      <c r="E37" s="64">
        <f t="shared" si="0"/>
        <v>0</v>
      </c>
      <c r="H37" s="49">
        <v>41078</v>
      </c>
      <c r="I37" s="25">
        <v>5146.0498049999997</v>
      </c>
      <c r="J37" s="64">
        <f t="shared" si="1"/>
        <v>1.3621195095616656E-3</v>
      </c>
      <c r="M37" s="49"/>
      <c r="N37" s="25"/>
    </row>
    <row r="38" spans="3:14" x14ac:dyDescent="0.3">
      <c r="C38" s="49">
        <v>41085</v>
      </c>
      <c r="D38" s="25">
        <v>0.98</v>
      </c>
      <c r="E38" s="64">
        <f t="shared" si="0"/>
        <v>2.0833333333333259E-2</v>
      </c>
      <c r="H38" s="49">
        <v>41085</v>
      </c>
      <c r="I38" s="25">
        <v>5278.8999020000001</v>
      </c>
      <c r="J38" s="64">
        <f t="shared" si="1"/>
        <v>2.5815936890257296E-2</v>
      </c>
      <c r="M38" s="49"/>
      <c r="N38" s="25"/>
    </row>
    <row r="39" spans="3:14" x14ac:dyDescent="0.3">
      <c r="C39" s="49">
        <v>41092</v>
      </c>
      <c r="D39" s="25">
        <v>1.01</v>
      </c>
      <c r="E39" s="64">
        <f t="shared" si="0"/>
        <v>3.0612244897959107E-2</v>
      </c>
      <c r="H39" s="49">
        <v>41092</v>
      </c>
      <c r="I39" s="25">
        <v>5316.9501950000003</v>
      </c>
      <c r="J39" s="64">
        <f t="shared" si="1"/>
        <v>7.2079966861247069E-3</v>
      </c>
      <c r="M39" s="49"/>
      <c r="N39" s="25"/>
    </row>
    <row r="40" spans="3:14" x14ac:dyDescent="0.3">
      <c r="C40" s="49">
        <v>41099</v>
      </c>
      <c r="D40" s="25">
        <v>0.97</v>
      </c>
      <c r="E40" s="64">
        <f t="shared" si="0"/>
        <v>-3.9603960396039639E-2</v>
      </c>
      <c r="H40" s="49">
        <v>41099</v>
      </c>
      <c r="I40" s="25">
        <v>5227.25</v>
      </c>
      <c r="J40" s="64">
        <f t="shared" si="1"/>
        <v>-1.6870610351842896E-2</v>
      </c>
      <c r="M40" s="49"/>
      <c r="N40" s="25"/>
    </row>
    <row r="41" spans="3:14" x14ac:dyDescent="0.3">
      <c r="C41" s="49">
        <v>41106</v>
      </c>
      <c r="D41" s="25">
        <v>0.94</v>
      </c>
      <c r="E41" s="64">
        <f t="shared" si="0"/>
        <v>-3.0927835051546393E-2</v>
      </c>
      <c r="H41" s="49">
        <v>41106</v>
      </c>
      <c r="I41" s="25">
        <v>5205.1000979999999</v>
      </c>
      <c r="J41" s="64">
        <f t="shared" si="1"/>
        <v>-4.2373909799607867E-3</v>
      </c>
      <c r="M41" s="49"/>
      <c r="N41" s="25"/>
    </row>
    <row r="42" spans="3:14" x14ac:dyDescent="0.3">
      <c r="C42" s="49">
        <v>41113</v>
      </c>
      <c r="D42" s="25">
        <v>0.92</v>
      </c>
      <c r="E42" s="64">
        <f t="shared" si="0"/>
        <v>-2.1276595744680771E-2</v>
      </c>
      <c r="H42" s="49">
        <v>41113</v>
      </c>
      <c r="I42" s="25">
        <v>5099.8500979999999</v>
      </c>
      <c r="J42" s="64">
        <f t="shared" si="1"/>
        <v>-2.0220552538546044E-2</v>
      </c>
      <c r="M42" s="49"/>
      <c r="N42" s="25"/>
    </row>
    <row r="43" spans="3:14" x14ac:dyDescent="0.3">
      <c r="C43" s="49">
        <v>41120</v>
      </c>
      <c r="D43" s="25">
        <v>0.91500000000000004</v>
      </c>
      <c r="E43" s="64">
        <f t="shared" si="0"/>
        <v>-5.4347826086956763E-3</v>
      </c>
      <c r="H43" s="49">
        <v>41120</v>
      </c>
      <c r="I43" s="25">
        <v>5215.7001950000003</v>
      </c>
      <c r="J43" s="64">
        <f t="shared" si="1"/>
        <v>2.2716372986224309E-2</v>
      </c>
      <c r="M43" s="49"/>
      <c r="N43" s="25"/>
    </row>
    <row r="44" spans="3:14" x14ac:dyDescent="0.3">
      <c r="C44" s="49">
        <v>41127</v>
      </c>
      <c r="D44" s="25">
        <v>0.92</v>
      </c>
      <c r="E44" s="64">
        <f t="shared" si="0"/>
        <v>5.464480874316946E-3</v>
      </c>
      <c r="H44" s="49">
        <v>41127</v>
      </c>
      <c r="I44" s="25">
        <v>5320.3999020000001</v>
      </c>
      <c r="J44" s="64">
        <f t="shared" si="1"/>
        <v>2.0073950396989781E-2</v>
      </c>
      <c r="M44" s="49"/>
      <c r="N44" s="25"/>
    </row>
    <row r="45" spans="3:14" x14ac:dyDescent="0.3">
      <c r="C45" s="49">
        <v>41134</v>
      </c>
      <c r="D45" s="25">
        <v>0.9</v>
      </c>
      <c r="E45" s="64">
        <f t="shared" si="0"/>
        <v>-2.1739130434782594E-2</v>
      </c>
      <c r="H45" s="49">
        <v>41134</v>
      </c>
      <c r="I45" s="25">
        <v>5366.2998049999997</v>
      </c>
      <c r="J45" s="64">
        <f t="shared" si="1"/>
        <v>8.6271528166042E-3</v>
      </c>
      <c r="M45" s="49"/>
      <c r="N45" s="25"/>
    </row>
    <row r="46" spans="3:14" x14ac:dyDescent="0.3">
      <c r="C46" s="49">
        <v>41141</v>
      </c>
      <c r="D46" s="25">
        <v>0.93</v>
      </c>
      <c r="E46" s="64">
        <f t="shared" si="0"/>
        <v>3.3333333333333437E-2</v>
      </c>
      <c r="H46" s="49">
        <v>41141</v>
      </c>
      <c r="I46" s="25">
        <v>5386.7001950000003</v>
      </c>
      <c r="J46" s="64">
        <f t="shared" si="1"/>
        <v>3.8015747798869626E-3</v>
      </c>
      <c r="M46" s="49"/>
      <c r="N46" s="25"/>
    </row>
    <row r="47" spans="3:14" x14ac:dyDescent="0.3">
      <c r="C47" s="49">
        <v>41148</v>
      </c>
      <c r="D47" s="25">
        <v>0.875</v>
      </c>
      <c r="E47" s="64">
        <f t="shared" si="0"/>
        <v>-5.9139784946236618E-2</v>
      </c>
      <c r="H47" s="49">
        <v>41148</v>
      </c>
      <c r="I47" s="25">
        <v>5258.5</v>
      </c>
      <c r="J47" s="64">
        <f t="shared" si="1"/>
        <v>-2.3799393015968673E-2</v>
      </c>
      <c r="M47" s="49"/>
      <c r="N47" s="25"/>
    </row>
    <row r="48" spans="3:14" x14ac:dyDescent="0.3">
      <c r="C48" s="49">
        <v>41155</v>
      </c>
      <c r="D48" s="25">
        <v>0.88</v>
      </c>
      <c r="E48" s="64">
        <f t="shared" si="0"/>
        <v>5.7142857142857828E-3</v>
      </c>
      <c r="H48" s="49">
        <v>41155</v>
      </c>
      <c r="I48" s="25">
        <v>5342.1000979999999</v>
      </c>
      <c r="J48" s="64">
        <f t="shared" si="1"/>
        <v>1.5898088428258905E-2</v>
      </c>
      <c r="M48" s="49"/>
      <c r="N48" s="25"/>
    </row>
    <row r="49" spans="3:14" x14ac:dyDescent="0.3">
      <c r="C49" s="49">
        <v>41162</v>
      </c>
      <c r="D49" s="25">
        <v>0.86</v>
      </c>
      <c r="E49" s="64">
        <f t="shared" si="0"/>
        <v>-2.2727272727272707E-2</v>
      </c>
      <c r="H49" s="49">
        <v>41162</v>
      </c>
      <c r="I49" s="25">
        <v>5577.6499020000001</v>
      </c>
      <c r="J49" s="64">
        <f t="shared" si="1"/>
        <v>4.4093109391227348E-2</v>
      </c>
      <c r="M49" s="49"/>
      <c r="N49" s="25"/>
    </row>
    <row r="50" spans="3:14" x14ac:dyDescent="0.3">
      <c r="C50" s="49">
        <v>41169</v>
      </c>
      <c r="D50" s="25">
        <v>0.92500000000000004</v>
      </c>
      <c r="E50" s="64">
        <f t="shared" si="0"/>
        <v>7.5581395348837344E-2</v>
      </c>
      <c r="H50" s="49">
        <v>41169</v>
      </c>
      <c r="I50" s="25">
        <v>5691.1499020000001</v>
      </c>
      <c r="J50" s="64">
        <f t="shared" si="1"/>
        <v>2.034907209921899E-2</v>
      </c>
      <c r="M50" s="49"/>
      <c r="N50" s="25"/>
    </row>
    <row r="51" spans="3:14" x14ac:dyDescent="0.3">
      <c r="C51" s="49">
        <v>41176</v>
      </c>
      <c r="D51" s="25">
        <v>0.88500000000000001</v>
      </c>
      <c r="E51" s="64">
        <f t="shared" si="0"/>
        <v>-4.3243243243243246E-2</v>
      </c>
      <c r="H51" s="49">
        <v>41176</v>
      </c>
      <c r="I51" s="25">
        <v>5703.2998049999997</v>
      </c>
      <c r="J51" s="64">
        <f t="shared" si="1"/>
        <v>2.1348766434230448E-3</v>
      </c>
      <c r="M51" s="49"/>
      <c r="N51" s="25"/>
    </row>
    <row r="52" spans="3:14" x14ac:dyDescent="0.3">
      <c r="C52" s="49">
        <v>41183</v>
      </c>
      <c r="D52" s="25">
        <v>0.91</v>
      </c>
      <c r="E52" s="64">
        <f t="shared" si="0"/>
        <v>2.8248587570621542E-2</v>
      </c>
      <c r="H52" s="49">
        <v>41183</v>
      </c>
      <c r="I52" s="25">
        <v>5746.9501950000003</v>
      </c>
      <c r="J52" s="64">
        <f t="shared" si="1"/>
        <v>7.6535324272684058E-3</v>
      </c>
      <c r="M52" s="49"/>
      <c r="N52" s="25"/>
    </row>
    <row r="53" spans="3:14" x14ac:dyDescent="0.3">
      <c r="C53" s="49">
        <v>41190</v>
      </c>
      <c r="D53" s="25">
        <v>0.89</v>
      </c>
      <c r="E53" s="64">
        <f t="shared" si="0"/>
        <v>-2.1978021978022011E-2</v>
      </c>
      <c r="H53" s="49">
        <v>41190</v>
      </c>
      <c r="I53" s="25">
        <v>5676.0498049999997</v>
      </c>
      <c r="J53" s="64">
        <f t="shared" si="1"/>
        <v>-1.2337046188722112E-2</v>
      </c>
      <c r="M53" s="49"/>
      <c r="N53" s="25"/>
    </row>
    <row r="54" spans="3:14" x14ac:dyDescent="0.3">
      <c r="C54" s="49">
        <v>41197</v>
      </c>
      <c r="D54" s="25">
        <v>0.89500000000000002</v>
      </c>
      <c r="E54" s="64">
        <f t="shared" si="0"/>
        <v>5.6179775280897903E-3</v>
      </c>
      <c r="H54" s="49">
        <v>41197</v>
      </c>
      <c r="I54" s="25">
        <v>5684.25</v>
      </c>
      <c r="J54" s="64">
        <f t="shared" si="1"/>
        <v>1.4447010300679963E-3</v>
      </c>
      <c r="M54" s="49"/>
      <c r="N54" s="25"/>
    </row>
    <row r="55" spans="3:14" x14ac:dyDescent="0.3">
      <c r="C55" s="49">
        <v>41204</v>
      </c>
      <c r="D55" s="25">
        <v>0.89500000000000002</v>
      </c>
      <c r="E55" s="64">
        <f t="shared" si="0"/>
        <v>0</v>
      </c>
      <c r="H55" s="49">
        <v>41204</v>
      </c>
      <c r="I55" s="25">
        <v>5664.2998049999997</v>
      </c>
      <c r="J55" s="64">
        <f t="shared" si="1"/>
        <v>-3.5097321546379012E-3</v>
      </c>
      <c r="M55" s="49"/>
      <c r="N55" s="25"/>
    </row>
    <row r="56" spans="3:14" x14ac:dyDescent="0.3">
      <c r="C56" s="49">
        <v>41211</v>
      </c>
      <c r="D56" s="25">
        <v>0.88500000000000001</v>
      </c>
      <c r="E56" s="64">
        <f t="shared" si="0"/>
        <v>-1.1173184357541888E-2</v>
      </c>
      <c r="H56" s="49">
        <v>41211</v>
      </c>
      <c r="I56" s="25">
        <v>5697.7001950000003</v>
      </c>
      <c r="J56" s="64">
        <f t="shared" si="1"/>
        <v>5.8966493917778084E-3</v>
      </c>
      <c r="M56" s="49"/>
      <c r="N56" s="25"/>
    </row>
    <row r="57" spans="3:14" x14ac:dyDescent="0.3">
      <c r="C57" s="49">
        <v>41218</v>
      </c>
      <c r="D57" s="25">
        <v>0.88</v>
      </c>
      <c r="E57" s="64">
        <f t="shared" si="0"/>
        <v>-5.6497175141243527E-3</v>
      </c>
      <c r="H57" s="49">
        <v>41218</v>
      </c>
      <c r="I57" s="25">
        <v>5686.25</v>
      </c>
      <c r="J57" s="64">
        <f t="shared" si="1"/>
        <v>-2.0096169696763866E-3</v>
      </c>
      <c r="M57" s="49"/>
      <c r="N57" s="25"/>
    </row>
    <row r="58" spans="3:14" x14ac:dyDescent="0.3">
      <c r="C58" s="49">
        <v>41225</v>
      </c>
      <c r="D58" s="25">
        <v>0.94499999999999995</v>
      </c>
      <c r="E58" s="64">
        <f t="shared" si="0"/>
        <v>7.3863636363636243E-2</v>
      </c>
      <c r="H58" s="49">
        <v>41225</v>
      </c>
      <c r="I58" s="25">
        <v>5574.0498049999997</v>
      </c>
      <c r="J58" s="64">
        <f t="shared" si="1"/>
        <v>-1.9731843482084011E-2</v>
      </c>
      <c r="M58" s="49"/>
      <c r="N58" s="25"/>
    </row>
    <row r="59" spans="3:14" x14ac:dyDescent="0.3">
      <c r="C59" s="49">
        <v>41232</v>
      </c>
      <c r="D59" s="25">
        <v>0.89</v>
      </c>
      <c r="E59" s="64">
        <f t="shared" si="0"/>
        <v>-5.8201058201058142E-2</v>
      </c>
      <c r="H59" s="49">
        <v>41232</v>
      </c>
      <c r="I59" s="25">
        <v>5626.6000979999999</v>
      </c>
      <c r="J59" s="64">
        <f t="shared" si="1"/>
        <v>9.4276683629310742E-3</v>
      </c>
      <c r="M59" s="49"/>
      <c r="N59" s="25"/>
    </row>
    <row r="60" spans="3:14" x14ac:dyDescent="0.3">
      <c r="C60" s="49">
        <v>41239</v>
      </c>
      <c r="D60" s="25">
        <v>0.92500000000000004</v>
      </c>
      <c r="E60" s="64">
        <f t="shared" si="0"/>
        <v>3.9325842696629199E-2</v>
      </c>
      <c r="H60" s="49">
        <v>41239</v>
      </c>
      <c r="I60" s="25">
        <v>5879.8500979999999</v>
      </c>
      <c r="J60" s="64">
        <f t="shared" si="1"/>
        <v>4.5009418758944486E-2</v>
      </c>
      <c r="M60" s="49"/>
      <c r="N60" s="25"/>
    </row>
    <row r="61" spans="3:14" x14ac:dyDescent="0.3">
      <c r="C61" s="49">
        <v>41246</v>
      </c>
      <c r="D61" s="25">
        <v>0.92500000000000004</v>
      </c>
      <c r="E61" s="64">
        <f t="shared" si="0"/>
        <v>0</v>
      </c>
      <c r="H61" s="49">
        <v>41246</v>
      </c>
      <c r="I61" s="25">
        <v>5907.3999020000001</v>
      </c>
      <c r="J61" s="64">
        <f t="shared" si="1"/>
        <v>4.6854602652830479E-3</v>
      </c>
      <c r="M61" s="49"/>
      <c r="N61" s="25"/>
    </row>
    <row r="62" spans="3:14" x14ac:dyDescent="0.3">
      <c r="C62" s="49">
        <v>41253</v>
      </c>
      <c r="D62" s="25">
        <v>0.93</v>
      </c>
      <c r="E62" s="64">
        <f t="shared" si="0"/>
        <v>5.4054054054053502E-3</v>
      </c>
      <c r="H62" s="49">
        <v>41253</v>
      </c>
      <c r="I62" s="25">
        <v>5879.6000979999999</v>
      </c>
      <c r="J62" s="64">
        <f t="shared" si="1"/>
        <v>-4.7059289130888526E-3</v>
      </c>
      <c r="M62" s="49"/>
      <c r="N62" s="25"/>
    </row>
    <row r="63" spans="3:14" x14ac:dyDescent="0.3">
      <c r="C63" s="49">
        <v>41260</v>
      </c>
      <c r="D63" s="25">
        <v>0.91500000000000004</v>
      </c>
      <c r="E63" s="64">
        <f t="shared" si="0"/>
        <v>-1.6129032258064502E-2</v>
      </c>
      <c r="H63" s="49">
        <v>41260</v>
      </c>
      <c r="I63" s="25">
        <v>5847.7001950000003</v>
      </c>
      <c r="J63" s="64">
        <f t="shared" si="1"/>
        <v>-5.4255225641707261E-3</v>
      </c>
      <c r="M63" s="49"/>
      <c r="N63" s="25"/>
    </row>
    <row r="64" spans="3:14" x14ac:dyDescent="0.3">
      <c r="C64" s="49">
        <v>41267</v>
      </c>
      <c r="D64" s="25">
        <v>0.9</v>
      </c>
      <c r="E64" s="64">
        <f t="shared" si="0"/>
        <v>-1.6393442622950838E-2</v>
      </c>
      <c r="H64" s="49">
        <v>41267</v>
      </c>
      <c r="I64" s="25">
        <v>5908.3500979999999</v>
      </c>
      <c r="J64" s="64">
        <f t="shared" si="1"/>
        <v>1.0371582156667003E-2</v>
      </c>
      <c r="M64" s="49"/>
      <c r="N64" s="25"/>
    </row>
    <row r="65" spans="3:14" x14ac:dyDescent="0.3">
      <c r="C65" s="49">
        <v>41274</v>
      </c>
      <c r="D65" s="25">
        <v>0.91</v>
      </c>
      <c r="E65" s="64">
        <f t="shared" si="0"/>
        <v>1.1111111111111072E-2</v>
      </c>
      <c r="H65" s="49">
        <v>41274</v>
      </c>
      <c r="I65" s="25">
        <v>6016.1499020000001</v>
      </c>
      <c r="J65" s="64">
        <f t="shared" si="1"/>
        <v>1.8245331135081422E-2</v>
      </c>
      <c r="M65" s="49"/>
      <c r="N65" s="25"/>
    </row>
    <row r="66" spans="3:14" x14ac:dyDescent="0.3">
      <c r="C66" s="49">
        <v>41281</v>
      </c>
      <c r="D66" s="25">
        <v>0.90500000000000003</v>
      </c>
      <c r="E66" s="64">
        <f t="shared" si="0"/>
        <v>-5.494505494505475E-3</v>
      </c>
      <c r="H66" s="49">
        <v>41281</v>
      </c>
      <c r="I66" s="25">
        <v>5951.2998049999997</v>
      </c>
      <c r="J66" s="64">
        <f t="shared" si="1"/>
        <v>-1.0779335298550574E-2</v>
      </c>
      <c r="M66" s="49"/>
      <c r="N66" s="25"/>
    </row>
    <row r="67" spans="3:14" x14ac:dyDescent="0.3">
      <c r="C67" s="49">
        <v>41288</v>
      </c>
      <c r="D67" s="25">
        <v>0.9</v>
      </c>
      <c r="E67" s="64">
        <f t="shared" si="0"/>
        <v>-5.5248618784530246E-3</v>
      </c>
      <c r="H67" s="49">
        <v>41288</v>
      </c>
      <c r="I67" s="25">
        <v>6064.3999020000001</v>
      </c>
      <c r="J67" s="64">
        <f t="shared" si="1"/>
        <v>1.9004268093665733E-2</v>
      </c>
      <c r="M67" s="49"/>
      <c r="N67" s="25"/>
    </row>
    <row r="68" spans="3:14" x14ac:dyDescent="0.3">
      <c r="C68" s="49">
        <v>41295</v>
      </c>
      <c r="D68" s="25">
        <v>0.88500000000000001</v>
      </c>
      <c r="E68" s="64">
        <f t="shared" si="0"/>
        <v>-1.6666666666666718E-2</v>
      </c>
      <c r="H68" s="49">
        <v>41295</v>
      </c>
      <c r="I68" s="25">
        <v>6074.6499020000001</v>
      </c>
      <c r="J68" s="64">
        <f t="shared" si="1"/>
        <v>1.6901919671590271E-3</v>
      </c>
      <c r="M68" s="49"/>
      <c r="N68" s="25"/>
    </row>
    <row r="69" spans="3:14" x14ac:dyDescent="0.3">
      <c r="C69" s="49">
        <v>41302</v>
      </c>
      <c r="D69" s="25">
        <v>0.91500000000000004</v>
      </c>
      <c r="E69" s="64">
        <f t="shared" si="0"/>
        <v>3.3898305084745894E-2</v>
      </c>
      <c r="H69" s="49">
        <v>41302</v>
      </c>
      <c r="I69" s="25">
        <v>5998.8999020000001</v>
      </c>
      <c r="J69" s="64">
        <f t="shared" si="1"/>
        <v>-1.2469854431456207E-2</v>
      </c>
      <c r="M69" s="49"/>
      <c r="N69" s="25"/>
    </row>
    <row r="70" spans="3:14" x14ac:dyDescent="0.3">
      <c r="C70" s="49">
        <v>41309</v>
      </c>
      <c r="D70" s="25">
        <v>0.90500000000000003</v>
      </c>
      <c r="E70" s="64">
        <f t="shared" si="0"/>
        <v>-1.0928961748633892E-2</v>
      </c>
      <c r="H70" s="49">
        <v>41309</v>
      </c>
      <c r="I70" s="25">
        <v>5903.5</v>
      </c>
      <c r="J70" s="64">
        <f t="shared" si="1"/>
        <v>-1.590289945798129E-2</v>
      </c>
      <c r="M70" s="49"/>
      <c r="N70" s="25"/>
    </row>
    <row r="71" spans="3:14" x14ac:dyDescent="0.3">
      <c r="C71" s="49">
        <v>41316</v>
      </c>
      <c r="D71" s="25">
        <v>0.86499999999999999</v>
      </c>
      <c r="E71" s="64">
        <f t="shared" si="0"/>
        <v>-4.4198895027624308E-2</v>
      </c>
      <c r="H71" s="49">
        <v>41316</v>
      </c>
      <c r="I71" s="25">
        <v>5887.3999020000001</v>
      </c>
      <c r="J71" s="64">
        <f t="shared" si="1"/>
        <v>-2.7272123316676167E-3</v>
      </c>
      <c r="M71" s="49"/>
      <c r="N71" s="25"/>
    </row>
    <row r="72" spans="3:14" x14ac:dyDescent="0.3">
      <c r="C72" s="49">
        <v>41323</v>
      </c>
      <c r="D72" s="25">
        <v>0.85</v>
      </c>
      <c r="E72" s="64">
        <f t="shared" si="0"/>
        <v>-1.7341040462427793E-2</v>
      </c>
      <c r="H72" s="49">
        <v>41323</v>
      </c>
      <c r="I72" s="25">
        <v>5850.2998049999997</v>
      </c>
      <c r="J72" s="64">
        <f t="shared" si="1"/>
        <v>-6.3016098137647081E-3</v>
      </c>
      <c r="M72" s="49"/>
      <c r="N72" s="25"/>
    </row>
    <row r="73" spans="3:14" x14ac:dyDescent="0.3">
      <c r="C73" s="49">
        <v>41330</v>
      </c>
      <c r="D73" s="25">
        <v>0.81</v>
      </c>
      <c r="E73" s="64">
        <f t="shared" si="0"/>
        <v>-4.7058823529411709E-2</v>
      </c>
      <c r="H73" s="49">
        <v>41330</v>
      </c>
      <c r="I73" s="25">
        <v>5719.7001950000003</v>
      </c>
      <c r="J73" s="64">
        <f t="shared" si="1"/>
        <v>-2.2323575603489854E-2</v>
      </c>
      <c r="M73" s="49"/>
      <c r="N73" s="25"/>
    </row>
    <row r="74" spans="3:14" x14ac:dyDescent="0.3">
      <c r="C74" s="49">
        <v>41337</v>
      </c>
      <c r="D74" s="25">
        <v>0.83</v>
      </c>
      <c r="E74" s="64">
        <f t="shared" si="0"/>
        <v>2.4691358024691246E-2</v>
      </c>
      <c r="H74" s="49">
        <v>41337</v>
      </c>
      <c r="I74" s="25">
        <v>5945.7001950000003</v>
      </c>
      <c r="J74" s="64">
        <f t="shared" si="1"/>
        <v>3.9512560500559513E-2</v>
      </c>
      <c r="M74" s="49"/>
      <c r="N74" s="25"/>
    </row>
    <row r="75" spans="3:14" x14ac:dyDescent="0.3">
      <c r="C75" s="49">
        <v>41344</v>
      </c>
      <c r="D75" s="25">
        <v>0.82499999999999996</v>
      </c>
      <c r="E75" s="64">
        <f t="shared" ref="E75:E138" si="2">D75/D74-1</f>
        <v>-6.0240963855421326E-3</v>
      </c>
      <c r="H75" s="49">
        <v>41344</v>
      </c>
      <c r="I75" s="25">
        <v>5872.6000979999999</v>
      </c>
      <c r="J75" s="64">
        <f t="shared" ref="J75:J138" si="3">I75/I74-1</f>
        <v>-1.2294615369519257E-2</v>
      </c>
      <c r="M75" s="49"/>
      <c r="N75" s="25"/>
    </row>
    <row r="76" spans="3:14" x14ac:dyDescent="0.3">
      <c r="C76" s="49">
        <v>41351</v>
      </c>
      <c r="D76" s="25">
        <v>0.77500000000000002</v>
      </c>
      <c r="E76" s="64">
        <f t="shared" si="2"/>
        <v>-6.0606060606060552E-2</v>
      </c>
      <c r="H76" s="49">
        <v>41351</v>
      </c>
      <c r="I76" s="25">
        <v>5651.3500979999999</v>
      </c>
      <c r="J76" s="64">
        <f t="shared" si="3"/>
        <v>-3.767496446341545E-2</v>
      </c>
      <c r="M76" s="49"/>
      <c r="N76" s="25"/>
    </row>
    <row r="77" spans="3:14" x14ac:dyDescent="0.3">
      <c r="C77" s="49">
        <v>41358</v>
      </c>
      <c r="D77" s="25">
        <v>0.76500000000000001</v>
      </c>
      <c r="E77" s="64">
        <f t="shared" si="2"/>
        <v>-1.2903225806451646E-2</v>
      </c>
      <c r="H77" s="49">
        <v>41358</v>
      </c>
      <c r="I77" s="25">
        <v>5682.5498049999997</v>
      </c>
      <c r="J77" s="64">
        <f t="shared" si="3"/>
        <v>5.5207528217091628E-3</v>
      </c>
      <c r="M77" s="49"/>
      <c r="N77" s="25"/>
    </row>
    <row r="78" spans="3:14" x14ac:dyDescent="0.3">
      <c r="C78" s="49">
        <v>41365</v>
      </c>
      <c r="D78" s="25">
        <v>0.88500000000000001</v>
      </c>
      <c r="E78" s="64">
        <f t="shared" si="2"/>
        <v>0.1568627450980391</v>
      </c>
      <c r="H78" s="49">
        <v>41365</v>
      </c>
      <c r="I78" s="25">
        <v>5553.25</v>
      </c>
      <c r="J78" s="64">
        <f t="shared" si="3"/>
        <v>-2.2753835766864849E-2</v>
      </c>
      <c r="M78" s="49"/>
      <c r="N78" s="25"/>
    </row>
    <row r="79" spans="3:14" x14ac:dyDescent="0.3">
      <c r="C79" s="49">
        <v>41372</v>
      </c>
      <c r="D79" s="25">
        <v>0.875</v>
      </c>
      <c r="E79" s="64">
        <f t="shared" si="2"/>
        <v>-1.1299435028248594E-2</v>
      </c>
      <c r="H79" s="49">
        <v>41372</v>
      </c>
      <c r="I79" s="25">
        <v>5528.5498049999997</v>
      </c>
      <c r="J79" s="64">
        <f t="shared" si="3"/>
        <v>-4.447880970602891E-3</v>
      </c>
      <c r="M79" s="49"/>
      <c r="N79" s="25"/>
    </row>
    <row r="80" spans="3:14" x14ac:dyDescent="0.3">
      <c r="C80" s="49">
        <v>41379</v>
      </c>
      <c r="D80" s="25">
        <v>0.88</v>
      </c>
      <c r="E80" s="64">
        <f t="shared" si="2"/>
        <v>5.7142857142857828E-3</v>
      </c>
      <c r="H80" s="49">
        <v>41379</v>
      </c>
      <c r="I80" s="25">
        <v>5783.1000979999999</v>
      </c>
      <c r="J80" s="64">
        <f t="shared" si="3"/>
        <v>4.604286874105501E-2</v>
      </c>
      <c r="M80" s="49"/>
      <c r="N80" s="25"/>
    </row>
    <row r="81" spans="3:14" x14ac:dyDescent="0.3">
      <c r="C81" s="49">
        <v>41386</v>
      </c>
      <c r="D81" s="25">
        <v>0.90500000000000003</v>
      </c>
      <c r="E81" s="64">
        <f t="shared" si="2"/>
        <v>2.8409090909090828E-2</v>
      </c>
      <c r="H81" s="49">
        <v>41386</v>
      </c>
      <c r="I81" s="25">
        <v>5871.4501950000003</v>
      </c>
      <c r="J81" s="64">
        <f t="shared" si="3"/>
        <v>1.5277289948786299E-2</v>
      </c>
      <c r="M81" s="49"/>
      <c r="N81" s="25"/>
    </row>
    <row r="82" spans="3:14" x14ac:dyDescent="0.3">
      <c r="C82" s="49">
        <v>41393</v>
      </c>
      <c r="D82" s="25">
        <v>0.89500000000000002</v>
      </c>
      <c r="E82" s="64">
        <f t="shared" si="2"/>
        <v>-1.1049723756906049E-2</v>
      </c>
      <c r="H82" s="49">
        <v>41393</v>
      </c>
      <c r="I82" s="25">
        <v>5944</v>
      </c>
      <c r="J82" s="64">
        <f t="shared" si="3"/>
        <v>1.2356368970272813E-2</v>
      </c>
      <c r="M82" s="49"/>
      <c r="N82" s="25"/>
    </row>
    <row r="83" spans="3:14" x14ac:dyDescent="0.3">
      <c r="C83" s="49">
        <v>41400</v>
      </c>
      <c r="D83" s="25">
        <v>0.88</v>
      </c>
      <c r="E83" s="64">
        <f t="shared" si="2"/>
        <v>-1.6759776536312887E-2</v>
      </c>
      <c r="H83" s="49">
        <v>41400</v>
      </c>
      <c r="I83" s="25">
        <v>6094.75</v>
      </c>
      <c r="J83" s="64">
        <f t="shared" si="3"/>
        <v>2.5361709286675582E-2</v>
      </c>
      <c r="M83" s="49"/>
      <c r="N83" s="25"/>
    </row>
    <row r="84" spans="3:14" x14ac:dyDescent="0.3">
      <c r="C84" s="49">
        <v>41407</v>
      </c>
      <c r="D84" s="25">
        <v>1.0049999999999999</v>
      </c>
      <c r="E84" s="64">
        <f t="shared" si="2"/>
        <v>0.14204545454545436</v>
      </c>
      <c r="H84" s="49">
        <v>41407</v>
      </c>
      <c r="I84" s="25">
        <v>6187.2998049999997</v>
      </c>
      <c r="J84" s="64">
        <f t="shared" si="3"/>
        <v>1.5185168382624292E-2</v>
      </c>
      <c r="M84" s="49"/>
      <c r="N84" s="25"/>
    </row>
    <row r="85" spans="3:14" x14ac:dyDescent="0.3">
      <c r="C85" s="49">
        <v>41414</v>
      </c>
      <c r="D85" s="25">
        <v>0.89</v>
      </c>
      <c r="E85" s="64">
        <f t="shared" si="2"/>
        <v>-0.11442786069651734</v>
      </c>
      <c r="H85" s="49">
        <v>41414</v>
      </c>
      <c r="I85" s="25">
        <v>5983.5498049999997</v>
      </c>
      <c r="J85" s="64">
        <f t="shared" si="3"/>
        <v>-3.2930358382722624E-2</v>
      </c>
      <c r="M85" s="49"/>
      <c r="N85" s="25"/>
    </row>
    <row r="86" spans="3:14" x14ac:dyDescent="0.3">
      <c r="C86" s="49">
        <v>41421</v>
      </c>
      <c r="D86" s="25">
        <v>0.86</v>
      </c>
      <c r="E86" s="64">
        <f t="shared" si="2"/>
        <v>-3.3707865168539408E-2</v>
      </c>
      <c r="H86" s="49">
        <v>41421</v>
      </c>
      <c r="I86" s="25">
        <v>5985.9501950000003</v>
      </c>
      <c r="J86" s="64">
        <f t="shared" si="3"/>
        <v>4.0116487339925122E-4</v>
      </c>
      <c r="M86" s="49"/>
      <c r="N86" s="25"/>
    </row>
    <row r="87" spans="3:14" x14ac:dyDescent="0.3">
      <c r="C87" s="49">
        <v>41428</v>
      </c>
      <c r="D87" s="25">
        <v>0.86</v>
      </c>
      <c r="E87" s="64">
        <f t="shared" si="2"/>
        <v>0</v>
      </c>
      <c r="H87" s="49">
        <v>41428</v>
      </c>
      <c r="I87" s="25">
        <v>5881</v>
      </c>
      <c r="J87" s="64">
        <f t="shared" si="3"/>
        <v>-1.7532754463554401E-2</v>
      </c>
      <c r="M87" s="49"/>
      <c r="N87" s="25"/>
    </row>
    <row r="88" spans="3:14" x14ac:dyDescent="0.3">
      <c r="C88" s="49">
        <v>41435</v>
      </c>
      <c r="D88" s="25">
        <v>0.76500000000000001</v>
      </c>
      <c r="E88" s="64">
        <f t="shared" si="2"/>
        <v>-0.11046511627906974</v>
      </c>
      <c r="H88" s="49">
        <v>41435</v>
      </c>
      <c r="I88" s="25">
        <v>5808.3999020000001</v>
      </c>
      <c r="J88" s="64">
        <f t="shared" si="3"/>
        <v>-1.2344855976874625E-2</v>
      </c>
      <c r="M88" s="49"/>
      <c r="N88" s="25"/>
    </row>
    <row r="89" spans="3:14" x14ac:dyDescent="0.3">
      <c r="C89" s="49">
        <v>41442</v>
      </c>
      <c r="D89" s="25">
        <v>0.78500000000000003</v>
      </c>
      <c r="E89" s="64">
        <f t="shared" si="2"/>
        <v>2.6143790849673332E-2</v>
      </c>
      <c r="H89" s="49">
        <v>41442</v>
      </c>
      <c r="I89" s="25">
        <v>5667.6499020000001</v>
      </c>
      <c r="J89" s="64">
        <f t="shared" si="3"/>
        <v>-2.4232146955228684E-2</v>
      </c>
      <c r="M89" s="49"/>
      <c r="N89" s="25"/>
    </row>
    <row r="90" spans="3:14" x14ac:dyDescent="0.3">
      <c r="C90" s="49">
        <v>41449</v>
      </c>
      <c r="D90" s="25">
        <v>0.76</v>
      </c>
      <c r="E90" s="64">
        <f t="shared" si="2"/>
        <v>-3.1847133757961776E-2</v>
      </c>
      <c r="H90" s="49">
        <v>41449</v>
      </c>
      <c r="I90" s="25">
        <v>5842.2001950000003</v>
      </c>
      <c r="J90" s="64">
        <f t="shared" si="3"/>
        <v>3.0797649117036086E-2</v>
      </c>
      <c r="M90" s="49"/>
      <c r="N90" s="25"/>
    </row>
    <row r="91" spans="3:14" x14ac:dyDescent="0.3">
      <c r="C91" s="49">
        <v>41456</v>
      </c>
      <c r="D91" s="25">
        <v>0.76</v>
      </c>
      <c r="E91" s="64">
        <f t="shared" si="2"/>
        <v>0</v>
      </c>
      <c r="H91" s="49">
        <v>41456</v>
      </c>
      <c r="I91" s="25">
        <v>5867.8999020000001</v>
      </c>
      <c r="J91" s="64">
        <f t="shared" si="3"/>
        <v>4.3989774643455881E-3</v>
      </c>
      <c r="M91" s="49"/>
      <c r="N91" s="25"/>
    </row>
    <row r="92" spans="3:14" x14ac:dyDescent="0.3">
      <c r="C92" s="49">
        <v>41463</v>
      </c>
      <c r="D92" s="25">
        <v>0.8</v>
      </c>
      <c r="E92" s="64">
        <f t="shared" si="2"/>
        <v>5.2631578947368363E-2</v>
      </c>
      <c r="H92" s="49">
        <v>41463</v>
      </c>
      <c r="I92" s="25">
        <v>6009</v>
      </c>
      <c r="J92" s="64">
        <f t="shared" si="3"/>
        <v>2.4046098324190579E-2</v>
      </c>
      <c r="M92" s="49"/>
      <c r="N92" s="25"/>
    </row>
    <row r="93" spans="3:14" x14ac:dyDescent="0.3">
      <c r="C93" s="49">
        <v>41470</v>
      </c>
      <c r="D93" s="25">
        <v>0.81499999999999995</v>
      </c>
      <c r="E93" s="64">
        <f t="shared" si="2"/>
        <v>1.8749999999999822E-2</v>
      </c>
      <c r="H93" s="49">
        <v>41470</v>
      </c>
      <c r="I93" s="25">
        <v>6029.2001950000003</v>
      </c>
      <c r="J93" s="64">
        <f t="shared" si="3"/>
        <v>3.3616566816443427E-3</v>
      </c>
      <c r="M93" s="49"/>
      <c r="N93" s="25"/>
    </row>
    <row r="94" spans="3:14" x14ac:dyDescent="0.3">
      <c r="C94" s="49">
        <v>41477</v>
      </c>
      <c r="D94" s="25">
        <v>0.77</v>
      </c>
      <c r="E94" s="64">
        <f t="shared" si="2"/>
        <v>-5.5214723926380271E-2</v>
      </c>
      <c r="H94" s="49">
        <v>41477</v>
      </c>
      <c r="I94" s="25">
        <v>5886.2001950000003</v>
      </c>
      <c r="J94" s="64">
        <f t="shared" si="3"/>
        <v>-2.3717905422777186E-2</v>
      </c>
      <c r="M94" s="49"/>
      <c r="N94" s="25"/>
    </row>
    <row r="95" spans="3:14" x14ac:dyDescent="0.3">
      <c r="C95" s="49">
        <v>41484</v>
      </c>
      <c r="D95" s="25">
        <v>0.69499999999999995</v>
      </c>
      <c r="E95" s="64">
        <f t="shared" si="2"/>
        <v>-9.7402597402597491E-2</v>
      </c>
      <c r="H95" s="49">
        <v>41484</v>
      </c>
      <c r="I95" s="25">
        <v>5677.8999020000001</v>
      </c>
      <c r="J95" s="64">
        <f t="shared" si="3"/>
        <v>-3.5387904947055571E-2</v>
      </c>
      <c r="M95" s="49"/>
      <c r="N95" s="25"/>
    </row>
    <row r="96" spans="3:14" x14ac:dyDescent="0.3">
      <c r="C96" s="49">
        <v>41491</v>
      </c>
      <c r="D96" s="25">
        <v>0.67500000000000004</v>
      </c>
      <c r="E96" s="64">
        <f t="shared" si="2"/>
        <v>-2.8776978417266008E-2</v>
      </c>
      <c r="H96" s="49">
        <v>41491</v>
      </c>
      <c r="I96" s="25">
        <v>5565.6499020000001</v>
      </c>
      <c r="J96" s="64">
        <f t="shared" si="3"/>
        <v>-1.9769633480234639E-2</v>
      </c>
      <c r="M96" s="49"/>
      <c r="N96" s="25"/>
    </row>
    <row r="97" spans="3:14" x14ac:dyDescent="0.3">
      <c r="C97" s="49">
        <v>41498</v>
      </c>
      <c r="D97" s="25">
        <v>0.91</v>
      </c>
      <c r="E97" s="64">
        <f t="shared" si="2"/>
        <v>0.3481481481481481</v>
      </c>
      <c r="H97" s="49">
        <v>41498</v>
      </c>
      <c r="I97" s="25">
        <v>5507.8500979999999</v>
      </c>
      <c r="J97" s="64">
        <f t="shared" si="3"/>
        <v>-1.0385095185241555E-2</v>
      </c>
      <c r="M97" s="49"/>
      <c r="N97" s="25"/>
    </row>
    <row r="98" spans="3:14" x14ac:dyDescent="0.3">
      <c r="C98" s="49">
        <v>41505</v>
      </c>
      <c r="D98" s="25">
        <v>1.01</v>
      </c>
      <c r="E98" s="64">
        <f t="shared" si="2"/>
        <v>0.10989010989010994</v>
      </c>
      <c r="H98" s="49">
        <v>41505</v>
      </c>
      <c r="I98" s="25">
        <v>5471.75</v>
      </c>
      <c r="J98" s="64">
        <f t="shared" si="3"/>
        <v>-6.5542992924060295E-3</v>
      </c>
      <c r="M98" s="49"/>
      <c r="N98" s="25"/>
    </row>
    <row r="99" spans="3:14" x14ac:dyDescent="0.3">
      <c r="C99" s="49">
        <v>41512</v>
      </c>
      <c r="D99" s="25">
        <v>0.96</v>
      </c>
      <c r="E99" s="64">
        <f t="shared" si="2"/>
        <v>-4.9504950495049549E-2</v>
      </c>
      <c r="H99" s="49">
        <v>41512</v>
      </c>
      <c r="I99" s="25">
        <v>5471.7998049999997</v>
      </c>
      <c r="J99" s="64">
        <f t="shared" si="3"/>
        <v>9.1022067894019898E-6</v>
      </c>
      <c r="M99" s="49"/>
      <c r="N99" s="25"/>
    </row>
    <row r="100" spans="3:14" x14ac:dyDescent="0.3">
      <c r="C100" s="49">
        <v>41519</v>
      </c>
      <c r="D100" s="25">
        <v>0.92</v>
      </c>
      <c r="E100" s="64">
        <f t="shared" si="2"/>
        <v>-4.166666666666663E-2</v>
      </c>
      <c r="H100" s="49">
        <v>41519</v>
      </c>
      <c r="I100" s="25">
        <v>5680.3999020000001</v>
      </c>
      <c r="J100" s="64">
        <f t="shared" si="3"/>
        <v>3.8122757490028469E-2</v>
      </c>
      <c r="M100" s="49"/>
      <c r="N100" s="25"/>
    </row>
    <row r="101" spans="3:14" x14ac:dyDescent="0.3">
      <c r="C101" s="49">
        <v>41526</v>
      </c>
      <c r="D101" s="25">
        <v>0.89</v>
      </c>
      <c r="E101" s="64">
        <f t="shared" si="2"/>
        <v>-3.2608695652173947E-2</v>
      </c>
      <c r="H101" s="49">
        <v>41526</v>
      </c>
      <c r="I101" s="25">
        <v>5850.6000979999999</v>
      </c>
      <c r="J101" s="64">
        <f t="shared" si="3"/>
        <v>2.9962713706137789E-2</v>
      </c>
      <c r="M101" s="49"/>
      <c r="N101" s="25"/>
    </row>
    <row r="102" spans="3:14" x14ac:dyDescent="0.3">
      <c r="C102" s="49">
        <v>41533</v>
      </c>
      <c r="D102" s="25">
        <v>0.89500000000000002</v>
      </c>
      <c r="E102" s="64">
        <f t="shared" si="2"/>
        <v>5.6179775280897903E-3</v>
      </c>
      <c r="H102" s="49">
        <v>41533</v>
      </c>
      <c r="I102" s="25">
        <v>6012.1000979999999</v>
      </c>
      <c r="J102" s="64">
        <f t="shared" si="3"/>
        <v>2.7604005964312561E-2</v>
      </c>
      <c r="M102" s="49"/>
      <c r="N102" s="25"/>
    </row>
    <row r="103" spans="3:14" x14ac:dyDescent="0.3">
      <c r="C103" s="49">
        <v>41540</v>
      </c>
      <c r="D103" s="25">
        <v>0.89500000000000002</v>
      </c>
      <c r="E103" s="64">
        <f t="shared" si="2"/>
        <v>0</v>
      </c>
      <c r="H103" s="49">
        <v>41540</v>
      </c>
      <c r="I103" s="25">
        <v>5833.2001950000003</v>
      </c>
      <c r="J103" s="64">
        <f t="shared" si="3"/>
        <v>-2.9756640788384914E-2</v>
      </c>
      <c r="M103" s="49"/>
      <c r="N103" s="25"/>
    </row>
    <row r="104" spans="3:14" x14ac:dyDescent="0.3">
      <c r="C104" s="49">
        <v>41547</v>
      </c>
      <c r="D104" s="25">
        <v>0.90500000000000003</v>
      </c>
      <c r="E104" s="64">
        <f t="shared" si="2"/>
        <v>1.1173184357541999E-2</v>
      </c>
      <c r="H104" s="49">
        <v>41547</v>
      </c>
      <c r="I104" s="25">
        <v>5907.2998049999997</v>
      </c>
      <c r="J104" s="64">
        <f t="shared" si="3"/>
        <v>1.270308021718769E-2</v>
      </c>
      <c r="M104" s="49"/>
      <c r="N104" s="25"/>
    </row>
    <row r="105" spans="3:14" x14ac:dyDescent="0.3">
      <c r="C105" s="49">
        <v>41554</v>
      </c>
      <c r="D105" s="25">
        <v>1.21</v>
      </c>
      <c r="E105" s="64">
        <f t="shared" si="2"/>
        <v>0.33701657458563528</v>
      </c>
      <c r="H105" s="49">
        <v>41554</v>
      </c>
      <c r="I105" s="25">
        <v>6096.2001950000003</v>
      </c>
      <c r="J105" s="64">
        <f t="shared" si="3"/>
        <v>3.1977450990402279E-2</v>
      </c>
      <c r="M105" s="49"/>
      <c r="N105" s="25"/>
    </row>
    <row r="106" spans="3:14" x14ac:dyDescent="0.3">
      <c r="C106" s="49">
        <v>41561</v>
      </c>
      <c r="D106" s="25">
        <v>1.125</v>
      </c>
      <c r="E106" s="64">
        <f t="shared" si="2"/>
        <v>-7.0247933884297509E-2</v>
      </c>
      <c r="H106" s="49">
        <v>41561</v>
      </c>
      <c r="I106" s="25">
        <v>6189.3500979999999</v>
      </c>
      <c r="J106" s="64">
        <f t="shared" si="3"/>
        <v>1.5279994098028382E-2</v>
      </c>
      <c r="M106" s="49"/>
      <c r="N106" s="25"/>
    </row>
    <row r="107" spans="3:14" x14ac:dyDescent="0.3">
      <c r="C107" s="49">
        <v>41568</v>
      </c>
      <c r="D107" s="25">
        <v>1.105</v>
      </c>
      <c r="E107" s="64">
        <f t="shared" si="2"/>
        <v>-1.7777777777777781E-2</v>
      </c>
      <c r="H107" s="49">
        <v>41568</v>
      </c>
      <c r="I107" s="25">
        <v>6144.8999020000001</v>
      </c>
      <c r="J107" s="64">
        <f t="shared" si="3"/>
        <v>-7.1817226843191584E-3</v>
      </c>
      <c r="M107" s="49"/>
      <c r="N107" s="25"/>
    </row>
    <row r="108" spans="3:14" x14ac:dyDescent="0.3">
      <c r="C108" s="49">
        <v>41575</v>
      </c>
      <c r="D108" s="25">
        <v>1.1599999999999999</v>
      </c>
      <c r="E108" s="64">
        <f t="shared" si="2"/>
        <v>4.9773755656108642E-2</v>
      </c>
      <c r="H108" s="49">
        <v>41575</v>
      </c>
      <c r="I108" s="25">
        <v>6307.2001950000003</v>
      </c>
      <c r="J108" s="64">
        <f t="shared" si="3"/>
        <v>2.6412194761248342E-2</v>
      </c>
      <c r="M108" s="49"/>
      <c r="N108" s="25"/>
    </row>
    <row r="109" spans="3:14" x14ac:dyDescent="0.3">
      <c r="C109" s="49">
        <v>41582</v>
      </c>
      <c r="D109" s="25">
        <v>1.22</v>
      </c>
      <c r="E109" s="64">
        <f t="shared" si="2"/>
        <v>5.1724137931034475E-2</v>
      </c>
      <c r="H109" s="49">
        <v>41582</v>
      </c>
      <c r="I109" s="25">
        <v>6140.75</v>
      </c>
      <c r="J109" s="64">
        <f t="shared" si="3"/>
        <v>-2.6390504479618881E-2</v>
      </c>
      <c r="M109" s="49"/>
      <c r="N109" s="25"/>
    </row>
    <row r="110" spans="3:14" x14ac:dyDescent="0.3">
      <c r="C110" s="49">
        <v>41589</v>
      </c>
      <c r="D110" s="25">
        <v>1.385</v>
      </c>
      <c r="E110" s="64">
        <f t="shared" si="2"/>
        <v>0.13524590163934436</v>
      </c>
      <c r="H110" s="49">
        <v>41589</v>
      </c>
      <c r="I110" s="25">
        <v>6056.1499020000001</v>
      </c>
      <c r="J110" s="64">
        <f t="shared" si="3"/>
        <v>-1.3776834751455413E-2</v>
      </c>
      <c r="M110" s="49"/>
      <c r="N110" s="25"/>
    </row>
    <row r="111" spans="3:14" x14ac:dyDescent="0.3">
      <c r="C111" s="49">
        <v>41596</v>
      </c>
      <c r="D111" s="25">
        <v>1.355</v>
      </c>
      <c r="E111" s="64">
        <f t="shared" si="2"/>
        <v>-2.166064981949456E-2</v>
      </c>
      <c r="H111" s="49">
        <v>41596</v>
      </c>
      <c r="I111" s="25">
        <v>5995.4501950000003</v>
      </c>
      <c r="J111" s="64">
        <f t="shared" si="3"/>
        <v>-1.0022821096280055E-2</v>
      </c>
      <c r="M111" s="49"/>
      <c r="N111" s="25"/>
    </row>
    <row r="112" spans="3:14" x14ac:dyDescent="0.3">
      <c r="C112" s="49">
        <v>41603</v>
      </c>
      <c r="D112" s="25">
        <v>1.82</v>
      </c>
      <c r="E112" s="64">
        <f t="shared" si="2"/>
        <v>0.34317343173431736</v>
      </c>
      <c r="H112" s="49">
        <v>41603</v>
      </c>
      <c r="I112" s="25">
        <v>6176.1000979999999</v>
      </c>
      <c r="J112" s="64">
        <f t="shared" si="3"/>
        <v>3.0131165654691872E-2</v>
      </c>
      <c r="M112" s="49"/>
      <c r="N112" s="25"/>
    </row>
    <row r="113" spans="3:14" x14ac:dyDescent="0.3">
      <c r="C113" s="49">
        <v>41610</v>
      </c>
      <c r="D113" s="25">
        <v>1.615</v>
      </c>
      <c r="E113" s="64">
        <f t="shared" si="2"/>
        <v>-0.11263736263736268</v>
      </c>
      <c r="H113" s="49">
        <v>41610</v>
      </c>
      <c r="I113" s="25">
        <v>6259.8999020000001</v>
      </c>
      <c r="J113" s="64">
        <f t="shared" si="3"/>
        <v>1.3568401203072566E-2</v>
      </c>
      <c r="M113" s="49"/>
      <c r="N113" s="25"/>
    </row>
    <row r="114" spans="3:14" x14ac:dyDescent="0.3">
      <c r="C114" s="49">
        <v>41617</v>
      </c>
      <c r="D114" s="25">
        <v>1.675</v>
      </c>
      <c r="E114" s="64">
        <f t="shared" si="2"/>
        <v>3.7151702786377694E-2</v>
      </c>
      <c r="H114" s="49">
        <v>41617</v>
      </c>
      <c r="I114" s="25">
        <v>6168.3999020000001</v>
      </c>
      <c r="J114" s="64">
        <f t="shared" si="3"/>
        <v>-1.4616847143317124E-2</v>
      </c>
      <c r="M114" s="49"/>
      <c r="N114" s="25"/>
    </row>
    <row r="115" spans="3:14" x14ac:dyDescent="0.3">
      <c r="C115" s="49">
        <v>41624</v>
      </c>
      <c r="D115" s="25">
        <v>1.7050000000000001</v>
      </c>
      <c r="E115" s="64">
        <f t="shared" si="2"/>
        <v>1.7910447761193993E-2</v>
      </c>
      <c r="H115" s="49">
        <v>41624</v>
      </c>
      <c r="I115" s="25">
        <v>6274.25</v>
      </c>
      <c r="J115" s="64">
        <f t="shared" si="3"/>
        <v>1.7160057661903538E-2</v>
      </c>
      <c r="M115" s="49"/>
      <c r="N115" s="25"/>
    </row>
    <row r="116" spans="3:14" x14ac:dyDescent="0.3">
      <c r="C116" s="49">
        <v>41631</v>
      </c>
      <c r="D116" s="25">
        <v>1.69</v>
      </c>
      <c r="E116" s="64">
        <f t="shared" si="2"/>
        <v>-8.7976539589443847E-3</v>
      </c>
      <c r="H116" s="49">
        <v>41631</v>
      </c>
      <c r="I116" s="25">
        <v>6313.7998049999997</v>
      </c>
      <c r="J116" s="64">
        <f t="shared" si="3"/>
        <v>6.3035111766345242E-3</v>
      </c>
      <c r="M116" s="49"/>
      <c r="N116" s="25"/>
    </row>
    <row r="117" spans="3:14" x14ac:dyDescent="0.3">
      <c r="C117" s="49">
        <v>41638</v>
      </c>
      <c r="D117" s="25">
        <v>1.78</v>
      </c>
      <c r="E117" s="64">
        <f t="shared" si="2"/>
        <v>5.3254437869822535E-2</v>
      </c>
      <c r="H117" s="49">
        <v>41638</v>
      </c>
      <c r="I117" s="25">
        <v>6211.1499020000001</v>
      </c>
      <c r="J117" s="64">
        <f t="shared" si="3"/>
        <v>-1.6258023087572293E-2</v>
      </c>
      <c r="M117" s="49"/>
      <c r="N117" s="25"/>
    </row>
    <row r="118" spans="3:14" x14ac:dyDescent="0.3">
      <c r="C118" s="49">
        <v>41645</v>
      </c>
      <c r="D118" s="25">
        <v>1.575</v>
      </c>
      <c r="E118" s="64">
        <f t="shared" si="2"/>
        <v>-0.1151685393258427</v>
      </c>
      <c r="H118" s="49">
        <v>41645</v>
      </c>
      <c r="I118" s="25">
        <v>6171.4501950000003</v>
      </c>
      <c r="J118" s="64">
        <f t="shared" si="3"/>
        <v>-6.3916839275149906E-3</v>
      </c>
      <c r="M118" s="49"/>
      <c r="N118" s="25"/>
    </row>
    <row r="119" spans="3:14" x14ac:dyDescent="0.3">
      <c r="C119" s="49">
        <v>41652</v>
      </c>
      <c r="D119" s="25">
        <v>1.6</v>
      </c>
      <c r="E119" s="64">
        <f t="shared" si="2"/>
        <v>1.5873015873016039E-2</v>
      </c>
      <c r="H119" s="49">
        <v>41652</v>
      </c>
      <c r="I119" s="25">
        <v>6261.6499020000001</v>
      </c>
      <c r="J119" s="64">
        <f t="shared" si="3"/>
        <v>1.4615642053318112E-2</v>
      </c>
      <c r="M119" s="49"/>
      <c r="N119" s="25"/>
    </row>
    <row r="120" spans="3:14" x14ac:dyDescent="0.3">
      <c r="C120" s="49">
        <v>41659</v>
      </c>
      <c r="D120" s="25">
        <v>1.585</v>
      </c>
      <c r="E120" s="64">
        <f t="shared" si="2"/>
        <v>-9.3750000000000222E-3</v>
      </c>
      <c r="H120" s="49">
        <v>41659</v>
      </c>
      <c r="I120" s="25">
        <v>6266.75</v>
      </c>
      <c r="J120" s="64">
        <f t="shared" si="3"/>
        <v>8.1449746948814017E-4</v>
      </c>
      <c r="M120" s="49"/>
      <c r="N120" s="25"/>
    </row>
    <row r="121" spans="3:14" x14ac:dyDescent="0.3">
      <c r="C121" s="49">
        <v>41666</v>
      </c>
      <c r="D121" s="25">
        <v>1.48</v>
      </c>
      <c r="E121" s="64">
        <f t="shared" si="2"/>
        <v>-6.6246056782334417E-2</v>
      </c>
      <c r="H121" s="49">
        <v>41666</v>
      </c>
      <c r="I121" s="25">
        <v>6089.5</v>
      </c>
      <c r="J121" s="64">
        <f t="shared" si="3"/>
        <v>-2.8284198348426215E-2</v>
      </c>
      <c r="M121" s="49"/>
      <c r="N121" s="25"/>
    </row>
    <row r="122" spans="3:14" x14ac:dyDescent="0.3">
      <c r="C122" s="49">
        <v>41673</v>
      </c>
      <c r="D122" s="25">
        <v>1.62</v>
      </c>
      <c r="E122" s="64">
        <f t="shared" si="2"/>
        <v>9.4594594594594739E-2</v>
      </c>
      <c r="H122" s="49">
        <v>41673</v>
      </c>
      <c r="I122" s="25">
        <v>6063.2001950000003</v>
      </c>
      <c r="J122" s="64">
        <f t="shared" si="3"/>
        <v>-4.3188775761555664E-3</v>
      </c>
      <c r="M122" s="49"/>
      <c r="N122" s="25"/>
    </row>
    <row r="123" spans="3:14" x14ac:dyDescent="0.3">
      <c r="C123" s="49">
        <v>41680</v>
      </c>
      <c r="D123" s="25">
        <v>1.44</v>
      </c>
      <c r="E123" s="64">
        <f t="shared" si="2"/>
        <v>-0.11111111111111116</v>
      </c>
      <c r="H123" s="49">
        <v>41680</v>
      </c>
      <c r="I123" s="25">
        <v>6048.3500979999999</v>
      </c>
      <c r="J123" s="64">
        <f t="shared" si="3"/>
        <v>-2.4492176610375616E-3</v>
      </c>
      <c r="M123" s="49"/>
      <c r="N123" s="25"/>
    </row>
    <row r="124" spans="3:14" x14ac:dyDescent="0.3">
      <c r="C124" s="49">
        <v>41687</v>
      </c>
      <c r="D124" s="25">
        <v>1.395</v>
      </c>
      <c r="E124" s="64">
        <f t="shared" si="2"/>
        <v>-3.125E-2</v>
      </c>
      <c r="H124" s="49">
        <v>41687</v>
      </c>
      <c r="I124" s="25">
        <v>6155.4501950000003</v>
      </c>
      <c r="J124" s="64">
        <f t="shared" si="3"/>
        <v>1.7707324355350273E-2</v>
      </c>
      <c r="M124" s="49"/>
      <c r="N124" s="25"/>
    </row>
    <row r="125" spans="3:14" x14ac:dyDescent="0.3">
      <c r="C125" s="49">
        <v>41694</v>
      </c>
      <c r="D125" s="25">
        <v>1.46</v>
      </c>
      <c r="E125" s="64">
        <f t="shared" si="2"/>
        <v>4.6594982078852931E-2</v>
      </c>
      <c r="H125" s="49">
        <v>41694</v>
      </c>
      <c r="I125" s="25">
        <v>6276.9501950000003</v>
      </c>
      <c r="J125" s="64">
        <f t="shared" si="3"/>
        <v>1.9738605000604759E-2</v>
      </c>
      <c r="M125" s="49"/>
      <c r="N125" s="25"/>
    </row>
    <row r="126" spans="3:14" x14ac:dyDescent="0.3">
      <c r="C126" s="49">
        <v>41701</v>
      </c>
      <c r="D126" s="25">
        <v>1.4950000000000001</v>
      </c>
      <c r="E126" s="64">
        <f t="shared" si="2"/>
        <v>2.3972602739726234E-2</v>
      </c>
      <c r="H126" s="49">
        <v>41701</v>
      </c>
      <c r="I126" s="25">
        <v>6526.6499020000001</v>
      </c>
      <c r="J126" s="64">
        <f t="shared" si="3"/>
        <v>3.9780418713358801E-2</v>
      </c>
      <c r="M126" s="49"/>
      <c r="N126" s="25"/>
    </row>
    <row r="127" spans="3:14" x14ac:dyDescent="0.3">
      <c r="C127" s="49">
        <v>41708</v>
      </c>
      <c r="D127" s="25">
        <v>1.45</v>
      </c>
      <c r="E127" s="64">
        <f t="shared" si="2"/>
        <v>-3.0100334448160626E-2</v>
      </c>
      <c r="H127" s="49">
        <v>41708</v>
      </c>
      <c r="I127" s="25">
        <v>6504.2001950000003</v>
      </c>
      <c r="J127" s="64">
        <f t="shared" si="3"/>
        <v>-3.4396983654846336E-3</v>
      </c>
      <c r="M127" s="49"/>
      <c r="N127" s="25"/>
    </row>
    <row r="128" spans="3:14" x14ac:dyDescent="0.3">
      <c r="C128" s="49">
        <v>41715</v>
      </c>
      <c r="D128" s="25">
        <v>1.41</v>
      </c>
      <c r="E128" s="64">
        <f t="shared" si="2"/>
        <v>-2.7586206896551779E-2</v>
      </c>
      <c r="H128" s="49">
        <v>41715</v>
      </c>
      <c r="I128" s="25">
        <v>6493.2001950000003</v>
      </c>
      <c r="J128" s="64">
        <f t="shared" si="3"/>
        <v>-1.6912148565869645E-3</v>
      </c>
      <c r="M128" s="49"/>
      <c r="N128" s="25"/>
    </row>
    <row r="129" spans="3:14" x14ac:dyDescent="0.3">
      <c r="C129" s="49">
        <v>41722</v>
      </c>
      <c r="D129" s="25">
        <v>1.42</v>
      </c>
      <c r="E129" s="64">
        <f t="shared" si="2"/>
        <v>7.0921985815601829E-3</v>
      </c>
      <c r="H129" s="49">
        <v>41722</v>
      </c>
      <c r="I129" s="25">
        <v>6695.8999020000001</v>
      </c>
      <c r="J129" s="64">
        <f t="shared" si="3"/>
        <v>3.1217227393679714E-2</v>
      </c>
      <c r="M129" s="49"/>
      <c r="N129" s="25"/>
    </row>
    <row r="130" spans="3:14" x14ac:dyDescent="0.3">
      <c r="C130" s="49">
        <v>41729</v>
      </c>
      <c r="D130" s="25">
        <v>1.57</v>
      </c>
      <c r="E130" s="64">
        <f t="shared" si="2"/>
        <v>0.10563380281690149</v>
      </c>
      <c r="H130" s="49">
        <v>41729</v>
      </c>
      <c r="I130" s="25">
        <v>6694.3500979999999</v>
      </c>
      <c r="J130" s="64">
        <f t="shared" si="3"/>
        <v>-2.3145567028826086E-4</v>
      </c>
      <c r="M130" s="49"/>
      <c r="N130" s="25"/>
    </row>
    <row r="131" spans="3:14" x14ac:dyDescent="0.3">
      <c r="C131" s="49">
        <v>41736</v>
      </c>
      <c r="D131" s="25">
        <v>1.605</v>
      </c>
      <c r="E131" s="64">
        <f t="shared" si="2"/>
        <v>2.2292993630573132E-2</v>
      </c>
      <c r="H131" s="49">
        <v>41736</v>
      </c>
      <c r="I131" s="25">
        <v>6776.2998049999997</v>
      </c>
      <c r="J131" s="64">
        <f t="shared" si="3"/>
        <v>1.2241622532481955E-2</v>
      </c>
      <c r="M131" s="49"/>
      <c r="N131" s="25"/>
    </row>
    <row r="132" spans="3:14" x14ac:dyDescent="0.3">
      <c r="C132" s="49">
        <v>41743</v>
      </c>
      <c r="D132" s="25">
        <v>1.61</v>
      </c>
      <c r="E132" s="64">
        <f t="shared" si="2"/>
        <v>3.1152647975078995E-3</v>
      </c>
      <c r="H132" s="49">
        <v>41743</v>
      </c>
      <c r="I132" s="25">
        <v>6779.3999020000001</v>
      </c>
      <c r="J132" s="64">
        <f t="shared" si="3"/>
        <v>4.5749112188242513E-4</v>
      </c>
      <c r="M132" s="49"/>
      <c r="N132" s="25"/>
    </row>
    <row r="133" spans="3:14" x14ac:dyDescent="0.3">
      <c r="C133" s="49">
        <v>41750</v>
      </c>
      <c r="D133" s="25">
        <v>1.605</v>
      </c>
      <c r="E133" s="64">
        <f t="shared" si="2"/>
        <v>-3.1055900621118626E-3</v>
      </c>
      <c r="H133" s="49">
        <v>41750</v>
      </c>
      <c r="I133" s="25">
        <v>6782.75</v>
      </c>
      <c r="J133" s="64">
        <f t="shared" si="3"/>
        <v>4.9415848724487788E-4</v>
      </c>
      <c r="M133" s="49"/>
      <c r="N133" s="25"/>
    </row>
    <row r="134" spans="3:14" x14ac:dyDescent="0.3">
      <c r="C134" s="49">
        <v>41757</v>
      </c>
      <c r="D134" s="25">
        <v>1.7949999999999999</v>
      </c>
      <c r="E134" s="64">
        <f t="shared" si="2"/>
        <v>0.11838006230529596</v>
      </c>
      <c r="H134" s="49">
        <v>41757</v>
      </c>
      <c r="I134" s="25">
        <v>6694.7998049999997</v>
      </c>
      <c r="J134" s="64">
        <f t="shared" si="3"/>
        <v>-1.2966745788949963E-2</v>
      </c>
      <c r="M134" s="49"/>
      <c r="N134" s="25"/>
    </row>
    <row r="135" spans="3:14" x14ac:dyDescent="0.3">
      <c r="C135" s="49">
        <v>41764</v>
      </c>
      <c r="D135" s="25">
        <v>1.895</v>
      </c>
      <c r="E135" s="64">
        <f t="shared" si="2"/>
        <v>5.5710306406685284E-2</v>
      </c>
      <c r="H135" s="49">
        <v>41764</v>
      </c>
      <c r="I135" s="25">
        <v>6858.7998049999997</v>
      </c>
      <c r="J135" s="64">
        <f t="shared" si="3"/>
        <v>2.4496624959198465E-2</v>
      </c>
      <c r="M135" s="49"/>
      <c r="N135" s="25"/>
    </row>
    <row r="136" spans="3:14" x14ac:dyDescent="0.3">
      <c r="C136" s="49">
        <v>41771</v>
      </c>
      <c r="D136" s="25">
        <v>1.57</v>
      </c>
      <c r="E136" s="64">
        <f t="shared" si="2"/>
        <v>-0.17150395778364114</v>
      </c>
      <c r="H136" s="49">
        <v>41771</v>
      </c>
      <c r="I136" s="25">
        <v>7203</v>
      </c>
      <c r="J136" s="64">
        <f t="shared" si="3"/>
        <v>5.0183735461863499E-2</v>
      </c>
      <c r="M136" s="49"/>
      <c r="N136" s="25"/>
    </row>
    <row r="137" spans="3:14" x14ac:dyDescent="0.3">
      <c r="C137" s="49">
        <v>41778</v>
      </c>
      <c r="D137" s="25">
        <v>1.8049999999999999</v>
      </c>
      <c r="E137" s="64">
        <f t="shared" si="2"/>
        <v>0.14968152866242024</v>
      </c>
      <c r="H137" s="49">
        <v>41778</v>
      </c>
      <c r="I137" s="25">
        <v>7367.1000979999999</v>
      </c>
      <c r="J137" s="64">
        <f t="shared" si="3"/>
        <v>2.2782187699569523E-2</v>
      </c>
      <c r="M137" s="49"/>
      <c r="N137" s="25"/>
    </row>
    <row r="138" spans="3:14" x14ac:dyDescent="0.3">
      <c r="C138" s="49">
        <v>41785</v>
      </c>
      <c r="D138" s="25">
        <v>1.675</v>
      </c>
      <c r="E138" s="64">
        <f t="shared" si="2"/>
        <v>-7.2022160664819923E-2</v>
      </c>
      <c r="H138" s="49">
        <v>41785</v>
      </c>
      <c r="I138" s="25">
        <v>7229.9501950000003</v>
      </c>
      <c r="J138" s="64">
        <f t="shared" si="3"/>
        <v>-1.8616538553240636E-2</v>
      </c>
      <c r="M138" s="49"/>
      <c r="N138" s="25"/>
    </row>
    <row r="139" spans="3:14" x14ac:dyDescent="0.3">
      <c r="C139" s="49">
        <v>41792</v>
      </c>
      <c r="D139" s="25">
        <v>2.5550000000000002</v>
      </c>
      <c r="E139" s="64">
        <f t="shared" ref="E139:E202" si="4">D139/D138-1</f>
        <v>0.5253731343283583</v>
      </c>
      <c r="H139" s="49">
        <v>41792</v>
      </c>
      <c r="I139" s="25">
        <v>7583.3999020000001</v>
      </c>
      <c r="J139" s="64">
        <f t="shared" ref="J139:J202" si="5">I139/I138-1</f>
        <v>4.8886879918541348E-2</v>
      </c>
      <c r="M139" s="49"/>
      <c r="N139" s="25"/>
    </row>
    <row r="140" spans="3:14" x14ac:dyDescent="0.3">
      <c r="C140" s="49">
        <v>41799</v>
      </c>
      <c r="D140" s="25">
        <v>2.2349999999999999</v>
      </c>
      <c r="E140" s="64">
        <f t="shared" si="4"/>
        <v>-0.12524461839530343</v>
      </c>
      <c r="H140" s="49">
        <v>41799</v>
      </c>
      <c r="I140" s="25">
        <v>7542.1000979999999</v>
      </c>
      <c r="J140" s="64">
        <f t="shared" si="5"/>
        <v>-5.4460801927520563E-3</v>
      </c>
      <c r="M140" s="49"/>
      <c r="N140" s="25"/>
    </row>
    <row r="141" spans="3:14" x14ac:dyDescent="0.3">
      <c r="C141" s="49">
        <v>41806</v>
      </c>
      <c r="D141" s="25">
        <v>2.2000000000000002</v>
      </c>
      <c r="E141" s="64">
        <f t="shared" si="4"/>
        <v>-1.5659955257270597E-2</v>
      </c>
      <c r="H141" s="49">
        <v>41806</v>
      </c>
      <c r="I141" s="25">
        <v>7511.4501950000003</v>
      </c>
      <c r="J141" s="64">
        <f t="shared" si="5"/>
        <v>-4.0638419805814063E-3</v>
      </c>
      <c r="M141" s="49"/>
      <c r="N141" s="25"/>
    </row>
    <row r="142" spans="3:14" x14ac:dyDescent="0.3">
      <c r="C142" s="49">
        <v>41813</v>
      </c>
      <c r="D142" s="25">
        <v>2.5249999999999999</v>
      </c>
      <c r="E142" s="64">
        <f t="shared" si="4"/>
        <v>0.14772727272727249</v>
      </c>
      <c r="H142" s="49">
        <v>41813</v>
      </c>
      <c r="I142" s="25">
        <v>7508.7998049999997</v>
      </c>
      <c r="J142" s="64">
        <f t="shared" si="5"/>
        <v>-3.528466449481682E-4</v>
      </c>
      <c r="M142" s="49"/>
      <c r="N142" s="25"/>
    </row>
    <row r="143" spans="3:14" x14ac:dyDescent="0.3">
      <c r="C143" s="49">
        <v>41820</v>
      </c>
      <c r="D143" s="25">
        <v>2.4249999999999998</v>
      </c>
      <c r="E143" s="64">
        <f t="shared" si="4"/>
        <v>-3.9603960396039639E-2</v>
      </c>
      <c r="H143" s="49">
        <v>41820</v>
      </c>
      <c r="I143" s="25">
        <v>7751.6000979999999</v>
      </c>
      <c r="J143" s="64">
        <f t="shared" si="5"/>
        <v>3.2335432999335501E-2</v>
      </c>
      <c r="M143" s="49"/>
      <c r="N143" s="25"/>
    </row>
    <row r="144" spans="3:14" x14ac:dyDescent="0.3">
      <c r="C144" s="49">
        <v>41827</v>
      </c>
      <c r="D144" s="25">
        <v>2.105</v>
      </c>
      <c r="E144" s="64">
        <f t="shared" si="4"/>
        <v>-0.13195876288659791</v>
      </c>
      <c r="H144" s="49">
        <v>41827</v>
      </c>
      <c r="I144" s="25">
        <v>7459.6000979999999</v>
      </c>
      <c r="J144" s="64">
        <f t="shared" si="5"/>
        <v>-3.7669641920168084E-2</v>
      </c>
      <c r="M144" s="49"/>
      <c r="N144" s="25"/>
    </row>
    <row r="145" spans="3:14" x14ac:dyDescent="0.3">
      <c r="C145" s="49">
        <v>41834</v>
      </c>
      <c r="D145" s="25">
        <v>2.2200000000000002</v>
      </c>
      <c r="E145" s="64">
        <f t="shared" si="4"/>
        <v>5.463182897862251E-2</v>
      </c>
      <c r="H145" s="49">
        <v>41834</v>
      </c>
      <c r="I145" s="25">
        <v>7663.8999020000001</v>
      </c>
      <c r="J145" s="64">
        <f t="shared" si="5"/>
        <v>2.7387500846697499E-2</v>
      </c>
      <c r="M145" s="49"/>
      <c r="N145" s="25"/>
    </row>
    <row r="146" spans="3:14" x14ac:dyDescent="0.3">
      <c r="C146" s="49">
        <v>41841</v>
      </c>
      <c r="D146" s="25">
        <v>2.1800000000000002</v>
      </c>
      <c r="E146" s="64">
        <f t="shared" si="4"/>
        <v>-1.8018018018018056E-2</v>
      </c>
      <c r="H146" s="49">
        <v>41841</v>
      </c>
      <c r="I146" s="25">
        <v>7790.4501950000003</v>
      </c>
      <c r="J146" s="64">
        <f t="shared" si="5"/>
        <v>1.6512519033158979E-2</v>
      </c>
      <c r="M146" s="49"/>
      <c r="N146" s="25"/>
    </row>
    <row r="147" spans="3:14" x14ac:dyDescent="0.3">
      <c r="C147" s="49">
        <v>41848</v>
      </c>
      <c r="D147" s="25">
        <v>2.2549999999999999</v>
      </c>
      <c r="E147" s="64">
        <f t="shared" si="4"/>
        <v>3.4403669724770491E-2</v>
      </c>
      <c r="H147" s="49">
        <v>41848</v>
      </c>
      <c r="I147" s="25">
        <v>7602.6000979999999</v>
      </c>
      <c r="J147" s="64">
        <f t="shared" si="5"/>
        <v>-2.4112867972709062E-2</v>
      </c>
      <c r="M147" s="49"/>
      <c r="N147" s="25"/>
    </row>
    <row r="148" spans="3:14" x14ac:dyDescent="0.3">
      <c r="C148" s="49">
        <v>41855</v>
      </c>
      <c r="D148" s="25">
        <v>2.1749999999999998</v>
      </c>
      <c r="E148" s="64">
        <f t="shared" si="4"/>
        <v>-3.5476718403547713E-2</v>
      </c>
      <c r="H148" s="49">
        <v>41855</v>
      </c>
      <c r="I148" s="25">
        <v>7568.5498049999997</v>
      </c>
      <c r="J148" s="64">
        <f t="shared" si="5"/>
        <v>-4.4787694421751789E-3</v>
      </c>
      <c r="M148" s="49"/>
      <c r="N148" s="25"/>
    </row>
    <row r="149" spans="3:14" x14ac:dyDescent="0.3">
      <c r="C149" s="49">
        <v>41862</v>
      </c>
      <c r="D149" s="25">
        <v>2.125</v>
      </c>
      <c r="E149" s="64">
        <f t="shared" si="4"/>
        <v>-2.2988505747126409E-2</v>
      </c>
      <c r="H149" s="49">
        <v>41862</v>
      </c>
      <c r="I149" s="25">
        <v>7791.7001950000003</v>
      </c>
      <c r="J149" s="64">
        <f t="shared" si="5"/>
        <v>2.9483903224443608E-2</v>
      </c>
      <c r="M149" s="49"/>
      <c r="N149" s="25"/>
    </row>
    <row r="150" spans="3:14" x14ac:dyDescent="0.3">
      <c r="C150" s="49">
        <v>41869</v>
      </c>
      <c r="D150" s="25">
        <v>2.44</v>
      </c>
      <c r="E150" s="64">
        <f t="shared" si="4"/>
        <v>0.14823529411764702</v>
      </c>
      <c r="H150" s="49">
        <v>41869</v>
      </c>
      <c r="I150" s="25">
        <v>7913.2001950000003</v>
      </c>
      <c r="J150" s="64">
        <f t="shared" si="5"/>
        <v>1.5593515787217793E-2</v>
      </c>
      <c r="M150" s="49"/>
      <c r="N150" s="25"/>
    </row>
    <row r="151" spans="3:14" x14ac:dyDescent="0.3">
      <c r="C151" s="49">
        <v>41876</v>
      </c>
      <c r="D151" s="25">
        <v>2.4700000000000002</v>
      </c>
      <c r="E151" s="64">
        <f t="shared" si="4"/>
        <v>1.2295081967213184E-2</v>
      </c>
      <c r="H151" s="49">
        <v>41876</v>
      </c>
      <c r="I151" s="25">
        <v>7954.3500979999999</v>
      </c>
      <c r="J151" s="64">
        <f t="shared" si="5"/>
        <v>5.2001594785886507E-3</v>
      </c>
      <c r="M151" s="49"/>
      <c r="N151" s="25"/>
    </row>
    <row r="152" spans="3:14" x14ac:dyDescent="0.3">
      <c r="C152" s="49">
        <v>41883</v>
      </c>
      <c r="D152" s="25">
        <v>2.395</v>
      </c>
      <c r="E152" s="64">
        <f t="shared" si="4"/>
        <v>-3.0364372469635748E-2</v>
      </c>
      <c r="H152" s="49">
        <v>41883</v>
      </c>
      <c r="I152" s="25">
        <v>8086.8500979999999</v>
      </c>
      <c r="J152" s="64">
        <f t="shared" si="5"/>
        <v>1.6657551951769767E-2</v>
      </c>
      <c r="M152" s="49"/>
      <c r="N152" s="25"/>
    </row>
    <row r="153" spans="3:14" x14ac:dyDescent="0.3">
      <c r="C153" s="49">
        <v>41890</v>
      </c>
      <c r="D153" s="25">
        <v>2.76</v>
      </c>
      <c r="E153" s="64">
        <f t="shared" si="4"/>
        <v>0.15240083507306879</v>
      </c>
      <c r="H153" s="49">
        <v>41890</v>
      </c>
      <c r="I153" s="25">
        <v>8105.5</v>
      </c>
      <c r="J153" s="64">
        <f t="shared" si="5"/>
        <v>2.3062010268513067E-3</v>
      </c>
      <c r="M153" s="49"/>
      <c r="N153" s="25"/>
    </row>
    <row r="154" spans="3:14" x14ac:dyDescent="0.3">
      <c r="C154" s="49">
        <v>41897</v>
      </c>
      <c r="D154" s="25">
        <v>2.73</v>
      </c>
      <c r="E154" s="64">
        <f t="shared" si="4"/>
        <v>-1.0869565217391242E-2</v>
      </c>
      <c r="H154" s="49">
        <v>41897</v>
      </c>
      <c r="I154" s="25">
        <v>8121.4501950000003</v>
      </c>
      <c r="J154" s="64">
        <f t="shared" si="5"/>
        <v>1.9678236999569609E-3</v>
      </c>
      <c r="M154" s="49"/>
      <c r="N154" s="25"/>
    </row>
    <row r="155" spans="3:14" x14ac:dyDescent="0.3">
      <c r="C155" s="49">
        <v>41904</v>
      </c>
      <c r="D155" s="25">
        <v>2.7650000000000001</v>
      </c>
      <c r="E155" s="64">
        <f t="shared" si="4"/>
        <v>1.2820512820512775E-2</v>
      </c>
      <c r="H155" s="49">
        <v>41904</v>
      </c>
      <c r="I155" s="25">
        <v>7968.8500979999999</v>
      </c>
      <c r="J155" s="64">
        <f t="shared" si="5"/>
        <v>-1.8789759628637381E-2</v>
      </c>
      <c r="M155" s="49"/>
      <c r="N155" s="25"/>
    </row>
    <row r="156" spans="3:14" x14ac:dyDescent="0.3">
      <c r="C156" s="49">
        <v>41911</v>
      </c>
      <c r="D156" s="25">
        <v>2.99</v>
      </c>
      <c r="E156" s="64">
        <f t="shared" si="4"/>
        <v>8.1374321880651079E-2</v>
      </c>
      <c r="H156" s="49">
        <v>41911</v>
      </c>
      <c r="I156" s="25">
        <v>7945.5498049999997</v>
      </c>
      <c r="J156" s="64">
        <f t="shared" si="5"/>
        <v>-2.9239216089468334E-3</v>
      </c>
      <c r="M156" s="49"/>
      <c r="N156" s="25"/>
    </row>
    <row r="157" spans="3:14" x14ac:dyDescent="0.3">
      <c r="C157" s="49">
        <v>41918</v>
      </c>
      <c r="D157" s="25">
        <v>3.145</v>
      </c>
      <c r="E157" s="64">
        <f t="shared" si="4"/>
        <v>5.1839464882942998E-2</v>
      </c>
      <c r="H157" s="49">
        <v>41918</v>
      </c>
      <c r="I157" s="25">
        <v>7859.9501950000003</v>
      </c>
      <c r="J157" s="64">
        <f t="shared" si="5"/>
        <v>-1.077327713006504E-2</v>
      </c>
      <c r="M157" s="49"/>
      <c r="N157" s="25"/>
    </row>
    <row r="158" spans="3:14" x14ac:dyDescent="0.3">
      <c r="C158" s="49">
        <v>41925</v>
      </c>
      <c r="D158" s="25">
        <v>3.15</v>
      </c>
      <c r="E158" s="64">
        <f t="shared" si="4"/>
        <v>1.5898251192367763E-3</v>
      </c>
      <c r="H158" s="49">
        <v>41925</v>
      </c>
      <c r="I158" s="25">
        <v>7779.7001950000003</v>
      </c>
      <c r="J158" s="64">
        <f t="shared" si="5"/>
        <v>-1.0209988359856315E-2</v>
      </c>
      <c r="M158" s="49"/>
      <c r="N158" s="25"/>
    </row>
    <row r="159" spans="3:14" x14ac:dyDescent="0.3">
      <c r="C159" s="49">
        <v>41932</v>
      </c>
      <c r="D159" s="25">
        <v>3.17</v>
      </c>
      <c r="E159" s="64">
        <f t="shared" si="4"/>
        <v>6.3492063492063266E-3</v>
      </c>
      <c r="H159" s="49">
        <v>41932</v>
      </c>
      <c r="I159" s="25">
        <v>8014.5498049999997</v>
      </c>
      <c r="J159" s="64">
        <f t="shared" si="5"/>
        <v>3.0187488478146784E-2</v>
      </c>
      <c r="M159" s="49"/>
      <c r="N159" s="25"/>
    </row>
    <row r="160" spans="3:14" x14ac:dyDescent="0.3">
      <c r="C160" s="49">
        <v>41939</v>
      </c>
      <c r="D160" s="25">
        <v>3.19</v>
      </c>
      <c r="E160" s="64">
        <f t="shared" si="4"/>
        <v>6.3091482649841879E-3</v>
      </c>
      <c r="H160" s="49">
        <v>41939</v>
      </c>
      <c r="I160" s="25">
        <v>8322.2001949999994</v>
      </c>
      <c r="J160" s="64">
        <f t="shared" si="5"/>
        <v>3.8386484267409093E-2</v>
      </c>
      <c r="M160" s="49"/>
      <c r="N160" s="25"/>
    </row>
    <row r="161" spans="3:14" x14ac:dyDescent="0.3">
      <c r="C161" s="49">
        <v>41946</v>
      </c>
      <c r="D161" s="25">
        <v>3.2650000000000001</v>
      </c>
      <c r="E161" s="64">
        <f t="shared" si="4"/>
        <v>2.3510971786833812E-2</v>
      </c>
      <c r="H161" s="49">
        <v>41946</v>
      </c>
      <c r="I161" s="25">
        <v>8337</v>
      </c>
      <c r="J161" s="64">
        <f t="shared" si="5"/>
        <v>1.7783524372427806E-3</v>
      </c>
      <c r="M161" s="49"/>
      <c r="N161" s="25"/>
    </row>
    <row r="162" spans="3:14" x14ac:dyDescent="0.3">
      <c r="C162" s="49">
        <v>41953</v>
      </c>
      <c r="D162" s="25">
        <v>3.1749999999999998</v>
      </c>
      <c r="E162" s="64">
        <f t="shared" si="4"/>
        <v>-2.7565084226646386E-2</v>
      </c>
      <c r="H162" s="49">
        <v>41953</v>
      </c>
      <c r="I162" s="25">
        <v>8389.9003909999992</v>
      </c>
      <c r="J162" s="64">
        <f t="shared" si="5"/>
        <v>6.3452550077964798E-3</v>
      </c>
      <c r="M162" s="49"/>
      <c r="N162" s="25"/>
    </row>
    <row r="163" spans="3:14" x14ac:dyDescent="0.3">
      <c r="C163" s="49">
        <v>41960</v>
      </c>
      <c r="D163" s="25">
        <v>2.9550000000000001</v>
      </c>
      <c r="E163" s="64">
        <f t="shared" si="4"/>
        <v>-6.9291338582677109E-2</v>
      </c>
      <c r="H163" s="49">
        <v>41960</v>
      </c>
      <c r="I163" s="25">
        <v>8477.3496090000008</v>
      </c>
      <c r="J163" s="64">
        <f t="shared" si="5"/>
        <v>1.0423153306302613E-2</v>
      </c>
      <c r="M163" s="49"/>
      <c r="N163" s="25"/>
    </row>
    <row r="164" spans="3:14" x14ac:dyDescent="0.3">
      <c r="C164" s="49">
        <v>41967</v>
      </c>
      <c r="D164" s="25">
        <v>2.7549999999999999</v>
      </c>
      <c r="E164" s="64">
        <f t="shared" si="4"/>
        <v>-6.7681895093062661E-2</v>
      </c>
      <c r="H164" s="49">
        <v>41967</v>
      </c>
      <c r="I164" s="25">
        <v>8588.25</v>
      </c>
      <c r="J164" s="64">
        <f t="shared" si="5"/>
        <v>1.3081965014426489E-2</v>
      </c>
      <c r="M164" s="49"/>
      <c r="N164" s="25"/>
    </row>
    <row r="165" spans="3:14" x14ac:dyDescent="0.3">
      <c r="C165" s="49">
        <v>41974</v>
      </c>
      <c r="D165" s="25">
        <v>2.7450000000000001</v>
      </c>
      <c r="E165" s="64">
        <f t="shared" si="4"/>
        <v>-3.6297640653356611E-3</v>
      </c>
      <c r="H165" s="49">
        <v>41974</v>
      </c>
      <c r="I165" s="25">
        <v>8538.2998050000006</v>
      </c>
      <c r="J165" s="64">
        <f t="shared" si="5"/>
        <v>-5.8161086368002657E-3</v>
      </c>
      <c r="M165" s="49"/>
      <c r="N165" s="25"/>
    </row>
    <row r="166" spans="3:14" x14ac:dyDescent="0.3">
      <c r="C166" s="49">
        <v>41981</v>
      </c>
      <c r="D166" s="25">
        <v>2.52</v>
      </c>
      <c r="E166" s="64">
        <f t="shared" si="4"/>
        <v>-8.1967213114754078E-2</v>
      </c>
      <c r="H166" s="49">
        <v>41981</v>
      </c>
      <c r="I166" s="25">
        <v>8224.0996090000008</v>
      </c>
      <c r="J166" s="64">
        <f t="shared" si="5"/>
        <v>-3.6798918189310359E-2</v>
      </c>
      <c r="M166" s="49"/>
      <c r="N166" s="25"/>
    </row>
    <row r="167" spans="3:14" x14ac:dyDescent="0.3">
      <c r="C167" s="49">
        <v>41988</v>
      </c>
      <c r="D167" s="25">
        <v>2.5150000000000001</v>
      </c>
      <c r="E167" s="64">
        <f t="shared" si="4"/>
        <v>-1.9841269841269771E-3</v>
      </c>
      <c r="H167" s="49">
        <v>41988</v>
      </c>
      <c r="I167" s="25">
        <v>8225.2001949999994</v>
      </c>
      <c r="J167" s="64">
        <f t="shared" si="5"/>
        <v>1.3382449779597572E-4</v>
      </c>
      <c r="M167" s="49"/>
      <c r="N167" s="25"/>
    </row>
    <row r="168" spans="3:14" x14ac:dyDescent="0.3">
      <c r="C168" s="49">
        <v>41995</v>
      </c>
      <c r="D168" s="25">
        <v>2.5350000000000001</v>
      </c>
      <c r="E168" s="64">
        <f t="shared" si="4"/>
        <v>7.9522862823062646E-3</v>
      </c>
      <c r="H168" s="49">
        <v>41995</v>
      </c>
      <c r="I168" s="25">
        <v>8200.7001949999994</v>
      </c>
      <c r="J168" s="64">
        <f t="shared" si="5"/>
        <v>-2.9786509044354981E-3</v>
      </c>
      <c r="M168" s="49"/>
      <c r="N168" s="25"/>
    </row>
    <row r="169" spans="3:14" x14ac:dyDescent="0.3">
      <c r="C169" s="49">
        <v>42002</v>
      </c>
      <c r="D169" s="25">
        <v>2.6150000000000002</v>
      </c>
      <c r="E169" s="64">
        <f t="shared" si="4"/>
        <v>3.155818540433919E-2</v>
      </c>
      <c r="H169" s="49">
        <v>42002</v>
      </c>
      <c r="I169" s="25">
        <v>8395.4501949999994</v>
      </c>
      <c r="J169" s="64">
        <f t="shared" si="5"/>
        <v>2.3747972169344767E-2</v>
      </c>
      <c r="M169" s="49"/>
      <c r="N169" s="25"/>
    </row>
    <row r="170" spans="3:14" x14ac:dyDescent="0.3">
      <c r="C170" s="49">
        <v>42009</v>
      </c>
      <c r="D170" s="25">
        <v>2.4700000000000002</v>
      </c>
      <c r="E170" s="64">
        <f t="shared" si="4"/>
        <v>-5.5449330783938766E-2</v>
      </c>
      <c r="H170" s="49">
        <v>42009</v>
      </c>
      <c r="I170" s="25">
        <v>8284.5</v>
      </c>
      <c r="J170" s="64">
        <f t="shared" si="5"/>
        <v>-1.3215514644596027E-2</v>
      </c>
      <c r="M170" s="49"/>
      <c r="N170" s="25"/>
    </row>
    <row r="171" spans="3:14" x14ac:dyDescent="0.3">
      <c r="C171" s="49">
        <v>42016</v>
      </c>
      <c r="D171" s="25">
        <v>2.46</v>
      </c>
      <c r="E171" s="64">
        <f t="shared" si="4"/>
        <v>-4.0485829959514552E-3</v>
      </c>
      <c r="H171" s="49">
        <v>42016</v>
      </c>
      <c r="I171" s="25">
        <v>8513.7998050000006</v>
      </c>
      <c r="J171" s="64">
        <f t="shared" si="5"/>
        <v>2.7678170680185854E-2</v>
      </c>
      <c r="M171" s="49"/>
      <c r="N171" s="25"/>
    </row>
    <row r="172" spans="3:14" x14ac:dyDescent="0.3">
      <c r="C172" s="49">
        <v>42023</v>
      </c>
      <c r="D172" s="25">
        <v>2.3849999999999998</v>
      </c>
      <c r="E172" s="64">
        <f t="shared" si="4"/>
        <v>-3.0487804878048808E-2</v>
      </c>
      <c r="H172" s="49">
        <v>42023</v>
      </c>
      <c r="I172" s="25">
        <v>8835.5996090000008</v>
      </c>
      <c r="J172" s="64">
        <f t="shared" si="5"/>
        <v>3.7797436088526926E-2</v>
      </c>
      <c r="M172" s="49"/>
      <c r="N172" s="25"/>
    </row>
    <row r="173" spans="3:14" x14ac:dyDescent="0.3">
      <c r="C173" s="49">
        <v>42030</v>
      </c>
      <c r="D173" s="25">
        <v>2.41</v>
      </c>
      <c r="E173" s="64">
        <f t="shared" si="4"/>
        <v>1.048218029350112E-2</v>
      </c>
      <c r="H173" s="49">
        <v>42030</v>
      </c>
      <c r="I173" s="25">
        <v>8808.9003909999992</v>
      </c>
      <c r="J173" s="64">
        <f t="shared" si="5"/>
        <v>-3.02177771532397E-3</v>
      </c>
      <c r="M173" s="49"/>
      <c r="N173" s="25"/>
    </row>
    <row r="174" spans="3:14" x14ac:dyDescent="0.3">
      <c r="C174" s="49">
        <v>42037</v>
      </c>
      <c r="D174" s="25">
        <v>2.3199999999999998</v>
      </c>
      <c r="E174" s="64">
        <f t="shared" si="4"/>
        <v>-3.7344398340249052E-2</v>
      </c>
      <c r="H174" s="49">
        <v>42037</v>
      </c>
      <c r="I174" s="25">
        <v>8661.0498050000006</v>
      </c>
      <c r="J174" s="64">
        <f t="shared" si="5"/>
        <v>-1.6784227251684714E-2</v>
      </c>
      <c r="M174" s="49"/>
      <c r="N174" s="25"/>
    </row>
    <row r="175" spans="3:14" x14ac:dyDescent="0.3">
      <c r="C175" s="49">
        <v>42044</v>
      </c>
      <c r="D175" s="25">
        <v>2.37</v>
      </c>
      <c r="E175" s="64">
        <f t="shared" si="4"/>
        <v>2.155172413793105E-2</v>
      </c>
      <c r="H175" s="49">
        <v>42044</v>
      </c>
      <c r="I175" s="25">
        <v>8805.5</v>
      </c>
      <c r="J175" s="64">
        <f t="shared" si="5"/>
        <v>1.6678139284756144E-2</v>
      </c>
      <c r="M175" s="49"/>
      <c r="N175" s="25"/>
    </row>
    <row r="176" spans="3:14" x14ac:dyDescent="0.3">
      <c r="C176" s="49">
        <v>42051</v>
      </c>
      <c r="D176" s="25">
        <v>2.395</v>
      </c>
      <c r="E176" s="64">
        <f t="shared" si="4"/>
        <v>1.0548523206751037E-2</v>
      </c>
      <c r="H176" s="49">
        <v>42051</v>
      </c>
      <c r="I176" s="25">
        <v>8833.5996090000008</v>
      </c>
      <c r="J176" s="64">
        <f t="shared" si="5"/>
        <v>3.1911429220374821E-3</v>
      </c>
      <c r="M176" s="49"/>
      <c r="N176" s="25"/>
    </row>
    <row r="177" spans="3:14" x14ac:dyDescent="0.3">
      <c r="C177" s="49">
        <v>42058</v>
      </c>
      <c r="D177" s="25">
        <v>2.4249999999999998</v>
      </c>
      <c r="E177" s="64">
        <f t="shared" si="4"/>
        <v>1.2526096033402823E-2</v>
      </c>
      <c r="H177" s="49">
        <v>42058</v>
      </c>
      <c r="I177" s="25">
        <v>8844.5996090000008</v>
      </c>
      <c r="J177" s="64">
        <f t="shared" si="5"/>
        <v>1.2452454816711533E-3</v>
      </c>
      <c r="M177" s="49"/>
      <c r="N177" s="25"/>
    </row>
    <row r="178" spans="3:14" x14ac:dyDescent="0.3">
      <c r="C178" s="49">
        <v>42065</v>
      </c>
      <c r="D178" s="25">
        <v>2.29</v>
      </c>
      <c r="E178" s="64">
        <f t="shared" si="4"/>
        <v>-5.5670103092783418E-2</v>
      </c>
      <c r="H178" s="49">
        <v>42065</v>
      </c>
      <c r="I178" s="25">
        <v>8937.75</v>
      </c>
      <c r="J178" s="64">
        <f t="shared" si="5"/>
        <v>1.0531894615694259E-2</v>
      </c>
      <c r="M178" s="49"/>
      <c r="N178" s="25"/>
    </row>
    <row r="179" spans="3:14" x14ac:dyDescent="0.3">
      <c r="C179" s="49">
        <v>42072</v>
      </c>
      <c r="D179" s="25">
        <v>2.29</v>
      </c>
      <c r="E179" s="64">
        <f t="shared" si="4"/>
        <v>0</v>
      </c>
      <c r="H179" s="49">
        <v>42072</v>
      </c>
      <c r="I179" s="25">
        <v>8647.75</v>
      </c>
      <c r="J179" s="64">
        <f t="shared" si="5"/>
        <v>-3.2446644849095096E-2</v>
      </c>
      <c r="M179" s="49"/>
      <c r="N179" s="25"/>
    </row>
    <row r="180" spans="3:14" x14ac:dyDescent="0.3">
      <c r="C180" s="49">
        <v>42079</v>
      </c>
      <c r="D180" s="25">
        <v>2.1150000000000002</v>
      </c>
      <c r="E180" s="64">
        <f t="shared" si="4"/>
        <v>-7.6419213973799027E-2</v>
      </c>
      <c r="H180" s="49">
        <v>42079</v>
      </c>
      <c r="I180" s="25">
        <v>8570.9003909999992</v>
      </c>
      <c r="J180" s="64">
        <f t="shared" si="5"/>
        <v>-8.8866594200804894E-3</v>
      </c>
      <c r="M180" s="49"/>
      <c r="N180" s="25"/>
    </row>
    <row r="181" spans="3:14" x14ac:dyDescent="0.3">
      <c r="C181" s="49">
        <v>42086</v>
      </c>
      <c r="D181" s="25">
        <v>2.0750000000000002</v>
      </c>
      <c r="E181" s="64">
        <f t="shared" si="4"/>
        <v>-1.891252955082745E-2</v>
      </c>
      <c r="H181" s="49">
        <v>42086</v>
      </c>
      <c r="I181" s="25">
        <v>8341.4003909999992</v>
      </c>
      <c r="J181" s="64">
        <f t="shared" si="5"/>
        <v>-2.6776650005288838E-2</v>
      </c>
      <c r="M181" s="49"/>
      <c r="N181" s="25"/>
    </row>
    <row r="182" spans="3:14" x14ac:dyDescent="0.3">
      <c r="C182" s="49">
        <v>42093</v>
      </c>
      <c r="D182" s="25">
        <v>2.2799999999999998</v>
      </c>
      <c r="E182" s="64">
        <f t="shared" si="4"/>
        <v>9.8795180722891285E-2</v>
      </c>
      <c r="H182" s="49">
        <v>42093</v>
      </c>
      <c r="I182" s="25">
        <v>8586.25</v>
      </c>
      <c r="J182" s="64">
        <f t="shared" si="5"/>
        <v>2.935353747845304E-2</v>
      </c>
      <c r="M182" s="49"/>
      <c r="N182" s="25"/>
    </row>
    <row r="183" spans="3:14" x14ac:dyDescent="0.3">
      <c r="C183" s="49">
        <v>42100</v>
      </c>
      <c r="D183" s="25">
        <v>2.5099999999999998</v>
      </c>
      <c r="E183" s="64">
        <f t="shared" si="4"/>
        <v>0.10087719298245612</v>
      </c>
      <c r="H183" s="49">
        <v>42100</v>
      </c>
      <c r="I183" s="25">
        <v>8780.3496090000008</v>
      </c>
      <c r="J183" s="64">
        <f t="shared" si="5"/>
        <v>2.2605865074974529E-2</v>
      </c>
      <c r="M183" s="49"/>
      <c r="N183" s="25"/>
    </row>
    <row r="184" spans="3:14" x14ac:dyDescent="0.3">
      <c r="C184" s="49">
        <v>42107</v>
      </c>
      <c r="D184" s="25">
        <v>2.38</v>
      </c>
      <c r="E184" s="64">
        <f t="shared" si="4"/>
        <v>-5.1792828685258918E-2</v>
      </c>
      <c r="H184" s="49">
        <v>42107</v>
      </c>
      <c r="I184" s="25">
        <v>8606</v>
      </c>
      <c r="J184" s="64">
        <f t="shared" si="5"/>
        <v>-1.9856795772834612E-2</v>
      </c>
      <c r="M184" s="49"/>
      <c r="N184" s="25"/>
    </row>
    <row r="185" spans="3:14" x14ac:dyDescent="0.3">
      <c r="C185" s="49">
        <v>42114</v>
      </c>
      <c r="D185" s="25">
        <v>2.35</v>
      </c>
      <c r="E185" s="64">
        <f t="shared" si="4"/>
        <v>-1.2605042016806678E-2</v>
      </c>
      <c r="H185" s="49">
        <v>42114</v>
      </c>
      <c r="I185" s="25">
        <v>8305.25</v>
      </c>
      <c r="J185" s="64">
        <f t="shared" si="5"/>
        <v>-3.4946548919358555E-2</v>
      </c>
      <c r="M185" s="49"/>
      <c r="N185" s="25"/>
    </row>
    <row r="186" spans="3:14" x14ac:dyDescent="0.3">
      <c r="C186" s="49">
        <v>42121</v>
      </c>
      <c r="D186" s="25">
        <v>2.4</v>
      </c>
      <c r="E186" s="64">
        <f t="shared" si="4"/>
        <v>2.1276595744680771E-2</v>
      </c>
      <c r="H186" s="49">
        <v>42121</v>
      </c>
      <c r="I186" s="25">
        <v>8181.5</v>
      </c>
      <c r="J186" s="64">
        <f t="shared" si="5"/>
        <v>-1.4900213720237199E-2</v>
      </c>
      <c r="M186" s="49"/>
      <c r="N186" s="25"/>
    </row>
    <row r="187" spans="3:14" x14ac:dyDescent="0.3">
      <c r="C187" s="49">
        <v>42128</v>
      </c>
      <c r="D187" s="25">
        <v>2.3149999999999999</v>
      </c>
      <c r="E187" s="64">
        <f t="shared" si="4"/>
        <v>-3.5416666666666652E-2</v>
      </c>
      <c r="H187" s="49">
        <v>42128</v>
      </c>
      <c r="I187" s="25">
        <v>8191.5</v>
      </c>
      <c r="J187" s="64">
        <f t="shared" si="5"/>
        <v>1.2222697549348904E-3</v>
      </c>
      <c r="M187" s="49"/>
      <c r="N187" s="25"/>
    </row>
    <row r="188" spans="3:14" x14ac:dyDescent="0.3">
      <c r="C188" s="49">
        <v>42135</v>
      </c>
      <c r="D188" s="25">
        <v>2.61</v>
      </c>
      <c r="E188" s="64">
        <f t="shared" si="4"/>
        <v>0.12742980561555073</v>
      </c>
      <c r="H188" s="49">
        <v>42135</v>
      </c>
      <c r="I188" s="25">
        <v>8262.3496090000008</v>
      </c>
      <c r="J188" s="64">
        <f t="shared" si="5"/>
        <v>8.649161814075601E-3</v>
      </c>
      <c r="M188" s="49"/>
      <c r="N188" s="25"/>
    </row>
    <row r="189" spans="3:14" x14ac:dyDescent="0.3">
      <c r="C189" s="49">
        <v>42142</v>
      </c>
      <c r="D189" s="25">
        <v>2.67</v>
      </c>
      <c r="E189" s="64">
        <f t="shared" si="4"/>
        <v>2.2988505747126409E-2</v>
      </c>
      <c r="H189" s="49">
        <v>42142</v>
      </c>
      <c r="I189" s="25">
        <v>8458.9501949999994</v>
      </c>
      <c r="J189" s="64">
        <f t="shared" si="5"/>
        <v>2.3794755160910341E-2</v>
      </c>
      <c r="M189" s="49"/>
      <c r="N189" s="25"/>
    </row>
    <row r="190" spans="3:14" x14ac:dyDescent="0.3">
      <c r="C190" s="49">
        <v>42149</v>
      </c>
      <c r="D190" s="25">
        <v>2.7050000000000001</v>
      </c>
      <c r="E190" s="64">
        <f t="shared" si="4"/>
        <v>1.3108614232209881E-2</v>
      </c>
      <c r="H190" s="49">
        <v>42149</v>
      </c>
      <c r="I190" s="25">
        <v>8433.6503909999992</v>
      </c>
      <c r="J190" s="64">
        <f t="shared" si="5"/>
        <v>-2.9908917084007225E-3</v>
      </c>
      <c r="M190" s="49"/>
      <c r="N190" s="25"/>
    </row>
    <row r="191" spans="3:14" x14ac:dyDescent="0.3">
      <c r="C191" s="49">
        <v>42156</v>
      </c>
      <c r="D191" s="25">
        <v>2.4849999999999999</v>
      </c>
      <c r="E191" s="64">
        <f t="shared" si="4"/>
        <v>-8.133086876155271E-2</v>
      </c>
      <c r="H191" s="49">
        <v>42156</v>
      </c>
      <c r="I191" s="25">
        <v>8114.7001950000003</v>
      </c>
      <c r="J191" s="64">
        <f t="shared" si="5"/>
        <v>-3.7818759518460476E-2</v>
      </c>
      <c r="M191" s="49"/>
      <c r="N191" s="25"/>
    </row>
    <row r="192" spans="3:14" x14ac:dyDescent="0.3">
      <c r="C192" s="49">
        <v>42163</v>
      </c>
      <c r="D192" s="25">
        <v>2.2749999999999999</v>
      </c>
      <c r="E192" s="64">
        <f t="shared" si="4"/>
        <v>-8.4507042253521125E-2</v>
      </c>
      <c r="H192" s="49">
        <v>42163</v>
      </c>
      <c r="I192" s="25">
        <v>7982.8999020000001</v>
      </c>
      <c r="J192" s="64">
        <f t="shared" si="5"/>
        <v>-1.6242164199881448E-2</v>
      </c>
      <c r="M192" s="49"/>
      <c r="N192" s="25"/>
    </row>
    <row r="193" spans="3:14" x14ac:dyDescent="0.3">
      <c r="C193" s="49">
        <v>42170</v>
      </c>
      <c r="D193" s="25">
        <v>2.375</v>
      </c>
      <c r="E193" s="64">
        <f t="shared" si="4"/>
        <v>4.3956043956044022E-2</v>
      </c>
      <c r="H193" s="49">
        <v>42170</v>
      </c>
      <c r="I193" s="25">
        <v>8224.9501949999994</v>
      </c>
      <c r="J193" s="64">
        <f t="shared" si="5"/>
        <v>3.0321098344143982E-2</v>
      </c>
      <c r="M193" s="49"/>
      <c r="N193" s="25"/>
    </row>
    <row r="194" spans="3:14" x14ac:dyDescent="0.3">
      <c r="C194" s="49">
        <v>42177</v>
      </c>
      <c r="D194" s="25">
        <v>2.34</v>
      </c>
      <c r="E194" s="64">
        <f t="shared" si="4"/>
        <v>-1.473684210526327E-2</v>
      </c>
      <c r="H194" s="49">
        <v>42177</v>
      </c>
      <c r="I194" s="25">
        <v>8381.0996090000008</v>
      </c>
      <c r="J194" s="64">
        <f t="shared" si="5"/>
        <v>1.8984846144712852E-2</v>
      </c>
      <c r="M194" s="49"/>
      <c r="N194" s="25"/>
    </row>
    <row r="195" spans="3:14" x14ac:dyDescent="0.3">
      <c r="C195" s="49">
        <v>42184</v>
      </c>
      <c r="D195" s="25">
        <v>2.59</v>
      </c>
      <c r="E195" s="64">
        <f t="shared" si="4"/>
        <v>0.1068376068376069</v>
      </c>
      <c r="H195" s="49">
        <v>42184</v>
      </c>
      <c r="I195" s="25">
        <v>8484.9003909999992</v>
      </c>
      <c r="J195" s="64">
        <f t="shared" si="5"/>
        <v>1.2385103010651877E-2</v>
      </c>
      <c r="M195" s="49"/>
      <c r="N195" s="25"/>
    </row>
    <row r="196" spans="3:14" x14ac:dyDescent="0.3">
      <c r="C196" s="49">
        <v>42191</v>
      </c>
      <c r="D196" s="25">
        <v>3.22</v>
      </c>
      <c r="E196" s="64">
        <f t="shared" si="4"/>
        <v>0.24324324324324342</v>
      </c>
      <c r="H196" s="49">
        <v>42191</v>
      </c>
      <c r="I196" s="25">
        <v>8360.5498050000006</v>
      </c>
      <c r="J196" s="64">
        <f t="shared" si="5"/>
        <v>-1.4655515123300433E-2</v>
      </c>
      <c r="M196" s="49"/>
      <c r="N196" s="25"/>
    </row>
    <row r="197" spans="3:14" x14ac:dyDescent="0.3">
      <c r="C197" s="49">
        <v>42198</v>
      </c>
      <c r="D197" s="25">
        <v>3.28</v>
      </c>
      <c r="E197" s="64">
        <f t="shared" si="4"/>
        <v>1.8633540372670732E-2</v>
      </c>
      <c r="H197" s="49">
        <v>42198</v>
      </c>
      <c r="I197" s="25">
        <v>8609.8496090000008</v>
      </c>
      <c r="J197" s="64">
        <f t="shared" si="5"/>
        <v>2.9818589663912709E-2</v>
      </c>
      <c r="M197" s="49"/>
      <c r="N197" s="25"/>
    </row>
    <row r="198" spans="3:14" x14ac:dyDescent="0.3">
      <c r="C198" s="49">
        <v>42205</v>
      </c>
      <c r="D198" s="25">
        <v>3.105</v>
      </c>
      <c r="E198" s="64">
        <f t="shared" si="4"/>
        <v>-5.3353658536585358E-2</v>
      </c>
      <c r="H198" s="49">
        <v>42205</v>
      </c>
      <c r="I198" s="25">
        <v>8521.5498050000006</v>
      </c>
      <c r="J198" s="64">
        <f t="shared" si="5"/>
        <v>-1.0255673212653971E-2</v>
      </c>
      <c r="M198" s="49"/>
      <c r="N198" s="25"/>
    </row>
    <row r="199" spans="3:14" x14ac:dyDescent="0.3">
      <c r="C199" s="49">
        <v>42212</v>
      </c>
      <c r="D199" s="25">
        <v>3.72</v>
      </c>
      <c r="E199" s="64">
        <f t="shared" si="4"/>
        <v>0.19806763285024154</v>
      </c>
      <c r="H199" s="49">
        <v>42212</v>
      </c>
      <c r="I199" s="25">
        <v>8532.8496090000008</v>
      </c>
      <c r="J199" s="64">
        <f t="shared" si="5"/>
        <v>1.3260268681842824E-3</v>
      </c>
      <c r="M199" s="49"/>
      <c r="N199" s="25"/>
    </row>
    <row r="200" spans="3:14" x14ac:dyDescent="0.3">
      <c r="C200" s="49">
        <v>42219</v>
      </c>
      <c r="D200" s="25">
        <v>4.6349999999999998</v>
      </c>
      <c r="E200" s="64">
        <f t="shared" si="4"/>
        <v>0.24596774193548376</v>
      </c>
      <c r="H200" s="49">
        <v>42219</v>
      </c>
      <c r="I200" s="25">
        <v>8564.5996090000008</v>
      </c>
      <c r="J200" s="64">
        <f t="shared" si="5"/>
        <v>3.7209140503908777E-3</v>
      </c>
      <c r="M200" s="49"/>
      <c r="N200" s="25"/>
    </row>
    <row r="201" spans="3:14" x14ac:dyDescent="0.3">
      <c r="C201" s="49">
        <v>42226</v>
      </c>
      <c r="D201" s="25">
        <v>4.1150000000000002</v>
      </c>
      <c r="E201" s="64">
        <f t="shared" si="4"/>
        <v>-0.11218985976267526</v>
      </c>
      <c r="H201" s="49">
        <v>42226</v>
      </c>
      <c r="I201" s="25">
        <v>8518.5498050000006</v>
      </c>
      <c r="J201" s="64">
        <f t="shared" si="5"/>
        <v>-5.3767608647589116E-3</v>
      </c>
      <c r="M201" s="49"/>
      <c r="N201" s="25"/>
    </row>
    <row r="202" spans="3:14" x14ac:dyDescent="0.3">
      <c r="C202" s="49">
        <v>42233</v>
      </c>
      <c r="D202" s="25">
        <v>4.1849999999999996</v>
      </c>
      <c r="E202" s="64">
        <f t="shared" si="4"/>
        <v>1.7010935601457833E-2</v>
      </c>
      <c r="H202" s="49">
        <v>42233</v>
      </c>
      <c r="I202" s="25">
        <v>8299.9501949999994</v>
      </c>
      <c r="J202" s="64">
        <f t="shared" si="5"/>
        <v>-2.5661599098909194E-2</v>
      </c>
      <c r="M202" s="49"/>
      <c r="N202" s="25"/>
    </row>
    <row r="203" spans="3:14" x14ac:dyDescent="0.3">
      <c r="C203" s="49">
        <v>42240</v>
      </c>
      <c r="D203" s="25">
        <v>3.81</v>
      </c>
      <c r="E203" s="64">
        <f t="shared" ref="E203:E266" si="6">D203/D202-1</f>
        <v>-8.9605734767025047E-2</v>
      </c>
      <c r="H203" s="49">
        <v>42240</v>
      </c>
      <c r="I203" s="25">
        <v>8001.9501950000003</v>
      </c>
      <c r="J203" s="64">
        <f t="shared" ref="J203:J266" si="7">I203/I202-1</f>
        <v>-3.5903829902439455E-2</v>
      </c>
      <c r="M203" s="49"/>
      <c r="N203" s="25"/>
    </row>
    <row r="204" spans="3:14" x14ac:dyDescent="0.3">
      <c r="C204" s="49">
        <v>42247</v>
      </c>
      <c r="D204" s="25">
        <v>3.5150000000000001</v>
      </c>
      <c r="E204" s="64">
        <f t="shared" si="6"/>
        <v>-7.7427821522309648E-2</v>
      </c>
      <c r="H204" s="49">
        <v>42247</v>
      </c>
      <c r="I204" s="25">
        <v>7655.0498049999997</v>
      </c>
      <c r="J204" s="64">
        <f t="shared" si="7"/>
        <v>-4.33519806480126E-2</v>
      </c>
      <c r="M204" s="49"/>
      <c r="N204" s="25"/>
    </row>
    <row r="205" spans="3:14" x14ac:dyDescent="0.3">
      <c r="C205" s="49">
        <v>42254</v>
      </c>
      <c r="D205" s="25">
        <v>3.4849999999999999</v>
      </c>
      <c r="E205" s="64">
        <f t="shared" si="6"/>
        <v>-8.5348506401138335E-3</v>
      </c>
      <c r="H205" s="49">
        <v>42254</v>
      </c>
      <c r="I205" s="25">
        <v>7789.2998049999997</v>
      </c>
      <c r="J205" s="64">
        <f t="shared" si="7"/>
        <v>1.7537443049986834E-2</v>
      </c>
      <c r="M205" s="49"/>
      <c r="N205" s="25"/>
    </row>
    <row r="206" spans="3:14" x14ac:dyDescent="0.3">
      <c r="C206" s="49">
        <v>42261</v>
      </c>
      <c r="D206" s="25">
        <v>3.4950000000000001</v>
      </c>
      <c r="E206" s="64">
        <f t="shared" si="6"/>
        <v>2.8694404591105283E-3</v>
      </c>
      <c r="H206" s="49">
        <v>42261</v>
      </c>
      <c r="I206" s="25">
        <v>7981.8999020000001</v>
      </c>
      <c r="J206" s="64">
        <f t="shared" si="7"/>
        <v>2.4726240075695793E-2</v>
      </c>
      <c r="M206" s="49"/>
      <c r="N206" s="25"/>
    </row>
    <row r="207" spans="3:14" x14ac:dyDescent="0.3">
      <c r="C207" s="49">
        <v>42268</v>
      </c>
      <c r="D207" s="25">
        <v>4.26</v>
      </c>
      <c r="E207" s="64">
        <f t="shared" si="6"/>
        <v>0.2188841201716738</v>
      </c>
      <c r="H207" s="49">
        <v>42268</v>
      </c>
      <c r="I207" s="25">
        <v>7868.5</v>
      </c>
      <c r="J207" s="64">
        <f t="shared" si="7"/>
        <v>-1.4207131559190067E-2</v>
      </c>
      <c r="M207" s="49"/>
      <c r="N207" s="25"/>
    </row>
    <row r="208" spans="3:14" x14ac:dyDescent="0.3">
      <c r="C208" s="49">
        <v>42275</v>
      </c>
      <c r="D208" s="25">
        <v>4.07</v>
      </c>
      <c r="E208" s="64">
        <f t="shared" si="6"/>
        <v>-4.4600938967136017E-2</v>
      </c>
      <c r="H208" s="49">
        <v>42275</v>
      </c>
      <c r="I208" s="25">
        <v>7950.8999020000001</v>
      </c>
      <c r="J208" s="64">
        <f t="shared" si="7"/>
        <v>1.0472123276355161E-2</v>
      </c>
      <c r="M208" s="49"/>
      <c r="N208" s="25"/>
    </row>
    <row r="209" spans="3:14" x14ac:dyDescent="0.3">
      <c r="C209" s="49">
        <v>42282</v>
      </c>
      <c r="D209" s="25">
        <v>4.1399999999999997</v>
      </c>
      <c r="E209" s="64">
        <f t="shared" si="6"/>
        <v>1.7199017199017064E-2</v>
      </c>
      <c r="H209" s="49">
        <v>42282</v>
      </c>
      <c r="I209" s="25">
        <v>8189.7001950000003</v>
      </c>
      <c r="J209" s="64">
        <f t="shared" si="7"/>
        <v>3.0034372956944333E-2</v>
      </c>
      <c r="M209" s="49"/>
      <c r="N209" s="25"/>
    </row>
    <row r="210" spans="3:14" x14ac:dyDescent="0.3">
      <c r="C210" s="49">
        <v>42289</v>
      </c>
      <c r="D210" s="25">
        <v>4.3150000000000004</v>
      </c>
      <c r="E210" s="64">
        <f t="shared" si="6"/>
        <v>4.2270531400966371E-2</v>
      </c>
      <c r="H210" s="49">
        <v>42289</v>
      </c>
      <c r="I210" s="25">
        <v>8238.1503909999992</v>
      </c>
      <c r="J210" s="64">
        <f t="shared" si="7"/>
        <v>5.9159914094997212E-3</v>
      </c>
      <c r="M210" s="49"/>
      <c r="N210" s="25"/>
    </row>
    <row r="211" spans="3:14" x14ac:dyDescent="0.3">
      <c r="C211" s="49">
        <v>42296</v>
      </c>
      <c r="D211" s="25">
        <v>4.55</v>
      </c>
      <c r="E211" s="64">
        <f t="shared" si="6"/>
        <v>5.4461181923522561E-2</v>
      </c>
      <c r="H211" s="49">
        <v>42296</v>
      </c>
      <c r="I211" s="25">
        <v>8295.4501949999994</v>
      </c>
      <c r="J211" s="64">
        <f t="shared" si="7"/>
        <v>6.9554209719937532E-3</v>
      </c>
      <c r="M211" s="49"/>
      <c r="N211" s="25"/>
    </row>
    <row r="212" spans="3:14" x14ac:dyDescent="0.3">
      <c r="C212" s="49">
        <v>42303</v>
      </c>
      <c r="D212" s="25">
        <v>4.3899999999999997</v>
      </c>
      <c r="E212" s="64">
        <f t="shared" si="6"/>
        <v>-3.5164835164835151E-2</v>
      </c>
      <c r="H212" s="49">
        <v>42303</v>
      </c>
      <c r="I212" s="25">
        <v>8065.7998049999997</v>
      </c>
      <c r="J212" s="64">
        <f t="shared" si="7"/>
        <v>-2.7683897148634506E-2</v>
      </c>
      <c r="M212" s="49"/>
      <c r="N212" s="25"/>
    </row>
    <row r="213" spans="3:14" x14ac:dyDescent="0.3">
      <c r="C213" s="49">
        <v>42310</v>
      </c>
      <c r="D213" s="25">
        <v>4.1550000000000002</v>
      </c>
      <c r="E213" s="64">
        <f t="shared" si="6"/>
        <v>-5.3530751708428137E-2</v>
      </c>
      <c r="H213" s="49">
        <v>42310</v>
      </c>
      <c r="I213" s="25">
        <v>7954.2998049999997</v>
      </c>
      <c r="J213" s="64">
        <f t="shared" si="7"/>
        <v>-1.3823799585365504E-2</v>
      </c>
      <c r="M213" s="49"/>
      <c r="N213" s="25"/>
    </row>
    <row r="214" spans="3:14" x14ac:dyDescent="0.3">
      <c r="C214" s="49">
        <v>42317</v>
      </c>
      <c r="D214" s="25">
        <v>5.2450000000000001</v>
      </c>
      <c r="E214" s="64">
        <f t="shared" si="6"/>
        <v>0.26233453670276763</v>
      </c>
      <c r="H214" s="49">
        <v>42317</v>
      </c>
      <c r="I214" s="25">
        <v>7762.25</v>
      </c>
      <c r="J214" s="64">
        <f t="shared" si="7"/>
        <v>-2.4144149668494874E-2</v>
      </c>
      <c r="M214" s="49"/>
      <c r="N214" s="25"/>
    </row>
    <row r="215" spans="3:14" x14ac:dyDescent="0.3">
      <c r="C215" s="49">
        <v>42324</v>
      </c>
      <c r="D215" s="25">
        <v>5.4649999999999999</v>
      </c>
      <c r="E215" s="64">
        <f t="shared" si="6"/>
        <v>4.1944709246901857E-2</v>
      </c>
      <c r="H215" s="49">
        <v>42324</v>
      </c>
      <c r="I215" s="25">
        <v>7856.5498049999997</v>
      </c>
      <c r="J215" s="64">
        <f t="shared" si="7"/>
        <v>1.2148514283873757E-2</v>
      </c>
      <c r="M215" s="49"/>
      <c r="N215" s="25"/>
    </row>
    <row r="216" spans="3:14" x14ac:dyDescent="0.3">
      <c r="C216" s="49">
        <v>42331</v>
      </c>
      <c r="D216" s="25">
        <v>5.5650000000000004</v>
      </c>
      <c r="E216" s="64">
        <f t="shared" si="6"/>
        <v>1.8298261665141924E-2</v>
      </c>
      <c r="H216" s="49">
        <v>42331</v>
      </c>
      <c r="I216" s="25">
        <v>7942.7001950000003</v>
      </c>
      <c r="J216" s="64">
        <f t="shared" si="7"/>
        <v>1.0965422754040555E-2</v>
      </c>
      <c r="M216" s="49"/>
      <c r="N216" s="25"/>
    </row>
    <row r="217" spans="3:14" x14ac:dyDescent="0.3">
      <c r="C217" s="49">
        <v>42338</v>
      </c>
      <c r="D217" s="25">
        <v>5.8550000000000004</v>
      </c>
      <c r="E217" s="64">
        <f t="shared" si="6"/>
        <v>5.211141060197666E-2</v>
      </c>
      <c r="H217" s="49">
        <v>42338</v>
      </c>
      <c r="I217" s="25">
        <v>7781.8999020000001</v>
      </c>
      <c r="J217" s="64">
        <f t="shared" si="7"/>
        <v>-2.0245041239404404E-2</v>
      </c>
      <c r="M217" s="49"/>
      <c r="N217" s="25"/>
    </row>
    <row r="218" spans="3:14" x14ac:dyDescent="0.3">
      <c r="C218" s="49">
        <v>42345</v>
      </c>
      <c r="D218" s="25">
        <v>5.26</v>
      </c>
      <c r="E218" s="64">
        <f t="shared" si="6"/>
        <v>-0.10162254483347577</v>
      </c>
      <c r="H218" s="49">
        <v>42345</v>
      </c>
      <c r="I218" s="25">
        <v>7610.4501950000003</v>
      </c>
      <c r="J218" s="64">
        <f t="shared" si="7"/>
        <v>-2.2031857150454526E-2</v>
      </c>
      <c r="M218" s="49"/>
      <c r="N218" s="25"/>
    </row>
    <row r="219" spans="3:14" x14ac:dyDescent="0.3">
      <c r="C219" s="49">
        <v>42352</v>
      </c>
      <c r="D219" s="25">
        <v>5.86</v>
      </c>
      <c r="E219" s="64">
        <f t="shared" si="6"/>
        <v>0.11406844106463887</v>
      </c>
      <c r="H219" s="49">
        <v>42352</v>
      </c>
      <c r="I219" s="25">
        <v>7761.9501950000003</v>
      </c>
      <c r="J219" s="64">
        <f t="shared" si="7"/>
        <v>1.9906838113142644E-2</v>
      </c>
      <c r="M219" s="49"/>
      <c r="N219" s="25"/>
    </row>
    <row r="220" spans="3:14" x14ac:dyDescent="0.3">
      <c r="C220" s="49">
        <v>42359</v>
      </c>
      <c r="D220" s="25">
        <v>5.84</v>
      </c>
      <c r="E220" s="64">
        <f t="shared" si="6"/>
        <v>-3.4129692832765013E-3</v>
      </c>
      <c r="H220" s="49">
        <v>42359</v>
      </c>
      <c r="I220" s="25">
        <v>7861.0498049999997</v>
      </c>
      <c r="J220" s="64">
        <f t="shared" si="7"/>
        <v>1.2767359685435187E-2</v>
      </c>
      <c r="M220" s="49"/>
      <c r="N220" s="25"/>
    </row>
    <row r="221" spans="3:14" x14ac:dyDescent="0.3">
      <c r="C221" s="49">
        <v>42366</v>
      </c>
      <c r="D221" s="25">
        <v>5.79</v>
      </c>
      <c r="E221" s="64">
        <f t="shared" si="6"/>
        <v>-8.5616438356164171E-3</v>
      </c>
      <c r="H221" s="49">
        <v>42366</v>
      </c>
      <c r="I221" s="25">
        <v>7946.3500979999999</v>
      </c>
      <c r="J221" s="64">
        <f t="shared" si="7"/>
        <v>1.0851005287581872E-2</v>
      </c>
      <c r="M221" s="49"/>
      <c r="N221" s="25"/>
    </row>
    <row r="222" spans="3:14" x14ac:dyDescent="0.3">
      <c r="C222" s="49">
        <v>42373</v>
      </c>
      <c r="D222" s="25">
        <v>5.4749999999999996</v>
      </c>
      <c r="E222" s="64">
        <f t="shared" si="6"/>
        <v>-5.440414507772029E-2</v>
      </c>
      <c r="H222" s="49">
        <v>42373</v>
      </c>
      <c r="I222" s="25">
        <v>7601.3500979999999</v>
      </c>
      <c r="J222" s="64">
        <f t="shared" si="7"/>
        <v>-4.3416159085015948E-2</v>
      </c>
      <c r="M222" s="49"/>
      <c r="N222" s="25"/>
    </row>
    <row r="223" spans="3:14" x14ac:dyDescent="0.3">
      <c r="C223" s="49">
        <v>42380</v>
      </c>
      <c r="D223" s="25">
        <v>4.74</v>
      </c>
      <c r="E223" s="64">
        <f t="shared" si="6"/>
        <v>-0.13424657534246565</v>
      </c>
      <c r="H223" s="49">
        <v>42380</v>
      </c>
      <c r="I223" s="25">
        <v>7437.7998049999997</v>
      </c>
      <c r="J223" s="64">
        <f t="shared" si="7"/>
        <v>-2.1515953204554017E-2</v>
      </c>
      <c r="M223" s="49"/>
      <c r="N223" s="25"/>
    </row>
    <row r="224" spans="3:14" x14ac:dyDescent="0.3">
      <c r="C224" s="49">
        <v>42387</v>
      </c>
      <c r="D224" s="25">
        <v>4.5750000000000002</v>
      </c>
      <c r="E224" s="64">
        <f t="shared" si="6"/>
        <v>-3.4810126582278444E-2</v>
      </c>
      <c r="H224" s="49">
        <v>42387</v>
      </c>
      <c r="I224" s="25">
        <v>7422.4501950000003</v>
      </c>
      <c r="J224" s="64">
        <f t="shared" si="7"/>
        <v>-2.0637299204638859E-3</v>
      </c>
      <c r="M224" s="49"/>
      <c r="N224" s="25"/>
    </row>
    <row r="225" spans="3:14" x14ac:dyDescent="0.3">
      <c r="C225" s="49">
        <v>42394</v>
      </c>
      <c r="D225" s="25">
        <v>5.2350000000000003</v>
      </c>
      <c r="E225" s="64">
        <f t="shared" si="6"/>
        <v>0.1442622950819672</v>
      </c>
      <c r="H225" s="49">
        <v>42394</v>
      </c>
      <c r="I225" s="25">
        <v>7563.5498049999997</v>
      </c>
      <c r="J225" s="64">
        <f t="shared" si="7"/>
        <v>1.9009842611682037E-2</v>
      </c>
      <c r="M225" s="49"/>
      <c r="N225" s="25"/>
    </row>
    <row r="226" spans="3:14" x14ac:dyDescent="0.3">
      <c r="C226" s="49">
        <v>42401</v>
      </c>
      <c r="D226" s="25">
        <v>5.0049999999999999</v>
      </c>
      <c r="E226" s="64">
        <f t="shared" si="6"/>
        <v>-4.393505253104113E-2</v>
      </c>
      <c r="H226" s="49">
        <v>42401</v>
      </c>
      <c r="I226" s="25">
        <v>7489.1000979999999</v>
      </c>
      <c r="J226" s="64">
        <f t="shared" si="7"/>
        <v>-9.8432229468210508E-3</v>
      </c>
      <c r="M226" s="49"/>
      <c r="N226" s="25"/>
    </row>
    <row r="227" spans="3:14" x14ac:dyDescent="0.3">
      <c r="C227" s="49">
        <v>42408</v>
      </c>
      <c r="D227" s="25">
        <v>4.0949999999999998</v>
      </c>
      <c r="E227" s="64">
        <f t="shared" si="6"/>
        <v>-0.18181818181818188</v>
      </c>
      <c r="H227" s="49">
        <v>42408</v>
      </c>
      <c r="I227" s="25">
        <v>6980.9501950000003</v>
      </c>
      <c r="J227" s="64">
        <f t="shared" si="7"/>
        <v>-6.7851930986434938E-2</v>
      </c>
      <c r="M227" s="49"/>
      <c r="N227" s="25"/>
    </row>
    <row r="228" spans="3:14" x14ac:dyDescent="0.3">
      <c r="C228" s="49">
        <v>42415</v>
      </c>
      <c r="D228" s="25">
        <v>4.4800000000000004</v>
      </c>
      <c r="E228" s="64">
        <f t="shared" si="6"/>
        <v>9.4017094017094127E-2</v>
      </c>
      <c r="H228" s="49">
        <v>42415</v>
      </c>
      <c r="I228" s="25">
        <v>7210.75</v>
      </c>
      <c r="J228" s="64">
        <f t="shared" si="7"/>
        <v>3.2918126985720386E-2</v>
      </c>
      <c r="M228" s="49"/>
      <c r="N228" s="25"/>
    </row>
    <row r="229" spans="3:14" x14ac:dyDescent="0.3">
      <c r="C229" s="49">
        <v>42422</v>
      </c>
      <c r="D229" s="25">
        <v>4.2149999999999999</v>
      </c>
      <c r="E229" s="64">
        <f t="shared" si="6"/>
        <v>-5.9151785714285809E-2</v>
      </c>
      <c r="H229" s="49">
        <v>42422</v>
      </c>
      <c r="I229" s="25">
        <v>7029.75</v>
      </c>
      <c r="J229" s="64">
        <f t="shared" si="7"/>
        <v>-2.5101411087612213E-2</v>
      </c>
      <c r="M229" s="49"/>
      <c r="N229" s="25"/>
    </row>
    <row r="230" spans="3:14" x14ac:dyDescent="0.3">
      <c r="C230" s="49">
        <v>42429</v>
      </c>
      <c r="D230" s="25">
        <v>4.7949999999999999</v>
      </c>
      <c r="E230" s="64">
        <f t="shared" si="6"/>
        <v>0.13760379596678529</v>
      </c>
      <c r="H230" s="49">
        <v>42429</v>
      </c>
      <c r="I230" s="25">
        <v>7485.3500979999999</v>
      </c>
      <c r="J230" s="64">
        <f t="shared" si="7"/>
        <v>6.4810284576265254E-2</v>
      </c>
      <c r="M230" s="49"/>
      <c r="N230" s="25"/>
    </row>
    <row r="231" spans="3:14" x14ac:dyDescent="0.3">
      <c r="C231" s="49">
        <v>42436</v>
      </c>
      <c r="D231" s="25">
        <v>5.0250000000000004</v>
      </c>
      <c r="E231" s="64">
        <f t="shared" si="6"/>
        <v>4.7966631908237911E-2</v>
      </c>
      <c r="H231" s="49">
        <v>42436</v>
      </c>
      <c r="I231" s="25">
        <v>7510.2001950000003</v>
      </c>
      <c r="J231" s="64">
        <f t="shared" si="7"/>
        <v>3.3198309597624043E-3</v>
      </c>
      <c r="M231" s="49"/>
      <c r="N231" s="25"/>
    </row>
    <row r="232" spans="3:14" x14ac:dyDescent="0.3">
      <c r="C232" s="49">
        <v>42443</v>
      </c>
      <c r="D232" s="25">
        <v>5.14</v>
      </c>
      <c r="E232" s="64">
        <f t="shared" si="6"/>
        <v>2.2885572139303312E-2</v>
      </c>
      <c r="H232" s="49">
        <v>42443</v>
      </c>
      <c r="I232" s="25">
        <v>7604.3500979999999</v>
      </c>
      <c r="J232" s="64">
        <f t="shared" si="7"/>
        <v>1.2536270745842515E-2</v>
      </c>
      <c r="M232" s="49"/>
      <c r="N232" s="25"/>
    </row>
    <row r="233" spans="3:14" x14ac:dyDescent="0.3">
      <c r="C233" s="49">
        <v>42450</v>
      </c>
      <c r="D233" s="25">
        <v>5.0049999999999999</v>
      </c>
      <c r="E233" s="64">
        <f t="shared" si="6"/>
        <v>-2.6264591439688623E-2</v>
      </c>
      <c r="H233" s="49">
        <v>42450</v>
      </c>
      <c r="I233" s="25">
        <v>7716.5</v>
      </c>
      <c r="J233" s="64">
        <f t="shared" si="7"/>
        <v>1.4748124501723803E-2</v>
      </c>
      <c r="M233" s="49"/>
      <c r="N233" s="25"/>
    </row>
    <row r="234" spans="3:14" x14ac:dyDescent="0.3">
      <c r="C234" s="49">
        <v>42457</v>
      </c>
      <c r="D234" s="25">
        <v>5.1849999999999996</v>
      </c>
      <c r="E234" s="64">
        <f t="shared" si="6"/>
        <v>3.5964035964035856E-2</v>
      </c>
      <c r="H234" s="49">
        <v>42457</v>
      </c>
      <c r="I234" s="25">
        <v>7713.0498049999997</v>
      </c>
      <c r="J234" s="64">
        <f t="shared" si="7"/>
        <v>-4.4711916024109399E-4</v>
      </c>
      <c r="M234" s="49"/>
      <c r="N234" s="25"/>
    </row>
    <row r="235" spans="3:14" x14ac:dyDescent="0.3">
      <c r="C235" s="49">
        <v>42464</v>
      </c>
      <c r="D235" s="25">
        <v>5.21</v>
      </c>
      <c r="E235" s="64">
        <f t="shared" si="6"/>
        <v>4.8216007714561027E-3</v>
      </c>
      <c r="H235" s="49">
        <v>42464</v>
      </c>
      <c r="I235" s="25">
        <v>7555.2001950000003</v>
      </c>
      <c r="J235" s="64">
        <f t="shared" si="7"/>
        <v>-2.0465265231098706E-2</v>
      </c>
      <c r="M235" s="49"/>
      <c r="N235" s="25"/>
    </row>
    <row r="236" spans="3:14" x14ac:dyDescent="0.3">
      <c r="C236" s="49">
        <v>42471</v>
      </c>
      <c r="D236" s="25">
        <v>5.12</v>
      </c>
      <c r="E236" s="64">
        <f t="shared" si="6"/>
        <v>-1.7274472168905874E-2</v>
      </c>
      <c r="H236" s="49">
        <v>42471</v>
      </c>
      <c r="I236" s="25">
        <v>7850.4501950000003</v>
      </c>
      <c r="J236" s="64">
        <f t="shared" si="7"/>
        <v>3.9079043887598752E-2</v>
      </c>
      <c r="M236" s="49"/>
      <c r="N236" s="25"/>
    </row>
    <row r="237" spans="3:14" x14ac:dyDescent="0.3">
      <c r="C237" s="49">
        <v>42478</v>
      </c>
      <c r="D237" s="25">
        <v>5.38</v>
      </c>
      <c r="E237" s="64">
        <f t="shared" si="6"/>
        <v>5.078125E-2</v>
      </c>
      <c r="H237" s="49">
        <v>42478</v>
      </c>
      <c r="I237" s="25">
        <v>7899.2998049999997</v>
      </c>
      <c r="J237" s="64">
        <f t="shared" si="7"/>
        <v>6.2225233950419234E-3</v>
      </c>
      <c r="M237" s="49"/>
      <c r="N237" s="25"/>
    </row>
    <row r="238" spans="3:14" x14ac:dyDescent="0.3">
      <c r="C238" s="49">
        <v>42485</v>
      </c>
      <c r="D238" s="25">
        <v>5.1349999999999998</v>
      </c>
      <c r="E238" s="64">
        <f t="shared" si="6"/>
        <v>-4.5539033457249078E-2</v>
      </c>
      <c r="H238" s="49">
        <v>42485</v>
      </c>
      <c r="I238" s="25">
        <v>7849.7998049999997</v>
      </c>
      <c r="J238" s="64">
        <f t="shared" si="7"/>
        <v>-6.2663781881867608E-3</v>
      </c>
      <c r="M238" s="49"/>
      <c r="N238" s="25"/>
    </row>
    <row r="239" spans="3:14" x14ac:dyDescent="0.3">
      <c r="C239" s="49">
        <v>42492</v>
      </c>
      <c r="D239" s="25">
        <v>4.99</v>
      </c>
      <c r="E239" s="64">
        <f t="shared" si="6"/>
        <v>-2.8237585199610393E-2</v>
      </c>
      <c r="H239" s="49">
        <v>42492</v>
      </c>
      <c r="I239" s="25">
        <v>7733.4501950000003</v>
      </c>
      <c r="J239" s="64">
        <f t="shared" si="7"/>
        <v>-1.482198436779103E-2</v>
      </c>
      <c r="M239" s="49"/>
      <c r="N239" s="25"/>
    </row>
    <row r="240" spans="3:14" x14ac:dyDescent="0.3">
      <c r="C240" s="49">
        <v>42499</v>
      </c>
      <c r="D240" s="25">
        <v>5.15</v>
      </c>
      <c r="E240" s="64">
        <f t="shared" si="6"/>
        <v>3.2064128256513058E-2</v>
      </c>
      <c r="H240" s="49">
        <v>42499</v>
      </c>
      <c r="I240" s="25">
        <v>7814.8999020000001</v>
      </c>
      <c r="J240" s="64">
        <f t="shared" si="7"/>
        <v>1.0532130542802332E-2</v>
      </c>
      <c r="M240" s="49"/>
      <c r="N240" s="25"/>
    </row>
    <row r="241" spans="3:14" x14ac:dyDescent="0.3">
      <c r="C241" s="49">
        <v>42506</v>
      </c>
      <c r="D241" s="25">
        <v>4.8550000000000004</v>
      </c>
      <c r="E241" s="64">
        <f t="shared" si="6"/>
        <v>-5.7281553398058183E-2</v>
      </c>
      <c r="H241" s="49">
        <v>42506</v>
      </c>
      <c r="I241" s="25">
        <v>7749.7001950000003</v>
      </c>
      <c r="J241" s="64">
        <f t="shared" si="7"/>
        <v>-8.3429996311679133E-3</v>
      </c>
      <c r="M241" s="49"/>
      <c r="N241" s="25"/>
    </row>
    <row r="242" spans="3:14" x14ac:dyDescent="0.3">
      <c r="C242" s="49">
        <v>42513</v>
      </c>
      <c r="D242" s="25">
        <v>5.09</v>
      </c>
      <c r="E242" s="64">
        <f t="shared" si="6"/>
        <v>4.8403707518022587E-2</v>
      </c>
      <c r="H242" s="49">
        <v>42513</v>
      </c>
      <c r="I242" s="25">
        <v>8156.6499020000001</v>
      </c>
      <c r="J242" s="64">
        <f t="shared" si="7"/>
        <v>5.2511671001487015E-2</v>
      </c>
      <c r="M242" s="49"/>
      <c r="N242" s="25"/>
    </row>
    <row r="243" spans="3:14" x14ac:dyDescent="0.3">
      <c r="C243" s="49">
        <v>42520</v>
      </c>
      <c r="D243" s="25">
        <v>5.0250000000000004</v>
      </c>
      <c r="E243" s="64">
        <f t="shared" si="6"/>
        <v>-1.2770137524557912E-2</v>
      </c>
      <c r="H243" s="49">
        <v>42520</v>
      </c>
      <c r="I243" s="25">
        <v>8220.7998050000006</v>
      </c>
      <c r="J243" s="64">
        <f t="shared" si="7"/>
        <v>7.8647365978365968E-3</v>
      </c>
      <c r="M243" s="49"/>
      <c r="N243" s="25"/>
    </row>
    <row r="244" spans="3:14" x14ac:dyDescent="0.3">
      <c r="C244" s="49">
        <v>42527</v>
      </c>
      <c r="D244" s="25">
        <v>4.9550000000000001</v>
      </c>
      <c r="E244" s="64">
        <f t="shared" si="6"/>
        <v>-1.3930348258706537E-2</v>
      </c>
      <c r="H244" s="49">
        <v>42527</v>
      </c>
      <c r="I244" s="25">
        <v>8170.0498049999997</v>
      </c>
      <c r="J244" s="64">
        <f t="shared" si="7"/>
        <v>-6.1733652690501017E-3</v>
      </c>
      <c r="M244" s="49"/>
      <c r="N244" s="25"/>
    </row>
    <row r="245" spans="3:14" x14ac:dyDescent="0.3">
      <c r="C245" s="49">
        <v>42534</v>
      </c>
      <c r="D245" s="25">
        <v>4.8550000000000004</v>
      </c>
      <c r="E245" s="64">
        <f t="shared" si="6"/>
        <v>-2.0181634712411634E-2</v>
      </c>
      <c r="H245" s="49">
        <v>42534</v>
      </c>
      <c r="I245" s="25">
        <v>8170.2001950000003</v>
      </c>
      <c r="J245" s="64">
        <f t="shared" si="7"/>
        <v>1.8407476525927891E-5</v>
      </c>
      <c r="M245" s="49"/>
      <c r="N245" s="25"/>
    </row>
    <row r="246" spans="3:14" x14ac:dyDescent="0.3">
      <c r="C246" s="49">
        <v>42541</v>
      </c>
      <c r="D246" s="25">
        <v>4.87</v>
      </c>
      <c r="E246" s="64">
        <f t="shared" si="6"/>
        <v>3.0895983522141179E-3</v>
      </c>
      <c r="H246" s="49">
        <v>42541</v>
      </c>
      <c r="I246" s="25">
        <v>8088.6000979999999</v>
      </c>
      <c r="J246" s="64">
        <f t="shared" si="7"/>
        <v>-9.9875272395330006E-3</v>
      </c>
      <c r="M246" s="49"/>
      <c r="N246" s="25"/>
    </row>
    <row r="247" spans="3:14" x14ac:dyDescent="0.3">
      <c r="C247" s="49">
        <v>42548</v>
      </c>
      <c r="D247" s="25">
        <v>4.9749999999999996</v>
      </c>
      <c r="E247" s="64">
        <f t="shared" si="6"/>
        <v>2.1560574948665145E-2</v>
      </c>
      <c r="H247" s="49">
        <v>42548</v>
      </c>
      <c r="I247" s="25">
        <v>8328.3496090000008</v>
      </c>
      <c r="J247" s="64">
        <f t="shared" si="7"/>
        <v>2.9640420850980398E-2</v>
      </c>
      <c r="M247" s="49"/>
      <c r="N247" s="25"/>
    </row>
    <row r="248" spans="3:14" x14ac:dyDescent="0.3">
      <c r="C248" s="49">
        <v>42555</v>
      </c>
      <c r="D248" s="25">
        <v>4.9400000000000004</v>
      </c>
      <c r="E248" s="64">
        <f t="shared" si="6"/>
        <v>-7.0351758793968378E-3</v>
      </c>
      <c r="H248" s="49">
        <v>42555</v>
      </c>
      <c r="I248" s="25">
        <v>8323.2001949999994</v>
      </c>
      <c r="J248" s="64">
        <f t="shared" si="7"/>
        <v>-6.1829945208313752E-4</v>
      </c>
      <c r="M248" s="49"/>
      <c r="N248" s="25"/>
    </row>
    <row r="249" spans="3:14" x14ac:dyDescent="0.3">
      <c r="C249" s="49">
        <v>42562</v>
      </c>
      <c r="D249" s="25">
        <v>4.7949999999999999</v>
      </c>
      <c r="E249" s="64">
        <f t="shared" si="6"/>
        <v>-2.9352226720647856E-2</v>
      </c>
      <c r="H249" s="49">
        <v>42562</v>
      </c>
      <c r="I249" s="25">
        <v>8541.4003909999992</v>
      </c>
      <c r="J249" s="64">
        <f t="shared" si="7"/>
        <v>2.6215901442702139E-2</v>
      </c>
      <c r="M249" s="49"/>
      <c r="N249" s="25"/>
    </row>
    <row r="250" spans="3:14" x14ac:dyDescent="0.3">
      <c r="C250" s="49">
        <v>42569</v>
      </c>
      <c r="D250" s="25">
        <v>4.76</v>
      </c>
      <c r="E250" s="64">
        <f t="shared" si="6"/>
        <v>-7.2992700729926918E-3</v>
      </c>
      <c r="H250" s="49">
        <v>42569</v>
      </c>
      <c r="I250" s="25">
        <v>8541.2001949999994</v>
      </c>
      <c r="J250" s="64">
        <f t="shared" si="7"/>
        <v>-2.3438311147483404E-5</v>
      </c>
      <c r="M250" s="49"/>
      <c r="N250" s="25"/>
    </row>
    <row r="251" spans="3:14" x14ac:dyDescent="0.3">
      <c r="C251" s="49">
        <v>42576</v>
      </c>
      <c r="D251" s="25">
        <v>4.6500000000000004</v>
      </c>
      <c r="E251" s="64">
        <f t="shared" si="6"/>
        <v>-2.3109243697478909E-2</v>
      </c>
      <c r="H251" s="49">
        <v>42576</v>
      </c>
      <c r="I251" s="25">
        <v>8638.5</v>
      </c>
      <c r="J251" s="64">
        <f t="shared" si="7"/>
        <v>1.1391818805155607E-2</v>
      </c>
      <c r="M251" s="49"/>
      <c r="N251" s="25"/>
    </row>
    <row r="252" spans="3:14" x14ac:dyDescent="0.3">
      <c r="C252" s="49">
        <v>42583</v>
      </c>
      <c r="D252" s="25">
        <v>4.53</v>
      </c>
      <c r="E252" s="64">
        <f t="shared" si="6"/>
        <v>-2.5806451612903292E-2</v>
      </c>
      <c r="H252" s="49">
        <v>42583</v>
      </c>
      <c r="I252" s="25">
        <v>8683.1503909999992</v>
      </c>
      <c r="J252" s="64">
        <f t="shared" si="7"/>
        <v>5.1687666840307678E-3</v>
      </c>
      <c r="M252" s="49"/>
      <c r="N252" s="25"/>
    </row>
    <row r="253" spans="3:14" x14ac:dyDescent="0.3">
      <c r="C253" s="49">
        <v>42590</v>
      </c>
      <c r="D253" s="25">
        <v>4.7249999999999996</v>
      </c>
      <c r="E253" s="64">
        <f t="shared" si="6"/>
        <v>4.3046357615893927E-2</v>
      </c>
      <c r="H253" s="49">
        <v>42590</v>
      </c>
      <c r="I253" s="25">
        <v>8592.1503909999992</v>
      </c>
      <c r="J253" s="64">
        <f t="shared" si="7"/>
        <v>-1.0480067245445923E-2</v>
      </c>
      <c r="M253" s="49"/>
      <c r="N253" s="25"/>
    </row>
    <row r="254" spans="3:14" x14ac:dyDescent="0.3">
      <c r="C254" s="49">
        <v>42597</v>
      </c>
      <c r="D254" s="25">
        <v>4.78</v>
      </c>
      <c r="E254" s="64">
        <f t="shared" si="6"/>
        <v>1.1640211640211673E-2</v>
      </c>
      <c r="H254" s="49">
        <v>42597</v>
      </c>
      <c r="I254" s="25">
        <v>8666.9003909999992</v>
      </c>
      <c r="J254" s="64">
        <f t="shared" si="7"/>
        <v>8.6998011671557407E-3</v>
      </c>
      <c r="M254" s="49"/>
      <c r="N254" s="25"/>
    </row>
    <row r="255" spans="3:14" x14ac:dyDescent="0.3">
      <c r="C255" s="49">
        <v>42604</v>
      </c>
      <c r="D255" s="25">
        <v>5.6449999999999996</v>
      </c>
      <c r="E255" s="64">
        <f t="shared" si="6"/>
        <v>0.18096234309623416</v>
      </c>
      <c r="H255" s="49">
        <v>42604</v>
      </c>
      <c r="I255" s="25">
        <v>8572.5498050000006</v>
      </c>
      <c r="J255" s="64">
        <f t="shared" si="7"/>
        <v>-1.0886312492754069E-2</v>
      </c>
      <c r="M255" s="49"/>
      <c r="N255" s="25"/>
    </row>
    <row r="256" spans="3:14" x14ac:dyDescent="0.3">
      <c r="C256" s="49">
        <v>42611</v>
      </c>
      <c r="D256" s="25">
        <v>5.12</v>
      </c>
      <c r="E256" s="64">
        <f t="shared" si="6"/>
        <v>-9.300265721877754E-2</v>
      </c>
      <c r="H256" s="49">
        <v>42611</v>
      </c>
      <c r="I256" s="25">
        <v>8809.6503909999992</v>
      </c>
      <c r="J256" s="64">
        <f t="shared" si="7"/>
        <v>2.765811705890675E-2</v>
      </c>
      <c r="M256" s="49"/>
      <c r="N256" s="25"/>
    </row>
    <row r="257" spans="3:14" x14ac:dyDescent="0.3">
      <c r="C257" s="49">
        <v>42618</v>
      </c>
      <c r="D257" s="25">
        <v>5.08</v>
      </c>
      <c r="E257" s="64">
        <f t="shared" si="6"/>
        <v>-7.8125E-3</v>
      </c>
      <c r="H257" s="49">
        <v>42618</v>
      </c>
      <c r="I257" s="25">
        <v>8866.7001949999994</v>
      </c>
      <c r="J257" s="64">
        <f t="shared" si="7"/>
        <v>6.4758306479770766E-3</v>
      </c>
      <c r="M257" s="49"/>
      <c r="N257" s="25"/>
    </row>
    <row r="258" spans="3:14" x14ac:dyDescent="0.3">
      <c r="C258" s="49">
        <v>42625</v>
      </c>
      <c r="D258" s="25">
        <v>5.42</v>
      </c>
      <c r="E258" s="64">
        <f t="shared" si="6"/>
        <v>6.6929133858267598E-2</v>
      </c>
      <c r="H258" s="49">
        <v>42625</v>
      </c>
      <c r="I258" s="25">
        <v>8779.8496090000008</v>
      </c>
      <c r="J258" s="64">
        <f t="shared" si="7"/>
        <v>-9.7951418329192963E-3</v>
      </c>
      <c r="M258" s="49"/>
      <c r="N258" s="25"/>
    </row>
    <row r="259" spans="3:14" x14ac:dyDescent="0.3">
      <c r="C259" s="49">
        <v>42632</v>
      </c>
      <c r="D259" s="25">
        <v>5.45</v>
      </c>
      <c r="E259" s="64">
        <f t="shared" si="6"/>
        <v>5.5350553505535416E-3</v>
      </c>
      <c r="H259" s="49">
        <v>42632</v>
      </c>
      <c r="I259" s="25">
        <v>8831.5498050000006</v>
      </c>
      <c r="J259" s="64">
        <f t="shared" si="7"/>
        <v>5.8885058745201668E-3</v>
      </c>
      <c r="M259" s="49"/>
      <c r="N259" s="25"/>
    </row>
    <row r="260" spans="3:14" x14ac:dyDescent="0.3">
      <c r="C260" s="49">
        <v>42639</v>
      </c>
      <c r="D260" s="25">
        <v>4.9749999999999996</v>
      </c>
      <c r="E260" s="64">
        <f t="shared" si="6"/>
        <v>-8.7155963302752437E-2</v>
      </c>
      <c r="H260" s="49">
        <v>42639</v>
      </c>
      <c r="I260" s="25">
        <v>8611.1503909999992</v>
      </c>
      <c r="J260" s="64">
        <f t="shared" si="7"/>
        <v>-2.4955915877326706E-2</v>
      </c>
      <c r="M260" s="49"/>
      <c r="N260" s="25"/>
    </row>
    <row r="261" spans="3:14" x14ac:dyDescent="0.3">
      <c r="C261" s="49">
        <v>42646</v>
      </c>
      <c r="D261" s="25">
        <v>5.4050000000000002</v>
      </c>
      <c r="E261" s="64">
        <f t="shared" si="6"/>
        <v>8.6432160804020164E-2</v>
      </c>
      <c r="H261" s="49">
        <v>42646</v>
      </c>
      <c r="I261" s="25">
        <v>8697.5996090000008</v>
      </c>
      <c r="J261" s="64">
        <f t="shared" si="7"/>
        <v>1.0039218231556513E-2</v>
      </c>
      <c r="M261" s="49"/>
      <c r="N261" s="25"/>
    </row>
    <row r="262" spans="3:14" x14ac:dyDescent="0.3">
      <c r="C262" s="49">
        <v>42653</v>
      </c>
      <c r="D262" s="25">
        <v>5.74</v>
      </c>
      <c r="E262" s="64">
        <f t="shared" si="6"/>
        <v>6.1979648473635462E-2</v>
      </c>
      <c r="H262" s="49">
        <v>42653</v>
      </c>
      <c r="I262" s="25">
        <v>8583.4003909999992</v>
      </c>
      <c r="J262" s="64">
        <f t="shared" si="7"/>
        <v>-1.3129969547210685E-2</v>
      </c>
      <c r="M262" s="49"/>
      <c r="N262" s="25"/>
    </row>
    <row r="263" spans="3:14" x14ac:dyDescent="0.3">
      <c r="C263" s="49">
        <v>42660</v>
      </c>
      <c r="D263" s="25">
        <v>5.9850000000000003</v>
      </c>
      <c r="E263" s="64">
        <f t="shared" si="6"/>
        <v>4.2682926829268331E-2</v>
      </c>
      <c r="H263" s="49">
        <v>42660</v>
      </c>
      <c r="I263" s="25">
        <v>8693.0498050000006</v>
      </c>
      <c r="J263" s="64">
        <f t="shared" si="7"/>
        <v>1.2774589207672493E-2</v>
      </c>
      <c r="M263" s="49"/>
      <c r="N263" s="25"/>
    </row>
    <row r="264" spans="3:14" x14ac:dyDescent="0.3">
      <c r="C264" s="49">
        <v>42667</v>
      </c>
      <c r="D264" s="25">
        <v>5.875</v>
      </c>
      <c r="E264" s="64">
        <f t="shared" si="6"/>
        <v>-1.8379281537176273E-2</v>
      </c>
      <c r="H264" s="49">
        <v>42667</v>
      </c>
      <c r="I264" s="25">
        <v>8638</v>
      </c>
      <c r="J264" s="64">
        <f t="shared" si="7"/>
        <v>-6.332622754368411E-3</v>
      </c>
      <c r="M264" s="49"/>
      <c r="N264" s="25"/>
    </row>
    <row r="265" spans="3:14" x14ac:dyDescent="0.3">
      <c r="C265" s="49">
        <v>42674</v>
      </c>
      <c r="D265" s="25">
        <v>5.7450000000000001</v>
      </c>
      <c r="E265" s="64">
        <f t="shared" si="6"/>
        <v>-2.212765957446805E-2</v>
      </c>
      <c r="H265" s="49">
        <v>42674</v>
      </c>
      <c r="I265" s="25">
        <v>8433.75</v>
      </c>
      <c r="J265" s="64">
        <f t="shared" si="7"/>
        <v>-2.3645519796249181E-2</v>
      </c>
      <c r="M265" s="49"/>
      <c r="N265" s="25"/>
    </row>
    <row r="266" spans="3:14" x14ac:dyDescent="0.3">
      <c r="C266" s="49">
        <v>42681</v>
      </c>
      <c r="D266" s="25">
        <v>5.44</v>
      </c>
      <c r="E266" s="64">
        <f t="shared" si="6"/>
        <v>-5.3089643167972045E-2</v>
      </c>
      <c r="H266" s="49">
        <v>42681</v>
      </c>
      <c r="I266" s="25">
        <v>8296.2998050000006</v>
      </c>
      <c r="J266" s="64">
        <f t="shared" si="7"/>
        <v>-1.6297636875648336E-2</v>
      </c>
      <c r="M266" s="49"/>
      <c r="N266" s="25"/>
    </row>
    <row r="267" spans="3:14" x14ac:dyDescent="0.3">
      <c r="C267" s="49">
        <v>42688</v>
      </c>
      <c r="D267" s="25">
        <v>5.19</v>
      </c>
      <c r="E267" s="64">
        <f t="shared" ref="E267:E330" si="8">D267/D266-1</f>
        <v>-4.5955882352941124E-2</v>
      </c>
      <c r="H267" s="49">
        <v>42688</v>
      </c>
      <c r="I267" s="25">
        <v>8074.1000979999999</v>
      </c>
      <c r="J267" s="64">
        <f t="shared" ref="J267:J330" si="9">I267/I266-1</f>
        <v>-2.6782989070149754E-2</v>
      </c>
      <c r="M267" s="49"/>
      <c r="N267" s="25"/>
    </row>
    <row r="268" spans="3:14" x14ac:dyDescent="0.3">
      <c r="C268" s="49">
        <v>42695</v>
      </c>
      <c r="D268" s="25">
        <v>5.37</v>
      </c>
      <c r="E268" s="64">
        <f t="shared" si="8"/>
        <v>3.4682080924855363E-2</v>
      </c>
      <c r="H268" s="49">
        <v>42695</v>
      </c>
      <c r="I268" s="25">
        <v>8114.2998049999997</v>
      </c>
      <c r="J268" s="64">
        <f t="shared" si="9"/>
        <v>4.9788467460241126E-3</v>
      </c>
      <c r="M268" s="49"/>
      <c r="N268" s="25"/>
    </row>
    <row r="269" spans="3:14" x14ac:dyDescent="0.3">
      <c r="C269" s="49">
        <v>42702</v>
      </c>
      <c r="D269" s="25">
        <v>5.5549999999999997</v>
      </c>
      <c r="E269" s="64">
        <f t="shared" si="8"/>
        <v>3.4450651769087459E-2</v>
      </c>
      <c r="H269" s="49">
        <v>42702</v>
      </c>
      <c r="I269" s="25">
        <v>8086.7998049999997</v>
      </c>
      <c r="J269" s="64">
        <f t="shared" si="9"/>
        <v>-3.3890786217998237E-3</v>
      </c>
      <c r="M269" s="49"/>
      <c r="N269" s="25"/>
    </row>
    <row r="270" spans="3:14" x14ac:dyDescent="0.3">
      <c r="C270" s="49">
        <v>42709</v>
      </c>
      <c r="D270" s="25">
        <v>5.82</v>
      </c>
      <c r="E270" s="64">
        <f t="shared" si="8"/>
        <v>4.7704770477047909E-2</v>
      </c>
      <c r="H270" s="49">
        <v>42709</v>
      </c>
      <c r="I270" s="25">
        <v>8261.75</v>
      </c>
      <c r="J270" s="64">
        <f t="shared" si="9"/>
        <v>2.1634045508561961E-2</v>
      </c>
      <c r="M270" s="49"/>
      <c r="N270" s="25"/>
    </row>
    <row r="271" spans="3:14" x14ac:dyDescent="0.3">
      <c r="C271" s="49">
        <v>42716</v>
      </c>
      <c r="D271" s="25">
        <v>5.92</v>
      </c>
      <c r="E271" s="64">
        <f t="shared" si="8"/>
        <v>1.7182130584192379E-2</v>
      </c>
      <c r="H271" s="49">
        <v>42716</v>
      </c>
      <c r="I271" s="25">
        <v>8139.4501950000003</v>
      </c>
      <c r="J271" s="64">
        <f t="shared" si="9"/>
        <v>-1.4803135534239065E-2</v>
      </c>
      <c r="M271" s="49"/>
      <c r="N271" s="25"/>
    </row>
    <row r="272" spans="3:14" x14ac:dyDescent="0.3">
      <c r="C272" s="49">
        <v>42723</v>
      </c>
      <c r="D272" s="25">
        <v>5.5949999999999998</v>
      </c>
      <c r="E272" s="64">
        <f t="shared" si="8"/>
        <v>-5.4898648648648685E-2</v>
      </c>
      <c r="H272" s="49">
        <v>42723</v>
      </c>
      <c r="I272" s="25">
        <v>7985.75</v>
      </c>
      <c r="J272" s="64">
        <f t="shared" si="9"/>
        <v>-1.8883363288397237E-2</v>
      </c>
      <c r="M272" s="49"/>
      <c r="N272" s="25"/>
    </row>
    <row r="273" spans="3:14" x14ac:dyDescent="0.3">
      <c r="C273" s="49">
        <v>42730</v>
      </c>
      <c r="D273" s="25">
        <v>5.7549999999999999</v>
      </c>
      <c r="E273" s="64">
        <f t="shared" si="8"/>
        <v>2.859696157283298E-2</v>
      </c>
      <c r="H273" s="49">
        <v>42730</v>
      </c>
      <c r="I273" s="25">
        <v>8185.7998049999997</v>
      </c>
      <c r="J273" s="64">
        <f t="shared" si="9"/>
        <v>2.5050847447015023E-2</v>
      </c>
      <c r="M273" s="49"/>
      <c r="N273" s="25"/>
    </row>
    <row r="274" spans="3:14" x14ac:dyDescent="0.3">
      <c r="C274" s="49">
        <v>42737</v>
      </c>
      <c r="D274" s="25">
        <v>5.88</v>
      </c>
      <c r="E274" s="64">
        <f t="shared" si="8"/>
        <v>2.1720243266724504E-2</v>
      </c>
      <c r="H274" s="49">
        <v>42737</v>
      </c>
      <c r="I274" s="25">
        <v>8243.7998050000006</v>
      </c>
      <c r="J274" s="64">
        <f t="shared" si="9"/>
        <v>7.0854408098979249E-3</v>
      </c>
      <c r="M274" s="49"/>
      <c r="N274" s="25"/>
    </row>
    <row r="275" spans="3:14" x14ac:dyDescent="0.3">
      <c r="C275" s="49">
        <v>42744</v>
      </c>
      <c r="D275" s="25">
        <v>6.5350000000000001</v>
      </c>
      <c r="E275" s="64">
        <f t="shared" si="8"/>
        <v>0.11139455782312924</v>
      </c>
      <c r="H275" s="49">
        <v>42744</v>
      </c>
      <c r="I275" s="25">
        <v>8400.3496090000008</v>
      </c>
      <c r="J275" s="64">
        <f t="shared" si="9"/>
        <v>1.8990005543930044E-2</v>
      </c>
      <c r="M275" s="49"/>
      <c r="N275" s="25"/>
    </row>
    <row r="276" spans="3:14" x14ac:dyDescent="0.3">
      <c r="C276" s="49">
        <v>42751</v>
      </c>
      <c r="D276" s="25">
        <v>6.2249999999999996</v>
      </c>
      <c r="E276" s="64">
        <f t="shared" si="8"/>
        <v>-4.7436878347360434E-2</v>
      </c>
      <c r="H276" s="49">
        <v>42751</v>
      </c>
      <c r="I276" s="25">
        <v>8349.3496090000008</v>
      </c>
      <c r="J276" s="64">
        <f t="shared" si="9"/>
        <v>-6.0711758883653655E-3</v>
      </c>
      <c r="M276" s="49"/>
      <c r="N276" s="25"/>
    </row>
    <row r="277" spans="3:14" x14ac:dyDescent="0.3">
      <c r="C277" s="49">
        <v>42758</v>
      </c>
      <c r="D277" s="25">
        <v>6.7850000000000001</v>
      </c>
      <c r="E277" s="64">
        <f t="shared" si="8"/>
        <v>8.9959839357429905E-2</v>
      </c>
      <c r="H277" s="49">
        <v>42758</v>
      </c>
      <c r="I277" s="25">
        <v>8641.25</v>
      </c>
      <c r="J277" s="64">
        <f t="shared" si="9"/>
        <v>3.4960853799360869E-2</v>
      </c>
      <c r="M277" s="49"/>
      <c r="N277" s="25"/>
    </row>
    <row r="278" spans="3:14" x14ac:dyDescent="0.3">
      <c r="C278" s="49">
        <v>42765</v>
      </c>
      <c r="D278" s="25">
        <v>6.88</v>
      </c>
      <c r="E278" s="64">
        <f t="shared" si="8"/>
        <v>1.4001473839351464E-2</v>
      </c>
      <c r="H278" s="49">
        <v>42765</v>
      </c>
      <c r="I278" s="25">
        <v>8740.9501949999994</v>
      </c>
      <c r="J278" s="64">
        <f t="shared" si="9"/>
        <v>1.1537705193114256E-2</v>
      </c>
      <c r="M278" s="49"/>
      <c r="N278" s="25"/>
    </row>
    <row r="279" spans="3:14" x14ac:dyDescent="0.3">
      <c r="C279" s="49">
        <v>42772</v>
      </c>
      <c r="D279" s="25">
        <v>7.18</v>
      </c>
      <c r="E279" s="64">
        <f t="shared" si="8"/>
        <v>4.3604651162790775E-2</v>
      </c>
      <c r="H279" s="49">
        <v>42772</v>
      </c>
      <c r="I279" s="25">
        <v>8793.5498050000006</v>
      </c>
      <c r="J279" s="64">
        <f t="shared" si="9"/>
        <v>6.0176077916664905E-3</v>
      </c>
      <c r="M279" s="49"/>
      <c r="N279" s="25"/>
    </row>
    <row r="280" spans="3:14" x14ac:dyDescent="0.3">
      <c r="C280" s="49">
        <v>42779</v>
      </c>
      <c r="D280" s="25">
        <v>6.95</v>
      </c>
      <c r="E280" s="64">
        <f t="shared" si="8"/>
        <v>-3.2033426183843972E-2</v>
      </c>
      <c r="H280" s="49">
        <v>42779</v>
      </c>
      <c r="I280" s="25">
        <v>8821.7001949999994</v>
      </c>
      <c r="J280" s="64">
        <f t="shared" si="9"/>
        <v>3.2012543994455189E-3</v>
      </c>
      <c r="M280" s="49"/>
      <c r="N280" s="25"/>
    </row>
    <row r="281" spans="3:14" x14ac:dyDescent="0.3">
      <c r="C281" s="49">
        <v>42786</v>
      </c>
      <c r="D281" s="25">
        <v>6.8949999999999996</v>
      </c>
      <c r="E281" s="64">
        <f t="shared" si="8"/>
        <v>-7.9136690647483299E-3</v>
      </c>
      <c r="H281" s="49">
        <v>42786</v>
      </c>
      <c r="I281" s="25">
        <v>8939.5</v>
      </c>
      <c r="J281" s="64">
        <f t="shared" si="9"/>
        <v>1.335341287915992E-2</v>
      </c>
      <c r="M281" s="49"/>
      <c r="N281" s="25"/>
    </row>
    <row r="282" spans="3:14" x14ac:dyDescent="0.3">
      <c r="C282" s="49">
        <v>42793</v>
      </c>
      <c r="D282" s="25">
        <v>7.42</v>
      </c>
      <c r="E282" s="64">
        <f t="shared" si="8"/>
        <v>7.6142131979695549E-2</v>
      </c>
      <c r="H282" s="49">
        <v>42793</v>
      </c>
      <c r="I282" s="25">
        <v>8897.5498050000006</v>
      </c>
      <c r="J282" s="64">
        <f t="shared" si="9"/>
        <v>-4.6926780021253611E-3</v>
      </c>
      <c r="M282" s="49"/>
      <c r="N282" s="25"/>
    </row>
    <row r="283" spans="3:14" x14ac:dyDescent="0.3">
      <c r="C283" s="49">
        <v>42800</v>
      </c>
      <c r="D283" s="25">
        <v>7.66</v>
      </c>
      <c r="E283" s="64">
        <f t="shared" si="8"/>
        <v>3.2345013477089068E-2</v>
      </c>
      <c r="H283" s="49">
        <v>42800</v>
      </c>
      <c r="I283" s="25">
        <v>8934.5498050000006</v>
      </c>
      <c r="J283" s="64">
        <f t="shared" si="9"/>
        <v>4.1584482032579473E-3</v>
      </c>
      <c r="M283" s="49"/>
      <c r="N283" s="25"/>
    </row>
    <row r="284" spans="3:14" x14ac:dyDescent="0.3">
      <c r="C284" s="49">
        <v>42807</v>
      </c>
      <c r="D284" s="25">
        <v>8.3550000000000004</v>
      </c>
      <c r="E284" s="64">
        <f t="shared" si="8"/>
        <v>9.0731070496083532E-2</v>
      </c>
      <c r="H284" s="49">
        <v>42807</v>
      </c>
      <c r="I284" s="25">
        <v>9160.0498050000006</v>
      </c>
      <c r="J284" s="64">
        <f t="shared" si="9"/>
        <v>2.5239100449560903E-2</v>
      </c>
      <c r="M284" s="49"/>
      <c r="N284" s="25"/>
    </row>
    <row r="285" spans="3:14" x14ac:dyDescent="0.3">
      <c r="C285" s="49">
        <v>42814</v>
      </c>
      <c r="D285" s="25">
        <v>8.625</v>
      </c>
      <c r="E285" s="64">
        <f t="shared" si="8"/>
        <v>3.2315978456014305E-2</v>
      </c>
      <c r="H285" s="49">
        <v>42814</v>
      </c>
      <c r="I285" s="25">
        <v>9108</v>
      </c>
      <c r="J285" s="64">
        <f t="shared" si="9"/>
        <v>-5.6822622265207956E-3</v>
      </c>
      <c r="M285" s="49"/>
      <c r="N285" s="25"/>
    </row>
    <row r="286" spans="3:14" x14ac:dyDescent="0.3">
      <c r="C286" s="49">
        <v>42821</v>
      </c>
      <c r="D286" s="25">
        <v>8.6449999999999996</v>
      </c>
      <c r="E286" s="64">
        <f t="shared" si="8"/>
        <v>2.3188405797101019E-3</v>
      </c>
      <c r="H286" s="49">
        <v>42821</v>
      </c>
      <c r="I286" s="25">
        <v>9173.75</v>
      </c>
      <c r="J286" s="64">
        <f t="shared" si="9"/>
        <v>7.2189284145804944E-3</v>
      </c>
      <c r="M286" s="49"/>
      <c r="N286" s="25"/>
    </row>
    <row r="287" spans="3:14" x14ac:dyDescent="0.3">
      <c r="C287" s="49">
        <v>42828</v>
      </c>
      <c r="D287" s="25">
        <v>8.15</v>
      </c>
      <c r="E287" s="64">
        <f t="shared" si="8"/>
        <v>-5.7258530942741359E-2</v>
      </c>
      <c r="H287" s="49">
        <v>42828</v>
      </c>
      <c r="I287" s="25">
        <v>9198.2998050000006</v>
      </c>
      <c r="J287" s="64">
        <f t="shared" si="9"/>
        <v>2.6760926556752551E-3</v>
      </c>
      <c r="M287" s="49"/>
      <c r="N287" s="25"/>
    </row>
    <row r="288" spans="3:14" x14ac:dyDescent="0.3">
      <c r="C288" s="49">
        <v>42835</v>
      </c>
      <c r="D288" s="25">
        <v>8.125</v>
      </c>
      <c r="E288" s="64">
        <f t="shared" si="8"/>
        <v>-3.0674846625767804E-3</v>
      </c>
      <c r="H288" s="49">
        <v>42835</v>
      </c>
      <c r="I288" s="25">
        <v>9150.7998050000006</v>
      </c>
      <c r="J288" s="64">
        <f t="shared" si="9"/>
        <v>-5.1639978047007817E-3</v>
      </c>
      <c r="M288" s="49"/>
      <c r="N288" s="25"/>
    </row>
    <row r="289" spans="3:14" x14ac:dyDescent="0.3">
      <c r="C289" s="49">
        <v>42842</v>
      </c>
      <c r="D289" s="25">
        <v>8.41</v>
      </c>
      <c r="E289" s="64">
        <f t="shared" si="8"/>
        <v>3.5076923076923006E-2</v>
      </c>
      <c r="H289" s="49">
        <v>42842</v>
      </c>
      <c r="I289" s="25">
        <v>9119.4003909999992</v>
      </c>
      <c r="J289" s="64">
        <f t="shared" si="9"/>
        <v>-3.4313300114865442E-3</v>
      </c>
      <c r="M289" s="49"/>
      <c r="N289" s="25"/>
    </row>
    <row r="290" spans="3:14" x14ac:dyDescent="0.3">
      <c r="C290" s="49">
        <v>42849</v>
      </c>
      <c r="D290" s="25">
        <v>8.3249999999999993</v>
      </c>
      <c r="E290" s="64">
        <f t="shared" si="8"/>
        <v>-1.0107015457788471E-2</v>
      </c>
      <c r="H290" s="49">
        <v>42849</v>
      </c>
      <c r="I290" s="25">
        <v>9304.0498050000006</v>
      </c>
      <c r="J290" s="64">
        <f t="shared" si="9"/>
        <v>2.0247977507625636E-2</v>
      </c>
      <c r="M290" s="49"/>
      <c r="N290" s="25"/>
    </row>
    <row r="291" spans="3:14" x14ac:dyDescent="0.3">
      <c r="C291" s="49">
        <v>42856</v>
      </c>
      <c r="D291" s="25">
        <v>8.68</v>
      </c>
      <c r="E291" s="64">
        <f t="shared" si="8"/>
        <v>4.2642642642642725E-2</v>
      </c>
      <c r="H291" s="49">
        <v>42856</v>
      </c>
      <c r="I291" s="25">
        <v>9285.2998050000006</v>
      </c>
      <c r="J291" s="64">
        <f t="shared" si="9"/>
        <v>-2.015251465004364E-3</v>
      </c>
      <c r="M291" s="49"/>
      <c r="N291" s="25"/>
    </row>
    <row r="292" spans="3:14" x14ac:dyDescent="0.3">
      <c r="C292" s="49">
        <v>42863</v>
      </c>
      <c r="D292" s="25">
        <v>8.68</v>
      </c>
      <c r="E292" s="64">
        <f t="shared" si="8"/>
        <v>0</v>
      </c>
      <c r="H292" s="49">
        <v>42863</v>
      </c>
      <c r="I292" s="25">
        <v>9400.9003909999992</v>
      </c>
      <c r="J292" s="64">
        <f t="shared" si="9"/>
        <v>1.2449849593197726E-2</v>
      </c>
      <c r="M292" s="49"/>
      <c r="N292" s="25"/>
    </row>
    <row r="293" spans="3:14" x14ac:dyDescent="0.3">
      <c r="C293" s="49">
        <v>42870</v>
      </c>
      <c r="D293" s="25">
        <v>8.2349999999999994</v>
      </c>
      <c r="E293" s="64">
        <f t="shared" si="8"/>
        <v>-5.126728110599077E-2</v>
      </c>
      <c r="H293" s="49">
        <v>42870</v>
      </c>
      <c r="I293" s="25">
        <v>9427.9003909999992</v>
      </c>
      <c r="J293" s="64">
        <f t="shared" si="9"/>
        <v>2.8720653210887459E-3</v>
      </c>
      <c r="M293" s="49"/>
      <c r="N293" s="25"/>
    </row>
    <row r="294" spans="3:14" x14ac:dyDescent="0.3">
      <c r="C294" s="49">
        <v>42877</v>
      </c>
      <c r="D294" s="25">
        <v>7.9950000000000001</v>
      </c>
      <c r="E294" s="64">
        <f t="shared" si="8"/>
        <v>-2.9143897996356971E-2</v>
      </c>
      <c r="H294" s="49">
        <v>42877</v>
      </c>
      <c r="I294" s="25">
        <v>9595.0996090000008</v>
      </c>
      <c r="J294" s="64">
        <f t="shared" si="9"/>
        <v>1.7734512570753536E-2</v>
      </c>
      <c r="M294" s="49"/>
      <c r="N294" s="25"/>
    </row>
    <row r="295" spans="3:14" x14ac:dyDescent="0.3">
      <c r="C295" s="49">
        <v>42884</v>
      </c>
      <c r="D295" s="25">
        <v>8.1199999999999992</v>
      </c>
      <c r="E295" s="64">
        <f t="shared" si="8"/>
        <v>1.5634771732332631E-2</v>
      </c>
      <c r="H295" s="49">
        <v>42884</v>
      </c>
      <c r="I295" s="25">
        <v>9653.5</v>
      </c>
      <c r="J295" s="64">
        <f t="shared" si="9"/>
        <v>6.0864809517162666E-3</v>
      </c>
      <c r="M295" s="49"/>
      <c r="N295" s="25"/>
    </row>
    <row r="296" spans="3:14" x14ac:dyDescent="0.3">
      <c r="C296" s="49">
        <v>42891</v>
      </c>
      <c r="D296" s="25">
        <v>8.2100000000000009</v>
      </c>
      <c r="E296" s="64">
        <f t="shared" si="8"/>
        <v>1.1083743842364768E-2</v>
      </c>
      <c r="H296" s="49">
        <v>42891</v>
      </c>
      <c r="I296" s="25">
        <v>9668.25</v>
      </c>
      <c r="J296" s="64">
        <f t="shared" si="9"/>
        <v>1.5279432330241871E-3</v>
      </c>
      <c r="M296" s="49"/>
      <c r="N296" s="25"/>
    </row>
    <row r="297" spans="3:14" x14ac:dyDescent="0.3">
      <c r="C297" s="49">
        <v>42898</v>
      </c>
      <c r="D297" s="25">
        <v>8.2349999999999994</v>
      </c>
      <c r="E297" s="64">
        <f t="shared" si="8"/>
        <v>3.0450669914736661E-3</v>
      </c>
      <c r="H297" s="49">
        <v>42898</v>
      </c>
      <c r="I297" s="25">
        <v>9588.0498050000006</v>
      </c>
      <c r="J297" s="64">
        <f t="shared" si="9"/>
        <v>-8.2952131978382138E-3</v>
      </c>
      <c r="M297" s="49"/>
      <c r="N297" s="25"/>
    </row>
    <row r="298" spans="3:14" x14ac:dyDescent="0.3">
      <c r="C298" s="49">
        <v>42905</v>
      </c>
      <c r="D298" s="25">
        <v>7.91</v>
      </c>
      <c r="E298" s="64">
        <f t="shared" si="8"/>
        <v>-3.9465695203400042E-2</v>
      </c>
      <c r="H298" s="49">
        <v>42905</v>
      </c>
      <c r="I298" s="25">
        <v>9574.9501949999994</v>
      </c>
      <c r="J298" s="64">
        <f t="shared" si="9"/>
        <v>-1.3662434245147459E-3</v>
      </c>
      <c r="M298" s="49"/>
      <c r="N298" s="25"/>
    </row>
    <row r="299" spans="3:14" x14ac:dyDescent="0.3">
      <c r="C299" s="49">
        <v>42912</v>
      </c>
      <c r="D299" s="25">
        <v>7.3550000000000004</v>
      </c>
      <c r="E299" s="64">
        <f t="shared" si="8"/>
        <v>-7.0164348925410791E-2</v>
      </c>
      <c r="H299" s="49">
        <v>42912</v>
      </c>
      <c r="I299" s="25">
        <v>9520.9003909999992</v>
      </c>
      <c r="J299" s="64">
        <f t="shared" si="9"/>
        <v>-5.6449175086283887E-3</v>
      </c>
      <c r="M299" s="49"/>
      <c r="N299" s="25"/>
    </row>
    <row r="300" spans="3:14" x14ac:dyDescent="0.3">
      <c r="C300" s="49">
        <v>42919</v>
      </c>
      <c r="D300" s="25">
        <v>8.0549999999999997</v>
      </c>
      <c r="E300" s="64">
        <f t="shared" si="8"/>
        <v>9.5173351461590672E-2</v>
      </c>
      <c r="H300" s="49">
        <v>42919</v>
      </c>
      <c r="I300" s="25">
        <v>9665.7998050000006</v>
      </c>
      <c r="J300" s="64">
        <f t="shared" si="9"/>
        <v>1.5219087276343357E-2</v>
      </c>
      <c r="M300" s="49"/>
      <c r="N300" s="25"/>
    </row>
    <row r="301" spans="3:14" x14ac:dyDescent="0.3">
      <c r="C301" s="49">
        <v>42926</v>
      </c>
      <c r="D301" s="25">
        <v>8.2750000000000004</v>
      </c>
      <c r="E301" s="64">
        <f t="shared" si="8"/>
        <v>2.7312228429546836E-2</v>
      </c>
      <c r="H301" s="49">
        <v>42926</v>
      </c>
      <c r="I301" s="25">
        <v>9886.3496090000008</v>
      </c>
      <c r="J301" s="64">
        <f t="shared" si="9"/>
        <v>2.2817543136566254E-2</v>
      </c>
      <c r="M301" s="49"/>
      <c r="N301" s="25"/>
    </row>
    <row r="302" spans="3:14" x14ac:dyDescent="0.3">
      <c r="C302" s="49">
        <v>42933</v>
      </c>
      <c r="D302" s="25">
        <v>8.6199999999999992</v>
      </c>
      <c r="E302" s="64">
        <f t="shared" si="8"/>
        <v>4.1691842900301923E-2</v>
      </c>
      <c r="H302" s="49">
        <v>42933</v>
      </c>
      <c r="I302" s="25">
        <v>9915.25</v>
      </c>
      <c r="J302" s="64">
        <f t="shared" si="9"/>
        <v>2.9232620879287019E-3</v>
      </c>
      <c r="M302" s="49"/>
      <c r="N302" s="25"/>
    </row>
    <row r="303" spans="3:14" x14ac:dyDescent="0.3">
      <c r="C303" s="49">
        <v>42940</v>
      </c>
      <c r="D303" s="25">
        <v>8.39</v>
      </c>
      <c r="E303" s="64">
        <f t="shared" si="8"/>
        <v>-2.6682134570765514E-2</v>
      </c>
      <c r="H303" s="49">
        <v>42940</v>
      </c>
      <c r="I303" s="25">
        <v>10014.5</v>
      </c>
      <c r="J303" s="64">
        <f t="shared" si="9"/>
        <v>1.0009833337535579E-2</v>
      </c>
      <c r="M303" s="49"/>
      <c r="N303" s="25"/>
    </row>
    <row r="304" spans="3:14" x14ac:dyDescent="0.3">
      <c r="C304" s="49">
        <v>42947</v>
      </c>
      <c r="D304" s="25">
        <v>8.59</v>
      </c>
      <c r="E304" s="64">
        <f t="shared" si="8"/>
        <v>2.3837902264600697E-2</v>
      </c>
      <c r="H304" s="49">
        <v>42947</v>
      </c>
      <c r="I304" s="25">
        <v>10066.400390999999</v>
      </c>
      <c r="J304" s="64">
        <f t="shared" si="9"/>
        <v>5.1825244395624637E-3</v>
      </c>
      <c r="M304" s="49"/>
      <c r="N304" s="25"/>
    </row>
    <row r="305" spans="3:14" x14ac:dyDescent="0.3">
      <c r="C305" s="49">
        <v>42954</v>
      </c>
      <c r="D305" s="25">
        <v>7.52</v>
      </c>
      <c r="E305" s="64">
        <f t="shared" si="8"/>
        <v>-0.12456344586728763</v>
      </c>
      <c r="H305" s="49">
        <v>42954</v>
      </c>
      <c r="I305" s="25">
        <v>9710.7998050000006</v>
      </c>
      <c r="J305" s="64">
        <f t="shared" si="9"/>
        <v>-3.5325495925825456E-2</v>
      </c>
      <c r="M305" s="49"/>
      <c r="N305" s="25"/>
    </row>
    <row r="306" spans="3:14" x14ac:dyDescent="0.3">
      <c r="C306" s="49">
        <v>42961</v>
      </c>
      <c r="D306" s="25">
        <v>8.1549999999999994</v>
      </c>
      <c r="E306" s="64">
        <f t="shared" si="8"/>
        <v>8.4441489361702038E-2</v>
      </c>
      <c r="H306" s="49">
        <v>42961</v>
      </c>
      <c r="I306" s="25">
        <v>9837.4003909999992</v>
      </c>
      <c r="J306" s="64">
        <f t="shared" si="9"/>
        <v>1.3037091541606483E-2</v>
      </c>
      <c r="M306" s="49"/>
      <c r="N306" s="25"/>
    </row>
    <row r="307" spans="3:14" x14ac:dyDescent="0.3">
      <c r="C307" s="49">
        <v>42968</v>
      </c>
      <c r="D307" s="25">
        <v>8.6549999999999994</v>
      </c>
      <c r="E307" s="64">
        <f t="shared" si="8"/>
        <v>6.1312078479460519E-2</v>
      </c>
      <c r="H307" s="49">
        <v>42968</v>
      </c>
      <c r="I307" s="25">
        <v>9857.0498050000006</v>
      </c>
      <c r="J307" s="64">
        <f t="shared" si="9"/>
        <v>1.9974193607061874E-3</v>
      </c>
      <c r="M307" s="49"/>
      <c r="N307" s="25"/>
    </row>
    <row r="308" spans="3:14" x14ac:dyDescent="0.3">
      <c r="C308" s="49">
        <v>42975</v>
      </c>
      <c r="D308" s="25">
        <v>9.6549999999999994</v>
      </c>
      <c r="E308" s="64">
        <f t="shared" si="8"/>
        <v>0.11554015020219532</v>
      </c>
      <c r="H308" s="49">
        <v>42975</v>
      </c>
      <c r="I308" s="25">
        <v>9974.4003909999992</v>
      </c>
      <c r="J308" s="64">
        <f t="shared" si="9"/>
        <v>1.190524429941231E-2</v>
      </c>
      <c r="M308" s="49"/>
      <c r="N308" s="25"/>
    </row>
    <row r="309" spans="3:14" x14ac:dyDescent="0.3">
      <c r="C309" s="49">
        <v>42982</v>
      </c>
      <c r="D309" s="25">
        <v>9.7750000000000004</v>
      </c>
      <c r="E309" s="64">
        <f t="shared" si="8"/>
        <v>1.2428793371310309E-2</v>
      </c>
      <c r="H309" s="49">
        <v>42982</v>
      </c>
      <c r="I309" s="25">
        <v>9934.7998050000006</v>
      </c>
      <c r="J309" s="64">
        <f t="shared" si="9"/>
        <v>-3.9702222136310805E-3</v>
      </c>
      <c r="M309" s="49"/>
      <c r="N309" s="25"/>
    </row>
    <row r="310" spans="3:14" x14ac:dyDescent="0.3">
      <c r="C310" s="49">
        <v>42989</v>
      </c>
      <c r="D310" s="25">
        <v>10.015000000000001</v>
      </c>
      <c r="E310" s="64">
        <f t="shared" si="8"/>
        <v>2.4552429667519249E-2</v>
      </c>
      <c r="H310" s="49">
        <v>42989</v>
      </c>
      <c r="I310" s="25">
        <v>10085.400390999999</v>
      </c>
      <c r="J310" s="64">
        <f t="shared" si="9"/>
        <v>1.5158894890282992E-2</v>
      </c>
      <c r="M310" s="49"/>
      <c r="N310" s="25"/>
    </row>
    <row r="311" spans="3:14" x14ac:dyDescent="0.3">
      <c r="C311" s="49">
        <v>42996</v>
      </c>
      <c r="D311" s="25">
        <v>9.7100000000000009</v>
      </c>
      <c r="E311" s="64">
        <f t="shared" si="8"/>
        <v>-3.0454318522216695E-2</v>
      </c>
      <c r="H311" s="49">
        <v>42996</v>
      </c>
      <c r="I311" s="25">
        <v>9964.4003909999992</v>
      </c>
      <c r="J311" s="64">
        <f t="shared" si="9"/>
        <v>-1.1997540534729567E-2</v>
      </c>
      <c r="M311" s="49"/>
      <c r="N311" s="25"/>
    </row>
    <row r="312" spans="3:14" x14ac:dyDescent="0.3">
      <c r="C312" s="49">
        <v>43003</v>
      </c>
      <c r="D312" s="25">
        <v>9.77</v>
      </c>
      <c r="E312" s="64">
        <f t="shared" si="8"/>
        <v>6.1791967044282359E-3</v>
      </c>
      <c r="H312" s="49">
        <v>43003</v>
      </c>
      <c r="I312" s="25">
        <v>9788.5996090000008</v>
      </c>
      <c r="J312" s="64">
        <f t="shared" si="9"/>
        <v>-1.7642886184981554E-2</v>
      </c>
      <c r="M312" s="49"/>
      <c r="N312" s="25"/>
    </row>
    <row r="313" spans="3:14" x14ac:dyDescent="0.3">
      <c r="C313" s="49">
        <v>43010</v>
      </c>
      <c r="D313" s="25">
        <v>10.345000000000001</v>
      </c>
      <c r="E313" s="64">
        <f t="shared" si="8"/>
        <v>5.8853633572159891E-2</v>
      </c>
      <c r="H313" s="49">
        <v>43010</v>
      </c>
      <c r="I313" s="25">
        <v>9979.7001949999994</v>
      </c>
      <c r="J313" s="64">
        <f t="shared" si="9"/>
        <v>1.9522770736714268E-2</v>
      </c>
      <c r="M313" s="49"/>
      <c r="N313" s="25"/>
    </row>
    <row r="314" spans="3:14" x14ac:dyDescent="0.3">
      <c r="C314" s="49">
        <v>43017</v>
      </c>
      <c r="D314" s="25">
        <v>9.7949999999999999</v>
      </c>
      <c r="E314" s="64">
        <f t="shared" si="8"/>
        <v>-5.316578057032384E-2</v>
      </c>
      <c r="H314" s="49">
        <v>43017</v>
      </c>
      <c r="I314" s="25">
        <v>10167.450194999999</v>
      </c>
      <c r="J314" s="64">
        <f t="shared" si="9"/>
        <v>1.8813190409674441E-2</v>
      </c>
      <c r="M314" s="49"/>
      <c r="N314" s="25"/>
    </row>
    <row r="315" spans="3:14" x14ac:dyDescent="0.3">
      <c r="C315" s="49">
        <v>43024</v>
      </c>
      <c r="D315" s="25">
        <v>10.01</v>
      </c>
      <c r="E315" s="64">
        <f t="shared" si="8"/>
        <v>2.1949974476773937E-2</v>
      </c>
      <c r="H315" s="49">
        <v>43024</v>
      </c>
      <c r="I315" s="25">
        <v>10146.549805000001</v>
      </c>
      <c r="J315" s="64">
        <f t="shared" si="9"/>
        <v>-2.0556176424918471E-3</v>
      </c>
      <c r="M315" s="49"/>
      <c r="N315" s="25"/>
    </row>
    <row r="316" spans="3:14" x14ac:dyDescent="0.3">
      <c r="C316" s="49">
        <v>43031</v>
      </c>
      <c r="D316" s="25">
        <v>9.9350000000000005</v>
      </c>
      <c r="E316" s="64">
        <f t="shared" si="8"/>
        <v>-7.4925074925074053E-3</v>
      </c>
      <c r="H316" s="49">
        <v>43031</v>
      </c>
      <c r="I316" s="25">
        <v>10323.049805000001</v>
      </c>
      <c r="J316" s="64">
        <f t="shared" si="9"/>
        <v>1.7395075507639524E-2</v>
      </c>
      <c r="M316" s="49"/>
      <c r="N316" s="25"/>
    </row>
    <row r="317" spans="3:14" x14ac:dyDescent="0.3">
      <c r="C317" s="49">
        <v>43038</v>
      </c>
      <c r="D317" s="25">
        <v>9.64</v>
      </c>
      <c r="E317" s="64">
        <f t="shared" si="8"/>
        <v>-2.9693004529441347E-2</v>
      </c>
      <c r="H317" s="49">
        <v>43038</v>
      </c>
      <c r="I317" s="25">
        <v>10452.5</v>
      </c>
      <c r="J317" s="64">
        <f t="shared" si="9"/>
        <v>1.2539917703128678E-2</v>
      </c>
      <c r="M317" s="49"/>
      <c r="N317" s="25"/>
    </row>
    <row r="318" spans="3:14" x14ac:dyDescent="0.3">
      <c r="C318" s="49">
        <v>43045</v>
      </c>
      <c r="D318" s="25">
        <v>9.02</v>
      </c>
      <c r="E318" s="64">
        <f t="shared" si="8"/>
        <v>-6.431535269709554E-2</v>
      </c>
      <c r="H318" s="49">
        <v>43045</v>
      </c>
      <c r="I318" s="25">
        <v>10321.75</v>
      </c>
      <c r="J318" s="64">
        <f t="shared" si="9"/>
        <v>-1.2508969146137305E-2</v>
      </c>
      <c r="M318" s="49"/>
      <c r="N318" s="25"/>
    </row>
    <row r="319" spans="3:14" x14ac:dyDescent="0.3">
      <c r="C319" s="49">
        <v>43052</v>
      </c>
      <c r="D319" s="25">
        <v>8.8049999999999997</v>
      </c>
      <c r="E319" s="64">
        <f t="shared" si="8"/>
        <v>-2.3835920177383563E-2</v>
      </c>
      <c r="H319" s="49">
        <v>43052</v>
      </c>
      <c r="I319" s="25">
        <v>10283.599609000001</v>
      </c>
      <c r="J319" s="64">
        <f t="shared" si="9"/>
        <v>-3.6961165500035698E-3</v>
      </c>
      <c r="M319" s="49"/>
      <c r="N319" s="25"/>
    </row>
    <row r="320" spans="3:14" x14ac:dyDescent="0.3">
      <c r="C320" s="49">
        <v>43059</v>
      </c>
      <c r="D320" s="25">
        <v>8.6850000000000005</v>
      </c>
      <c r="E320" s="64">
        <f t="shared" si="8"/>
        <v>-1.362862010221455E-2</v>
      </c>
      <c r="H320" s="49">
        <v>43059</v>
      </c>
      <c r="I320" s="25">
        <v>10389.700194999999</v>
      </c>
      <c r="J320" s="64">
        <f t="shared" si="9"/>
        <v>1.0317455952596699E-2</v>
      </c>
      <c r="M320" s="49"/>
      <c r="N320" s="25"/>
    </row>
    <row r="321" spans="3:14" x14ac:dyDescent="0.3">
      <c r="C321" s="49">
        <v>43066</v>
      </c>
      <c r="D321" s="25">
        <v>8.91</v>
      </c>
      <c r="E321" s="64">
        <f t="shared" si="8"/>
        <v>2.5906735751295207E-2</v>
      </c>
      <c r="H321" s="49">
        <v>43066</v>
      </c>
      <c r="I321" s="25">
        <v>10121.799805000001</v>
      </c>
      <c r="J321" s="64">
        <f t="shared" si="9"/>
        <v>-2.5785189656283292E-2</v>
      </c>
      <c r="M321" s="49"/>
      <c r="N321" s="25"/>
    </row>
    <row r="322" spans="3:14" x14ac:dyDescent="0.3">
      <c r="C322" s="49">
        <v>43073</v>
      </c>
      <c r="D322" s="25">
        <v>8.7799999999999994</v>
      </c>
      <c r="E322" s="64">
        <f t="shared" si="8"/>
        <v>-1.4590347923681302E-2</v>
      </c>
      <c r="H322" s="49">
        <v>43073</v>
      </c>
      <c r="I322" s="25">
        <v>10265.650390999999</v>
      </c>
      <c r="J322" s="64">
        <f t="shared" si="9"/>
        <v>1.4211957237974415E-2</v>
      </c>
      <c r="M322" s="49"/>
      <c r="N322" s="25"/>
    </row>
    <row r="323" spans="3:14" x14ac:dyDescent="0.3">
      <c r="C323" s="49">
        <v>43080</v>
      </c>
      <c r="D323" s="25">
        <v>8.66</v>
      </c>
      <c r="E323" s="64">
        <f t="shared" si="8"/>
        <v>-1.3667425968109215E-2</v>
      </c>
      <c r="H323" s="49">
        <v>43080</v>
      </c>
      <c r="I323" s="25">
        <v>10333.25</v>
      </c>
      <c r="J323" s="64">
        <f t="shared" si="9"/>
        <v>6.5850293381573E-3</v>
      </c>
      <c r="M323" s="49"/>
      <c r="N323" s="25"/>
    </row>
    <row r="324" spans="3:14" x14ac:dyDescent="0.3">
      <c r="C324" s="49">
        <v>43087</v>
      </c>
      <c r="D324" s="25">
        <v>9.125</v>
      </c>
      <c r="E324" s="64">
        <f t="shared" si="8"/>
        <v>5.3695150115473433E-2</v>
      </c>
      <c r="H324" s="49">
        <v>43087</v>
      </c>
      <c r="I324" s="25">
        <v>10493</v>
      </c>
      <c r="J324" s="64">
        <f t="shared" si="9"/>
        <v>1.5459802095178166E-2</v>
      </c>
      <c r="M324" s="49"/>
      <c r="N324" s="25"/>
    </row>
    <row r="325" spans="3:14" x14ac:dyDescent="0.3">
      <c r="C325" s="49">
        <v>43094</v>
      </c>
      <c r="D325" s="25">
        <v>8.94</v>
      </c>
      <c r="E325" s="64">
        <f t="shared" si="8"/>
        <v>-2.0273972602739776E-2</v>
      </c>
      <c r="H325" s="49">
        <v>43094</v>
      </c>
      <c r="I325" s="25">
        <v>10530.700194999999</v>
      </c>
      <c r="J325" s="64">
        <f t="shared" si="9"/>
        <v>3.5928900219193149E-3</v>
      </c>
      <c r="M325" s="49"/>
      <c r="N325" s="25"/>
    </row>
    <row r="326" spans="3:14" x14ac:dyDescent="0.3">
      <c r="C326" s="49">
        <v>43101</v>
      </c>
      <c r="D326" s="25">
        <v>9.0250000000000004</v>
      </c>
      <c r="E326" s="64">
        <f t="shared" si="8"/>
        <v>9.5078299776287789E-3</v>
      </c>
      <c r="H326" s="49">
        <v>43101</v>
      </c>
      <c r="I326" s="25">
        <v>10558.849609000001</v>
      </c>
      <c r="J326" s="64">
        <f t="shared" si="9"/>
        <v>2.6730809422688129E-3</v>
      </c>
      <c r="M326" s="49"/>
      <c r="N326" s="25"/>
    </row>
    <row r="327" spans="3:14" x14ac:dyDescent="0.3">
      <c r="C327" s="49">
        <v>43108</v>
      </c>
      <c r="D327" s="25">
        <v>8.9350000000000005</v>
      </c>
      <c r="E327" s="64">
        <f t="shared" si="8"/>
        <v>-9.9722991689750184E-3</v>
      </c>
      <c r="H327" s="49">
        <v>43108</v>
      </c>
      <c r="I327" s="25">
        <v>10681.25</v>
      </c>
      <c r="J327" s="64">
        <f t="shared" si="9"/>
        <v>1.1592208955762517E-2</v>
      </c>
      <c r="M327" s="49"/>
      <c r="N327" s="25"/>
    </row>
    <row r="328" spans="3:14" x14ac:dyDescent="0.3">
      <c r="C328" s="49">
        <v>43115</v>
      </c>
      <c r="D328" s="25">
        <v>8.49</v>
      </c>
      <c r="E328" s="64">
        <f t="shared" si="8"/>
        <v>-4.9804141018466752E-2</v>
      </c>
      <c r="H328" s="49">
        <v>43115</v>
      </c>
      <c r="I328" s="25">
        <v>10894.700194999999</v>
      </c>
      <c r="J328" s="64">
        <f t="shared" si="9"/>
        <v>1.9983634406085304E-2</v>
      </c>
      <c r="M328" s="49"/>
      <c r="N328" s="25"/>
    </row>
    <row r="329" spans="3:14" x14ac:dyDescent="0.3">
      <c r="C329" s="49">
        <v>43122</v>
      </c>
      <c r="D329" s="25">
        <v>8.4849999999999994</v>
      </c>
      <c r="E329" s="64">
        <f t="shared" si="8"/>
        <v>-5.889281507657218E-4</v>
      </c>
      <c r="H329" s="49">
        <v>43122</v>
      </c>
      <c r="I329" s="25">
        <v>11069.650390999999</v>
      </c>
      <c r="J329" s="64">
        <f t="shared" si="9"/>
        <v>1.6058284566682346E-2</v>
      </c>
      <c r="M329" s="49"/>
      <c r="N329" s="25"/>
    </row>
    <row r="330" spans="3:14" x14ac:dyDescent="0.3">
      <c r="C330" s="49">
        <v>43129</v>
      </c>
      <c r="D330" s="25">
        <v>7.3449999999999998</v>
      </c>
      <c r="E330" s="64">
        <f t="shared" si="8"/>
        <v>-0.13435474366529165</v>
      </c>
      <c r="H330" s="49">
        <v>43129</v>
      </c>
      <c r="I330" s="25">
        <v>10760.599609000001</v>
      </c>
      <c r="J330" s="64">
        <f t="shared" si="9"/>
        <v>-2.7918748206471555E-2</v>
      </c>
      <c r="M330" s="49"/>
      <c r="N330" s="25"/>
    </row>
    <row r="331" spans="3:14" x14ac:dyDescent="0.3">
      <c r="C331" s="49">
        <v>43136</v>
      </c>
      <c r="D331" s="25">
        <v>7.3049999999999997</v>
      </c>
      <c r="E331" s="64">
        <f t="shared" ref="E331:E394" si="10">D331/D330-1</f>
        <v>-5.4458815520762593E-3</v>
      </c>
      <c r="H331" s="49">
        <v>43136</v>
      </c>
      <c r="I331" s="25">
        <v>10454.950194999999</v>
      </c>
      <c r="J331" s="64">
        <f t="shared" ref="J331:J394" si="11">I331/I330-1</f>
        <v>-2.8404496506343468E-2</v>
      </c>
      <c r="M331" s="49"/>
      <c r="N331" s="25"/>
    </row>
    <row r="332" spans="3:14" x14ac:dyDescent="0.3">
      <c r="C332" s="49">
        <v>43143</v>
      </c>
      <c r="D332" s="25">
        <v>7.5149999999999997</v>
      </c>
      <c r="E332" s="64">
        <f t="shared" si="10"/>
        <v>2.8747433264887157E-2</v>
      </c>
      <c r="H332" s="49">
        <v>43143</v>
      </c>
      <c r="I332" s="25">
        <v>10452.299805000001</v>
      </c>
      <c r="J332" s="64">
        <f t="shared" si="11"/>
        <v>-2.5350575091853678E-4</v>
      </c>
      <c r="M332" s="49"/>
      <c r="N332" s="25"/>
    </row>
    <row r="333" spans="3:14" x14ac:dyDescent="0.3">
      <c r="C333" s="49">
        <v>43150</v>
      </c>
      <c r="D333" s="25">
        <v>7.31</v>
      </c>
      <c r="E333" s="64">
        <f t="shared" si="10"/>
        <v>-2.7278775781769848E-2</v>
      </c>
      <c r="H333" s="49">
        <v>43150</v>
      </c>
      <c r="I333" s="25">
        <v>10491.049805000001</v>
      </c>
      <c r="J333" s="64">
        <f t="shared" si="11"/>
        <v>3.7073180757274393E-3</v>
      </c>
      <c r="M333" s="49"/>
      <c r="N333" s="25"/>
    </row>
    <row r="334" spans="3:14" x14ac:dyDescent="0.3">
      <c r="C334" s="49">
        <v>43157</v>
      </c>
      <c r="D334" s="25">
        <v>7.2149999999999999</v>
      </c>
      <c r="E334" s="64">
        <f t="shared" si="10"/>
        <v>-1.2995896032831689E-2</v>
      </c>
      <c r="H334" s="49">
        <v>43157</v>
      </c>
      <c r="I334" s="25">
        <v>10458.349609000001</v>
      </c>
      <c r="J334" s="64">
        <f t="shared" si="11"/>
        <v>-3.1169612772607991E-3</v>
      </c>
      <c r="M334" s="49"/>
      <c r="N334" s="25"/>
    </row>
    <row r="335" spans="3:14" x14ac:dyDescent="0.3">
      <c r="C335" s="49">
        <v>43164</v>
      </c>
      <c r="D335" s="25">
        <v>6.7050000000000001</v>
      </c>
      <c r="E335" s="64">
        <f t="shared" si="10"/>
        <v>-7.068607068607069E-2</v>
      </c>
      <c r="H335" s="49">
        <v>43164</v>
      </c>
      <c r="I335" s="25">
        <v>10226.849609000001</v>
      </c>
      <c r="J335" s="64">
        <f t="shared" si="11"/>
        <v>-2.213542371931998E-2</v>
      </c>
      <c r="M335" s="49"/>
      <c r="N335" s="25"/>
    </row>
    <row r="336" spans="3:14" x14ac:dyDescent="0.3">
      <c r="C336" s="49">
        <v>43171</v>
      </c>
      <c r="D336" s="25">
        <v>6.7</v>
      </c>
      <c r="E336" s="64">
        <f t="shared" si="10"/>
        <v>-7.4571215510810251E-4</v>
      </c>
      <c r="H336" s="49">
        <v>43171</v>
      </c>
      <c r="I336" s="25">
        <v>10195.150390999999</v>
      </c>
      <c r="J336" s="64">
        <f t="shared" si="11"/>
        <v>-3.0996073289378812E-3</v>
      </c>
      <c r="M336" s="49"/>
      <c r="N336" s="25"/>
    </row>
    <row r="337" spans="3:14" x14ac:dyDescent="0.3">
      <c r="C337" s="49">
        <v>43178</v>
      </c>
      <c r="D337" s="25">
        <v>6.0750000000000002</v>
      </c>
      <c r="E337" s="64">
        <f t="shared" si="10"/>
        <v>-9.3283582089552231E-2</v>
      </c>
      <c r="H337" s="49">
        <v>43178</v>
      </c>
      <c r="I337" s="25">
        <v>9998.0498050000006</v>
      </c>
      <c r="J337" s="64">
        <f t="shared" si="11"/>
        <v>-1.9332778668374906E-2</v>
      </c>
      <c r="M337" s="49"/>
      <c r="N337" s="25"/>
    </row>
    <row r="338" spans="3:14" x14ac:dyDescent="0.3">
      <c r="C338" s="49">
        <v>43185</v>
      </c>
      <c r="D338" s="25">
        <v>5.9249999999999998</v>
      </c>
      <c r="E338" s="64">
        <f t="shared" si="10"/>
        <v>-2.4691358024691468E-2</v>
      </c>
      <c r="H338" s="49">
        <v>43185</v>
      </c>
      <c r="I338" s="25">
        <v>10113.700194999999</v>
      </c>
      <c r="J338" s="64">
        <f t="shared" si="11"/>
        <v>1.1567294848057408E-2</v>
      </c>
      <c r="M338" s="49"/>
      <c r="N338" s="25"/>
    </row>
    <row r="339" spans="3:14" x14ac:dyDescent="0.3">
      <c r="C339" s="49">
        <v>43192</v>
      </c>
      <c r="D339" s="25">
        <v>6.88</v>
      </c>
      <c r="E339" s="64">
        <f t="shared" si="10"/>
        <v>0.16118143459915624</v>
      </c>
      <c r="H339" s="49">
        <v>43192</v>
      </c>
      <c r="I339" s="25">
        <v>10331.599609000001</v>
      </c>
      <c r="J339" s="64">
        <f t="shared" si="11"/>
        <v>2.1544974618461277E-2</v>
      </c>
      <c r="M339" s="49"/>
      <c r="N339" s="25"/>
    </row>
    <row r="340" spans="3:14" x14ac:dyDescent="0.3">
      <c r="C340" s="49">
        <v>43199</v>
      </c>
      <c r="D340" s="25">
        <v>7.29</v>
      </c>
      <c r="E340" s="64">
        <f t="shared" si="10"/>
        <v>5.9593023255813948E-2</v>
      </c>
      <c r="H340" s="49">
        <v>43199</v>
      </c>
      <c r="I340" s="25">
        <v>10480.599609000001</v>
      </c>
      <c r="J340" s="64">
        <f t="shared" si="11"/>
        <v>1.4421774520782193E-2</v>
      </c>
      <c r="M340" s="49"/>
      <c r="N340" s="25"/>
    </row>
    <row r="341" spans="3:14" x14ac:dyDescent="0.3">
      <c r="C341" s="49">
        <v>43206</v>
      </c>
      <c r="D341" s="25">
        <v>7.1</v>
      </c>
      <c r="E341" s="64">
        <f t="shared" si="10"/>
        <v>-2.6063100137174278E-2</v>
      </c>
      <c r="H341" s="49">
        <v>43206</v>
      </c>
      <c r="I341" s="25">
        <v>10564.049805000001</v>
      </c>
      <c r="J341" s="64">
        <f t="shared" si="11"/>
        <v>7.962349399202262E-3</v>
      </c>
      <c r="M341" s="49"/>
      <c r="N341" s="25"/>
    </row>
    <row r="342" spans="3:14" x14ac:dyDescent="0.3">
      <c r="C342" s="49">
        <v>43213</v>
      </c>
      <c r="D342" s="25">
        <v>6.875</v>
      </c>
      <c r="E342" s="64">
        <f t="shared" si="10"/>
        <v>-3.169014084507038E-2</v>
      </c>
      <c r="H342" s="49">
        <v>43213</v>
      </c>
      <c r="I342" s="25">
        <v>10692.299805000001</v>
      </c>
      <c r="J342" s="64">
        <f t="shared" si="11"/>
        <v>1.214023053349278E-2</v>
      </c>
      <c r="M342" s="49"/>
      <c r="N342" s="25"/>
    </row>
    <row r="343" spans="3:14" x14ac:dyDescent="0.3">
      <c r="C343" s="49">
        <v>43220</v>
      </c>
      <c r="D343" s="25">
        <v>6.67</v>
      </c>
      <c r="E343" s="64">
        <f t="shared" si="10"/>
        <v>-2.9818181818181855E-2</v>
      </c>
      <c r="H343" s="49">
        <v>43220</v>
      </c>
      <c r="I343" s="25">
        <v>10618.25</v>
      </c>
      <c r="J343" s="64">
        <f t="shared" si="11"/>
        <v>-6.9255264396320682E-3</v>
      </c>
      <c r="M343" s="49"/>
      <c r="N343" s="25"/>
    </row>
    <row r="344" spans="3:14" x14ac:dyDescent="0.3">
      <c r="C344" s="49">
        <v>43227</v>
      </c>
      <c r="D344" s="25">
        <v>6.2750000000000004</v>
      </c>
      <c r="E344" s="64">
        <f t="shared" si="10"/>
        <v>-5.9220389805097362E-2</v>
      </c>
      <c r="H344" s="49">
        <v>43227</v>
      </c>
      <c r="I344" s="25">
        <v>10806.5</v>
      </c>
      <c r="J344" s="64">
        <f t="shared" si="11"/>
        <v>1.7728910131142195E-2</v>
      </c>
      <c r="M344" s="49"/>
      <c r="N344" s="25"/>
    </row>
    <row r="345" spans="3:14" x14ac:dyDescent="0.3">
      <c r="C345" s="49">
        <v>43234</v>
      </c>
      <c r="D345" s="25">
        <v>5.81</v>
      </c>
      <c r="E345" s="64">
        <f t="shared" si="10"/>
        <v>-7.410358565737063E-2</v>
      </c>
      <c r="H345" s="49">
        <v>43234</v>
      </c>
      <c r="I345" s="25">
        <v>10596.400390999999</v>
      </c>
      <c r="J345" s="64">
        <f t="shared" si="11"/>
        <v>-1.9441966316568804E-2</v>
      </c>
      <c r="M345" s="49"/>
      <c r="N345" s="25"/>
    </row>
    <row r="346" spans="3:14" x14ac:dyDescent="0.3">
      <c r="C346" s="49">
        <v>43241</v>
      </c>
      <c r="D346" s="25">
        <v>5.7750000000000004</v>
      </c>
      <c r="E346" s="64">
        <f t="shared" si="10"/>
        <v>-6.0240963855420215E-3</v>
      </c>
      <c r="H346" s="49">
        <v>43241</v>
      </c>
      <c r="I346" s="25">
        <v>10605.150390999999</v>
      </c>
      <c r="J346" s="64">
        <f t="shared" si="11"/>
        <v>8.2575211176738605E-4</v>
      </c>
      <c r="M346" s="49"/>
      <c r="N346" s="25"/>
    </row>
    <row r="347" spans="3:14" x14ac:dyDescent="0.3">
      <c r="C347" s="49">
        <v>43248</v>
      </c>
      <c r="D347" s="25">
        <v>5.79</v>
      </c>
      <c r="E347" s="64">
        <f t="shared" si="10"/>
        <v>2.5974025974024872E-3</v>
      </c>
      <c r="H347" s="49">
        <v>43248</v>
      </c>
      <c r="I347" s="25">
        <v>10696.200194999999</v>
      </c>
      <c r="J347" s="64">
        <f t="shared" si="11"/>
        <v>8.5854326099201739E-3</v>
      </c>
      <c r="M347" s="49"/>
      <c r="N347" s="25"/>
    </row>
    <row r="348" spans="3:14" x14ac:dyDescent="0.3">
      <c r="C348" s="49">
        <v>43255</v>
      </c>
      <c r="D348" s="25">
        <v>5.82</v>
      </c>
      <c r="E348" s="64">
        <f t="shared" si="10"/>
        <v>5.1813471502590858E-3</v>
      </c>
      <c r="H348" s="49">
        <v>43255</v>
      </c>
      <c r="I348" s="25">
        <v>10767.650390999999</v>
      </c>
      <c r="J348" s="64">
        <f t="shared" si="11"/>
        <v>6.679960611937652E-3</v>
      </c>
      <c r="M348" s="49"/>
      <c r="N348" s="25"/>
    </row>
    <row r="349" spans="3:14" x14ac:dyDescent="0.3">
      <c r="C349" s="49">
        <v>43262</v>
      </c>
      <c r="D349" s="25">
        <v>6.23</v>
      </c>
      <c r="E349" s="64">
        <f t="shared" si="10"/>
        <v>7.0446735395188975E-2</v>
      </c>
      <c r="H349" s="49">
        <v>43262</v>
      </c>
      <c r="I349" s="25">
        <v>10817.700194999999</v>
      </c>
      <c r="J349" s="64">
        <f t="shared" si="11"/>
        <v>4.6481639152988752E-3</v>
      </c>
      <c r="M349" s="49"/>
      <c r="N349" s="25"/>
    </row>
    <row r="350" spans="3:14" x14ac:dyDescent="0.3">
      <c r="C350" s="49">
        <v>43269</v>
      </c>
      <c r="D350" s="25">
        <v>5.7649999999999997</v>
      </c>
      <c r="E350" s="64">
        <f t="shared" si="10"/>
        <v>-7.4638844301765817E-2</v>
      </c>
      <c r="H350" s="49">
        <v>43269</v>
      </c>
      <c r="I350" s="25">
        <v>10821.849609000001</v>
      </c>
      <c r="J350" s="64">
        <f t="shared" si="11"/>
        <v>3.8357635404984158E-4</v>
      </c>
      <c r="M350" s="49"/>
      <c r="N350" s="25"/>
    </row>
    <row r="351" spans="3:14" x14ac:dyDescent="0.3">
      <c r="C351" s="49">
        <v>43276</v>
      </c>
      <c r="D351" s="25">
        <v>5.6349999999999998</v>
      </c>
      <c r="E351" s="64">
        <f t="shared" si="10"/>
        <v>-2.2549869904596731E-2</v>
      </c>
      <c r="H351" s="49">
        <v>43276</v>
      </c>
      <c r="I351" s="25">
        <v>10714.299805000001</v>
      </c>
      <c r="J351" s="64">
        <f t="shared" si="11"/>
        <v>-9.938209075697757E-3</v>
      </c>
      <c r="M351" s="49"/>
      <c r="N351" s="25"/>
    </row>
    <row r="352" spans="3:14" x14ac:dyDescent="0.3">
      <c r="C352" s="49">
        <v>43283</v>
      </c>
      <c r="D352" s="25">
        <v>5.5149999999999997</v>
      </c>
      <c r="E352" s="64">
        <f t="shared" si="10"/>
        <v>-2.1295474711623852E-2</v>
      </c>
      <c r="H352" s="49">
        <v>43283</v>
      </c>
      <c r="I352" s="25">
        <v>10772.650390999999</v>
      </c>
      <c r="J352" s="64">
        <f t="shared" si="11"/>
        <v>5.4460475310544876E-3</v>
      </c>
      <c r="M352" s="49"/>
      <c r="N352" s="25"/>
    </row>
    <row r="353" spans="3:14" x14ac:dyDescent="0.3">
      <c r="C353" s="49">
        <v>43290</v>
      </c>
      <c r="D353" s="25">
        <v>5.7149999999999999</v>
      </c>
      <c r="E353" s="64">
        <f t="shared" si="10"/>
        <v>3.6264732547597545E-2</v>
      </c>
      <c r="H353" s="49">
        <v>43290</v>
      </c>
      <c r="I353" s="25">
        <v>11018.900390999999</v>
      </c>
      <c r="J353" s="64">
        <f t="shared" si="11"/>
        <v>2.2858812925529381E-2</v>
      </c>
      <c r="M353" s="49"/>
      <c r="N353" s="25"/>
    </row>
    <row r="354" spans="3:14" x14ac:dyDescent="0.3">
      <c r="C354" s="49">
        <v>43297</v>
      </c>
      <c r="D354" s="25">
        <v>5.3449999999999998</v>
      </c>
      <c r="E354" s="64">
        <f t="shared" si="10"/>
        <v>-6.4741907261592346E-2</v>
      </c>
      <c r="H354" s="49">
        <v>43297</v>
      </c>
      <c r="I354" s="25">
        <v>11010.200194999999</v>
      </c>
      <c r="J354" s="64">
        <f t="shared" si="11"/>
        <v>-7.895702557676465E-4</v>
      </c>
      <c r="M354" s="49"/>
      <c r="N354" s="25"/>
    </row>
    <row r="355" spans="3:14" x14ac:dyDescent="0.3">
      <c r="C355" s="49">
        <v>43304</v>
      </c>
      <c r="D355" s="25">
        <v>5.52</v>
      </c>
      <c r="E355" s="64">
        <f t="shared" si="10"/>
        <v>3.2740879326473404E-2</v>
      </c>
      <c r="H355" s="49">
        <v>43304</v>
      </c>
      <c r="I355" s="25">
        <v>11278.349609000001</v>
      </c>
      <c r="J355" s="64">
        <f t="shared" si="11"/>
        <v>2.4354635633398791E-2</v>
      </c>
      <c r="M355" s="49"/>
      <c r="N355" s="25"/>
    </row>
    <row r="356" spans="3:14" x14ac:dyDescent="0.3">
      <c r="C356" s="49">
        <v>43311</v>
      </c>
      <c r="D356" s="25">
        <v>6.42</v>
      </c>
      <c r="E356" s="64">
        <f t="shared" si="10"/>
        <v>0.16304347826086962</v>
      </c>
      <c r="H356" s="49">
        <v>43311</v>
      </c>
      <c r="I356" s="25">
        <v>11360.799805000001</v>
      </c>
      <c r="J356" s="64">
        <f t="shared" si="11"/>
        <v>7.3104841451452351E-3</v>
      </c>
      <c r="M356" s="49"/>
      <c r="N356" s="25"/>
    </row>
    <row r="357" spans="3:14" x14ac:dyDescent="0.3">
      <c r="C357" s="49">
        <v>43318</v>
      </c>
      <c r="D357" s="25">
        <v>6.13</v>
      </c>
      <c r="E357" s="64">
        <f t="shared" si="10"/>
        <v>-4.5171339563862989E-2</v>
      </c>
      <c r="H357" s="49">
        <v>43318</v>
      </c>
      <c r="I357" s="25">
        <v>11429.5</v>
      </c>
      <c r="J357" s="64">
        <f t="shared" si="11"/>
        <v>6.0471266265746948E-3</v>
      </c>
      <c r="M357" s="49"/>
      <c r="N357" s="25"/>
    </row>
    <row r="358" spans="3:14" x14ac:dyDescent="0.3">
      <c r="C358" s="49">
        <v>43325</v>
      </c>
      <c r="D358" s="25">
        <v>6.125</v>
      </c>
      <c r="E358" s="64">
        <f t="shared" si="10"/>
        <v>-8.1566068515492862E-4</v>
      </c>
      <c r="H358" s="49">
        <v>43325</v>
      </c>
      <c r="I358" s="25">
        <v>11470.75</v>
      </c>
      <c r="J358" s="64">
        <f t="shared" si="11"/>
        <v>3.6090817621068361E-3</v>
      </c>
      <c r="M358" s="49"/>
      <c r="N358" s="25"/>
    </row>
    <row r="359" spans="3:14" x14ac:dyDescent="0.3">
      <c r="C359" s="49">
        <v>43332</v>
      </c>
      <c r="D359" s="25">
        <v>6.3550000000000004</v>
      </c>
      <c r="E359" s="64">
        <f t="shared" si="10"/>
        <v>3.7551020408163271E-2</v>
      </c>
      <c r="H359" s="49">
        <v>43332</v>
      </c>
      <c r="I359" s="25">
        <v>11557.099609000001</v>
      </c>
      <c r="J359" s="64">
        <f t="shared" si="11"/>
        <v>7.5278084693677361E-3</v>
      </c>
      <c r="M359" s="49"/>
      <c r="N359" s="25"/>
    </row>
    <row r="360" spans="3:14" x14ac:dyDescent="0.3">
      <c r="C360" s="49">
        <v>43339</v>
      </c>
      <c r="D360" s="25">
        <v>6.5650000000000004</v>
      </c>
      <c r="E360" s="64">
        <f t="shared" si="10"/>
        <v>3.3044846577497955E-2</v>
      </c>
      <c r="H360" s="49">
        <v>43339</v>
      </c>
      <c r="I360" s="25">
        <v>11680.5</v>
      </c>
      <c r="J360" s="64">
        <f t="shared" si="11"/>
        <v>1.0677453268976178E-2</v>
      </c>
      <c r="M360" s="49"/>
      <c r="N360" s="25"/>
    </row>
    <row r="361" spans="3:14" x14ac:dyDescent="0.3">
      <c r="C361" s="49">
        <v>43346</v>
      </c>
      <c r="D361" s="25">
        <v>6.7249999999999996</v>
      </c>
      <c r="E361" s="64">
        <f t="shared" si="10"/>
        <v>2.4371667936024188E-2</v>
      </c>
      <c r="H361" s="49">
        <v>43346</v>
      </c>
      <c r="I361" s="25">
        <v>11589.099609000001</v>
      </c>
      <c r="J361" s="64">
        <f t="shared" si="11"/>
        <v>-7.8250409657120157E-3</v>
      </c>
      <c r="M361" s="49"/>
      <c r="N361" s="25"/>
    </row>
    <row r="362" spans="3:14" x14ac:dyDescent="0.3">
      <c r="C362" s="49">
        <v>43353</v>
      </c>
      <c r="D362" s="25">
        <v>6.48</v>
      </c>
      <c r="E362" s="64">
        <f t="shared" si="10"/>
        <v>-3.643122676579913E-2</v>
      </c>
      <c r="H362" s="49">
        <v>43353</v>
      </c>
      <c r="I362" s="25">
        <v>11515.200194999999</v>
      </c>
      <c r="J362" s="64">
        <f t="shared" si="11"/>
        <v>-6.3766311873453274E-3</v>
      </c>
      <c r="M362" s="49"/>
      <c r="N362" s="25"/>
    </row>
    <row r="363" spans="3:14" x14ac:dyDescent="0.3">
      <c r="C363" s="49">
        <v>43360</v>
      </c>
      <c r="D363" s="25">
        <v>6.4</v>
      </c>
      <c r="E363" s="64">
        <f t="shared" si="10"/>
        <v>-1.2345679012345734E-2</v>
      </c>
      <c r="H363" s="49">
        <v>43360</v>
      </c>
      <c r="I363" s="25">
        <v>11143.099609000001</v>
      </c>
      <c r="J363" s="64">
        <f t="shared" si="11"/>
        <v>-3.2313861652320086E-2</v>
      </c>
      <c r="M363" s="49"/>
      <c r="N363" s="25"/>
    </row>
    <row r="364" spans="3:14" x14ac:dyDescent="0.3">
      <c r="C364" s="49">
        <v>43367</v>
      </c>
      <c r="D364" s="25">
        <v>5.71</v>
      </c>
      <c r="E364" s="64">
        <f t="shared" si="10"/>
        <v>-0.10781250000000009</v>
      </c>
      <c r="H364" s="49">
        <v>43367</v>
      </c>
      <c r="I364" s="25">
        <v>10930.450194999999</v>
      </c>
      <c r="J364" s="64">
        <f t="shared" si="11"/>
        <v>-1.9083506516288318E-2</v>
      </c>
      <c r="M364" s="49"/>
      <c r="N364" s="25"/>
    </row>
    <row r="365" spans="3:14" x14ac:dyDescent="0.3">
      <c r="C365" s="49">
        <v>43374</v>
      </c>
      <c r="D365" s="25">
        <v>5.64</v>
      </c>
      <c r="E365" s="64">
        <f t="shared" si="10"/>
        <v>-1.2259194395796924E-2</v>
      </c>
      <c r="H365" s="49">
        <v>43374</v>
      </c>
      <c r="I365" s="25">
        <v>10316.450194999999</v>
      </c>
      <c r="J365" s="64">
        <f t="shared" si="11"/>
        <v>-5.6173349591846389E-2</v>
      </c>
      <c r="M365" s="49"/>
      <c r="N365" s="25"/>
    </row>
    <row r="366" spans="3:14" x14ac:dyDescent="0.3">
      <c r="C366" s="49">
        <v>43381</v>
      </c>
      <c r="D366" s="25">
        <v>5.78</v>
      </c>
      <c r="E366" s="64">
        <f t="shared" si="10"/>
        <v>2.4822695035461084E-2</v>
      </c>
      <c r="H366" s="49">
        <v>43381</v>
      </c>
      <c r="I366" s="25">
        <v>10472.5</v>
      </c>
      <c r="J366" s="64">
        <f t="shared" si="11"/>
        <v>1.5126308182598747E-2</v>
      </c>
      <c r="M366" s="49"/>
      <c r="N366" s="25"/>
    </row>
    <row r="367" spans="3:14" x14ac:dyDescent="0.3">
      <c r="C367" s="49">
        <v>43388</v>
      </c>
      <c r="D367" s="25">
        <v>6.3849999999999998</v>
      </c>
      <c r="E367" s="64">
        <f t="shared" si="10"/>
        <v>0.1046712802768166</v>
      </c>
      <c r="H367" s="49">
        <v>43388</v>
      </c>
      <c r="I367" s="25">
        <v>10303.549805000001</v>
      </c>
      <c r="J367" s="64">
        <f t="shared" si="11"/>
        <v>-1.6132747195034547E-2</v>
      </c>
      <c r="M367" s="49"/>
      <c r="N367" s="25"/>
    </row>
    <row r="368" spans="3:14" x14ac:dyDescent="0.3">
      <c r="C368" s="49">
        <v>43395</v>
      </c>
      <c r="D368" s="25">
        <v>6.19</v>
      </c>
      <c r="E368" s="64">
        <f t="shared" si="10"/>
        <v>-3.0540328895849567E-2</v>
      </c>
      <c r="H368" s="49">
        <v>43395</v>
      </c>
      <c r="I368" s="25">
        <v>10030</v>
      </c>
      <c r="J368" s="64">
        <f t="shared" si="11"/>
        <v>-2.6549083585470257E-2</v>
      </c>
      <c r="M368" s="49"/>
      <c r="N368" s="25"/>
    </row>
    <row r="369" spans="3:14" x14ac:dyDescent="0.3">
      <c r="C369" s="49">
        <v>43402</v>
      </c>
      <c r="D369" s="25">
        <v>6.7050000000000001</v>
      </c>
      <c r="E369" s="64">
        <f t="shared" si="10"/>
        <v>8.3198707592891719E-2</v>
      </c>
      <c r="H369" s="49">
        <v>43402</v>
      </c>
      <c r="I369" s="25">
        <v>10553</v>
      </c>
      <c r="J369" s="64">
        <f t="shared" si="11"/>
        <v>5.2143569292123715E-2</v>
      </c>
      <c r="M369" s="49"/>
      <c r="N369" s="25"/>
    </row>
    <row r="370" spans="3:14" x14ac:dyDescent="0.3">
      <c r="C370" s="49">
        <v>43409</v>
      </c>
      <c r="D370" s="25">
        <v>7.01</v>
      </c>
      <c r="E370" s="64">
        <f t="shared" si="10"/>
        <v>4.5488441461595697E-2</v>
      </c>
      <c r="H370" s="49">
        <v>43409</v>
      </c>
      <c r="I370" s="25">
        <v>10585.200194999999</v>
      </c>
      <c r="J370" s="64">
        <f t="shared" si="11"/>
        <v>3.0512835212734846E-3</v>
      </c>
      <c r="M370" s="49"/>
      <c r="N370" s="25"/>
    </row>
    <row r="371" spans="3:14" x14ac:dyDescent="0.3">
      <c r="C371" s="49">
        <v>43416</v>
      </c>
      <c r="D371" s="25">
        <v>6.8849999999999998</v>
      </c>
      <c r="E371" s="64">
        <f t="shared" si="10"/>
        <v>-1.7831669044222509E-2</v>
      </c>
      <c r="H371" s="49">
        <v>43416</v>
      </c>
      <c r="I371" s="25">
        <v>10682.200194999999</v>
      </c>
      <c r="J371" s="64">
        <f t="shared" si="11"/>
        <v>9.1637378805380365E-3</v>
      </c>
      <c r="M371" s="49"/>
      <c r="N371" s="25"/>
    </row>
    <row r="372" spans="3:14" x14ac:dyDescent="0.3">
      <c r="C372" s="49">
        <v>43423</v>
      </c>
      <c r="D372" s="25">
        <v>6.625</v>
      </c>
      <c r="E372" s="64">
        <f t="shared" si="10"/>
        <v>-3.7763253449527912E-2</v>
      </c>
      <c r="H372" s="49">
        <v>43423</v>
      </c>
      <c r="I372" s="25">
        <v>10526.75</v>
      </c>
      <c r="J372" s="64">
        <f t="shared" si="11"/>
        <v>-1.4552263781085206E-2</v>
      </c>
      <c r="M372" s="49"/>
      <c r="N372" s="25"/>
    </row>
    <row r="373" spans="3:14" x14ac:dyDescent="0.3">
      <c r="C373" s="49">
        <v>43430</v>
      </c>
      <c r="D373" s="25">
        <v>6.45</v>
      </c>
      <c r="E373" s="64">
        <f t="shared" si="10"/>
        <v>-2.6415094339622636E-2</v>
      </c>
      <c r="H373" s="49">
        <v>43430</v>
      </c>
      <c r="I373" s="25">
        <v>10876.75</v>
      </c>
      <c r="J373" s="64">
        <f t="shared" si="11"/>
        <v>3.3248628494074728E-2</v>
      </c>
      <c r="M373" s="49"/>
      <c r="N373" s="25"/>
    </row>
    <row r="374" spans="3:14" x14ac:dyDescent="0.3">
      <c r="C374" s="49">
        <v>43437</v>
      </c>
      <c r="D374" s="25">
        <v>6.55</v>
      </c>
      <c r="E374" s="64">
        <f t="shared" si="10"/>
        <v>1.5503875968992276E-2</v>
      </c>
      <c r="H374" s="49">
        <v>43437</v>
      </c>
      <c r="I374" s="25">
        <v>10693.700194999999</v>
      </c>
      <c r="J374" s="64">
        <f t="shared" si="11"/>
        <v>-1.6829457788401947E-2</v>
      </c>
      <c r="M374" s="49"/>
      <c r="N374" s="25"/>
    </row>
    <row r="375" spans="3:14" x14ac:dyDescent="0.3">
      <c r="C375" s="49">
        <v>43444</v>
      </c>
      <c r="D375" s="25">
        <v>6.4950000000000001</v>
      </c>
      <c r="E375" s="64">
        <f t="shared" si="10"/>
        <v>-8.3969465648854325E-3</v>
      </c>
      <c r="H375" s="49">
        <v>43444</v>
      </c>
      <c r="I375" s="25">
        <v>10805.450194999999</v>
      </c>
      <c r="J375" s="64">
        <f t="shared" si="11"/>
        <v>1.0450077892800058E-2</v>
      </c>
      <c r="M375" s="49"/>
      <c r="N375" s="25"/>
    </row>
    <row r="376" spans="3:14" x14ac:dyDescent="0.3">
      <c r="C376" s="49">
        <v>43451</v>
      </c>
      <c r="D376" s="25">
        <v>6.5</v>
      </c>
      <c r="E376" s="64">
        <f t="shared" si="10"/>
        <v>7.698229407235857E-4</v>
      </c>
      <c r="H376" s="49">
        <v>43451</v>
      </c>
      <c r="I376" s="25">
        <v>10754</v>
      </c>
      <c r="J376" s="64">
        <f t="shared" si="11"/>
        <v>-4.7615040624412464E-3</v>
      </c>
      <c r="M376" s="49"/>
      <c r="N376" s="25"/>
    </row>
    <row r="377" spans="3:14" x14ac:dyDescent="0.3">
      <c r="C377" s="49">
        <v>43458</v>
      </c>
      <c r="D377" s="25">
        <v>6.5449999999999999</v>
      </c>
      <c r="E377" s="64">
        <f t="shared" si="10"/>
        <v>6.9230769230768097E-3</v>
      </c>
      <c r="H377" s="49">
        <v>43458</v>
      </c>
      <c r="I377" s="25">
        <v>10859.900390999999</v>
      </c>
      <c r="J377" s="64">
        <f t="shared" si="11"/>
        <v>9.8475349637343612E-3</v>
      </c>
      <c r="M377" s="49"/>
      <c r="N377" s="25"/>
    </row>
    <row r="378" spans="3:14" x14ac:dyDescent="0.3">
      <c r="C378" s="49">
        <v>43465</v>
      </c>
      <c r="D378" s="25">
        <v>6.6749999999999998</v>
      </c>
      <c r="E378" s="64">
        <f t="shared" si="10"/>
        <v>1.9862490450725634E-2</v>
      </c>
      <c r="H378" s="49">
        <v>43465</v>
      </c>
      <c r="I378" s="25">
        <v>10727.349609000001</v>
      </c>
      <c r="J378" s="64">
        <f t="shared" si="11"/>
        <v>-1.2205524657468159E-2</v>
      </c>
      <c r="M378" s="49"/>
      <c r="N378" s="25"/>
    </row>
    <row r="379" spans="3:14" x14ac:dyDescent="0.3">
      <c r="C379" s="49">
        <v>43472</v>
      </c>
      <c r="D379" s="25">
        <v>7.0949999999999998</v>
      </c>
      <c r="E379" s="64">
        <f t="shared" si="10"/>
        <v>6.2921348314606718E-2</v>
      </c>
      <c r="H379" s="49">
        <v>43472</v>
      </c>
      <c r="I379" s="25">
        <v>10794.950194999999</v>
      </c>
      <c r="J379" s="64">
        <f t="shared" si="11"/>
        <v>6.3017043784312499E-3</v>
      </c>
      <c r="M379" s="49"/>
      <c r="N379" s="25"/>
    </row>
    <row r="380" spans="3:14" x14ac:dyDescent="0.3">
      <c r="C380" s="49">
        <v>43479</v>
      </c>
      <c r="D380" s="25">
        <v>6.9950000000000001</v>
      </c>
      <c r="E380" s="64">
        <f t="shared" si="10"/>
        <v>-1.4094432699083836E-2</v>
      </c>
      <c r="H380" s="49">
        <v>43479</v>
      </c>
      <c r="I380" s="25">
        <v>10906.950194999999</v>
      </c>
      <c r="J380" s="64">
        <f t="shared" si="11"/>
        <v>1.0375221559787873E-2</v>
      </c>
      <c r="M380" s="49"/>
      <c r="N380" s="25"/>
    </row>
    <row r="381" spans="3:14" x14ac:dyDescent="0.3">
      <c r="C381" s="49">
        <v>43486</v>
      </c>
      <c r="D381" s="25">
        <v>6.5650000000000004</v>
      </c>
      <c r="E381" s="64">
        <f t="shared" si="10"/>
        <v>-6.1472480343102154E-2</v>
      </c>
      <c r="H381" s="49">
        <v>43486</v>
      </c>
      <c r="I381" s="25">
        <v>10780.549805000001</v>
      </c>
      <c r="J381" s="64">
        <f t="shared" si="11"/>
        <v>-1.1588976546160756E-2</v>
      </c>
      <c r="M381" s="49"/>
      <c r="N381" s="25"/>
    </row>
    <row r="382" spans="3:14" x14ac:dyDescent="0.3">
      <c r="C382" s="49">
        <v>43493</v>
      </c>
      <c r="D382" s="25">
        <v>6.55</v>
      </c>
      <c r="E382" s="64">
        <f t="shared" si="10"/>
        <v>-2.2848438690024064E-3</v>
      </c>
      <c r="H382" s="49">
        <v>43493</v>
      </c>
      <c r="I382" s="25">
        <v>10893.650390999999</v>
      </c>
      <c r="J382" s="64">
        <f t="shared" si="11"/>
        <v>1.0491170491837343E-2</v>
      </c>
      <c r="M382" s="49"/>
      <c r="N382" s="25"/>
    </row>
    <row r="383" spans="3:14" x14ac:dyDescent="0.3">
      <c r="C383" s="49">
        <v>43500</v>
      </c>
      <c r="D383" s="25">
        <v>6.24</v>
      </c>
      <c r="E383" s="64">
        <f t="shared" si="10"/>
        <v>-4.7328244274809084E-2</v>
      </c>
      <c r="H383" s="49">
        <v>43500</v>
      </c>
      <c r="I383" s="25">
        <v>10943.599609000001</v>
      </c>
      <c r="J383" s="64">
        <f t="shared" si="11"/>
        <v>4.5851680756405777E-3</v>
      </c>
      <c r="M383" s="49"/>
      <c r="N383" s="25"/>
    </row>
    <row r="384" spans="3:14" x14ac:dyDescent="0.3">
      <c r="C384" s="49">
        <v>43507</v>
      </c>
      <c r="D384" s="25">
        <v>6.12</v>
      </c>
      <c r="E384" s="64">
        <f t="shared" si="10"/>
        <v>-1.9230769230769273E-2</v>
      </c>
      <c r="H384" s="49">
        <v>43507</v>
      </c>
      <c r="I384" s="25">
        <v>10724.400390999999</v>
      </c>
      <c r="J384" s="64">
        <f t="shared" si="11"/>
        <v>-2.0029901114047788E-2</v>
      </c>
      <c r="M384" s="49"/>
      <c r="N384" s="25"/>
    </row>
    <row r="385" spans="3:14" x14ac:dyDescent="0.3">
      <c r="C385" s="49">
        <v>43514</v>
      </c>
      <c r="D385" s="25">
        <v>6.15</v>
      </c>
      <c r="E385" s="64">
        <f t="shared" si="10"/>
        <v>4.9019607843137081E-3</v>
      </c>
      <c r="H385" s="49">
        <v>43514</v>
      </c>
      <c r="I385" s="25">
        <v>10791.650390999999</v>
      </c>
      <c r="J385" s="64">
        <f t="shared" si="11"/>
        <v>6.2707468527971599E-3</v>
      </c>
      <c r="M385" s="49"/>
      <c r="N385" s="25"/>
    </row>
    <row r="386" spans="3:14" x14ac:dyDescent="0.3">
      <c r="C386" s="49">
        <v>43521</v>
      </c>
      <c r="D386" s="25">
        <v>6.2350000000000003</v>
      </c>
      <c r="E386" s="64">
        <f t="shared" si="10"/>
        <v>1.38211382113822E-2</v>
      </c>
      <c r="H386" s="49">
        <v>43521</v>
      </c>
      <c r="I386" s="25">
        <v>10863.5</v>
      </c>
      <c r="J386" s="64">
        <f t="shared" si="11"/>
        <v>6.6578888674824199E-3</v>
      </c>
      <c r="M386" s="49"/>
      <c r="N386" s="25"/>
    </row>
    <row r="387" spans="3:14" x14ac:dyDescent="0.3">
      <c r="C387" s="49">
        <v>43528</v>
      </c>
      <c r="D387" s="25">
        <v>6.6</v>
      </c>
      <c r="E387" s="64">
        <f t="shared" si="10"/>
        <v>5.8540497193263707E-2</v>
      </c>
      <c r="H387" s="49">
        <v>43528</v>
      </c>
      <c r="I387" s="25">
        <v>11035.400390999999</v>
      </c>
      <c r="J387" s="64">
        <f t="shared" si="11"/>
        <v>1.582366557739201E-2</v>
      </c>
      <c r="M387" s="49"/>
      <c r="N387" s="25"/>
    </row>
    <row r="388" spans="3:14" x14ac:dyDescent="0.3">
      <c r="C388" s="49">
        <v>43535</v>
      </c>
      <c r="D388" s="25">
        <v>6.7850000000000001</v>
      </c>
      <c r="E388" s="64">
        <f t="shared" si="10"/>
        <v>2.8030303030303072E-2</v>
      </c>
      <c r="H388" s="49">
        <v>43535</v>
      </c>
      <c r="I388" s="25">
        <v>11426.849609000001</v>
      </c>
      <c r="J388" s="64">
        <f t="shared" si="11"/>
        <v>3.5472135503053392E-2</v>
      </c>
      <c r="M388" s="49"/>
      <c r="N388" s="25"/>
    </row>
    <row r="389" spans="3:14" x14ac:dyDescent="0.3">
      <c r="C389" s="49">
        <v>43542</v>
      </c>
      <c r="D389" s="25">
        <v>6.6849999999999996</v>
      </c>
      <c r="E389" s="64">
        <f t="shared" si="10"/>
        <v>-1.4738393515106973E-2</v>
      </c>
      <c r="H389" s="49">
        <v>43542</v>
      </c>
      <c r="I389" s="25">
        <v>11456.900390999999</v>
      </c>
      <c r="J389" s="64">
        <f t="shared" si="11"/>
        <v>2.6298396345683095E-3</v>
      </c>
      <c r="M389" s="49"/>
      <c r="N389" s="25"/>
    </row>
    <row r="390" spans="3:14" x14ac:dyDescent="0.3">
      <c r="C390" s="49">
        <v>43549</v>
      </c>
      <c r="D390" s="25">
        <v>7.17</v>
      </c>
      <c r="E390" s="64">
        <f t="shared" si="10"/>
        <v>7.2550486163051708E-2</v>
      </c>
      <c r="H390" s="49">
        <v>43549</v>
      </c>
      <c r="I390" s="25">
        <v>11623.900390999999</v>
      </c>
      <c r="J390" s="64">
        <f t="shared" si="11"/>
        <v>1.4576368328312217E-2</v>
      </c>
      <c r="M390" s="49"/>
      <c r="N390" s="25"/>
    </row>
    <row r="391" spans="3:14" x14ac:dyDescent="0.3">
      <c r="C391" s="49">
        <v>43556</v>
      </c>
      <c r="D391" s="25">
        <v>6.8150000000000004</v>
      </c>
      <c r="E391" s="64">
        <f t="shared" si="10"/>
        <v>-4.9511854951185486E-2</v>
      </c>
      <c r="H391" s="49">
        <v>43556</v>
      </c>
      <c r="I391" s="25">
        <v>11665.950194999999</v>
      </c>
      <c r="J391" s="64">
        <f t="shared" si="11"/>
        <v>3.6175296230651632E-3</v>
      </c>
      <c r="M391" s="49"/>
      <c r="N391" s="25"/>
    </row>
    <row r="392" spans="3:14" x14ac:dyDescent="0.3">
      <c r="C392" s="49">
        <v>43563</v>
      </c>
      <c r="D392" s="25">
        <v>6.7149999999999999</v>
      </c>
      <c r="E392" s="64">
        <f t="shared" si="10"/>
        <v>-1.4673514306676516E-2</v>
      </c>
      <c r="H392" s="49">
        <v>43563</v>
      </c>
      <c r="I392" s="25">
        <v>11643.450194999999</v>
      </c>
      <c r="J392" s="64">
        <f t="shared" si="11"/>
        <v>-1.9286898729984348E-3</v>
      </c>
      <c r="M392" s="49"/>
      <c r="N392" s="25"/>
    </row>
    <row r="393" spans="3:14" x14ac:dyDescent="0.3">
      <c r="C393" s="49">
        <v>43570</v>
      </c>
      <c r="D393" s="25">
        <v>6.6550000000000002</v>
      </c>
      <c r="E393" s="64">
        <f t="shared" si="10"/>
        <v>-8.9352196574832288E-3</v>
      </c>
      <c r="H393" s="49">
        <v>43570</v>
      </c>
      <c r="I393" s="25">
        <v>11752.799805000001</v>
      </c>
      <c r="J393" s="64">
        <f t="shared" si="11"/>
        <v>9.3915126675216953E-3</v>
      </c>
      <c r="M393" s="49"/>
      <c r="N393" s="25"/>
    </row>
    <row r="394" spans="3:14" x14ac:dyDescent="0.3">
      <c r="C394" s="49">
        <v>43577</v>
      </c>
      <c r="D394" s="25">
        <v>6.72</v>
      </c>
      <c r="E394" s="64">
        <f t="shared" si="10"/>
        <v>9.7670924117203572E-3</v>
      </c>
      <c r="H394" s="49">
        <v>43577</v>
      </c>
      <c r="I394" s="25">
        <v>11754.650390999999</v>
      </c>
      <c r="J394" s="64">
        <f t="shared" si="11"/>
        <v>1.5745916128095949E-4</v>
      </c>
      <c r="M394" s="49"/>
      <c r="N394" s="25"/>
    </row>
    <row r="395" spans="3:14" x14ac:dyDescent="0.3">
      <c r="C395" s="49">
        <v>43584</v>
      </c>
      <c r="D395" s="25">
        <v>6.63</v>
      </c>
      <c r="E395" s="64">
        <f t="shared" ref="E395:E458" si="12">D395/D394-1</f>
        <v>-1.3392857142857095E-2</v>
      </c>
      <c r="H395" s="49">
        <v>43584</v>
      </c>
      <c r="I395" s="25">
        <v>11712.25</v>
      </c>
      <c r="J395" s="64">
        <f t="shared" ref="J395:J458" si="13">I395/I394-1</f>
        <v>-3.6071162977729943E-3</v>
      </c>
      <c r="M395" s="49"/>
      <c r="N395" s="25"/>
    </row>
    <row r="396" spans="3:14" x14ac:dyDescent="0.3">
      <c r="C396" s="49">
        <v>43591</v>
      </c>
      <c r="D396" s="25">
        <v>6.7</v>
      </c>
      <c r="E396" s="64">
        <f t="shared" si="12"/>
        <v>1.0558069381598756E-2</v>
      </c>
      <c r="H396" s="49">
        <v>43591</v>
      </c>
      <c r="I396" s="25">
        <v>11278.900390999999</v>
      </c>
      <c r="J396" s="64">
        <f t="shared" si="13"/>
        <v>-3.6999689128903612E-2</v>
      </c>
      <c r="M396" s="49"/>
      <c r="N396" s="25"/>
    </row>
    <row r="397" spans="3:14" x14ac:dyDescent="0.3">
      <c r="C397" s="49">
        <v>43598</v>
      </c>
      <c r="D397" s="25">
        <v>6.16</v>
      </c>
      <c r="E397" s="64">
        <f t="shared" si="12"/>
        <v>-8.0597014925373189E-2</v>
      </c>
      <c r="H397" s="49">
        <v>43598</v>
      </c>
      <c r="I397" s="25">
        <v>11407.150390999999</v>
      </c>
      <c r="J397" s="64">
        <f t="shared" si="13"/>
        <v>1.1370789310484408E-2</v>
      </c>
      <c r="M397" s="49"/>
      <c r="N397" s="25"/>
    </row>
    <row r="398" spans="3:14" x14ac:dyDescent="0.3">
      <c r="C398" s="49">
        <v>43605</v>
      </c>
      <c r="D398" s="25">
        <v>6.56</v>
      </c>
      <c r="E398" s="64">
        <f t="shared" si="12"/>
        <v>6.4935064935064846E-2</v>
      </c>
      <c r="H398" s="49">
        <v>43605</v>
      </c>
      <c r="I398" s="25">
        <v>11844.099609000001</v>
      </c>
      <c r="J398" s="64">
        <f t="shared" si="13"/>
        <v>3.83048529231933E-2</v>
      </c>
      <c r="M398" s="49"/>
      <c r="N398" s="25"/>
    </row>
    <row r="399" spans="3:14" x14ac:dyDescent="0.3">
      <c r="C399" s="49">
        <v>43612</v>
      </c>
      <c r="D399" s="25">
        <v>6.7649999999999997</v>
      </c>
      <c r="E399" s="64">
        <f t="shared" si="12"/>
        <v>3.125E-2</v>
      </c>
      <c r="H399" s="49">
        <v>43612</v>
      </c>
      <c r="I399" s="25">
        <v>11922.799805000001</v>
      </c>
      <c r="J399" s="64">
        <f t="shared" si="13"/>
        <v>6.6446752896436312E-3</v>
      </c>
      <c r="M399" s="49"/>
      <c r="N399" s="25"/>
    </row>
    <row r="400" spans="3:14" x14ac:dyDescent="0.3">
      <c r="C400" s="49">
        <v>43619</v>
      </c>
      <c r="D400" s="25">
        <v>6.81</v>
      </c>
      <c r="E400" s="64">
        <f t="shared" si="12"/>
        <v>6.6518847006651338E-3</v>
      </c>
      <c r="H400" s="49">
        <v>43619</v>
      </c>
      <c r="I400" s="25">
        <v>11870.650390999999</v>
      </c>
      <c r="J400" s="64">
        <f t="shared" si="13"/>
        <v>-4.3739234787899539E-3</v>
      </c>
      <c r="M400" s="49"/>
      <c r="N400" s="25"/>
    </row>
    <row r="401" spans="3:14" x14ac:dyDescent="0.3">
      <c r="C401" s="49">
        <v>43626</v>
      </c>
      <c r="D401" s="25">
        <v>6.4850000000000003</v>
      </c>
      <c r="E401" s="64">
        <f t="shared" si="12"/>
        <v>-4.7723935389133554E-2</v>
      </c>
      <c r="H401" s="49">
        <v>43626</v>
      </c>
      <c r="I401" s="25">
        <v>11823.299805000001</v>
      </c>
      <c r="J401" s="64">
        <f t="shared" si="13"/>
        <v>-3.9888788263782171E-3</v>
      </c>
      <c r="M401" s="49"/>
      <c r="N401" s="25"/>
    </row>
    <row r="402" spans="3:14" x14ac:dyDescent="0.3">
      <c r="C402" s="49">
        <v>43633</v>
      </c>
      <c r="D402" s="25">
        <v>6.2750000000000004</v>
      </c>
      <c r="E402" s="64">
        <f t="shared" si="12"/>
        <v>-3.2382420971472592E-2</v>
      </c>
      <c r="H402" s="49">
        <v>43633</v>
      </c>
      <c r="I402" s="25">
        <v>11724.099609000001</v>
      </c>
      <c r="J402" s="64">
        <f t="shared" si="13"/>
        <v>-8.3902292622275443E-3</v>
      </c>
      <c r="M402" s="49"/>
      <c r="N402" s="25"/>
    </row>
    <row r="403" spans="3:14" x14ac:dyDescent="0.3">
      <c r="C403" s="49">
        <v>43640</v>
      </c>
      <c r="D403" s="25">
        <v>6.2249999999999996</v>
      </c>
      <c r="E403" s="64">
        <f t="shared" si="12"/>
        <v>-7.9681274900399446E-3</v>
      </c>
      <c r="H403" s="49">
        <v>43640</v>
      </c>
      <c r="I403" s="25">
        <v>11788.849609000001</v>
      </c>
      <c r="J403" s="64">
        <f t="shared" si="13"/>
        <v>5.5228121697545873E-3</v>
      </c>
      <c r="M403" s="49"/>
      <c r="N403" s="25"/>
    </row>
    <row r="404" spans="3:14" x14ac:dyDescent="0.3">
      <c r="C404" s="49">
        <v>43647</v>
      </c>
      <c r="D404" s="25">
        <v>6.18</v>
      </c>
      <c r="E404" s="64">
        <f t="shared" si="12"/>
        <v>-7.2289156626506035E-3</v>
      </c>
      <c r="H404" s="49">
        <v>43647</v>
      </c>
      <c r="I404" s="25">
        <v>11811.150390999999</v>
      </c>
      <c r="J404" s="64">
        <f t="shared" si="13"/>
        <v>1.8916843237166692E-3</v>
      </c>
      <c r="M404" s="49"/>
      <c r="N404" s="25"/>
    </row>
    <row r="405" spans="3:14" x14ac:dyDescent="0.3">
      <c r="C405" s="49">
        <v>43654</v>
      </c>
      <c r="D405" s="25">
        <v>6.0449999999999999</v>
      </c>
      <c r="E405" s="64">
        <f t="shared" si="12"/>
        <v>-2.1844660194174748E-2</v>
      </c>
      <c r="H405" s="49">
        <v>43654</v>
      </c>
      <c r="I405" s="25">
        <v>11552.5</v>
      </c>
      <c r="J405" s="64">
        <f t="shared" si="13"/>
        <v>-2.1898831395550489E-2</v>
      </c>
      <c r="M405" s="49"/>
      <c r="N405" s="25"/>
    </row>
    <row r="406" spans="3:14" x14ac:dyDescent="0.3">
      <c r="C406" s="49">
        <v>43661</v>
      </c>
      <c r="D406" s="25">
        <v>5.45</v>
      </c>
      <c r="E406" s="64">
        <f t="shared" si="12"/>
        <v>-9.8428453267162874E-2</v>
      </c>
      <c r="H406" s="49">
        <v>43661</v>
      </c>
      <c r="I406" s="25">
        <v>11419.25</v>
      </c>
      <c r="J406" s="64">
        <f t="shared" si="13"/>
        <v>-1.153429993507904E-2</v>
      </c>
      <c r="M406" s="49"/>
      <c r="N406" s="25"/>
    </row>
    <row r="407" spans="3:14" x14ac:dyDescent="0.3">
      <c r="C407" s="49">
        <v>43668</v>
      </c>
      <c r="D407" s="25">
        <v>5.5250000000000004</v>
      </c>
      <c r="E407" s="64">
        <f t="shared" si="12"/>
        <v>1.3761467889908285E-2</v>
      </c>
      <c r="H407" s="49">
        <v>43668</v>
      </c>
      <c r="I407" s="25">
        <v>11284.299805000001</v>
      </c>
      <c r="J407" s="64">
        <f t="shared" si="13"/>
        <v>-1.1817780940079237E-2</v>
      </c>
      <c r="M407" s="49"/>
      <c r="N407" s="25"/>
    </row>
    <row r="408" spans="3:14" x14ac:dyDescent="0.3">
      <c r="C408" s="49">
        <v>43675</v>
      </c>
      <c r="D408" s="25">
        <v>5.3650000000000002</v>
      </c>
      <c r="E408" s="64">
        <f t="shared" si="12"/>
        <v>-2.8959276018099556E-2</v>
      </c>
      <c r="H408" s="49">
        <v>43675</v>
      </c>
      <c r="I408" s="25">
        <v>10997.349609000001</v>
      </c>
      <c r="J408" s="64">
        <f t="shared" si="13"/>
        <v>-2.5429153864988008E-2</v>
      </c>
      <c r="M408" s="49"/>
      <c r="N408" s="25"/>
    </row>
    <row r="409" spans="3:14" x14ac:dyDescent="0.3">
      <c r="C409" s="49">
        <v>43682</v>
      </c>
      <c r="D409" s="25">
        <v>5.63</v>
      </c>
      <c r="E409" s="64">
        <f t="shared" si="12"/>
        <v>4.9394221808014782E-2</v>
      </c>
      <c r="H409" s="49">
        <v>43682</v>
      </c>
      <c r="I409" s="25">
        <v>11109.650390999999</v>
      </c>
      <c r="J409" s="64">
        <f t="shared" si="13"/>
        <v>1.0211622435654322E-2</v>
      </c>
      <c r="M409" s="49"/>
      <c r="N409" s="25"/>
    </row>
    <row r="410" spans="3:14" x14ac:dyDescent="0.3">
      <c r="C410" s="49">
        <v>43689</v>
      </c>
      <c r="D410" s="25">
        <v>5.5949999999999998</v>
      </c>
      <c r="E410" s="64">
        <f t="shared" si="12"/>
        <v>-6.2166962699822248E-3</v>
      </c>
      <c r="H410" s="49">
        <v>43689</v>
      </c>
      <c r="I410" s="25">
        <v>11047.799805000001</v>
      </c>
      <c r="J410" s="64">
        <f t="shared" si="13"/>
        <v>-5.5672846420176114E-3</v>
      </c>
      <c r="M410" s="49"/>
      <c r="N410" s="25"/>
    </row>
    <row r="411" spans="3:14" x14ac:dyDescent="0.3">
      <c r="C411" s="49">
        <v>43696</v>
      </c>
      <c r="D411" s="25">
        <v>5.52</v>
      </c>
      <c r="E411" s="64">
        <f t="shared" si="12"/>
        <v>-1.3404825737265424E-2</v>
      </c>
      <c r="H411" s="49">
        <v>43696</v>
      </c>
      <c r="I411" s="25">
        <v>10829.349609000001</v>
      </c>
      <c r="J411" s="64">
        <f t="shared" si="13"/>
        <v>-1.9773185598560006E-2</v>
      </c>
      <c r="M411" s="49"/>
      <c r="N411" s="25"/>
    </row>
    <row r="412" spans="3:14" x14ac:dyDescent="0.3">
      <c r="C412" s="49">
        <v>43703</v>
      </c>
      <c r="D412" s="25">
        <v>5.6349999999999998</v>
      </c>
      <c r="E412" s="64">
        <f t="shared" si="12"/>
        <v>2.0833333333333481E-2</v>
      </c>
      <c r="H412" s="49">
        <v>43703</v>
      </c>
      <c r="I412" s="25">
        <v>11023.25</v>
      </c>
      <c r="J412" s="64">
        <f t="shared" si="13"/>
        <v>1.7905081837865211E-2</v>
      </c>
      <c r="M412" s="49"/>
      <c r="N412" s="25"/>
    </row>
    <row r="413" spans="3:14" x14ac:dyDescent="0.3">
      <c r="C413" s="49">
        <v>43710</v>
      </c>
      <c r="D413" s="25">
        <v>5.665</v>
      </c>
      <c r="E413" s="64">
        <f t="shared" si="12"/>
        <v>5.3238686779060185E-3</v>
      </c>
      <c r="H413" s="49">
        <v>43710</v>
      </c>
      <c r="I413" s="25">
        <v>10946.200194999999</v>
      </c>
      <c r="J413" s="64">
        <f t="shared" si="13"/>
        <v>-6.9897539291952082E-3</v>
      </c>
      <c r="M413" s="49"/>
      <c r="N413" s="25"/>
    </row>
    <row r="414" spans="3:14" x14ac:dyDescent="0.3">
      <c r="C414" s="49">
        <v>43717</v>
      </c>
      <c r="D414" s="25">
        <v>6.085</v>
      </c>
      <c r="E414" s="64">
        <f t="shared" si="12"/>
        <v>7.4139452780229487E-2</v>
      </c>
      <c r="H414" s="49">
        <v>43717</v>
      </c>
      <c r="I414" s="25">
        <v>11075.900390999999</v>
      </c>
      <c r="J414" s="64">
        <f t="shared" si="13"/>
        <v>1.1848878486549586E-2</v>
      </c>
      <c r="M414" s="49"/>
      <c r="N414" s="25"/>
    </row>
    <row r="415" spans="3:14" x14ac:dyDescent="0.3">
      <c r="C415" s="49">
        <v>43724</v>
      </c>
      <c r="D415" s="25">
        <v>6.06</v>
      </c>
      <c r="E415" s="64">
        <f t="shared" si="12"/>
        <v>-4.1084634346755244E-3</v>
      </c>
      <c r="H415" s="49">
        <v>43724</v>
      </c>
      <c r="I415" s="25">
        <v>11274.200194999999</v>
      </c>
      <c r="J415" s="64">
        <f t="shared" si="13"/>
        <v>1.7903718614256769E-2</v>
      </c>
      <c r="M415" s="49"/>
      <c r="N415" s="25"/>
    </row>
    <row r="416" spans="3:14" x14ac:dyDescent="0.3">
      <c r="C416" s="49">
        <v>43731</v>
      </c>
      <c r="D416" s="25">
        <v>5.8650000000000002</v>
      </c>
      <c r="E416" s="64">
        <f t="shared" si="12"/>
        <v>-3.2178217821782096E-2</v>
      </c>
      <c r="H416" s="49">
        <v>43731</v>
      </c>
      <c r="I416" s="25">
        <v>11512.400390999999</v>
      </c>
      <c r="J416" s="64">
        <f t="shared" si="13"/>
        <v>2.1127901924753667E-2</v>
      </c>
      <c r="M416" s="49"/>
      <c r="N416" s="25"/>
    </row>
    <row r="417" spans="3:14" x14ac:dyDescent="0.3">
      <c r="C417" s="49">
        <v>43738</v>
      </c>
      <c r="D417" s="25">
        <v>5.7050000000000001</v>
      </c>
      <c r="E417" s="64">
        <f t="shared" si="12"/>
        <v>-2.7280477408354709E-2</v>
      </c>
      <c r="H417" s="49">
        <v>43738</v>
      </c>
      <c r="I417" s="25">
        <v>11174.75</v>
      </c>
      <c r="J417" s="64">
        <f t="shared" si="13"/>
        <v>-2.9329277955270072E-2</v>
      </c>
      <c r="M417" s="49"/>
      <c r="N417" s="25"/>
    </row>
    <row r="418" spans="3:14" x14ac:dyDescent="0.3">
      <c r="C418" s="49">
        <v>43745</v>
      </c>
      <c r="D418" s="25">
        <v>5.5449999999999999</v>
      </c>
      <c r="E418" s="64">
        <f t="shared" si="12"/>
        <v>-2.8045574057844025E-2</v>
      </c>
      <c r="H418" s="49">
        <v>43745</v>
      </c>
      <c r="I418" s="25">
        <v>11305.049805000001</v>
      </c>
      <c r="J418" s="64">
        <f t="shared" si="13"/>
        <v>1.1660198662162502E-2</v>
      </c>
      <c r="M418" s="49"/>
      <c r="N418" s="25"/>
    </row>
    <row r="419" spans="3:14" x14ac:dyDescent="0.3">
      <c r="C419" s="49">
        <v>43752</v>
      </c>
      <c r="D419" s="25">
        <v>6.03</v>
      </c>
      <c r="E419" s="64">
        <f t="shared" si="12"/>
        <v>8.7466185752930636E-2</v>
      </c>
      <c r="H419" s="49">
        <v>43752</v>
      </c>
      <c r="I419" s="25">
        <v>11661.849609000001</v>
      </c>
      <c r="J419" s="64">
        <f t="shared" si="13"/>
        <v>3.1561099699197737E-2</v>
      </c>
      <c r="M419" s="49"/>
      <c r="N419" s="25"/>
    </row>
    <row r="420" spans="3:14" x14ac:dyDescent="0.3">
      <c r="C420" s="49">
        <v>43759</v>
      </c>
      <c r="D420" s="25">
        <v>5.98</v>
      </c>
      <c r="E420" s="64">
        <f t="shared" si="12"/>
        <v>-8.2918739635157168E-3</v>
      </c>
      <c r="H420" s="49">
        <v>43759</v>
      </c>
      <c r="I420" s="25">
        <v>11583.900390999999</v>
      </c>
      <c r="J420" s="64">
        <f t="shared" si="13"/>
        <v>-6.6841213541155575E-3</v>
      </c>
      <c r="M420" s="49"/>
      <c r="N420" s="25"/>
    </row>
    <row r="421" spans="3:14" x14ac:dyDescent="0.3">
      <c r="C421" s="49">
        <v>43766</v>
      </c>
      <c r="D421" s="25">
        <v>6.22</v>
      </c>
      <c r="E421" s="64">
        <f t="shared" si="12"/>
        <v>4.013377926421402E-2</v>
      </c>
      <c r="H421" s="49">
        <v>43766</v>
      </c>
      <c r="I421" s="25">
        <v>11890.599609000001</v>
      </c>
      <c r="J421" s="64">
        <f t="shared" si="13"/>
        <v>2.6476334192090389E-2</v>
      </c>
      <c r="M421" s="49"/>
      <c r="N421" s="25"/>
    </row>
    <row r="422" spans="3:14" x14ac:dyDescent="0.3">
      <c r="C422" s="49">
        <v>43773</v>
      </c>
      <c r="D422" s="25">
        <v>6.3550000000000004</v>
      </c>
      <c r="E422" s="64">
        <f t="shared" si="12"/>
        <v>2.1704180064308742E-2</v>
      </c>
      <c r="H422" s="49">
        <v>43773</v>
      </c>
      <c r="I422" s="25">
        <v>11908.150390999999</v>
      </c>
      <c r="J422" s="64">
        <f t="shared" si="13"/>
        <v>1.4760216117877256E-3</v>
      </c>
      <c r="M422" s="49"/>
      <c r="N422" s="25"/>
    </row>
    <row r="423" spans="3:14" x14ac:dyDescent="0.3">
      <c r="C423" s="49">
        <v>43780</v>
      </c>
      <c r="D423" s="25">
        <v>6.2350000000000003</v>
      </c>
      <c r="E423" s="64">
        <f t="shared" si="12"/>
        <v>-1.8882769472856054E-2</v>
      </c>
      <c r="H423" s="49">
        <v>43780</v>
      </c>
      <c r="I423" s="25">
        <v>11895.450194999999</v>
      </c>
      <c r="J423" s="64">
        <f t="shared" si="13"/>
        <v>-1.0665128994002959E-3</v>
      </c>
      <c r="M423" s="49"/>
      <c r="N423" s="25"/>
    </row>
    <row r="424" spans="3:14" x14ac:dyDescent="0.3">
      <c r="C424" s="49">
        <v>43787</v>
      </c>
      <c r="D424" s="25">
        <v>6.3250000000000002</v>
      </c>
      <c r="E424" s="64">
        <f t="shared" si="12"/>
        <v>1.4434643143544479E-2</v>
      </c>
      <c r="H424" s="49">
        <v>43787</v>
      </c>
      <c r="I424" s="25">
        <v>11914.400390999999</v>
      </c>
      <c r="J424" s="64">
        <f t="shared" si="13"/>
        <v>1.5930625314177771E-3</v>
      </c>
      <c r="M424" s="49"/>
      <c r="N424" s="25"/>
    </row>
    <row r="425" spans="3:14" x14ac:dyDescent="0.3">
      <c r="C425" s="49">
        <v>43794</v>
      </c>
      <c r="D425" s="25">
        <v>6.5650000000000004</v>
      </c>
      <c r="E425" s="64">
        <f t="shared" si="12"/>
        <v>3.7944664031620556E-2</v>
      </c>
      <c r="H425" s="49">
        <v>43794</v>
      </c>
      <c r="I425" s="25">
        <v>12056.049805000001</v>
      </c>
      <c r="J425" s="64">
        <f t="shared" si="13"/>
        <v>1.1888925111749771E-2</v>
      </c>
      <c r="M425" s="49"/>
      <c r="N425" s="25"/>
    </row>
    <row r="426" spans="3:14" x14ac:dyDescent="0.3">
      <c r="C426" s="49">
        <v>43801</v>
      </c>
      <c r="D426" s="25">
        <v>6.88</v>
      </c>
      <c r="E426" s="64">
        <f t="shared" si="12"/>
        <v>4.7981721249047871E-2</v>
      </c>
      <c r="H426" s="49">
        <v>43801</v>
      </c>
      <c r="I426" s="25">
        <v>11921.5</v>
      </c>
      <c r="J426" s="64">
        <f t="shared" si="13"/>
        <v>-1.1160355769615271E-2</v>
      </c>
      <c r="M426" s="49"/>
      <c r="N426" s="25"/>
    </row>
    <row r="427" spans="3:14" x14ac:dyDescent="0.3">
      <c r="C427" s="49">
        <v>43808</v>
      </c>
      <c r="D427" s="25">
        <v>7.5</v>
      </c>
      <c r="E427" s="64">
        <f t="shared" si="12"/>
        <v>9.011627906976738E-2</v>
      </c>
      <c r="H427" s="49">
        <v>43808</v>
      </c>
      <c r="I427" s="25">
        <v>12086.700194999999</v>
      </c>
      <c r="J427" s="64">
        <f t="shared" si="13"/>
        <v>1.3857332969844371E-2</v>
      </c>
      <c r="M427" s="49"/>
      <c r="N427" s="25"/>
    </row>
    <row r="428" spans="3:14" x14ac:dyDescent="0.3">
      <c r="C428" s="49">
        <v>43815</v>
      </c>
      <c r="D428" s="25">
        <v>7.1</v>
      </c>
      <c r="E428" s="64">
        <f t="shared" si="12"/>
        <v>-5.3333333333333344E-2</v>
      </c>
      <c r="H428" s="49">
        <v>43815</v>
      </c>
      <c r="I428" s="25">
        <v>12271.799805000001</v>
      </c>
      <c r="J428" s="64">
        <f t="shared" si="13"/>
        <v>1.5314321279895182E-2</v>
      </c>
      <c r="M428" s="49"/>
      <c r="N428" s="25"/>
    </row>
    <row r="429" spans="3:14" x14ac:dyDescent="0.3">
      <c r="C429" s="49">
        <v>43822</v>
      </c>
      <c r="D429" s="25">
        <v>6.65</v>
      </c>
      <c r="E429" s="64">
        <f t="shared" si="12"/>
        <v>-6.3380281690140761E-2</v>
      </c>
      <c r="H429" s="49">
        <v>43822</v>
      </c>
      <c r="I429" s="25">
        <v>12245.799805000001</v>
      </c>
      <c r="J429" s="64">
        <f t="shared" si="13"/>
        <v>-2.1186786301229388E-3</v>
      </c>
      <c r="M429" s="49"/>
      <c r="N429" s="25"/>
    </row>
    <row r="430" spans="3:14" x14ac:dyDescent="0.3">
      <c r="C430" s="49">
        <v>43829</v>
      </c>
      <c r="D430" s="25">
        <v>6.7</v>
      </c>
      <c r="E430" s="64">
        <f t="shared" si="12"/>
        <v>7.5187969924812581E-3</v>
      </c>
      <c r="H430" s="49">
        <v>43829</v>
      </c>
      <c r="I430" s="25">
        <v>12226.650390999999</v>
      </c>
      <c r="J430" s="64">
        <f t="shared" si="13"/>
        <v>-1.5637536383849016E-3</v>
      </c>
      <c r="M430" s="49"/>
      <c r="N430" s="25"/>
    </row>
    <row r="431" spans="3:14" x14ac:dyDescent="0.3">
      <c r="C431" s="49">
        <v>43836</v>
      </c>
      <c r="D431" s="25">
        <v>6.95</v>
      </c>
      <c r="E431" s="64">
        <f t="shared" si="12"/>
        <v>3.7313432835820892E-2</v>
      </c>
      <c r="H431" s="49">
        <v>43836</v>
      </c>
      <c r="I431" s="25">
        <v>12256.799805000001</v>
      </c>
      <c r="J431" s="64">
        <f t="shared" si="13"/>
        <v>2.465876837550951E-3</v>
      </c>
      <c r="M431" s="49"/>
      <c r="N431" s="25"/>
    </row>
    <row r="432" spans="3:14" x14ac:dyDescent="0.3">
      <c r="C432" s="49">
        <v>43843</v>
      </c>
      <c r="D432" s="25">
        <v>7.4</v>
      </c>
      <c r="E432" s="64">
        <f t="shared" si="12"/>
        <v>6.4748201438848962E-2</v>
      </c>
      <c r="H432" s="49">
        <v>43843</v>
      </c>
      <c r="I432" s="25">
        <v>12352.349609000001</v>
      </c>
      <c r="J432" s="64">
        <f t="shared" si="13"/>
        <v>7.7956567391288534E-3</v>
      </c>
      <c r="M432" s="49"/>
      <c r="N432" s="25"/>
    </row>
    <row r="433" spans="3:14" x14ac:dyDescent="0.3">
      <c r="C433" s="49">
        <v>43850</v>
      </c>
      <c r="D433" s="25">
        <v>7.15</v>
      </c>
      <c r="E433" s="64">
        <f t="shared" si="12"/>
        <v>-3.3783783783783772E-2</v>
      </c>
      <c r="H433" s="49">
        <v>43850</v>
      </c>
      <c r="I433" s="25">
        <v>12248.25</v>
      </c>
      <c r="J433" s="64">
        <f t="shared" si="13"/>
        <v>-8.4275147882920676E-3</v>
      </c>
      <c r="M433" s="49"/>
      <c r="N433" s="25"/>
    </row>
    <row r="434" spans="3:14" x14ac:dyDescent="0.3">
      <c r="C434" s="49">
        <v>43857</v>
      </c>
      <c r="D434" s="25">
        <v>6.2</v>
      </c>
      <c r="E434" s="64">
        <f t="shared" si="12"/>
        <v>-0.13286713286713292</v>
      </c>
      <c r="H434" s="49">
        <v>43857</v>
      </c>
      <c r="I434" s="25">
        <v>11962.099609000001</v>
      </c>
      <c r="J434" s="64">
        <f t="shared" si="13"/>
        <v>-2.3362553099422256E-2</v>
      </c>
      <c r="M434" s="49"/>
      <c r="N434" s="25"/>
    </row>
    <row r="435" spans="3:14" x14ac:dyDescent="0.3">
      <c r="C435" s="49">
        <v>43864</v>
      </c>
      <c r="D435" s="25">
        <v>6.05</v>
      </c>
      <c r="E435" s="64">
        <f t="shared" si="12"/>
        <v>-2.4193548387096864E-2</v>
      </c>
      <c r="H435" s="49">
        <v>43864</v>
      </c>
      <c r="I435" s="25">
        <v>12098.349609000001</v>
      </c>
      <c r="J435" s="64">
        <f t="shared" si="13"/>
        <v>1.1390140899469658E-2</v>
      </c>
      <c r="M435" s="49"/>
      <c r="N435" s="25"/>
    </row>
    <row r="436" spans="3:14" x14ac:dyDescent="0.3">
      <c r="C436" s="49">
        <v>43871</v>
      </c>
      <c r="D436" s="25">
        <v>5.65</v>
      </c>
      <c r="E436" s="64">
        <f t="shared" si="12"/>
        <v>-6.6115702479338734E-2</v>
      </c>
      <c r="H436" s="49">
        <v>43871</v>
      </c>
      <c r="I436" s="25">
        <v>12113.450194999999</v>
      </c>
      <c r="J436" s="64">
        <f t="shared" si="13"/>
        <v>1.2481525570038343E-3</v>
      </c>
      <c r="M436" s="49"/>
      <c r="N436" s="25"/>
    </row>
    <row r="437" spans="3:14" x14ac:dyDescent="0.3">
      <c r="C437" s="49">
        <v>43878</v>
      </c>
      <c r="D437" s="25">
        <v>6.25</v>
      </c>
      <c r="E437" s="64">
        <f t="shared" si="12"/>
        <v>0.10619469026548667</v>
      </c>
      <c r="H437" s="49">
        <v>43878</v>
      </c>
      <c r="I437" s="25">
        <v>12080.849609000001</v>
      </c>
      <c r="J437" s="64">
        <f t="shared" si="13"/>
        <v>-2.6912717248348539E-3</v>
      </c>
      <c r="M437" s="49"/>
      <c r="N437" s="25"/>
    </row>
    <row r="438" spans="3:14" x14ac:dyDescent="0.3">
      <c r="C438" s="49">
        <v>43885</v>
      </c>
      <c r="D438" s="25">
        <v>5.55</v>
      </c>
      <c r="E438" s="64">
        <f t="shared" si="12"/>
        <v>-0.11199999999999999</v>
      </c>
      <c r="H438" s="49">
        <v>43885</v>
      </c>
      <c r="I438" s="25">
        <v>11201.75</v>
      </c>
      <c r="J438" s="64">
        <f t="shared" si="13"/>
        <v>-7.2768028528812145E-2</v>
      </c>
      <c r="M438" s="49"/>
      <c r="N438" s="25"/>
    </row>
    <row r="439" spans="3:14" x14ac:dyDescent="0.3">
      <c r="C439" s="49">
        <v>43892</v>
      </c>
      <c r="D439" s="25">
        <v>5.0999999999999996</v>
      </c>
      <c r="E439" s="64">
        <f t="shared" si="12"/>
        <v>-8.1081081081081141E-2</v>
      </c>
      <c r="H439" s="49">
        <v>43892</v>
      </c>
      <c r="I439" s="25">
        <v>10989.450194999999</v>
      </c>
      <c r="J439" s="64">
        <f t="shared" si="13"/>
        <v>-1.8952378423014338E-2</v>
      </c>
      <c r="M439" s="49"/>
      <c r="N439" s="25"/>
    </row>
    <row r="440" spans="3:14" x14ac:dyDescent="0.3">
      <c r="C440" s="49">
        <v>43899</v>
      </c>
      <c r="D440" s="25">
        <v>4.55</v>
      </c>
      <c r="E440" s="64">
        <f t="shared" si="12"/>
        <v>-0.10784313725490191</v>
      </c>
      <c r="H440" s="49">
        <v>43899</v>
      </c>
      <c r="I440" s="25">
        <v>9955.2001949999994</v>
      </c>
      <c r="J440" s="64">
        <f t="shared" si="13"/>
        <v>-9.4112988516073859E-2</v>
      </c>
      <c r="M440" s="49"/>
      <c r="N440" s="25"/>
    </row>
    <row r="441" spans="3:14" x14ac:dyDescent="0.3">
      <c r="C441" s="49">
        <v>43906</v>
      </c>
      <c r="D441" s="25">
        <v>3.65</v>
      </c>
      <c r="E441" s="64">
        <f t="shared" si="12"/>
        <v>-0.19780219780219777</v>
      </c>
      <c r="H441" s="49">
        <v>43906</v>
      </c>
      <c r="I441" s="25">
        <v>8745.4501949999994</v>
      </c>
      <c r="J441" s="64">
        <f t="shared" si="13"/>
        <v>-0.12151940456281307</v>
      </c>
      <c r="M441" s="49"/>
      <c r="N441" s="25"/>
    </row>
    <row r="442" spans="3:14" x14ac:dyDescent="0.3">
      <c r="C442" s="49">
        <v>43913</v>
      </c>
      <c r="D442" s="25">
        <v>3.85</v>
      </c>
      <c r="E442" s="64">
        <f t="shared" si="12"/>
        <v>5.4794520547945202E-2</v>
      </c>
      <c r="H442" s="49">
        <v>43913</v>
      </c>
      <c r="I442" s="25">
        <v>8660.25</v>
      </c>
      <c r="J442" s="64">
        <f t="shared" si="13"/>
        <v>-9.7422308858051698E-3</v>
      </c>
      <c r="M442" s="49"/>
      <c r="N442" s="25"/>
    </row>
    <row r="443" spans="3:14" x14ac:dyDescent="0.3">
      <c r="C443" s="49">
        <v>43920</v>
      </c>
      <c r="D443" s="25">
        <v>4.1500000000000004</v>
      </c>
      <c r="E443" s="64">
        <f t="shared" si="12"/>
        <v>7.7922077922077948E-2</v>
      </c>
      <c r="H443" s="49">
        <v>43920</v>
      </c>
      <c r="I443" s="25">
        <v>8083.7998049999997</v>
      </c>
      <c r="J443" s="64">
        <f t="shared" si="13"/>
        <v>-6.6562766086429415E-2</v>
      </c>
      <c r="M443" s="49"/>
      <c r="N443" s="25"/>
    </row>
    <row r="444" spans="3:14" x14ac:dyDescent="0.3">
      <c r="C444" s="49">
        <v>43927</v>
      </c>
      <c r="D444" s="25">
        <v>4.3499999999999996</v>
      </c>
      <c r="E444" s="64">
        <f t="shared" si="12"/>
        <v>4.8192771084337283E-2</v>
      </c>
      <c r="H444" s="49">
        <v>43927</v>
      </c>
      <c r="I444" s="25">
        <v>9111.9003909999992</v>
      </c>
      <c r="J444" s="64">
        <f t="shared" si="13"/>
        <v>0.12718036205746919</v>
      </c>
      <c r="M444" s="49"/>
      <c r="N444" s="25"/>
    </row>
    <row r="445" spans="3:14" x14ac:dyDescent="0.3">
      <c r="C445" s="49">
        <v>43934</v>
      </c>
      <c r="D445" s="25">
        <v>5.4</v>
      </c>
      <c r="E445" s="64">
        <f t="shared" si="12"/>
        <v>0.24137931034482785</v>
      </c>
      <c r="H445" s="49">
        <v>43934</v>
      </c>
      <c r="I445" s="25">
        <v>9266.75</v>
      </c>
      <c r="J445" s="64">
        <f t="shared" si="13"/>
        <v>1.6994216612919555E-2</v>
      </c>
      <c r="M445" s="49"/>
      <c r="N445" s="25"/>
    </row>
    <row r="446" spans="3:14" x14ac:dyDescent="0.3">
      <c r="C446" s="49">
        <v>43941</v>
      </c>
      <c r="D446" s="25">
        <v>4.9000000000000004</v>
      </c>
      <c r="E446" s="64">
        <f t="shared" si="12"/>
        <v>-9.259259259259256E-2</v>
      </c>
      <c r="H446" s="49">
        <v>43941</v>
      </c>
      <c r="I446" s="25">
        <v>9154.4003909999992</v>
      </c>
      <c r="J446" s="64">
        <f t="shared" si="13"/>
        <v>-1.2123949496857134E-2</v>
      </c>
      <c r="M446" s="49"/>
      <c r="N446" s="25"/>
    </row>
    <row r="447" spans="3:14" x14ac:dyDescent="0.3">
      <c r="C447" s="49">
        <v>43948</v>
      </c>
      <c r="D447" s="25">
        <v>4.8499999999999996</v>
      </c>
      <c r="E447" s="64">
        <f t="shared" si="12"/>
        <v>-1.0204081632653184E-2</v>
      </c>
      <c r="H447" s="49">
        <v>43948</v>
      </c>
      <c r="I447" s="25">
        <v>9859.9003909999992</v>
      </c>
      <c r="J447" s="64">
        <f t="shared" si="13"/>
        <v>7.7066762416640788E-2</v>
      </c>
      <c r="M447" s="49"/>
      <c r="N447" s="25"/>
    </row>
    <row r="448" spans="3:14" x14ac:dyDescent="0.3">
      <c r="C448" s="49">
        <v>43955</v>
      </c>
      <c r="D448" s="25">
        <v>4.6500000000000004</v>
      </c>
      <c r="E448" s="64">
        <f t="shared" si="12"/>
        <v>-4.1237113402061709E-2</v>
      </c>
      <c r="H448" s="49">
        <v>43955</v>
      </c>
      <c r="I448" s="25">
        <v>9251.5</v>
      </c>
      <c r="J448" s="64">
        <f t="shared" si="13"/>
        <v>-6.1704516970104484E-2</v>
      </c>
      <c r="M448" s="49"/>
      <c r="N448" s="25"/>
    </row>
    <row r="449" spans="3:14" x14ac:dyDescent="0.3">
      <c r="C449" s="49">
        <v>43962</v>
      </c>
      <c r="D449" s="25">
        <v>4.9000000000000004</v>
      </c>
      <c r="E449" s="64">
        <f t="shared" si="12"/>
        <v>5.3763440860215006E-2</v>
      </c>
      <c r="H449" s="49">
        <v>43962</v>
      </c>
      <c r="I449" s="25">
        <v>9136.8496090000008</v>
      </c>
      <c r="J449" s="64">
        <f t="shared" si="13"/>
        <v>-1.239262724963508E-2</v>
      </c>
      <c r="M449" s="49"/>
      <c r="N449" s="25"/>
    </row>
    <row r="450" spans="3:14" x14ac:dyDescent="0.3">
      <c r="C450" s="49">
        <v>43969</v>
      </c>
      <c r="D450" s="25">
        <v>4.55</v>
      </c>
      <c r="E450" s="64">
        <f t="shared" si="12"/>
        <v>-7.1428571428571508E-2</v>
      </c>
      <c r="H450" s="49">
        <v>43969</v>
      </c>
      <c r="I450" s="25">
        <v>9039.25</v>
      </c>
      <c r="J450" s="64">
        <f t="shared" si="13"/>
        <v>-1.0681976083294908E-2</v>
      </c>
      <c r="M450" s="49"/>
      <c r="N450" s="25"/>
    </row>
    <row r="451" spans="3:14" x14ac:dyDescent="0.3">
      <c r="C451" s="49">
        <v>43976</v>
      </c>
      <c r="D451" s="25">
        <v>4.55</v>
      </c>
      <c r="E451" s="64">
        <f t="shared" si="12"/>
        <v>0</v>
      </c>
      <c r="H451" s="49">
        <v>43976</v>
      </c>
      <c r="I451" s="25">
        <v>9580.2998050000006</v>
      </c>
      <c r="J451" s="64">
        <f t="shared" si="13"/>
        <v>5.9855608042702624E-2</v>
      </c>
      <c r="M451" s="49"/>
      <c r="N451" s="25"/>
    </row>
    <row r="452" spans="3:14" x14ac:dyDescent="0.3">
      <c r="C452" s="49">
        <v>43983</v>
      </c>
      <c r="D452" s="25">
        <v>7.35</v>
      </c>
      <c r="E452" s="64">
        <f t="shared" si="12"/>
        <v>0.61538461538461542</v>
      </c>
      <c r="H452" s="49">
        <v>43983</v>
      </c>
      <c r="I452" s="25">
        <v>10142.150390999999</v>
      </c>
      <c r="J452" s="64">
        <f t="shared" si="13"/>
        <v>5.8646451304871006E-2</v>
      </c>
      <c r="M452" s="49"/>
      <c r="N452" s="25"/>
    </row>
    <row r="453" spans="3:14" x14ac:dyDescent="0.3">
      <c r="C453" s="49">
        <v>43990</v>
      </c>
      <c r="D453" s="25">
        <v>6.85</v>
      </c>
      <c r="E453" s="64">
        <f t="shared" si="12"/>
        <v>-6.8027210884353706E-2</v>
      </c>
      <c r="H453" s="49">
        <v>43990</v>
      </c>
      <c r="I453" s="25">
        <v>9972.9003909999992</v>
      </c>
      <c r="J453" s="64">
        <f t="shared" si="13"/>
        <v>-1.6687782519000161E-2</v>
      </c>
      <c r="M453" s="49"/>
      <c r="N453" s="25"/>
    </row>
    <row r="454" spans="3:14" x14ac:dyDescent="0.3">
      <c r="C454" s="49">
        <v>43997</v>
      </c>
      <c r="D454" s="25">
        <v>6.8</v>
      </c>
      <c r="E454" s="64">
        <f t="shared" si="12"/>
        <v>-7.2992700729926918E-3</v>
      </c>
      <c r="H454" s="49">
        <v>43997</v>
      </c>
      <c r="I454" s="25">
        <v>10244.400390999999</v>
      </c>
      <c r="J454" s="64">
        <f t="shared" si="13"/>
        <v>2.7223775366794323E-2</v>
      </c>
      <c r="M454" s="49"/>
      <c r="N454" s="25"/>
    </row>
    <row r="455" spans="3:14" x14ac:dyDescent="0.3">
      <c r="C455" s="49">
        <v>44004</v>
      </c>
      <c r="D455" s="25">
        <v>6.75</v>
      </c>
      <c r="E455" s="64">
        <f t="shared" si="12"/>
        <v>-7.3529411764705621E-3</v>
      </c>
      <c r="H455" s="49">
        <v>44004</v>
      </c>
      <c r="I455" s="25">
        <v>10383</v>
      </c>
      <c r="J455" s="64">
        <f t="shared" si="13"/>
        <v>1.3529304176920443E-2</v>
      </c>
      <c r="M455" s="49"/>
      <c r="N455" s="25"/>
    </row>
    <row r="456" spans="3:14" x14ac:dyDescent="0.3">
      <c r="C456" s="49">
        <v>44011</v>
      </c>
      <c r="D456" s="25">
        <v>6.85</v>
      </c>
      <c r="E456" s="64">
        <f t="shared" si="12"/>
        <v>1.4814814814814836E-2</v>
      </c>
      <c r="H456" s="49">
        <v>44011</v>
      </c>
      <c r="I456" s="25">
        <v>10607.349609000001</v>
      </c>
      <c r="J456" s="64">
        <f t="shared" si="13"/>
        <v>2.1607397572955822E-2</v>
      </c>
      <c r="M456" s="49"/>
      <c r="N456" s="25"/>
    </row>
    <row r="457" spans="3:14" x14ac:dyDescent="0.3">
      <c r="C457" s="49">
        <v>44018</v>
      </c>
      <c r="D457" s="25">
        <v>6.5</v>
      </c>
      <c r="E457" s="64">
        <f t="shared" si="12"/>
        <v>-5.1094890510948843E-2</v>
      </c>
      <c r="H457" s="49">
        <v>44018</v>
      </c>
      <c r="I457" s="25">
        <v>10768.049805000001</v>
      </c>
      <c r="J457" s="64">
        <f t="shared" si="13"/>
        <v>1.514989153026991E-2</v>
      </c>
      <c r="M457" s="49"/>
      <c r="N457" s="25"/>
    </row>
    <row r="458" spans="3:14" x14ac:dyDescent="0.3">
      <c r="C458" s="49">
        <v>44025</v>
      </c>
      <c r="D458" s="25">
        <v>6.35</v>
      </c>
      <c r="E458" s="64">
        <f t="shared" si="12"/>
        <v>-2.3076923076923106E-2</v>
      </c>
      <c r="H458" s="49">
        <v>44025</v>
      </c>
      <c r="I458" s="25">
        <v>10901.700194999999</v>
      </c>
      <c r="J458" s="64">
        <f t="shared" si="13"/>
        <v>1.2411754442103407E-2</v>
      </c>
      <c r="M458" s="49"/>
      <c r="N458" s="25"/>
    </row>
    <row r="459" spans="3:14" x14ac:dyDescent="0.3">
      <c r="C459" s="49">
        <v>44032</v>
      </c>
      <c r="D459" s="25">
        <v>7</v>
      </c>
      <c r="E459" s="64">
        <f t="shared" ref="E459:E522" si="14">D459/D458-1</f>
        <v>0.10236220472440949</v>
      </c>
      <c r="H459" s="49">
        <v>44032</v>
      </c>
      <c r="I459" s="25">
        <v>11194.150390999999</v>
      </c>
      <c r="J459" s="64">
        <f t="shared" ref="J459:J522" si="15">I459/I458-1</f>
        <v>2.6826108842557428E-2</v>
      </c>
      <c r="M459" s="49"/>
      <c r="N459" s="25"/>
    </row>
    <row r="460" spans="3:14" x14ac:dyDescent="0.3">
      <c r="C460" s="49">
        <v>44039</v>
      </c>
      <c r="D460" s="25">
        <v>6.7</v>
      </c>
      <c r="E460" s="64">
        <f t="shared" si="14"/>
        <v>-4.2857142857142816E-2</v>
      </c>
      <c r="H460" s="49">
        <v>44039</v>
      </c>
      <c r="I460" s="25">
        <v>11073.450194999999</v>
      </c>
      <c r="J460" s="64">
        <f t="shared" si="15"/>
        <v>-1.0782434734577184E-2</v>
      </c>
      <c r="M460" s="49"/>
      <c r="N460" s="25"/>
    </row>
    <row r="461" spans="3:14" x14ac:dyDescent="0.3">
      <c r="C461" s="49">
        <v>44046</v>
      </c>
      <c r="D461" s="25">
        <v>6.8</v>
      </c>
      <c r="E461" s="64">
        <f t="shared" si="14"/>
        <v>1.4925373134328401E-2</v>
      </c>
      <c r="H461" s="49">
        <v>44046</v>
      </c>
      <c r="I461" s="25">
        <v>11214.049805000001</v>
      </c>
      <c r="J461" s="64">
        <f t="shared" si="15"/>
        <v>1.2697001162608412E-2</v>
      </c>
      <c r="M461" s="49"/>
      <c r="N461" s="25"/>
    </row>
    <row r="462" spans="3:14" x14ac:dyDescent="0.3">
      <c r="C462" s="49">
        <v>44053</v>
      </c>
      <c r="D462" s="25">
        <v>6.7</v>
      </c>
      <c r="E462" s="64">
        <f t="shared" si="14"/>
        <v>-1.4705882352941124E-2</v>
      </c>
      <c r="H462" s="49">
        <v>44053</v>
      </c>
      <c r="I462" s="25">
        <v>11178.400390999999</v>
      </c>
      <c r="J462" s="64">
        <f t="shared" si="15"/>
        <v>-3.1789955118717295E-3</v>
      </c>
      <c r="M462" s="49"/>
      <c r="N462" s="25"/>
    </row>
    <row r="463" spans="3:14" x14ac:dyDescent="0.3">
      <c r="C463" s="49">
        <v>44060</v>
      </c>
      <c r="D463" s="25">
        <v>6.75</v>
      </c>
      <c r="E463" s="64">
        <f t="shared" si="14"/>
        <v>7.4626865671640896E-3</v>
      </c>
      <c r="H463" s="49">
        <v>44060</v>
      </c>
      <c r="I463" s="25">
        <v>11371.599609000001</v>
      </c>
      <c r="J463" s="64">
        <f t="shared" si="15"/>
        <v>1.7283261579675635E-2</v>
      </c>
      <c r="M463" s="49"/>
      <c r="N463" s="25"/>
    </row>
    <row r="464" spans="3:14" x14ac:dyDescent="0.3">
      <c r="C464" s="49">
        <v>44067</v>
      </c>
      <c r="D464" s="25">
        <v>6.7</v>
      </c>
      <c r="E464" s="64">
        <f t="shared" si="14"/>
        <v>-7.4074074074074181E-3</v>
      </c>
      <c r="H464" s="49">
        <v>44067</v>
      </c>
      <c r="I464" s="25">
        <v>11647.599609000001</v>
      </c>
      <c r="J464" s="64">
        <f t="shared" si="15"/>
        <v>2.4270991724115953E-2</v>
      </c>
      <c r="M464" s="49"/>
      <c r="N464" s="25"/>
    </row>
    <row r="465" spans="3:14" x14ac:dyDescent="0.3">
      <c r="C465" s="49">
        <v>44074</v>
      </c>
      <c r="D465" s="25">
        <v>6.35</v>
      </c>
      <c r="E465" s="64">
        <f t="shared" si="14"/>
        <v>-5.2238805970149294E-2</v>
      </c>
      <c r="H465" s="49">
        <v>44074</v>
      </c>
      <c r="I465" s="25">
        <v>11333.849609000001</v>
      </c>
      <c r="J465" s="64">
        <f t="shared" si="15"/>
        <v>-2.6936880604787272E-2</v>
      </c>
      <c r="M465" s="49"/>
      <c r="N465" s="25"/>
    </row>
    <row r="466" spans="3:14" x14ac:dyDescent="0.3">
      <c r="C466" s="49">
        <v>44081</v>
      </c>
      <c r="D466" s="25">
        <v>6.7</v>
      </c>
      <c r="E466" s="64">
        <f t="shared" si="14"/>
        <v>5.5118110236220597E-2</v>
      </c>
      <c r="H466" s="49">
        <v>44081</v>
      </c>
      <c r="I466" s="25">
        <v>11464.450194999999</v>
      </c>
      <c r="J466" s="64">
        <f t="shared" si="15"/>
        <v>1.1523056199395088E-2</v>
      </c>
      <c r="M466" s="49"/>
      <c r="N466" s="25"/>
    </row>
    <row r="467" spans="3:14" x14ac:dyDescent="0.3">
      <c r="C467" s="49">
        <v>44088</v>
      </c>
      <c r="D467" s="25">
        <v>6.85</v>
      </c>
      <c r="E467" s="64">
        <f t="shared" si="14"/>
        <v>2.2388059701492491E-2</v>
      </c>
      <c r="H467" s="49">
        <v>44088</v>
      </c>
      <c r="I467" s="25">
        <v>11504.950194999999</v>
      </c>
      <c r="J467" s="64">
        <f t="shared" si="15"/>
        <v>3.5326595965032848E-3</v>
      </c>
      <c r="M467" s="49"/>
      <c r="N467" s="25"/>
    </row>
    <row r="468" spans="3:14" x14ac:dyDescent="0.3">
      <c r="C468" s="49">
        <v>44095</v>
      </c>
      <c r="D468" s="25">
        <v>6.7</v>
      </c>
      <c r="E468" s="64">
        <f t="shared" si="14"/>
        <v>-2.1897810218978075E-2</v>
      </c>
      <c r="H468" s="49">
        <v>44095</v>
      </c>
      <c r="I468" s="25">
        <v>11050.25</v>
      </c>
      <c r="J468" s="64">
        <f t="shared" si="15"/>
        <v>-3.9522135019551041E-2</v>
      </c>
      <c r="M468" s="49"/>
      <c r="N468" s="25"/>
    </row>
    <row r="469" spans="3:14" x14ac:dyDescent="0.3">
      <c r="C469" s="49">
        <v>44102</v>
      </c>
      <c r="D469" s="25">
        <v>7.85</v>
      </c>
      <c r="E469" s="64">
        <f t="shared" si="14"/>
        <v>0.17164179104477606</v>
      </c>
      <c r="H469" s="49">
        <v>44102</v>
      </c>
      <c r="I469" s="25">
        <v>11416.950194999999</v>
      </c>
      <c r="J469" s="64">
        <f t="shared" si="15"/>
        <v>3.3184787222008572E-2</v>
      </c>
      <c r="M469" s="49"/>
      <c r="N469" s="25"/>
    </row>
    <row r="470" spans="3:14" x14ac:dyDescent="0.3">
      <c r="C470" s="49">
        <v>44109</v>
      </c>
      <c r="D470" s="25">
        <v>8</v>
      </c>
      <c r="E470" s="64">
        <f t="shared" si="14"/>
        <v>1.9108280254777066E-2</v>
      </c>
      <c r="H470" s="49">
        <v>44109</v>
      </c>
      <c r="I470" s="25">
        <v>11914.200194999999</v>
      </c>
      <c r="J470" s="64">
        <f t="shared" si="15"/>
        <v>4.3553662887814593E-2</v>
      </c>
      <c r="M470" s="49"/>
      <c r="N470" s="25"/>
    </row>
    <row r="471" spans="3:14" x14ac:dyDescent="0.3">
      <c r="C471" s="49">
        <v>44116</v>
      </c>
      <c r="D471" s="25">
        <v>7.8</v>
      </c>
      <c r="E471" s="64">
        <f t="shared" si="14"/>
        <v>-2.5000000000000022E-2</v>
      </c>
      <c r="H471" s="49">
        <v>44116</v>
      </c>
      <c r="I471" s="25">
        <v>11762.450194999999</v>
      </c>
      <c r="J471" s="64">
        <f t="shared" si="15"/>
        <v>-1.2736901975483383E-2</v>
      </c>
      <c r="M471" s="49"/>
      <c r="N471" s="25"/>
    </row>
    <row r="472" spans="3:14" x14ac:dyDescent="0.3">
      <c r="C472" s="49">
        <v>44123</v>
      </c>
      <c r="D472" s="25">
        <v>7.95</v>
      </c>
      <c r="E472" s="64">
        <f t="shared" si="14"/>
        <v>1.9230769230769384E-2</v>
      </c>
      <c r="H472" s="49">
        <v>44123</v>
      </c>
      <c r="I472" s="25">
        <v>11930.349609000001</v>
      </c>
      <c r="J472" s="64">
        <f t="shared" si="15"/>
        <v>1.4274187028768148E-2</v>
      </c>
      <c r="M472" s="49"/>
      <c r="N472" s="25"/>
    </row>
    <row r="473" spans="3:14" x14ac:dyDescent="0.3">
      <c r="C473" s="49">
        <v>44130</v>
      </c>
      <c r="D473" s="25">
        <v>7.3</v>
      </c>
      <c r="E473" s="64">
        <f t="shared" si="14"/>
        <v>-8.1761006289308269E-2</v>
      </c>
      <c r="H473" s="49">
        <v>44130</v>
      </c>
      <c r="I473" s="25">
        <v>11642.400390999999</v>
      </c>
      <c r="J473" s="64">
        <f t="shared" si="15"/>
        <v>-2.4135857492623591E-2</v>
      </c>
      <c r="M473" s="49"/>
      <c r="N473" s="25"/>
    </row>
    <row r="474" spans="3:14" x14ac:dyDescent="0.3">
      <c r="C474" s="49">
        <v>44137</v>
      </c>
      <c r="D474" s="25">
        <v>7.55</v>
      </c>
      <c r="E474" s="64">
        <f t="shared" si="14"/>
        <v>3.4246575342465668E-2</v>
      </c>
      <c r="H474" s="49">
        <v>44137</v>
      </c>
      <c r="I474" s="25">
        <v>12263.549805000001</v>
      </c>
      <c r="J474" s="64">
        <f t="shared" si="15"/>
        <v>5.335234944162992E-2</v>
      </c>
      <c r="M474" s="49"/>
      <c r="N474" s="25"/>
    </row>
    <row r="475" spans="3:14" x14ac:dyDescent="0.3">
      <c r="C475" s="49">
        <v>44144</v>
      </c>
      <c r="D475" s="25">
        <v>7.5</v>
      </c>
      <c r="E475" s="64">
        <f t="shared" si="14"/>
        <v>-6.6225165562913135E-3</v>
      </c>
      <c r="H475" s="49">
        <v>44144</v>
      </c>
      <c r="I475" s="25">
        <v>12719.950194999999</v>
      </c>
      <c r="J475" s="64">
        <f t="shared" si="15"/>
        <v>3.72160098223695E-2</v>
      </c>
      <c r="M475" s="49"/>
      <c r="N475" s="25"/>
    </row>
    <row r="476" spans="3:14" x14ac:dyDescent="0.3">
      <c r="C476" s="49">
        <v>44151</v>
      </c>
      <c r="D476" s="25">
        <v>8.1</v>
      </c>
      <c r="E476" s="64">
        <f t="shared" si="14"/>
        <v>7.9999999999999849E-2</v>
      </c>
      <c r="H476" s="49">
        <v>44151</v>
      </c>
      <c r="I476" s="25">
        <v>12859.049805000001</v>
      </c>
      <c r="J476" s="64">
        <f t="shared" si="15"/>
        <v>1.0935546748813474E-2</v>
      </c>
      <c r="M476" s="49"/>
      <c r="N476" s="25"/>
    </row>
    <row r="477" spans="3:14" x14ac:dyDescent="0.3">
      <c r="C477" s="49">
        <v>44158</v>
      </c>
      <c r="D477" s="25">
        <v>7.9</v>
      </c>
      <c r="E477" s="64">
        <f t="shared" si="14"/>
        <v>-2.4691358024691246E-2</v>
      </c>
      <c r="H477" s="49">
        <v>44158</v>
      </c>
      <c r="I477" s="25">
        <v>12968.950194999999</v>
      </c>
      <c r="J477" s="64">
        <f t="shared" si="15"/>
        <v>8.5465405038922526E-3</v>
      </c>
      <c r="M477" s="49"/>
      <c r="N477" s="25"/>
    </row>
    <row r="478" spans="3:14" x14ac:dyDescent="0.3">
      <c r="C478" s="49">
        <v>44165</v>
      </c>
      <c r="D478" s="25">
        <v>9.1999999999999993</v>
      </c>
      <c r="E478" s="64">
        <f t="shared" si="14"/>
        <v>0.16455696202531622</v>
      </c>
      <c r="H478" s="49">
        <v>44165</v>
      </c>
      <c r="I478" s="25">
        <v>13258.549805000001</v>
      </c>
      <c r="J478" s="64">
        <f t="shared" si="15"/>
        <v>2.233022763181336E-2</v>
      </c>
      <c r="M478" s="49"/>
      <c r="N478" s="25"/>
    </row>
    <row r="479" spans="3:14" x14ac:dyDescent="0.3">
      <c r="C479" s="49">
        <v>44172</v>
      </c>
      <c r="D479" s="25">
        <v>9.85</v>
      </c>
      <c r="E479" s="64">
        <f t="shared" si="14"/>
        <v>7.0652173913043459E-2</v>
      </c>
      <c r="H479" s="49">
        <v>44172</v>
      </c>
      <c r="I479" s="25">
        <v>13513.849609000001</v>
      </c>
      <c r="J479" s="64">
        <f t="shared" si="15"/>
        <v>1.9255484781881771E-2</v>
      </c>
      <c r="M479" s="49"/>
      <c r="N479" s="25"/>
    </row>
    <row r="480" spans="3:14" x14ac:dyDescent="0.3">
      <c r="C480" s="49">
        <v>44179</v>
      </c>
      <c r="D480" s="25">
        <v>9.4</v>
      </c>
      <c r="E480" s="64">
        <f t="shared" si="14"/>
        <v>-4.5685279187817174E-2</v>
      </c>
      <c r="H480" s="49">
        <v>44179</v>
      </c>
      <c r="I480" s="25">
        <v>13760.549805000001</v>
      </c>
      <c r="J480" s="64">
        <f t="shared" si="15"/>
        <v>1.825536047372478E-2</v>
      </c>
      <c r="M480" s="49"/>
      <c r="N480" s="25"/>
    </row>
    <row r="481" spans="3:14" x14ac:dyDescent="0.3">
      <c r="C481" s="49">
        <v>44186</v>
      </c>
      <c r="D481" s="25">
        <v>9.35</v>
      </c>
      <c r="E481" s="64">
        <f t="shared" si="14"/>
        <v>-5.3191489361702482E-3</v>
      </c>
      <c r="H481" s="49">
        <v>44186</v>
      </c>
      <c r="I481" s="25">
        <v>13749.25</v>
      </c>
      <c r="J481" s="64">
        <f t="shared" si="15"/>
        <v>-8.2117394727165838E-4</v>
      </c>
      <c r="M481" s="49"/>
      <c r="N481" s="25"/>
    </row>
    <row r="482" spans="3:14" x14ac:dyDescent="0.3">
      <c r="C482" s="49">
        <v>44193</v>
      </c>
      <c r="D482" s="25">
        <v>10.75</v>
      </c>
      <c r="E482" s="64">
        <f t="shared" si="14"/>
        <v>0.14973262032085577</v>
      </c>
      <c r="H482" s="49">
        <v>44193</v>
      </c>
      <c r="I482" s="25">
        <v>13981.75</v>
      </c>
      <c r="J482" s="64">
        <f t="shared" si="15"/>
        <v>1.6910013273451208E-2</v>
      </c>
      <c r="M482" s="49"/>
      <c r="N482" s="25"/>
    </row>
    <row r="483" spans="3:14" x14ac:dyDescent="0.3">
      <c r="C483" s="49">
        <v>44200</v>
      </c>
      <c r="D483" s="25">
        <v>14.6</v>
      </c>
      <c r="E483" s="64">
        <f t="shared" si="14"/>
        <v>0.35813953488372086</v>
      </c>
      <c r="H483" s="49">
        <v>44200</v>
      </c>
      <c r="I483" s="25">
        <v>14347.25</v>
      </c>
      <c r="J483" s="64">
        <f t="shared" si="15"/>
        <v>2.6141219804387772E-2</v>
      </c>
      <c r="M483" s="49"/>
      <c r="N483" s="25"/>
    </row>
    <row r="484" spans="3:14" x14ac:dyDescent="0.3">
      <c r="C484" s="49">
        <v>44207</v>
      </c>
      <c r="D484" s="25">
        <v>14.7</v>
      </c>
      <c r="E484" s="64">
        <f t="shared" si="14"/>
        <v>6.8493150684931781E-3</v>
      </c>
      <c r="H484" s="49">
        <v>44207</v>
      </c>
      <c r="I484" s="25">
        <v>14433.700194999999</v>
      </c>
      <c r="J484" s="64">
        <f t="shared" si="15"/>
        <v>6.0255585565176517E-3</v>
      </c>
      <c r="M484" s="49"/>
      <c r="N484" s="25"/>
    </row>
    <row r="485" spans="3:14" x14ac:dyDescent="0.3">
      <c r="C485" s="49">
        <v>44214</v>
      </c>
      <c r="D485" s="25">
        <v>14.15</v>
      </c>
      <c r="E485" s="64">
        <f t="shared" si="14"/>
        <v>-3.7414965986394488E-2</v>
      </c>
      <c r="H485" s="49">
        <v>44214</v>
      </c>
      <c r="I485" s="25">
        <v>14371.900390999999</v>
      </c>
      <c r="J485" s="64">
        <f t="shared" si="15"/>
        <v>-4.2816327875099258E-3</v>
      </c>
      <c r="M485" s="49"/>
      <c r="N485" s="25"/>
    </row>
    <row r="486" spans="3:14" x14ac:dyDescent="0.3">
      <c r="C486" s="49">
        <v>44221</v>
      </c>
      <c r="D486" s="25">
        <v>14.5</v>
      </c>
      <c r="E486" s="64">
        <f t="shared" si="14"/>
        <v>2.4734982332155431E-2</v>
      </c>
      <c r="H486" s="49">
        <v>44221</v>
      </c>
      <c r="I486" s="25">
        <v>13634.599609000001</v>
      </c>
      <c r="J486" s="64">
        <f t="shared" si="15"/>
        <v>-5.1301551078221541E-2</v>
      </c>
      <c r="M486" s="49"/>
      <c r="N486" s="25"/>
    </row>
    <row r="487" spans="3:14" x14ac:dyDescent="0.3">
      <c r="C487" s="49">
        <v>44228</v>
      </c>
      <c r="D487" s="25">
        <v>14.1</v>
      </c>
      <c r="E487" s="64">
        <f t="shared" si="14"/>
        <v>-2.7586206896551779E-2</v>
      </c>
      <c r="H487" s="49">
        <v>44228</v>
      </c>
      <c r="I487" s="25">
        <v>14924.25</v>
      </c>
      <c r="J487" s="64">
        <f t="shared" si="15"/>
        <v>9.4586597918777215E-2</v>
      </c>
      <c r="M487" s="49"/>
      <c r="N487" s="25"/>
    </row>
    <row r="488" spans="3:14" x14ac:dyDescent="0.3">
      <c r="C488" s="49">
        <v>44235</v>
      </c>
      <c r="D488" s="25">
        <v>14.1</v>
      </c>
      <c r="E488" s="64">
        <f t="shared" si="14"/>
        <v>0</v>
      </c>
      <c r="H488" s="49">
        <v>44235</v>
      </c>
      <c r="I488" s="25">
        <v>15163.299805000001</v>
      </c>
      <c r="J488" s="64">
        <f t="shared" si="15"/>
        <v>1.6017542255054806E-2</v>
      </c>
      <c r="M488" s="49"/>
      <c r="N488" s="25"/>
    </row>
    <row r="489" spans="3:14" x14ac:dyDescent="0.3">
      <c r="C489" s="49">
        <v>44242</v>
      </c>
      <c r="D489" s="25">
        <v>14</v>
      </c>
      <c r="E489" s="64">
        <f t="shared" si="14"/>
        <v>-7.0921985815602939E-3</v>
      </c>
      <c r="H489" s="49">
        <v>44242</v>
      </c>
      <c r="I489" s="25">
        <v>14981.75</v>
      </c>
      <c r="J489" s="64">
        <f t="shared" si="15"/>
        <v>-1.1972974704367201E-2</v>
      </c>
      <c r="M489" s="49"/>
      <c r="N489" s="25"/>
    </row>
    <row r="490" spans="3:14" x14ac:dyDescent="0.3">
      <c r="C490" s="49">
        <v>44249</v>
      </c>
      <c r="D490" s="25">
        <v>13.8</v>
      </c>
      <c r="E490" s="64">
        <f t="shared" si="14"/>
        <v>-1.4285714285714235E-2</v>
      </c>
      <c r="H490" s="49">
        <v>44249</v>
      </c>
      <c r="I490" s="25">
        <v>14529.150390999999</v>
      </c>
      <c r="J490" s="64">
        <f t="shared" si="15"/>
        <v>-3.0210062843125884E-2</v>
      </c>
      <c r="M490" s="49"/>
      <c r="N490" s="25"/>
    </row>
    <row r="491" spans="3:14" x14ac:dyDescent="0.3">
      <c r="C491" s="49">
        <v>44256</v>
      </c>
      <c r="D491" s="25">
        <v>14.55</v>
      </c>
      <c r="E491" s="64">
        <f t="shared" si="14"/>
        <v>5.4347826086956541E-2</v>
      </c>
      <c r="H491" s="49">
        <v>44256</v>
      </c>
      <c r="I491" s="25">
        <v>14938.099609000001</v>
      </c>
      <c r="J491" s="64">
        <f t="shared" si="15"/>
        <v>2.8146808794361711E-2</v>
      </c>
      <c r="M491" s="49"/>
      <c r="N491" s="25"/>
    </row>
    <row r="492" spans="3:14" x14ac:dyDescent="0.3">
      <c r="C492" s="49">
        <v>44263</v>
      </c>
      <c r="D492" s="25">
        <v>15.3</v>
      </c>
      <c r="E492" s="64">
        <f t="shared" si="14"/>
        <v>5.1546391752577359E-2</v>
      </c>
      <c r="H492" s="49">
        <v>44263</v>
      </c>
      <c r="I492" s="25">
        <v>15030.950194999999</v>
      </c>
      <c r="J492" s="64">
        <f t="shared" si="15"/>
        <v>6.2156893065605789E-3</v>
      </c>
      <c r="M492" s="49"/>
      <c r="N492" s="25"/>
    </row>
    <row r="493" spans="3:14" x14ac:dyDescent="0.3">
      <c r="C493" s="49">
        <v>44270</v>
      </c>
      <c r="D493" s="25">
        <v>14.5</v>
      </c>
      <c r="E493" s="64">
        <f t="shared" si="14"/>
        <v>-5.2287581699346442E-2</v>
      </c>
      <c r="H493" s="49">
        <v>44270</v>
      </c>
      <c r="I493" s="25">
        <v>14744</v>
      </c>
      <c r="J493" s="64">
        <f t="shared" si="15"/>
        <v>-1.9090622434199345E-2</v>
      </c>
      <c r="M493" s="49"/>
      <c r="N493" s="25"/>
    </row>
    <row r="494" spans="3:14" x14ac:dyDescent="0.3">
      <c r="C494" s="49">
        <v>44277</v>
      </c>
      <c r="D494" s="25">
        <v>13.7</v>
      </c>
      <c r="E494" s="64">
        <f t="shared" si="14"/>
        <v>-5.5172413793103448E-2</v>
      </c>
      <c r="H494" s="49">
        <v>44277</v>
      </c>
      <c r="I494" s="25">
        <v>14507.299805000001</v>
      </c>
      <c r="J494" s="64">
        <f t="shared" si="15"/>
        <v>-1.6054001288659747E-2</v>
      </c>
      <c r="M494" s="49"/>
      <c r="N494" s="25"/>
    </row>
    <row r="495" spans="3:14" x14ac:dyDescent="0.3">
      <c r="C495" s="49">
        <v>44284</v>
      </c>
      <c r="D495" s="25">
        <v>14.2</v>
      </c>
      <c r="E495" s="64">
        <f t="shared" si="14"/>
        <v>3.649635036496357E-2</v>
      </c>
      <c r="H495" s="49">
        <v>44284</v>
      </c>
      <c r="I495" s="25">
        <v>14867.349609000001</v>
      </c>
      <c r="J495" s="64">
        <f t="shared" si="15"/>
        <v>2.4818526454930545E-2</v>
      </c>
      <c r="M495" s="49"/>
      <c r="N495" s="25"/>
    </row>
    <row r="496" spans="3:14" x14ac:dyDescent="0.3">
      <c r="C496" s="49">
        <v>44291</v>
      </c>
      <c r="D496" s="25">
        <v>14.1</v>
      </c>
      <c r="E496" s="64">
        <f t="shared" si="14"/>
        <v>-7.0422535211267512E-3</v>
      </c>
      <c r="H496" s="49">
        <v>44291</v>
      </c>
      <c r="I496" s="25">
        <v>14834.849609000001</v>
      </c>
      <c r="J496" s="64">
        <f t="shared" si="15"/>
        <v>-2.1859982347038898E-3</v>
      </c>
      <c r="M496" s="49"/>
      <c r="N496" s="25"/>
    </row>
    <row r="497" spans="3:14" x14ac:dyDescent="0.3">
      <c r="C497" s="49">
        <v>44298</v>
      </c>
      <c r="D497" s="25">
        <v>14</v>
      </c>
      <c r="E497" s="64">
        <f t="shared" si="14"/>
        <v>-7.0921985815602939E-3</v>
      </c>
      <c r="H497" s="49">
        <v>44298</v>
      </c>
      <c r="I497" s="25">
        <v>14617.849609000001</v>
      </c>
      <c r="J497" s="64">
        <f t="shared" si="15"/>
        <v>-1.4627718225626696E-2</v>
      </c>
      <c r="M497" s="49"/>
      <c r="N497" s="25"/>
    </row>
    <row r="498" spans="3:14" x14ac:dyDescent="0.3">
      <c r="C498" s="49">
        <v>44305</v>
      </c>
      <c r="D498" s="25">
        <v>13.5</v>
      </c>
      <c r="E498" s="64">
        <f t="shared" si="14"/>
        <v>-3.5714285714285698E-2</v>
      </c>
      <c r="H498" s="49">
        <v>44305</v>
      </c>
      <c r="I498" s="25">
        <v>14341.349609000001</v>
      </c>
      <c r="J498" s="64">
        <f t="shared" si="15"/>
        <v>-1.8915230857879606E-2</v>
      </c>
      <c r="M498" s="49"/>
      <c r="N498" s="25"/>
    </row>
    <row r="499" spans="3:14" x14ac:dyDescent="0.3">
      <c r="C499" s="49">
        <v>44312</v>
      </c>
      <c r="D499" s="25">
        <v>13.8</v>
      </c>
      <c r="E499" s="64">
        <f t="shared" si="14"/>
        <v>2.2222222222222365E-2</v>
      </c>
      <c r="H499" s="49">
        <v>44312</v>
      </c>
      <c r="I499" s="25">
        <v>14631.099609000001</v>
      </c>
      <c r="J499" s="64">
        <f t="shared" si="15"/>
        <v>2.0203816788495699E-2</v>
      </c>
      <c r="M499" s="49"/>
      <c r="N499" s="25"/>
    </row>
    <row r="500" spans="3:14" x14ac:dyDescent="0.3">
      <c r="C500" s="49">
        <v>44319</v>
      </c>
      <c r="D500" s="25">
        <v>15.25</v>
      </c>
      <c r="E500" s="64">
        <f t="shared" si="14"/>
        <v>0.10507246376811596</v>
      </c>
      <c r="H500" s="49">
        <v>44319</v>
      </c>
      <c r="I500" s="25">
        <v>14823.150390999999</v>
      </c>
      <c r="J500" s="64">
        <f t="shared" si="15"/>
        <v>1.3126202891945438E-2</v>
      </c>
      <c r="M500" s="49"/>
      <c r="N500" s="25"/>
    </row>
    <row r="501" spans="3:14" x14ac:dyDescent="0.3">
      <c r="C501" s="49">
        <v>44326</v>
      </c>
      <c r="D501" s="25">
        <v>16.950001</v>
      </c>
      <c r="E501" s="64">
        <f t="shared" si="14"/>
        <v>0.11147547540983616</v>
      </c>
      <c r="H501" s="49">
        <v>44326</v>
      </c>
      <c r="I501" s="25">
        <v>14677.799805000001</v>
      </c>
      <c r="J501" s="64">
        <f t="shared" si="15"/>
        <v>-9.8056473938393784E-3</v>
      </c>
      <c r="M501" s="49"/>
      <c r="N501" s="25"/>
    </row>
    <row r="502" spans="3:14" x14ac:dyDescent="0.3">
      <c r="C502" s="49">
        <v>44333</v>
      </c>
      <c r="D502" s="25">
        <v>16.649999999999999</v>
      </c>
      <c r="E502" s="64">
        <f t="shared" si="14"/>
        <v>-1.7699172997099E-2</v>
      </c>
      <c r="H502" s="49">
        <v>44333</v>
      </c>
      <c r="I502" s="25">
        <v>15175.299805000001</v>
      </c>
      <c r="J502" s="64">
        <f t="shared" si="15"/>
        <v>3.3894725817865901E-2</v>
      </c>
      <c r="M502" s="49"/>
      <c r="N502" s="25"/>
    </row>
    <row r="503" spans="3:14" x14ac:dyDescent="0.3">
      <c r="C503" s="49">
        <v>44340</v>
      </c>
      <c r="D503" s="25">
        <v>16.25</v>
      </c>
      <c r="E503" s="64">
        <f t="shared" si="14"/>
        <v>-2.4024024024023927E-2</v>
      </c>
      <c r="H503" s="49">
        <v>44340</v>
      </c>
      <c r="I503" s="25">
        <v>15435.650390999999</v>
      </c>
      <c r="J503" s="64">
        <f t="shared" si="15"/>
        <v>1.7156207082921426E-2</v>
      </c>
      <c r="M503" s="49"/>
      <c r="N503" s="25"/>
    </row>
    <row r="504" spans="3:14" x14ac:dyDescent="0.3">
      <c r="C504" s="49">
        <v>44347</v>
      </c>
      <c r="D504" s="25">
        <v>16</v>
      </c>
      <c r="E504" s="64">
        <f t="shared" si="14"/>
        <v>-1.538461538461533E-2</v>
      </c>
      <c r="H504" s="49">
        <v>44347</v>
      </c>
      <c r="I504" s="25">
        <v>15670.25</v>
      </c>
      <c r="J504" s="64">
        <f t="shared" si="15"/>
        <v>1.5198556786229611E-2</v>
      </c>
      <c r="M504" s="49"/>
      <c r="N504" s="25"/>
    </row>
    <row r="505" spans="3:14" x14ac:dyDescent="0.3">
      <c r="C505" s="49">
        <v>44354</v>
      </c>
      <c r="D505" s="25">
        <v>16.700001</v>
      </c>
      <c r="E505" s="64">
        <f t="shared" si="14"/>
        <v>4.375006250000002E-2</v>
      </c>
      <c r="H505" s="49">
        <v>44354</v>
      </c>
      <c r="I505" s="25">
        <v>15799.349609000001</v>
      </c>
      <c r="J505" s="64">
        <f t="shared" si="15"/>
        <v>8.2385162329892125E-3</v>
      </c>
      <c r="M505" s="49"/>
      <c r="N505" s="25"/>
    </row>
    <row r="506" spans="3:14" x14ac:dyDescent="0.3">
      <c r="C506" s="49">
        <v>44361</v>
      </c>
      <c r="D506" s="25">
        <v>16.5</v>
      </c>
      <c r="E506" s="64">
        <f t="shared" si="14"/>
        <v>-1.1976107067299013E-2</v>
      </c>
      <c r="H506" s="49">
        <v>44361</v>
      </c>
      <c r="I506" s="25">
        <v>15683.349609000001</v>
      </c>
      <c r="J506" s="64">
        <f t="shared" si="15"/>
        <v>-7.3420743809555766E-3</v>
      </c>
      <c r="M506" s="49"/>
      <c r="N506" s="25"/>
    </row>
    <row r="507" spans="3:14" x14ac:dyDescent="0.3">
      <c r="C507" s="49">
        <v>44368</v>
      </c>
      <c r="D507" s="25">
        <v>16.600000000000001</v>
      </c>
      <c r="E507" s="64">
        <f t="shared" si="14"/>
        <v>6.0606060606060996E-3</v>
      </c>
      <c r="H507" s="49">
        <v>44368</v>
      </c>
      <c r="I507" s="25">
        <v>15860.349609000001</v>
      </c>
      <c r="J507" s="64">
        <f t="shared" si="15"/>
        <v>1.1285854387791394E-2</v>
      </c>
      <c r="M507" s="49"/>
      <c r="N507" s="25"/>
    </row>
    <row r="508" spans="3:14" x14ac:dyDescent="0.3">
      <c r="C508" s="49">
        <v>44375</v>
      </c>
      <c r="D508" s="25">
        <v>16.399999999999999</v>
      </c>
      <c r="E508" s="64">
        <f t="shared" si="14"/>
        <v>-1.2048192771084487E-2</v>
      </c>
      <c r="H508" s="49">
        <v>44375</v>
      </c>
      <c r="I508" s="25">
        <v>15722.200194999999</v>
      </c>
      <c r="J508" s="64">
        <f t="shared" si="15"/>
        <v>-8.7103637313018512E-3</v>
      </c>
      <c r="M508" s="49"/>
      <c r="N508" s="25"/>
    </row>
    <row r="509" spans="3:14" x14ac:dyDescent="0.3">
      <c r="C509" s="49">
        <v>44382</v>
      </c>
      <c r="D509" s="25">
        <v>17.399999999999999</v>
      </c>
      <c r="E509" s="64">
        <f t="shared" si="14"/>
        <v>6.0975609756097615E-2</v>
      </c>
      <c r="H509" s="49">
        <v>44382</v>
      </c>
      <c r="I509" s="25">
        <v>15689.799805000001</v>
      </c>
      <c r="J509" s="64">
        <f t="shared" si="15"/>
        <v>-2.0608050780515086E-3</v>
      </c>
      <c r="M509" s="49"/>
      <c r="N509" s="25"/>
    </row>
    <row r="510" spans="3:14" x14ac:dyDescent="0.3">
      <c r="C510" s="49">
        <v>44389</v>
      </c>
      <c r="D510" s="25">
        <v>17.700001</v>
      </c>
      <c r="E510" s="64">
        <f t="shared" si="14"/>
        <v>1.7241436781609387E-2</v>
      </c>
      <c r="H510" s="49">
        <v>44389</v>
      </c>
      <c r="I510" s="25">
        <v>15923.400390999999</v>
      </c>
      <c r="J510" s="64">
        <f t="shared" si="15"/>
        <v>1.488869130921322E-2</v>
      </c>
      <c r="M510" s="49"/>
      <c r="N510" s="25"/>
    </row>
    <row r="511" spans="3:14" x14ac:dyDescent="0.3">
      <c r="C511" s="49">
        <v>44396</v>
      </c>
      <c r="D511" s="25">
        <v>17.600000000000001</v>
      </c>
      <c r="E511" s="64">
        <f t="shared" si="14"/>
        <v>-5.6497736921030661E-3</v>
      </c>
      <c r="H511" s="49">
        <v>44396</v>
      </c>
      <c r="I511" s="25">
        <v>15856.049805000001</v>
      </c>
      <c r="J511" s="64">
        <f t="shared" si="15"/>
        <v>-4.2296610237889665E-3</v>
      </c>
      <c r="M511" s="49"/>
      <c r="N511" s="25"/>
    </row>
    <row r="512" spans="3:14" x14ac:dyDescent="0.3">
      <c r="C512" s="49">
        <v>44403</v>
      </c>
      <c r="D512" s="25">
        <v>20.65</v>
      </c>
      <c r="E512" s="64">
        <f t="shared" si="14"/>
        <v>0.17329545454545436</v>
      </c>
      <c r="H512" s="49">
        <v>44403</v>
      </c>
      <c r="I512" s="25">
        <v>15763.049805000001</v>
      </c>
      <c r="J512" s="64">
        <f t="shared" si="15"/>
        <v>-5.8652691650018518E-3</v>
      </c>
      <c r="M512" s="49"/>
      <c r="N512" s="25"/>
    </row>
    <row r="513" spans="3:14" x14ac:dyDescent="0.3">
      <c r="C513" s="49">
        <v>44410</v>
      </c>
      <c r="D513" s="25">
        <v>20.350000000000001</v>
      </c>
      <c r="E513" s="64">
        <f t="shared" si="14"/>
        <v>-1.4527845036319431E-2</v>
      </c>
      <c r="H513" s="49">
        <v>44410</v>
      </c>
      <c r="I513" s="25">
        <v>16238.200194999999</v>
      </c>
      <c r="J513" s="64">
        <f t="shared" si="15"/>
        <v>3.0143303223547635E-2</v>
      </c>
      <c r="M513" s="49"/>
      <c r="N513" s="25"/>
    </row>
    <row r="514" spans="3:14" x14ac:dyDescent="0.3">
      <c r="C514" s="49">
        <v>44417</v>
      </c>
      <c r="D514" s="25">
        <v>21.450001</v>
      </c>
      <c r="E514" s="64">
        <f t="shared" si="14"/>
        <v>5.4054103194103087E-2</v>
      </c>
      <c r="H514" s="49">
        <v>44417</v>
      </c>
      <c r="I514" s="25">
        <v>16529.099609000001</v>
      </c>
      <c r="J514" s="64">
        <f t="shared" si="15"/>
        <v>1.79145108760006E-2</v>
      </c>
      <c r="M514" s="49"/>
      <c r="N514" s="25"/>
    </row>
    <row r="515" spans="3:14" x14ac:dyDescent="0.3">
      <c r="C515" s="49">
        <v>44424</v>
      </c>
      <c r="D515" s="25">
        <v>20.200001</v>
      </c>
      <c r="E515" s="64">
        <f t="shared" si="14"/>
        <v>-5.8275055558272504E-2</v>
      </c>
      <c r="H515" s="49">
        <v>44424</v>
      </c>
      <c r="I515" s="25">
        <v>16450.5</v>
      </c>
      <c r="J515" s="64">
        <f t="shared" si="15"/>
        <v>-4.7552262893499897E-3</v>
      </c>
      <c r="M515" s="49"/>
      <c r="N515" s="25"/>
    </row>
    <row r="516" spans="3:14" x14ac:dyDescent="0.3">
      <c r="C516" s="49">
        <v>44431</v>
      </c>
      <c r="D516" s="25">
        <v>20.149999999999999</v>
      </c>
      <c r="E516" s="64">
        <f t="shared" si="14"/>
        <v>-2.4752969071636377E-3</v>
      </c>
      <c r="H516" s="49">
        <v>44431</v>
      </c>
      <c r="I516" s="25">
        <v>16705.199218999998</v>
      </c>
      <c r="J516" s="64">
        <f t="shared" si="15"/>
        <v>1.5482764596820742E-2</v>
      </c>
      <c r="M516" s="49"/>
      <c r="N516" s="25"/>
    </row>
    <row r="517" spans="3:14" x14ac:dyDescent="0.3">
      <c r="C517" s="49">
        <v>44438</v>
      </c>
      <c r="D517" s="25">
        <v>23.700001</v>
      </c>
      <c r="E517" s="64">
        <f t="shared" si="14"/>
        <v>0.17617870967741944</v>
      </c>
      <c r="H517" s="49">
        <v>44438</v>
      </c>
      <c r="I517" s="25">
        <v>17323.599609000001</v>
      </c>
      <c r="J517" s="64">
        <f t="shared" si="15"/>
        <v>3.7018438504860862E-2</v>
      </c>
      <c r="M517" s="49"/>
      <c r="N517" s="25"/>
    </row>
    <row r="518" spans="3:14" x14ac:dyDescent="0.3">
      <c r="C518" s="49">
        <v>44445</v>
      </c>
      <c r="D518" s="25">
        <v>25.5</v>
      </c>
      <c r="E518" s="64">
        <f t="shared" si="14"/>
        <v>7.5949321689902094E-2</v>
      </c>
      <c r="H518" s="49">
        <v>44445</v>
      </c>
      <c r="I518" s="25">
        <v>17369.25</v>
      </c>
      <c r="J518" s="64">
        <f t="shared" si="15"/>
        <v>2.6351562048503308E-3</v>
      </c>
      <c r="M518" s="49"/>
      <c r="N518" s="25"/>
    </row>
    <row r="519" spans="3:14" x14ac:dyDescent="0.3">
      <c r="C519" s="49">
        <v>44452</v>
      </c>
      <c r="D519" s="25">
        <v>23.75</v>
      </c>
      <c r="E519" s="64">
        <f t="shared" si="14"/>
        <v>-6.8627450980392135E-2</v>
      </c>
      <c r="H519" s="49">
        <v>44452</v>
      </c>
      <c r="I519" s="25">
        <v>17585.150390999999</v>
      </c>
      <c r="J519" s="64">
        <f t="shared" si="15"/>
        <v>1.2430035321041366E-2</v>
      </c>
      <c r="M519" s="49"/>
      <c r="N519" s="25"/>
    </row>
    <row r="520" spans="3:14" x14ac:dyDescent="0.3">
      <c r="C520" s="49">
        <v>44459</v>
      </c>
      <c r="D520" s="25">
        <v>24.200001</v>
      </c>
      <c r="E520" s="64">
        <f t="shared" si="14"/>
        <v>1.8947410526315878E-2</v>
      </c>
      <c r="H520" s="49">
        <v>44459</v>
      </c>
      <c r="I520" s="25">
        <v>17853.199218999998</v>
      </c>
      <c r="J520" s="64">
        <f t="shared" si="15"/>
        <v>1.5242907910368864E-2</v>
      </c>
      <c r="M520" s="49"/>
      <c r="N520" s="25"/>
    </row>
    <row r="521" spans="3:14" x14ac:dyDescent="0.3">
      <c r="C521" s="49">
        <v>44466</v>
      </c>
      <c r="D521" s="25">
        <v>29.4</v>
      </c>
      <c r="E521" s="64">
        <f t="shared" si="14"/>
        <v>0.21487598285636422</v>
      </c>
      <c r="H521" s="49">
        <v>44466</v>
      </c>
      <c r="I521" s="25">
        <v>17532.050781000002</v>
      </c>
      <c r="J521" s="64">
        <f t="shared" si="15"/>
        <v>-1.7988285128091697E-2</v>
      </c>
      <c r="M521" s="49"/>
      <c r="N521" s="25"/>
    </row>
    <row r="522" spans="3:14" x14ac:dyDescent="0.3">
      <c r="C522" s="49">
        <v>44473</v>
      </c>
      <c r="D522" s="25">
        <v>34</v>
      </c>
      <c r="E522" s="64">
        <f t="shared" si="14"/>
        <v>0.15646258503401356</v>
      </c>
      <c r="H522" s="49">
        <v>44473</v>
      </c>
      <c r="I522" s="25">
        <v>17895.199218999998</v>
      </c>
      <c r="J522" s="64">
        <f t="shared" si="15"/>
        <v>2.0713403271313213E-2</v>
      </c>
      <c r="M522" s="49"/>
      <c r="N522" s="25"/>
    </row>
    <row r="523" spans="3:14" x14ac:dyDescent="0.3">
      <c r="C523" s="49">
        <v>44480</v>
      </c>
      <c r="D523" s="25">
        <v>38.450001</v>
      </c>
      <c r="E523" s="64">
        <f t="shared" ref="E523:E531" si="16">D523/D522-1</f>
        <v>0.13088238235294125</v>
      </c>
      <c r="H523" s="49">
        <v>44480</v>
      </c>
      <c r="I523" s="25">
        <v>18338.550781000002</v>
      </c>
      <c r="J523" s="64">
        <f t="shared" ref="J523:J531" si="17">I523/I522-1</f>
        <v>2.4774888313580767E-2</v>
      </c>
      <c r="M523" s="49"/>
      <c r="N523" s="25"/>
    </row>
    <row r="524" spans="3:14" x14ac:dyDescent="0.3">
      <c r="C524" s="49">
        <v>44487</v>
      </c>
      <c r="D524" s="25">
        <v>40.549999</v>
      </c>
      <c r="E524" s="64">
        <f t="shared" si="16"/>
        <v>5.4616331479419244E-2</v>
      </c>
      <c r="H524" s="49">
        <v>44487</v>
      </c>
      <c r="I524" s="25">
        <v>18114.900390999999</v>
      </c>
      <c r="J524" s="64">
        <f t="shared" si="17"/>
        <v>-1.2195641447944716E-2</v>
      </c>
      <c r="M524" s="49"/>
      <c r="N524" s="25"/>
    </row>
    <row r="525" spans="3:14" x14ac:dyDescent="0.3">
      <c r="C525" s="49">
        <v>44494</v>
      </c>
      <c r="D525" s="25">
        <v>37.950001</v>
      </c>
      <c r="E525" s="64">
        <f t="shared" si="16"/>
        <v>-6.4118324639169555E-2</v>
      </c>
      <c r="H525" s="49">
        <v>44494</v>
      </c>
      <c r="I525" s="25">
        <v>17671.650390999999</v>
      </c>
      <c r="J525" s="64">
        <f t="shared" si="17"/>
        <v>-2.4468806917658736E-2</v>
      </c>
      <c r="M525" s="49"/>
      <c r="N525" s="25"/>
    </row>
    <row r="526" spans="3:14" x14ac:dyDescent="0.3">
      <c r="C526" s="49">
        <v>44501</v>
      </c>
      <c r="D526" s="25">
        <v>39.700001</v>
      </c>
      <c r="E526" s="64">
        <f t="shared" si="16"/>
        <v>4.61133057677654E-2</v>
      </c>
      <c r="H526" s="49">
        <v>44501</v>
      </c>
      <c r="I526" s="25">
        <v>17916.800781000002</v>
      </c>
      <c r="J526" s="64">
        <f t="shared" si="17"/>
        <v>1.3872523764099309E-2</v>
      </c>
      <c r="M526" s="49"/>
      <c r="N526" s="25"/>
    </row>
    <row r="527" spans="3:14" x14ac:dyDescent="0.3">
      <c r="C527" s="49">
        <v>44508</v>
      </c>
      <c r="D527" s="25">
        <v>39.650002000000001</v>
      </c>
      <c r="E527" s="64">
        <f t="shared" si="16"/>
        <v>-1.2594206231884009E-3</v>
      </c>
      <c r="H527" s="49">
        <v>44508</v>
      </c>
      <c r="I527" s="25">
        <v>18102.75</v>
      </c>
      <c r="J527" s="64">
        <f t="shared" si="17"/>
        <v>1.0378483372834646E-2</v>
      </c>
      <c r="M527" s="49"/>
      <c r="N527" s="25"/>
    </row>
    <row r="528" spans="3:14" x14ac:dyDescent="0.3">
      <c r="C528" s="49">
        <v>44515</v>
      </c>
      <c r="D528" s="25">
        <v>45.200001</v>
      </c>
      <c r="E528" s="64">
        <f t="shared" si="16"/>
        <v>0.13997474703784385</v>
      </c>
      <c r="H528" s="49">
        <v>44515</v>
      </c>
      <c r="I528" s="25">
        <v>17764.800781000002</v>
      </c>
      <c r="J528" s="64">
        <f t="shared" si="17"/>
        <v>-1.8668391211279944E-2</v>
      </c>
      <c r="M528" s="49"/>
      <c r="N528" s="25"/>
    </row>
    <row r="529" spans="3:14" x14ac:dyDescent="0.3">
      <c r="C529" s="49">
        <v>44522</v>
      </c>
      <c r="D529" s="25">
        <v>57.549999</v>
      </c>
      <c r="E529" s="64">
        <f t="shared" si="16"/>
        <v>0.27323003820287517</v>
      </c>
      <c r="H529" s="49">
        <v>44522</v>
      </c>
      <c r="I529" s="25">
        <v>17026.449218999998</v>
      </c>
      <c r="J529" s="64">
        <f t="shared" si="17"/>
        <v>-4.1562614245001406E-2</v>
      </c>
      <c r="M529" s="49"/>
      <c r="N529" s="25"/>
    </row>
    <row r="530" spans="3:14" x14ac:dyDescent="0.3">
      <c r="C530" s="49">
        <v>44529</v>
      </c>
      <c r="D530" s="25">
        <v>44.650002000000001</v>
      </c>
      <c r="E530" s="64">
        <f t="shared" si="16"/>
        <v>-0.2241528622789376</v>
      </c>
      <c r="H530" s="49">
        <v>44529</v>
      </c>
      <c r="I530" s="25">
        <v>17196.699218999998</v>
      </c>
      <c r="J530" s="64">
        <f t="shared" si="17"/>
        <v>9.9991488424970854E-3</v>
      </c>
      <c r="M530" s="49"/>
      <c r="N530" s="25"/>
    </row>
    <row r="531" spans="3:14" x14ac:dyDescent="0.3">
      <c r="C531" s="49">
        <v>44536</v>
      </c>
      <c r="D531" s="25">
        <v>46.849997999999999</v>
      </c>
      <c r="E531" s="64">
        <f t="shared" si="16"/>
        <v>4.9272024668666203E-2</v>
      </c>
      <c r="H531" s="49">
        <v>44536</v>
      </c>
      <c r="I531" s="25">
        <v>17176.699218999998</v>
      </c>
      <c r="J531" s="64">
        <f t="shared" si="17"/>
        <v>-1.1630138868686801E-3</v>
      </c>
      <c r="M531" s="49"/>
      <c r="N531" s="25"/>
    </row>
  </sheetData>
  <sortState xmlns:xlrd2="http://schemas.microsoft.com/office/spreadsheetml/2017/richdata2" ref="M9:N531">
    <sortCondition descending="1" ref="M9"/>
  </sortState>
  <mergeCells count="2">
    <mergeCell ref="C5:E5"/>
    <mergeCell ref="H5:J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S258"/>
  <sheetViews>
    <sheetView showGridLines="0" workbookViewId="0">
      <selection activeCell="D1" sqref="D1"/>
    </sheetView>
  </sheetViews>
  <sheetFormatPr defaultRowHeight="14.4" x14ac:dyDescent="0.3"/>
  <cols>
    <col min="1" max="1" width="4.88671875" customWidth="1"/>
    <col min="2" max="2" width="12.33203125" customWidth="1"/>
    <col min="3" max="3" width="46.5546875" customWidth="1"/>
  </cols>
  <sheetData>
    <row r="1" spans="2:19" ht="18" x14ac:dyDescent="0.3">
      <c r="B1" s="53" t="s">
        <v>214</v>
      </c>
      <c r="C1" s="17"/>
      <c r="D1" s="17"/>
      <c r="E1" s="17"/>
      <c r="F1" s="17"/>
      <c r="G1" s="17"/>
      <c r="H1" s="17"/>
      <c r="I1" s="17"/>
      <c r="J1" s="17"/>
      <c r="K1" s="17"/>
      <c r="L1" s="17"/>
      <c r="M1" s="17"/>
      <c r="N1" s="17"/>
      <c r="O1" s="17"/>
      <c r="P1" s="17"/>
      <c r="Q1" s="17"/>
      <c r="R1" s="17"/>
      <c r="S1" s="17"/>
    </row>
    <row r="2" spans="2:19" x14ac:dyDescent="0.3">
      <c r="B2" s="5" t="s">
        <v>1</v>
      </c>
      <c r="C2" s="17"/>
      <c r="D2" s="17"/>
      <c r="E2" s="17"/>
      <c r="F2" s="17"/>
      <c r="G2" s="17"/>
      <c r="H2" s="17"/>
      <c r="I2" s="17"/>
      <c r="J2" s="17"/>
      <c r="K2" s="17"/>
      <c r="L2" s="17"/>
      <c r="M2" s="17"/>
      <c r="N2" s="17"/>
      <c r="O2" s="17"/>
      <c r="P2" s="17"/>
      <c r="Q2" s="17"/>
      <c r="R2" s="17"/>
      <c r="S2" s="17"/>
    </row>
    <row r="3" spans="2:19" ht="3.75" customHeight="1" x14ac:dyDescent="0.3"/>
    <row r="4" spans="2:19" ht="6" customHeight="1" x14ac:dyDescent="0.3"/>
    <row r="5" spans="2:19" ht="5.25" customHeight="1" x14ac:dyDescent="0.3"/>
    <row r="6" spans="2:19" ht="15.6" x14ac:dyDescent="0.3">
      <c r="B6" s="84" t="s">
        <v>215</v>
      </c>
      <c r="C6" s="84"/>
      <c r="D6" s="85">
        <f>MAX(C11:C258)</f>
        <v>57.549999</v>
      </c>
    </row>
    <row r="7" spans="2:19" ht="15.6" x14ac:dyDescent="0.3">
      <c r="B7" s="86" t="s">
        <v>216</v>
      </c>
      <c r="C7" s="87"/>
      <c r="D7" s="88">
        <f>MIN(C11:C258)</f>
        <v>8.65</v>
      </c>
    </row>
    <row r="8" spans="2:19" ht="15.6" x14ac:dyDescent="0.3">
      <c r="B8" s="84" t="s">
        <v>217</v>
      </c>
      <c r="C8" s="84"/>
      <c r="D8" s="85">
        <f>AVERAGE(C11:C258)</f>
        <v>21.060080689516134</v>
      </c>
    </row>
    <row r="10" spans="2:19" x14ac:dyDescent="0.3">
      <c r="B10" s="21" t="s">
        <v>167</v>
      </c>
      <c r="C10" s="89" t="s">
        <v>218</v>
      </c>
      <c r="D10" s="21"/>
    </row>
    <row r="11" spans="2:19" x14ac:dyDescent="0.3">
      <c r="B11" s="50">
        <v>44173</v>
      </c>
      <c r="C11" s="25">
        <v>10.15</v>
      </c>
    </row>
    <row r="12" spans="2:19" x14ac:dyDescent="0.3">
      <c r="B12" s="50">
        <v>44174</v>
      </c>
      <c r="C12" s="25">
        <v>10.1</v>
      </c>
    </row>
    <row r="13" spans="2:19" x14ac:dyDescent="0.3">
      <c r="B13" s="50">
        <v>44175</v>
      </c>
      <c r="C13" s="25">
        <v>9.75</v>
      </c>
    </row>
    <row r="14" spans="2:19" x14ac:dyDescent="0.3">
      <c r="B14" s="50">
        <v>44176</v>
      </c>
      <c r="C14" s="25">
        <v>9.85</v>
      </c>
    </row>
    <row r="15" spans="2:19" x14ac:dyDescent="0.3">
      <c r="B15" s="50">
        <v>44179</v>
      </c>
      <c r="C15" s="25">
        <v>9.9499999999999993</v>
      </c>
    </row>
    <row r="16" spans="2:19" x14ac:dyDescent="0.3">
      <c r="B16" s="50">
        <v>44180</v>
      </c>
      <c r="C16" s="25">
        <v>9.8000000000000007</v>
      </c>
    </row>
    <row r="17" spans="2:3" x14ac:dyDescent="0.3">
      <c r="B17" s="50">
        <v>44181</v>
      </c>
      <c r="C17" s="25">
        <v>9.8000000000000007</v>
      </c>
    </row>
    <row r="18" spans="2:3" x14ac:dyDescent="0.3">
      <c r="B18" s="50">
        <v>44182</v>
      </c>
      <c r="C18" s="25">
        <v>9.65</v>
      </c>
    </row>
    <row r="19" spans="2:3" x14ac:dyDescent="0.3">
      <c r="B19" s="50">
        <v>44183</v>
      </c>
      <c r="C19" s="25">
        <v>9.4</v>
      </c>
    </row>
    <row r="20" spans="2:3" x14ac:dyDescent="0.3">
      <c r="B20" s="50">
        <v>44186</v>
      </c>
      <c r="C20" s="25">
        <v>8.65</v>
      </c>
    </row>
    <row r="21" spans="2:3" x14ac:dyDescent="0.3">
      <c r="B21" s="50">
        <v>44187</v>
      </c>
      <c r="C21" s="25">
        <v>8.9499999999999993</v>
      </c>
    </row>
    <row r="22" spans="2:3" x14ac:dyDescent="0.3">
      <c r="B22" s="50">
        <v>44188</v>
      </c>
      <c r="C22" s="25">
        <v>9.3000000000000007</v>
      </c>
    </row>
    <row r="23" spans="2:3" x14ac:dyDescent="0.3">
      <c r="B23" s="50">
        <v>44189</v>
      </c>
      <c r="C23" s="25">
        <v>9.35</v>
      </c>
    </row>
    <row r="24" spans="2:3" x14ac:dyDescent="0.3">
      <c r="B24" s="50">
        <v>44193</v>
      </c>
      <c r="C24" s="25">
        <v>9.65</v>
      </c>
    </row>
    <row r="25" spans="2:3" x14ac:dyDescent="0.3">
      <c r="B25" s="50">
        <v>44194</v>
      </c>
      <c r="C25" s="25">
        <v>9.6999999999999993</v>
      </c>
    </row>
    <row r="26" spans="2:3" x14ac:dyDescent="0.3">
      <c r="B26" s="50">
        <v>44195</v>
      </c>
      <c r="C26" s="25">
        <v>9.6999999999999993</v>
      </c>
    </row>
    <row r="27" spans="2:3" x14ac:dyDescent="0.3">
      <c r="B27" s="50">
        <v>44196</v>
      </c>
      <c r="C27" s="25">
        <v>9.9</v>
      </c>
    </row>
    <row r="28" spans="2:3" x14ac:dyDescent="0.3">
      <c r="B28" s="50">
        <v>44197</v>
      </c>
      <c r="C28" s="25">
        <v>10.75</v>
      </c>
    </row>
    <row r="29" spans="2:3" x14ac:dyDescent="0.3">
      <c r="B29" s="50">
        <v>44200</v>
      </c>
      <c r="C29" s="25">
        <v>12.9</v>
      </c>
    </row>
    <row r="30" spans="2:3" x14ac:dyDescent="0.3">
      <c r="B30" s="50">
        <v>44201</v>
      </c>
      <c r="C30" s="25">
        <v>15.45</v>
      </c>
    </row>
    <row r="31" spans="2:3" x14ac:dyDescent="0.3">
      <c r="B31" s="50">
        <v>44202</v>
      </c>
      <c r="C31" s="25">
        <v>16</v>
      </c>
    </row>
    <row r="32" spans="2:3" x14ac:dyDescent="0.3">
      <c r="B32" s="50">
        <v>44203</v>
      </c>
      <c r="C32" s="25">
        <v>14.5</v>
      </c>
    </row>
    <row r="33" spans="2:3" x14ac:dyDescent="0.3">
      <c r="B33" s="50">
        <v>44204</v>
      </c>
      <c r="C33" s="25">
        <v>14.6</v>
      </c>
    </row>
    <row r="34" spans="2:3" x14ac:dyDescent="0.3">
      <c r="B34" s="50">
        <v>44207</v>
      </c>
      <c r="C34" s="25">
        <v>14.7</v>
      </c>
    </row>
    <row r="35" spans="2:3" x14ac:dyDescent="0.3">
      <c r="B35" s="50">
        <v>44208</v>
      </c>
      <c r="C35" s="25">
        <v>14.35</v>
      </c>
    </row>
    <row r="36" spans="2:3" x14ac:dyDescent="0.3">
      <c r="B36" s="50">
        <v>44209</v>
      </c>
      <c r="C36" s="25">
        <v>14.35</v>
      </c>
    </row>
    <row r="37" spans="2:3" x14ac:dyDescent="0.3">
      <c r="B37" s="50">
        <v>44210</v>
      </c>
      <c r="C37" s="25">
        <v>14.35</v>
      </c>
    </row>
    <row r="38" spans="2:3" x14ac:dyDescent="0.3">
      <c r="B38" s="50">
        <v>44211</v>
      </c>
      <c r="C38" s="25">
        <v>14.7</v>
      </c>
    </row>
    <row r="39" spans="2:3" x14ac:dyDescent="0.3">
      <c r="B39" s="50">
        <v>44214</v>
      </c>
      <c r="C39" s="25">
        <v>14.9</v>
      </c>
    </row>
    <row r="40" spans="2:3" x14ac:dyDescent="0.3">
      <c r="B40" s="50">
        <v>44215</v>
      </c>
      <c r="C40" s="25">
        <v>15.15</v>
      </c>
    </row>
    <row r="41" spans="2:3" x14ac:dyDescent="0.3">
      <c r="B41" s="50">
        <v>44216</v>
      </c>
      <c r="C41" s="25">
        <v>14.8</v>
      </c>
    </row>
    <row r="42" spans="2:3" x14ac:dyDescent="0.3">
      <c r="B42" s="50">
        <v>44217</v>
      </c>
      <c r="C42" s="25">
        <v>14.45</v>
      </c>
    </row>
    <row r="43" spans="2:3" x14ac:dyDescent="0.3">
      <c r="B43" s="50">
        <v>44218</v>
      </c>
      <c r="C43" s="25">
        <v>14.15</v>
      </c>
    </row>
    <row r="44" spans="2:3" x14ac:dyDescent="0.3">
      <c r="B44" s="50">
        <v>44221</v>
      </c>
      <c r="C44" s="25">
        <v>13.85</v>
      </c>
    </row>
    <row r="45" spans="2:3" x14ac:dyDescent="0.3">
      <c r="B45" s="50">
        <v>44223</v>
      </c>
      <c r="C45" s="25">
        <v>13.25</v>
      </c>
    </row>
    <row r="46" spans="2:3" x14ac:dyDescent="0.3">
      <c r="B46" s="50">
        <v>44224</v>
      </c>
      <c r="C46" s="25">
        <v>14.55</v>
      </c>
    </row>
    <row r="47" spans="2:3" x14ac:dyDescent="0.3">
      <c r="B47" s="50">
        <v>44225</v>
      </c>
      <c r="C47" s="25">
        <v>14.5</v>
      </c>
    </row>
    <row r="48" spans="2:3" x14ac:dyDescent="0.3">
      <c r="B48" s="50">
        <v>44228</v>
      </c>
      <c r="C48" s="25">
        <v>14.45</v>
      </c>
    </row>
    <row r="49" spans="2:3" x14ac:dyDescent="0.3">
      <c r="B49" s="50">
        <v>44229</v>
      </c>
      <c r="C49" s="25">
        <v>14.3</v>
      </c>
    </row>
    <row r="50" spans="2:3" x14ac:dyDescent="0.3">
      <c r="B50" s="50">
        <v>44230</v>
      </c>
      <c r="C50" s="25">
        <v>14.15</v>
      </c>
    </row>
    <row r="51" spans="2:3" x14ac:dyDescent="0.3">
      <c r="B51" s="50">
        <v>44231</v>
      </c>
      <c r="C51" s="25">
        <v>14.5</v>
      </c>
    </row>
    <row r="52" spans="2:3" x14ac:dyDescent="0.3">
      <c r="B52" s="50">
        <v>44232</v>
      </c>
      <c r="C52" s="25">
        <v>14.1</v>
      </c>
    </row>
    <row r="53" spans="2:3" x14ac:dyDescent="0.3">
      <c r="B53" s="50">
        <v>44235</v>
      </c>
      <c r="C53" s="25">
        <v>14.15</v>
      </c>
    </row>
    <row r="54" spans="2:3" x14ac:dyDescent="0.3">
      <c r="B54" s="50">
        <v>44236</v>
      </c>
      <c r="C54" s="25">
        <v>13.95</v>
      </c>
    </row>
    <row r="55" spans="2:3" x14ac:dyDescent="0.3">
      <c r="B55" s="50">
        <v>44237</v>
      </c>
      <c r="C55" s="25">
        <v>13.9</v>
      </c>
    </row>
    <row r="56" spans="2:3" x14ac:dyDescent="0.3">
      <c r="B56" s="50">
        <v>44238</v>
      </c>
      <c r="C56" s="25">
        <v>13.95</v>
      </c>
    </row>
    <row r="57" spans="2:3" x14ac:dyDescent="0.3">
      <c r="B57" s="50">
        <v>44239</v>
      </c>
      <c r="C57" s="25">
        <v>14.1</v>
      </c>
    </row>
    <row r="58" spans="2:3" x14ac:dyDescent="0.3">
      <c r="B58" s="50">
        <v>44242</v>
      </c>
      <c r="C58" s="25">
        <v>13.95</v>
      </c>
    </row>
    <row r="59" spans="2:3" x14ac:dyDescent="0.3">
      <c r="B59" s="50">
        <v>44243</v>
      </c>
      <c r="C59" s="25">
        <v>13.55</v>
      </c>
    </row>
    <row r="60" spans="2:3" x14ac:dyDescent="0.3">
      <c r="B60" s="50">
        <v>44244</v>
      </c>
      <c r="C60" s="25">
        <v>13.95</v>
      </c>
    </row>
    <row r="61" spans="2:3" x14ac:dyDescent="0.3">
      <c r="B61" s="50">
        <v>44245</v>
      </c>
      <c r="C61" s="25">
        <v>13.85</v>
      </c>
    </row>
    <row r="62" spans="2:3" x14ac:dyDescent="0.3">
      <c r="B62" s="50">
        <v>44246</v>
      </c>
      <c r="C62" s="25">
        <v>14</v>
      </c>
    </row>
    <row r="63" spans="2:3" x14ac:dyDescent="0.3">
      <c r="B63" s="50">
        <v>44249</v>
      </c>
      <c r="C63" s="25">
        <v>13.8</v>
      </c>
    </row>
    <row r="64" spans="2:3" x14ac:dyDescent="0.3">
      <c r="B64" s="50">
        <v>44250</v>
      </c>
      <c r="C64" s="25">
        <v>14.05</v>
      </c>
    </row>
    <row r="65" spans="2:3" x14ac:dyDescent="0.3">
      <c r="B65" s="50">
        <v>44251</v>
      </c>
      <c r="C65" s="25">
        <v>14.05</v>
      </c>
    </row>
    <row r="66" spans="2:3" x14ac:dyDescent="0.3">
      <c r="B66" s="50">
        <v>44252</v>
      </c>
      <c r="C66" s="25">
        <v>13.95</v>
      </c>
    </row>
    <row r="67" spans="2:3" x14ac:dyDescent="0.3">
      <c r="B67" s="50">
        <v>44253</v>
      </c>
      <c r="C67" s="25">
        <v>13.8</v>
      </c>
    </row>
    <row r="68" spans="2:3" x14ac:dyDescent="0.3">
      <c r="B68" s="50">
        <v>44256</v>
      </c>
      <c r="C68" s="25">
        <v>13.75</v>
      </c>
    </row>
    <row r="69" spans="2:3" x14ac:dyDescent="0.3">
      <c r="B69" s="50">
        <v>44257</v>
      </c>
      <c r="C69" s="25">
        <v>13.95</v>
      </c>
    </row>
    <row r="70" spans="2:3" x14ac:dyDescent="0.3">
      <c r="B70" s="50">
        <v>44258</v>
      </c>
      <c r="C70" s="25">
        <v>14.1</v>
      </c>
    </row>
    <row r="71" spans="2:3" x14ac:dyDescent="0.3">
      <c r="B71" s="50">
        <v>44259</v>
      </c>
      <c r="C71" s="25">
        <v>14.7</v>
      </c>
    </row>
    <row r="72" spans="2:3" x14ac:dyDescent="0.3">
      <c r="B72" s="50">
        <v>44260</v>
      </c>
      <c r="C72" s="25">
        <v>14.55</v>
      </c>
    </row>
    <row r="73" spans="2:3" x14ac:dyDescent="0.3">
      <c r="B73" s="50">
        <v>44263</v>
      </c>
      <c r="C73" s="25">
        <v>14.3</v>
      </c>
    </row>
    <row r="74" spans="2:3" x14ac:dyDescent="0.3">
      <c r="B74" s="50">
        <v>44264</v>
      </c>
      <c r="C74" s="25">
        <v>14.05</v>
      </c>
    </row>
    <row r="75" spans="2:3" x14ac:dyDescent="0.3">
      <c r="B75" s="50">
        <v>44265</v>
      </c>
      <c r="C75" s="25">
        <v>14.4</v>
      </c>
    </row>
    <row r="76" spans="2:3" x14ac:dyDescent="0.3">
      <c r="B76" s="50">
        <v>44267</v>
      </c>
      <c r="C76" s="25">
        <v>15.3</v>
      </c>
    </row>
    <row r="77" spans="2:3" x14ac:dyDescent="0.3">
      <c r="B77" s="50">
        <v>44270</v>
      </c>
      <c r="C77" s="25">
        <v>15.35</v>
      </c>
    </row>
    <row r="78" spans="2:3" x14ac:dyDescent="0.3">
      <c r="B78" s="50">
        <v>44271</v>
      </c>
      <c r="C78" s="25">
        <v>15.75</v>
      </c>
    </row>
    <row r="79" spans="2:3" x14ac:dyDescent="0.3">
      <c r="B79" s="50">
        <v>44272</v>
      </c>
      <c r="C79" s="25">
        <v>14.8</v>
      </c>
    </row>
    <row r="80" spans="2:3" x14ac:dyDescent="0.3">
      <c r="B80" s="50">
        <v>44273</v>
      </c>
      <c r="C80" s="25">
        <v>14.3</v>
      </c>
    </row>
    <row r="81" spans="2:3" x14ac:dyDescent="0.3">
      <c r="B81" s="50">
        <v>44274</v>
      </c>
      <c r="C81" s="25">
        <v>14.5</v>
      </c>
    </row>
    <row r="82" spans="2:3" x14ac:dyDescent="0.3">
      <c r="B82" s="50">
        <v>44277</v>
      </c>
      <c r="C82" s="25">
        <v>14.55</v>
      </c>
    </row>
    <row r="83" spans="2:3" x14ac:dyDescent="0.3">
      <c r="B83" s="50">
        <v>44278</v>
      </c>
      <c r="C83" s="25">
        <v>14.5</v>
      </c>
    </row>
    <row r="84" spans="2:3" x14ac:dyDescent="0.3">
      <c r="B84" s="50">
        <v>44279</v>
      </c>
      <c r="C84" s="25">
        <v>14.1</v>
      </c>
    </row>
    <row r="85" spans="2:3" x14ac:dyDescent="0.3">
      <c r="B85" s="50">
        <v>44280</v>
      </c>
      <c r="C85" s="25">
        <v>13.8</v>
      </c>
    </row>
    <row r="86" spans="2:3" x14ac:dyDescent="0.3">
      <c r="B86" s="50">
        <v>44281</v>
      </c>
      <c r="C86" s="25">
        <v>13.7</v>
      </c>
    </row>
    <row r="87" spans="2:3" x14ac:dyDescent="0.3">
      <c r="B87" s="50">
        <v>44285</v>
      </c>
      <c r="C87" s="25">
        <v>14.2</v>
      </c>
    </row>
    <row r="88" spans="2:3" x14ac:dyDescent="0.3">
      <c r="B88" s="50">
        <v>44286</v>
      </c>
      <c r="C88" s="25">
        <v>14.05</v>
      </c>
    </row>
    <row r="89" spans="2:3" x14ac:dyDescent="0.3">
      <c r="B89" s="50">
        <v>44287</v>
      </c>
      <c r="C89" s="25">
        <v>14.2</v>
      </c>
    </row>
    <row r="90" spans="2:3" x14ac:dyDescent="0.3">
      <c r="B90" s="50">
        <v>44291</v>
      </c>
      <c r="C90" s="25">
        <v>14</v>
      </c>
    </row>
    <row r="91" spans="2:3" x14ac:dyDescent="0.3">
      <c r="B91" s="50">
        <v>44292</v>
      </c>
      <c r="C91" s="25">
        <v>13.8</v>
      </c>
    </row>
    <row r="92" spans="2:3" x14ac:dyDescent="0.3">
      <c r="B92" s="50">
        <v>44293</v>
      </c>
      <c r="C92" s="25">
        <v>13.85</v>
      </c>
    </row>
    <row r="93" spans="2:3" x14ac:dyDescent="0.3">
      <c r="B93" s="50">
        <v>44294</v>
      </c>
      <c r="C93" s="25">
        <v>14.2</v>
      </c>
    </row>
    <row r="94" spans="2:3" x14ac:dyDescent="0.3">
      <c r="B94" s="50">
        <v>44295</v>
      </c>
      <c r="C94" s="25">
        <v>14.1</v>
      </c>
    </row>
    <row r="95" spans="2:3" x14ac:dyDescent="0.3">
      <c r="B95" s="50">
        <v>44298</v>
      </c>
      <c r="C95" s="25">
        <v>13.4</v>
      </c>
    </row>
    <row r="96" spans="2:3" x14ac:dyDescent="0.3">
      <c r="B96" s="50">
        <v>44299</v>
      </c>
      <c r="C96" s="25">
        <v>13.7</v>
      </c>
    </row>
    <row r="97" spans="2:3" x14ac:dyDescent="0.3">
      <c r="B97" s="50">
        <v>44301</v>
      </c>
      <c r="C97" s="25">
        <v>13.95</v>
      </c>
    </row>
    <row r="98" spans="2:3" x14ac:dyDescent="0.3">
      <c r="B98" s="50">
        <v>44302</v>
      </c>
      <c r="C98" s="25">
        <v>14</v>
      </c>
    </row>
    <row r="99" spans="2:3" x14ac:dyDescent="0.3">
      <c r="B99" s="50">
        <v>44305</v>
      </c>
      <c r="C99" s="25">
        <v>13.45</v>
      </c>
    </row>
    <row r="100" spans="2:3" x14ac:dyDescent="0.3">
      <c r="B100" s="50">
        <v>44306</v>
      </c>
      <c r="C100" s="25">
        <v>13.55</v>
      </c>
    </row>
    <row r="101" spans="2:3" x14ac:dyDescent="0.3">
      <c r="B101" s="50">
        <v>44308</v>
      </c>
      <c r="C101" s="25">
        <v>13.5</v>
      </c>
    </row>
    <row r="102" spans="2:3" x14ac:dyDescent="0.3">
      <c r="B102" s="50">
        <v>44309</v>
      </c>
      <c r="C102" s="25">
        <v>13.5</v>
      </c>
    </row>
    <row r="103" spans="2:3" x14ac:dyDescent="0.3">
      <c r="B103" s="50">
        <v>44312</v>
      </c>
      <c r="C103" s="25">
        <v>13.6</v>
      </c>
    </row>
    <row r="104" spans="2:3" x14ac:dyDescent="0.3">
      <c r="B104" s="50">
        <v>44313</v>
      </c>
      <c r="C104" s="25">
        <v>14.1</v>
      </c>
    </row>
    <row r="105" spans="2:3" x14ac:dyDescent="0.3">
      <c r="B105" s="50">
        <v>44314</v>
      </c>
      <c r="C105" s="25">
        <v>14</v>
      </c>
    </row>
    <row r="106" spans="2:3" x14ac:dyDescent="0.3">
      <c r="B106" s="50">
        <v>44315</v>
      </c>
      <c r="C106" s="25">
        <v>13.8</v>
      </c>
    </row>
    <row r="107" spans="2:3" x14ac:dyDescent="0.3">
      <c r="B107" s="50">
        <v>44316</v>
      </c>
      <c r="C107" s="25">
        <v>13.8</v>
      </c>
    </row>
    <row r="108" spans="2:3" x14ac:dyDescent="0.3">
      <c r="B108" s="50">
        <v>44319</v>
      </c>
      <c r="C108" s="25">
        <v>14.1</v>
      </c>
    </row>
    <row r="109" spans="2:3" x14ac:dyDescent="0.3">
      <c r="B109" s="50">
        <v>44320</v>
      </c>
      <c r="C109" s="25">
        <v>13.85</v>
      </c>
    </row>
    <row r="110" spans="2:3" x14ac:dyDescent="0.3">
      <c r="B110" s="50">
        <v>44321</v>
      </c>
      <c r="C110" s="25">
        <v>13.85</v>
      </c>
    </row>
    <row r="111" spans="2:3" x14ac:dyDescent="0.3">
      <c r="B111" s="50">
        <v>44322</v>
      </c>
      <c r="C111" s="25">
        <v>13.9</v>
      </c>
    </row>
    <row r="112" spans="2:3" x14ac:dyDescent="0.3">
      <c r="B112" s="50">
        <v>44323</v>
      </c>
      <c r="C112" s="25">
        <v>15.25</v>
      </c>
    </row>
    <row r="113" spans="2:3" x14ac:dyDescent="0.3">
      <c r="B113" s="50">
        <v>44326</v>
      </c>
      <c r="C113" s="25">
        <v>16.75</v>
      </c>
    </row>
    <row r="114" spans="2:3" x14ac:dyDescent="0.3">
      <c r="B114" s="50">
        <v>44327</v>
      </c>
      <c r="C114" s="25">
        <v>18.399999999999999</v>
      </c>
    </row>
    <row r="115" spans="2:3" x14ac:dyDescent="0.3">
      <c r="B115" s="50">
        <v>44328</v>
      </c>
      <c r="C115" s="25">
        <v>17.5</v>
      </c>
    </row>
    <row r="116" spans="2:3" x14ac:dyDescent="0.3">
      <c r="B116" s="50">
        <v>44330</v>
      </c>
      <c r="C116" s="25">
        <v>16.950001</v>
      </c>
    </row>
    <row r="117" spans="2:3" x14ac:dyDescent="0.3">
      <c r="B117" s="50">
        <v>44333</v>
      </c>
      <c r="C117" s="25">
        <v>16.149999999999999</v>
      </c>
    </row>
    <row r="118" spans="2:3" x14ac:dyDescent="0.3">
      <c r="B118" s="50">
        <v>44334</v>
      </c>
      <c r="C118" s="25">
        <v>16.950001</v>
      </c>
    </row>
    <row r="119" spans="2:3" x14ac:dyDescent="0.3">
      <c r="B119" s="50">
        <v>44335</v>
      </c>
      <c r="C119" s="25">
        <v>16.799999</v>
      </c>
    </row>
    <row r="120" spans="2:3" x14ac:dyDescent="0.3">
      <c r="B120" s="50">
        <v>44336</v>
      </c>
      <c r="C120" s="25">
        <v>16.799999</v>
      </c>
    </row>
    <row r="121" spans="2:3" x14ac:dyDescent="0.3">
      <c r="B121" s="50">
        <v>44337</v>
      </c>
      <c r="C121" s="25">
        <v>16.649999999999999</v>
      </c>
    </row>
    <row r="122" spans="2:3" x14ac:dyDescent="0.3">
      <c r="B122" s="50">
        <v>44340</v>
      </c>
      <c r="C122" s="25">
        <v>16.75</v>
      </c>
    </row>
    <row r="123" spans="2:3" x14ac:dyDescent="0.3">
      <c r="B123" s="50">
        <v>44341</v>
      </c>
      <c r="C123" s="25">
        <v>16.600000000000001</v>
      </c>
    </row>
    <row r="124" spans="2:3" x14ac:dyDescent="0.3">
      <c r="B124" s="50">
        <v>44342</v>
      </c>
      <c r="C124" s="25">
        <v>16.799999</v>
      </c>
    </row>
    <row r="125" spans="2:3" x14ac:dyDescent="0.3">
      <c r="B125" s="50">
        <v>44343</v>
      </c>
      <c r="C125" s="25">
        <v>16.549999</v>
      </c>
    </row>
    <row r="126" spans="2:3" x14ac:dyDescent="0.3">
      <c r="B126" s="50">
        <v>44344</v>
      </c>
      <c r="C126" s="25">
        <v>16.25</v>
      </c>
    </row>
    <row r="127" spans="2:3" x14ac:dyDescent="0.3">
      <c r="B127" s="50">
        <v>44347</v>
      </c>
      <c r="C127" s="25">
        <v>15.95</v>
      </c>
    </row>
    <row r="128" spans="2:3" x14ac:dyDescent="0.3">
      <c r="B128" s="50">
        <v>44348</v>
      </c>
      <c r="C128" s="25">
        <v>15.85</v>
      </c>
    </row>
    <row r="129" spans="2:3" x14ac:dyDescent="0.3">
      <c r="B129" s="50">
        <v>44349</v>
      </c>
      <c r="C129" s="25">
        <v>16</v>
      </c>
    </row>
    <row r="130" spans="2:3" x14ac:dyDescent="0.3">
      <c r="B130" s="50">
        <v>44350</v>
      </c>
      <c r="C130" s="25">
        <v>16.100000000000001</v>
      </c>
    </row>
    <row r="131" spans="2:3" x14ac:dyDescent="0.3">
      <c r="B131" s="50">
        <v>44351</v>
      </c>
      <c r="C131" s="25">
        <v>16</v>
      </c>
    </row>
    <row r="132" spans="2:3" x14ac:dyDescent="0.3">
      <c r="B132" s="50">
        <v>44354</v>
      </c>
      <c r="C132" s="25">
        <v>16.799999</v>
      </c>
    </row>
    <row r="133" spans="2:3" x14ac:dyDescent="0.3">
      <c r="B133" s="50">
        <v>44355</v>
      </c>
      <c r="C133" s="25">
        <v>16.399999999999999</v>
      </c>
    </row>
    <row r="134" spans="2:3" x14ac:dyDescent="0.3">
      <c r="B134" s="50">
        <v>44356</v>
      </c>
      <c r="C134" s="25">
        <v>16.149999999999999</v>
      </c>
    </row>
    <row r="135" spans="2:3" x14ac:dyDescent="0.3">
      <c r="B135" s="50">
        <v>44357</v>
      </c>
      <c r="C135" s="25">
        <v>16.950001</v>
      </c>
    </row>
    <row r="136" spans="2:3" x14ac:dyDescent="0.3">
      <c r="B136" s="50">
        <v>44358</v>
      </c>
      <c r="C136" s="25">
        <v>16.700001</v>
      </c>
    </row>
    <row r="137" spans="2:3" x14ac:dyDescent="0.3">
      <c r="B137" s="50">
        <v>44361</v>
      </c>
      <c r="C137" s="25">
        <v>16.799999</v>
      </c>
    </row>
    <row r="138" spans="2:3" x14ac:dyDescent="0.3">
      <c r="B138" s="50">
        <v>44362</v>
      </c>
      <c r="C138" s="25">
        <v>16.649999999999999</v>
      </c>
    </row>
    <row r="139" spans="2:3" x14ac:dyDescent="0.3">
      <c r="B139" s="50">
        <v>44363</v>
      </c>
      <c r="C139" s="25">
        <v>16.549999</v>
      </c>
    </row>
    <row r="140" spans="2:3" x14ac:dyDescent="0.3">
      <c r="B140" s="50">
        <v>44364</v>
      </c>
      <c r="C140" s="25">
        <v>16.75</v>
      </c>
    </row>
    <row r="141" spans="2:3" x14ac:dyDescent="0.3">
      <c r="B141" s="50">
        <v>44365</v>
      </c>
      <c r="C141" s="25">
        <v>16.5</v>
      </c>
    </row>
    <row r="142" spans="2:3" x14ac:dyDescent="0.3">
      <c r="B142" s="50">
        <v>44368</v>
      </c>
      <c r="C142" s="25">
        <v>16.649999999999999</v>
      </c>
    </row>
    <row r="143" spans="2:3" x14ac:dyDescent="0.3">
      <c r="B143" s="50">
        <v>44369</v>
      </c>
      <c r="C143" s="25">
        <v>16.700001</v>
      </c>
    </row>
    <row r="144" spans="2:3" x14ac:dyDescent="0.3">
      <c r="B144" s="50">
        <v>44370</v>
      </c>
      <c r="C144" s="25">
        <v>16.600000000000001</v>
      </c>
    </row>
    <row r="145" spans="2:3" x14ac:dyDescent="0.3">
      <c r="B145" s="50">
        <v>44371</v>
      </c>
      <c r="C145" s="25">
        <v>16.600000000000001</v>
      </c>
    </row>
    <row r="146" spans="2:3" x14ac:dyDescent="0.3">
      <c r="B146" s="50">
        <v>44372</v>
      </c>
      <c r="C146" s="25">
        <v>16.600000000000001</v>
      </c>
    </row>
    <row r="147" spans="2:3" x14ac:dyDescent="0.3">
      <c r="B147" s="50">
        <v>44375</v>
      </c>
      <c r="C147" s="25">
        <v>16.5</v>
      </c>
    </row>
    <row r="148" spans="2:3" x14ac:dyDescent="0.3">
      <c r="B148" s="50">
        <v>44376</v>
      </c>
      <c r="C148" s="25">
        <v>16.25</v>
      </c>
    </row>
    <row r="149" spans="2:3" x14ac:dyDescent="0.3">
      <c r="B149" s="50">
        <v>44377</v>
      </c>
      <c r="C149" s="25">
        <v>16.350000000000001</v>
      </c>
    </row>
    <row r="150" spans="2:3" x14ac:dyDescent="0.3">
      <c r="B150" s="50">
        <v>44378</v>
      </c>
      <c r="C150" s="25">
        <v>16.350000000000001</v>
      </c>
    </row>
    <row r="151" spans="2:3" x14ac:dyDescent="0.3">
      <c r="B151" s="50">
        <v>44379</v>
      </c>
      <c r="C151" s="25">
        <v>16.399999999999999</v>
      </c>
    </row>
    <row r="152" spans="2:3" x14ac:dyDescent="0.3">
      <c r="B152" s="50">
        <v>44382</v>
      </c>
      <c r="C152" s="25">
        <v>17.200001</v>
      </c>
    </row>
    <row r="153" spans="2:3" x14ac:dyDescent="0.3">
      <c r="B153" s="50">
        <v>44383</v>
      </c>
      <c r="C153" s="25">
        <v>18.049999</v>
      </c>
    </row>
    <row r="154" spans="2:3" x14ac:dyDescent="0.3">
      <c r="B154" s="50">
        <v>44384</v>
      </c>
      <c r="C154" s="25">
        <v>17.149999999999999</v>
      </c>
    </row>
    <row r="155" spans="2:3" x14ac:dyDescent="0.3">
      <c r="B155" s="50">
        <v>44385</v>
      </c>
      <c r="C155" s="25">
        <v>17.299999</v>
      </c>
    </row>
    <row r="156" spans="2:3" x14ac:dyDescent="0.3">
      <c r="B156" s="50">
        <v>44386</v>
      </c>
      <c r="C156" s="25">
        <v>17.399999999999999</v>
      </c>
    </row>
    <row r="157" spans="2:3" x14ac:dyDescent="0.3">
      <c r="B157" s="50">
        <v>44389</v>
      </c>
      <c r="C157" s="25">
        <v>17.899999999999999</v>
      </c>
    </row>
    <row r="158" spans="2:3" x14ac:dyDescent="0.3">
      <c r="B158" s="50">
        <v>44390</v>
      </c>
      <c r="C158" s="25">
        <v>17.850000000000001</v>
      </c>
    </row>
    <row r="159" spans="2:3" x14ac:dyDescent="0.3">
      <c r="B159" s="50">
        <v>44391</v>
      </c>
      <c r="C159" s="25">
        <v>17.950001</v>
      </c>
    </row>
    <row r="160" spans="2:3" x14ac:dyDescent="0.3">
      <c r="B160" s="50">
        <v>44392</v>
      </c>
      <c r="C160" s="25">
        <v>17.649999999999999</v>
      </c>
    </row>
    <row r="161" spans="2:3" x14ac:dyDescent="0.3">
      <c r="B161" s="50">
        <v>44393</v>
      </c>
      <c r="C161" s="25">
        <v>17.700001</v>
      </c>
    </row>
    <row r="162" spans="2:3" x14ac:dyDescent="0.3">
      <c r="B162" s="50">
        <v>44396</v>
      </c>
      <c r="C162" s="25">
        <v>17.649999999999999</v>
      </c>
    </row>
    <row r="163" spans="2:3" x14ac:dyDescent="0.3">
      <c r="B163" s="50">
        <v>44397</v>
      </c>
      <c r="C163" s="25">
        <v>17.299999</v>
      </c>
    </row>
    <row r="164" spans="2:3" x14ac:dyDescent="0.3">
      <c r="B164" s="50">
        <v>44399</v>
      </c>
      <c r="C164" s="25">
        <v>17.75</v>
      </c>
    </row>
    <row r="165" spans="2:3" x14ac:dyDescent="0.3">
      <c r="B165" s="50">
        <v>44400</v>
      </c>
      <c r="C165" s="25">
        <v>17.600000000000001</v>
      </c>
    </row>
    <row r="166" spans="2:3" x14ac:dyDescent="0.3">
      <c r="B166" s="50">
        <v>44403</v>
      </c>
      <c r="C166" s="25">
        <v>17.100000000000001</v>
      </c>
    </row>
    <row r="167" spans="2:3" x14ac:dyDescent="0.3">
      <c r="B167" s="50">
        <v>44404</v>
      </c>
      <c r="C167" s="25">
        <v>17.950001</v>
      </c>
    </row>
    <row r="168" spans="2:3" x14ac:dyDescent="0.3">
      <c r="B168" s="50">
        <v>44405</v>
      </c>
      <c r="C168" s="25">
        <v>18.799999</v>
      </c>
    </row>
    <row r="169" spans="2:3" x14ac:dyDescent="0.3">
      <c r="B169" s="50">
        <v>44406</v>
      </c>
      <c r="C169" s="25">
        <v>19.700001</v>
      </c>
    </row>
    <row r="170" spans="2:3" x14ac:dyDescent="0.3">
      <c r="B170" s="50">
        <v>44407</v>
      </c>
      <c r="C170" s="25">
        <v>20.65</v>
      </c>
    </row>
    <row r="171" spans="2:3" x14ac:dyDescent="0.3">
      <c r="B171" s="50">
        <v>44410</v>
      </c>
      <c r="C171" s="25">
        <v>20.149999999999999</v>
      </c>
    </row>
    <row r="172" spans="2:3" x14ac:dyDescent="0.3">
      <c r="B172" s="50">
        <v>44411</v>
      </c>
      <c r="C172" s="25">
        <v>21.15</v>
      </c>
    </row>
    <row r="173" spans="2:3" x14ac:dyDescent="0.3">
      <c r="B173" s="50">
        <v>44412</v>
      </c>
      <c r="C173" s="25">
        <v>22.15</v>
      </c>
    </row>
    <row r="174" spans="2:3" x14ac:dyDescent="0.3">
      <c r="B174" s="50">
        <v>44413</v>
      </c>
      <c r="C174" s="25">
        <v>21.049999</v>
      </c>
    </row>
    <row r="175" spans="2:3" x14ac:dyDescent="0.3">
      <c r="B175" s="50">
        <v>44414</v>
      </c>
      <c r="C175" s="25">
        <v>20.350000000000001</v>
      </c>
    </row>
    <row r="176" spans="2:3" x14ac:dyDescent="0.3">
      <c r="B176" s="50">
        <v>44417</v>
      </c>
      <c r="C176" s="25">
        <v>21</v>
      </c>
    </row>
    <row r="177" spans="2:3" x14ac:dyDescent="0.3">
      <c r="B177" s="50">
        <v>44418</v>
      </c>
      <c r="C177" s="25">
        <v>19.950001</v>
      </c>
    </row>
    <row r="178" spans="2:3" x14ac:dyDescent="0.3">
      <c r="B178" s="50">
        <v>44419</v>
      </c>
      <c r="C178" s="25">
        <v>19.549999</v>
      </c>
    </row>
    <row r="179" spans="2:3" x14ac:dyDescent="0.3">
      <c r="B179" s="50">
        <v>44420</v>
      </c>
      <c r="C179" s="25">
        <v>20.450001</v>
      </c>
    </row>
    <row r="180" spans="2:3" x14ac:dyDescent="0.3">
      <c r="B180" s="50">
        <v>44421</v>
      </c>
      <c r="C180" s="25">
        <v>21.450001</v>
      </c>
    </row>
    <row r="181" spans="2:3" x14ac:dyDescent="0.3">
      <c r="B181" s="50">
        <v>44424</v>
      </c>
      <c r="C181" s="25">
        <v>21.049999</v>
      </c>
    </row>
    <row r="182" spans="2:3" x14ac:dyDescent="0.3">
      <c r="B182" s="50">
        <v>44425</v>
      </c>
      <c r="C182" s="25">
        <v>20.549999</v>
      </c>
    </row>
    <row r="183" spans="2:3" x14ac:dyDescent="0.3">
      <c r="B183" s="50">
        <v>44426</v>
      </c>
      <c r="C183" s="25">
        <v>20.65</v>
      </c>
    </row>
    <row r="184" spans="2:3" x14ac:dyDescent="0.3">
      <c r="B184" s="50">
        <v>44428</v>
      </c>
      <c r="C184" s="25">
        <v>20.200001</v>
      </c>
    </row>
    <row r="185" spans="2:3" x14ac:dyDescent="0.3">
      <c r="B185" s="50">
        <v>44431</v>
      </c>
      <c r="C185" s="25">
        <v>19.5</v>
      </c>
    </row>
    <row r="186" spans="2:3" x14ac:dyDescent="0.3">
      <c r="B186" s="50">
        <v>44432</v>
      </c>
      <c r="C186" s="25">
        <v>20.450001</v>
      </c>
    </row>
    <row r="187" spans="2:3" x14ac:dyDescent="0.3">
      <c r="B187" s="50">
        <v>44433</v>
      </c>
      <c r="C187" s="25">
        <v>20.450001</v>
      </c>
    </row>
    <row r="188" spans="2:3" x14ac:dyDescent="0.3">
      <c r="B188" s="50">
        <v>44434</v>
      </c>
      <c r="C188" s="25">
        <v>20.350000000000001</v>
      </c>
    </row>
    <row r="189" spans="2:3" x14ac:dyDescent="0.3">
      <c r="B189" s="50">
        <v>44435</v>
      </c>
      <c r="C189" s="25">
        <v>20.149999999999999</v>
      </c>
    </row>
    <row r="190" spans="2:3" x14ac:dyDescent="0.3">
      <c r="B190" s="50">
        <v>44438</v>
      </c>
      <c r="C190" s="25">
        <v>20.200001</v>
      </c>
    </row>
    <row r="191" spans="2:3" x14ac:dyDescent="0.3">
      <c r="B191" s="50">
        <v>44439</v>
      </c>
      <c r="C191" s="25">
        <v>20.65</v>
      </c>
    </row>
    <row r="192" spans="2:3" x14ac:dyDescent="0.3">
      <c r="B192" s="50">
        <v>44440</v>
      </c>
      <c r="C192" s="25">
        <v>21.549999</v>
      </c>
    </row>
    <row r="193" spans="2:3" x14ac:dyDescent="0.3">
      <c r="B193" s="50">
        <v>44441</v>
      </c>
      <c r="C193" s="25">
        <v>22.6</v>
      </c>
    </row>
    <row r="194" spans="2:3" x14ac:dyDescent="0.3">
      <c r="B194" s="50">
        <v>44442</v>
      </c>
      <c r="C194" s="25">
        <v>23.700001</v>
      </c>
    </row>
    <row r="195" spans="2:3" x14ac:dyDescent="0.3">
      <c r="B195" s="50">
        <v>44445</v>
      </c>
      <c r="C195" s="25">
        <v>23.9</v>
      </c>
    </row>
    <row r="196" spans="2:3" x14ac:dyDescent="0.3">
      <c r="B196" s="50">
        <v>44446</v>
      </c>
      <c r="C196" s="25">
        <v>23.6</v>
      </c>
    </row>
    <row r="197" spans="2:3" x14ac:dyDescent="0.3">
      <c r="B197" s="50">
        <v>44447</v>
      </c>
      <c r="C197" s="25">
        <v>24.75</v>
      </c>
    </row>
    <row r="198" spans="2:3" x14ac:dyDescent="0.3">
      <c r="B198" s="50">
        <v>44448</v>
      </c>
      <c r="C198" s="25">
        <v>25.5</v>
      </c>
    </row>
    <row r="199" spans="2:3" x14ac:dyDescent="0.3">
      <c r="B199" s="50">
        <v>44452</v>
      </c>
      <c r="C199" s="25">
        <v>25.25</v>
      </c>
    </row>
    <row r="200" spans="2:3" x14ac:dyDescent="0.3">
      <c r="B200" s="50">
        <v>44453</v>
      </c>
      <c r="C200" s="25">
        <v>25.049999</v>
      </c>
    </row>
    <row r="201" spans="2:3" x14ac:dyDescent="0.3">
      <c r="B201" s="50">
        <v>44454</v>
      </c>
      <c r="C201" s="25">
        <v>24.6</v>
      </c>
    </row>
    <row r="202" spans="2:3" x14ac:dyDescent="0.3">
      <c r="B202" s="50">
        <v>44455</v>
      </c>
      <c r="C202" s="25">
        <v>24.6</v>
      </c>
    </row>
    <row r="203" spans="2:3" x14ac:dyDescent="0.3">
      <c r="B203" s="50">
        <v>44456</v>
      </c>
      <c r="C203" s="25">
        <v>23.75</v>
      </c>
    </row>
    <row r="204" spans="2:3" x14ac:dyDescent="0.3">
      <c r="B204" s="50">
        <v>44459</v>
      </c>
      <c r="C204" s="25">
        <v>24.1</v>
      </c>
    </row>
    <row r="205" spans="2:3" x14ac:dyDescent="0.3">
      <c r="B205" s="50">
        <v>44460</v>
      </c>
      <c r="C205" s="25">
        <v>23.9</v>
      </c>
    </row>
    <row r="206" spans="2:3" x14ac:dyDescent="0.3">
      <c r="B206" s="50">
        <v>44461</v>
      </c>
      <c r="C206" s="25">
        <v>23.950001</v>
      </c>
    </row>
    <row r="207" spans="2:3" x14ac:dyDescent="0.3">
      <c r="B207" s="50">
        <v>44462</v>
      </c>
      <c r="C207" s="25">
        <v>24.35</v>
      </c>
    </row>
    <row r="208" spans="2:3" x14ac:dyDescent="0.3">
      <c r="B208" s="50">
        <v>44463</v>
      </c>
      <c r="C208" s="25">
        <v>24.200001</v>
      </c>
    </row>
    <row r="209" spans="2:3" x14ac:dyDescent="0.3">
      <c r="B209" s="50">
        <v>44466</v>
      </c>
      <c r="C209" s="25">
        <v>24.549999</v>
      </c>
    </row>
    <row r="210" spans="2:3" x14ac:dyDescent="0.3">
      <c r="B210" s="50">
        <v>44467</v>
      </c>
      <c r="C210" s="25">
        <v>25.75</v>
      </c>
    </row>
    <row r="211" spans="2:3" x14ac:dyDescent="0.3">
      <c r="B211" s="50">
        <v>44468</v>
      </c>
      <c r="C211" s="25">
        <v>26.75</v>
      </c>
    </row>
    <row r="212" spans="2:3" x14ac:dyDescent="0.3">
      <c r="B212" s="50">
        <v>44469</v>
      </c>
      <c r="C212" s="25">
        <v>28</v>
      </c>
    </row>
    <row r="213" spans="2:3" x14ac:dyDescent="0.3">
      <c r="B213" s="50">
        <v>44470</v>
      </c>
      <c r="C213" s="25">
        <v>29.4</v>
      </c>
    </row>
    <row r="214" spans="2:3" x14ac:dyDescent="0.3">
      <c r="B214" s="50">
        <v>44473</v>
      </c>
      <c r="C214" s="25">
        <v>30.85</v>
      </c>
    </row>
    <row r="215" spans="2:3" x14ac:dyDescent="0.3">
      <c r="B215" s="50">
        <v>44474</v>
      </c>
      <c r="C215" s="25">
        <v>32.349997999999999</v>
      </c>
    </row>
    <row r="216" spans="2:3" x14ac:dyDescent="0.3">
      <c r="B216" s="50">
        <v>44475</v>
      </c>
      <c r="C216" s="25">
        <v>33.950001</v>
      </c>
    </row>
    <row r="217" spans="2:3" x14ac:dyDescent="0.3">
      <c r="B217" s="50">
        <v>44476</v>
      </c>
      <c r="C217" s="25">
        <v>32.400002000000001</v>
      </c>
    </row>
    <row r="218" spans="2:3" x14ac:dyDescent="0.3">
      <c r="B218" s="50">
        <v>44477</v>
      </c>
      <c r="C218" s="25">
        <v>34</v>
      </c>
    </row>
    <row r="219" spans="2:3" x14ac:dyDescent="0.3">
      <c r="B219" s="50">
        <v>44480</v>
      </c>
      <c r="C219" s="25">
        <v>35.700001</v>
      </c>
    </row>
    <row r="220" spans="2:3" x14ac:dyDescent="0.3">
      <c r="B220" s="50">
        <v>44481</v>
      </c>
      <c r="C220" s="25">
        <v>37.450001</v>
      </c>
    </row>
    <row r="221" spans="2:3" x14ac:dyDescent="0.3">
      <c r="B221" s="50">
        <v>44482</v>
      </c>
      <c r="C221" s="25">
        <v>39.299999</v>
      </c>
    </row>
    <row r="222" spans="2:3" x14ac:dyDescent="0.3">
      <c r="B222" s="50">
        <v>44483</v>
      </c>
      <c r="C222" s="25">
        <v>38.450001</v>
      </c>
    </row>
    <row r="223" spans="2:3" x14ac:dyDescent="0.3">
      <c r="B223" s="50">
        <v>44487</v>
      </c>
      <c r="C223" s="25">
        <v>40.349997999999999</v>
      </c>
    </row>
    <row r="224" spans="2:3" x14ac:dyDescent="0.3">
      <c r="B224" s="50">
        <v>44488</v>
      </c>
      <c r="C224" s="25">
        <v>41.849997999999999</v>
      </c>
    </row>
    <row r="225" spans="2:3" x14ac:dyDescent="0.3">
      <c r="B225" s="50">
        <v>44489</v>
      </c>
      <c r="C225" s="25">
        <v>40.200001</v>
      </c>
    </row>
    <row r="226" spans="2:3" x14ac:dyDescent="0.3">
      <c r="B226" s="50">
        <v>44490</v>
      </c>
      <c r="C226" s="25">
        <v>38.650002000000001</v>
      </c>
    </row>
    <row r="227" spans="2:3" x14ac:dyDescent="0.3">
      <c r="B227" s="50">
        <v>44491</v>
      </c>
      <c r="C227" s="25">
        <v>40.549999</v>
      </c>
    </row>
    <row r="228" spans="2:3" x14ac:dyDescent="0.3">
      <c r="B228" s="50">
        <v>44494</v>
      </c>
      <c r="C228" s="25">
        <v>39.650002000000001</v>
      </c>
    </row>
    <row r="229" spans="2:3" x14ac:dyDescent="0.3">
      <c r="B229" s="50">
        <v>44495</v>
      </c>
      <c r="C229" s="25">
        <v>39.900002000000001</v>
      </c>
    </row>
    <row r="230" spans="2:3" x14ac:dyDescent="0.3">
      <c r="B230" s="50">
        <v>44496</v>
      </c>
      <c r="C230" s="25">
        <v>39.25</v>
      </c>
    </row>
    <row r="231" spans="2:3" x14ac:dyDescent="0.3">
      <c r="B231" s="50">
        <v>44497</v>
      </c>
      <c r="C231" s="25">
        <v>37.650002000000001</v>
      </c>
    </row>
    <row r="232" spans="2:3" x14ac:dyDescent="0.3">
      <c r="B232" s="50">
        <v>44498</v>
      </c>
      <c r="C232" s="25">
        <v>37.950001</v>
      </c>
    </row>
    <row r="233" spans="2:3" x14ac:dyDescent="0.3">
      <c r="B233" s="50">
        <v>44501</v>
      </c>
      <c r="C233" s="25">
        <v>39.799999</v>
      </c>
    </row>
    <row r="234" spans="2:3" x14ac:dyDescent="0.3">
      <c r="B234" s="50">
        <v>44502</v>
      </c>
      <c r="C234" s="25">
        <v>40.099997999999999</v>
      </c>
    </row>
    <row r="235" spans="2:3" x14ac:dyDescent="0.3">
      <c r="B235" s="50">
        <v>44503</v>
      </c>
      <c r="C235" s="25">
        <v>38.599997999999999</v>
      </c>
    </row>
    <row r="236" spans="2:3" x14ac:dyDescent="0.3">
      <c r="B236" s="50">
        <v>44504</v>
      </c>
      <c r="C236" s="25">
        <v>39.700001</v>
      </c>
    </row>
    <row r="237" spans="2:3" x14ac:dyDescent="0.3">
      <c r="B237" s="50">
        <v>44508</v>
      </c>
      <c r="C237" s="25">
        <v>39.849997999999999</v>
      </c>
    </row>
    <row r="238" spans="2:3" x14ac:dyDescent="0.3">
      <c r="B238" s="50">
        <v>44509</v>
      </c>
      <c r="C238" s="25">
        <v>40.150002000000001</v>
      </c>
    </row>
    <row r="239" spans="2:3" x14ac:dyDescent="0.3">
      <c r="B239" s="50">
        <v>44510</v>
      </c>
      <c r="C239" s="25">
        <v>39.950001</v>
      </c>
    </row>
    <row r="240" spans="2:3" x14ac:dyDescent="0.3">
      <c r="B240" s="50">
        <v>44511</v>
      </c>
      <c r="C240" s="25">
        <v>39.650002000000001</v>
      </c>
    </row>
    <row r="241" spans="2:3" x14ac:dyDescent="0.3">
      <c r="B241" s="50">
        <v>44512</v>
      </c>
      <c r="C241" s="25">
        <v>39.650002000000001</v>
      </c>
    </row>
    <row r="242" spans="2:3" x14ac:dyDescent="0.3">
      <c r="B242" s="50">
        <v>44515</v>
      </c>
      <c r="C242" s="25">
        <v>39.049999</v>
      </c>
    </row>
    <row r="243" spans="2:3" x14ac:dyDescent="0.3">
      <c r="B243" s="50">
        <v>44516</v>
      </c>
      <c r="C243" s="25">
        <v>41</v>
      </c>
    </row>
    <row r="244" spans="2:3" x14ac:dyDescent="0.3">
      <c r="B244" s="50">
        <v>44517</v>
      </c>
      <c r="C244" s="25">
        <v>43.049999</v>
      </c>
    </row>
    <row r="245" spans="2:3" x14ac:dyDescent="0.3">
      <c r="B245" s="50">
        <v>44518</v>
      </c>
      <c r="C245" s="25">
        <v>45.200001</v>
      </c>
    </row>
    <row r="246" spans="2:3" x14ac:dyDescent="0.3">
      <c r="B246" s="50">
        <v>44522</v>
      </c>
      <c r="C246" s="25">
        <v>47.450001</v>
      </c>
    </row>
    <row r="247" spans="2:3" x14ac:dyDescent="0.3">
      <c r="B247" s="50">
        <v>44523</v>
      </c>
      <c r="C247" s="25">
        <v>49.799999</v>
      </c>
    </row>
    <row r="248" spans="2:3" x14ac:dyDescent="0.3">
      <c r="B248" s="50">
        <v>44524</v>
      </c>
      <c r="C248" s="25">
        <v>52.25</v>
      </c>
    </row>
    <row r="249" spans="2:3" x14ac:dyDescent="0.3">
      <c r="B249" s="50">
        <v>44525</v>
      </c>
      <c r="C249" s="25">
        <v>54.849997999999999</v>
      </c>
    </row>
    <row r="250" spans="2:3" x14ac:dyDescent="0.3">
      <c r="B250" s="50">
        <v>44526</v>
      </c>
      <c r="C250" s="25">
        <v>57.549999</v>
      </c>
    </row>
    <row r="251" spans="2:3" x14ac:dyDescent="0.3">
      <c r="B251" s="50">
        <v>44529</v>
      </c>
      <c r="C251" s="25">
        <v>54.700001</v>
      </c>
    </row>
    <row r="252" spans="2:3" x14ac:dyDescent="0.3">
      <c r="B252" s="50">
        <v>44530</v>
      </c>
      <c r="C252" s="25">
        <v>52</v>
      </c>
    </row>
    <row r="253" spans="2:3" x14ac:dyDescent="0.3">
      <c r="B253" s="50">
        <v>44531</v>
      </c>
      <c r="C253" s="25">
        <v>49.400002000000001</v>
      </c>
    </row>
    <row r="254" spans="2:3" x14ac:dyDescent="0.3">
      <c r="B254" s="50">
        <v>44532</v>
      </c>
      <c r="C254" s="25">
        <v>46.950001</v>
      </c>
    </row>
    <row r="255" spans="2:3" x14ac:dyDescent="0.3">
      <c r="B255" s="50">
        <v>44533</v>
      </c>
      <c r="C255" s="25">
        <v>44.650002000000001</v>
      </c>
    </row>
    <row r="256" spans="2:3" x14ac:dyDescent="0.3">
      <c r="B256" s="50">
        <v>44536</v>
      </c>
      <c r="C256" s="25">
        <v>46.849997999999999</v>
      </c>
    </row>
    <row r="257" spans="2:3" x14ac:dyDescent="0.3">
      <c r="B257" s="50">
        <v>44537</v>
      </c>
      <c r="C257" s="25">
        <v>49.150002000000001</v>
      </c>
    </row>
    <row r="258" spans="2:3" x14ac:dyDescent="0.3">
      <c r="B258" s="50">
        <v>44538</v>
      </c>
      <c r="C258" s="25">
        <v>51.599997999999999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J16"/>
  <sheetViews>
    <sheetView showGridLines="0" zoomScale="90" zoomScaleNormal="90" workbookViewId="0">
      <selection activeCell="N1" sqref="N1"/>
    </sheetView>
  </sheetViews>
  <sheetFormatPr defaultRowHeight="14.4" x14ac:dyDescent="0.3"/>
  <cols>
    <col min="1" max="1" width="4" customWidth="1"/>
    <col min="2" max="2" width="89.109375" customWidth="1"/>
    <col min="3" max="3" width="22.109375" customWidth="1"/>
    <col min="6" max="6" width="14.109375" customWidth="1"/>
    <col min="14" max="14" width="17" customWidth="1"/>
  </cols>
  <sheetData>
    <row r="1" spans="2:36" ht="21" customHeight="1" x14ac:dyDescent="0.4">
      <c r="B1" s="3" t="s">
        <v>225</v>
      </c>
      <c r="C1" s="126" t="s">
        <v>245</v>
      </c>
      <c r="D1" s="129">
        <v>39.700000000000003</v>
      </c>
      <c r="E1" s="3"/>
      <c r="F1" s="3"/>
      <c r="G1" s="3"/>
      <c r="H1" s="3"/>
      <c r="I1" s="3"/>
      <c r="J1" s="3"/>
      <c r="K1" s="3"/>
      <c r="L1" s="3"/>
      <c r="M1" s="3"/>
      <c r="N1" s="3"/>
      <c r="O1" s="3"/>
      <c r="P1" s="3"/>
      <c r="Q1" s="3"/>
      <c r="R1" s="3"/>
      <c r="S1" s="3"/>
      <c r="T1" s="3"/>
      <c r="U1" s="3"/>
      <c r="V1" s="3"/>
      <c r="W1" s="3"/>
    </row>
    <row r="2" spans="2:36" x14ac:dyDescent="0.3">
      <c r="B2" s="4"/>
      <c r="C2" s="2"/>
      <c r="D2" s="2"/>
      <c r="E2" s="2"/>
      <c r="F2" s="2"/>
      <c r="G2" s="2"/>
      <c r="H2" s="2"/>
      <c r="I2" s="2"/>
      <c r="J2" s="2"/>
      <c r="K2" s="2"/>
      <c r="L2" s="2"/>
      <c r="M2" s="2"/>
      <c r="N2" s="2"/>
      <c r="O2" s="2"/>
      <c r="P2" s="2"/>
      <c r="Q2" s="2"/>
      <c r="R2" s="2"/>
      <c r="S2" s="17"/>
      <c r="T2" s="17"/>
      <c r="U2" s="17"/>
      <c r="V2" s="17"/>
      <c r="W2" s="17"/>
    </row>
    <row r="4" spans="2:36" x14ac:dyDescent="0.3">
      <c r="B4" s="21" t="s">
        <v>224</v>
      </c>
    </row>
    <row r="6" spans="2:36" ht="15.6" x14ac:dyDescent="0.3">
      <c r="C6" s="134" t="s">
        <v>246</v>
      </c>
      <c r="D6" s="135"/>
      <c r="E6" s="135"/>
      <c r="F6" s="135"/>
      <c r="G6" s="135"/>
      <c r="H6" s="135"/>
      <c r="I6" s="135"/>
      <c r="J6" s="135"/>
      <c r="K6" s="135"/>
    </row>
    <row r="8" spans="2:36" ht="15.6" x14ac:dyDescent="0.3">
      <c r="U8" s="13"/>
      <c r="AD8" s="119" t="s">
        <v>240</v>
      </c>
      <c r="AE8" s="13"/>
      <c r="AF8" s="13"/>
      <c r="AG8" s="119" t="s">
        <v>241</v>
      </c>
      <c r="AH8" s="119"/>
      <c r="AI8" s="119" t="s">
        <v>242</v>
      </c>
      <c r="AJ8" s="119"/>
    </row>
    <row r="9" spans="2:36" ht="15.6" x14ac:dyDescent="0.3">
      <c r="F9" s="120"/>
      <c r="G9" s="121"/>
      <c r="H9" s="121"/>
      <c r="I9" s="121"/>
      <c r="J9" s="121"/>
      <c r="K9" s="121"/>
      <c r="L9" s="37"/>
      <c r="U9" s="13"/>
      <c r="AD9" s="13"/>
      <c r="AE9" s="122" t="s">
        <v>226</v>
      </c>
      <c r="AF9" s="122" t="s">
        <v>227</v>
      </c>
      <c r="AG9" s="122" t="s">
        <v>243</v>
      </c>
      <c r="AH9" s="122" t="s">
        <v>244</v>
      </c>
      <c r="AI9" s="122" t="str">
        <f>AG9</f>
        <v>X</v>
      </c>
      <c r="AJ9" s="122" t="str">
        <f>AH9</f>
        <v>Y</v>
      </c>
    </row>
    <row r="10" spans="2:36" ht="15.6" x14ac:dyDescent="0.3">
      <c r="U10" s="13"/>
      <c r="V10" s="119"/>
      <c r="AD10" s="133" t="s">
        <v>239</v>
      </c>
      <c r="AE10" s="127">
        <f>'Share Price'!D7</f>
        <v>8.65</v>
      </c>
      <c r="AF10" s="127">
        <f>'Share Price'!D6</f>
        <v>57.549999</v>
      </c>
      <c r="AG10" s="127">
        <f>D1</f>
        <v>39.700000000000003</v>
      </c>
      <c r="AH10" s="127">
        <v>0</v>
      </c>
      <c r="AI10" s="127">
        <f>AVERAGE(AE12:AF14)</f>
        <v>55.189107669631085</v>
      </c>
      <c r="AJ10" s="127">
        <f>AH10</f>
        <v>0</v>
      </c>
    </row>
    <row r="11" spans="2:36" ht="15.6" x14ac:dyDescent="0.3">
      <c r="U11" s="13"/>
      <c r="V11" s="122"/>
      <c r="AD11" s="133" t="s">
        <v>212</v>
      </c>
      <c r="AE11" s="127">
        <f>'Relative Valuation'!H27</f>
        <v>11.97546277954569</v>
      </c>
      <c r="AF11" s="127">
        <f>'Relative Valuation'!H25</f>
        <v>82.680892787491118</v>
      </c>
      <c r="AG11" s="127">
        <f>AG10</f>
        <v>39.700000000000003</v>
      </c>
      <c r="AH11" s="127">
        <f>COUNT(AE10:AE14)</f>
        <v>4</v>
      </c>
      <c r="AI11" s="127">
        <f>AI10</f>
        <v>55.189107669631085</v>
      </c>
      <c r="AJ11" s="127">
        <f>AH11</f>
        <v>4</v>
      </c>
    </row>
    <row r="12" spans="2:36" ht="15.6" x14ac:dyDescent="0.3">
      <c r="U12" s="13"/>
      <c r="V12" s="127"/>
      <c r="AD12" s="133" t="s">
        <v>210</v>
      </c>
      <c r="AE12" s="128">
        <f>'Relative Valuation'!H22</f>
        <v>14.925549450549473</v>
      </c>
      <c r="AF12" s="128">
        <f>'Relative Valuation'!H20</f>
        <v>84.668571428571553</v>
      </c>
      <c r="AG12" s="123"/>
      <c r="AH12" s="123"/>
      <c r="AI12" s="123"/>
      <c r="AJ12" s="123"/>
    </row>
    <row r="13" spans="2:36" ht="15.6" x14ac:dyDescent="0.3">
      <c r="U13" s="13"/>
      <c r="V13" s="127"/>
      <c r="AD13" s="133" t="s">
        <v>228</v>
      </c>
      <c r="AE13" s="128">
        <v>48.940168179202111</v>
      </c>
      <c r="AF13" s="128">
        <v>72.222141620201214</v>
      </c>
      <c r="AG13" s="123"/>
      <c r="AH13" s="124"/>
      <c r="AI13" s="123"/>
      <c r="AJ13" s="123"/>
    </row>
    <row r="14" spans="2:36" ht="15.6" x14ac:dyDescent="0.3">
      <c r="U14" s="13"/>
      <c r="V14" s="125"/>
      <c r="AD14" s="119"/>
      <c r="AE14" s="130"/>
      <c r="AF14" s="130"/>
      <c r="AG14" s="123"/>
      <c r="AH14" s="131"/>
      <c r="AI14" s="123"/>
      <c r="AJ14" s="123"/>
    </row>
    <row r="15" spans="2:36" ht="15.6" x14ac:dyDescent="0.3">
      <c r="N15" s="119"/>
      <c r="O15" s="128"/>
      <c r="P15" s="128"/>
      <c r="Q15" s="128"/>
      <c r="R15" s="128"/>
      <c r="S15" s="125"/>
      <c r="T15" s="132"/>
      <c r="U15" s="125"/>
      <c r="V15" s="125"/>
    </row>
    <row r="16" spans="2:36" ht="15.6" x14ac:dyDescent="0.3">
      <c r="F16" s="37"/>
      <c r="G16" s="37"/>
      <c r="H16" s="37"/>
      <c r="I16" s="125"/>
      <c r="J16" s="125"/>
      <c r="K16" s="125"/>
      <c r="L16" s="12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7"/>
  <sheetViews>
    <sheetView showGridLines="0" zoomScale="90" zoomScaleNormal="90" workbookViewId="0">
      <selection activeCell="C1" sqref="C1"/>
    </sheetView>
  </sheetViews>
  <sheetFormatPr defaultColWidth="9.109375" defaultRowHeight="14.4" x14ac:dyDescent="0.3"/>
  <cols>
    <col min="1" max="1" width="4.44140625" style="1" customWidth="1"/>
    <col min="2" max="2" width="44.88671875" style="1" customWidth="1"/>
    <col min="3" max="3" width="9.109375" style="1"/>
    <col min="4" max="4" width="12.6640625" style="1" bestFit="1" customWidth="1"/>
    <col min="5" max="8" width="10" style="1" bestFit="1" customWidth="1"/>
    <col min="9" max="9" width="9.109375" style="1"/>
    <col min="10" max="14" width="12.6640625" style="1" customWidth="1"/>
    <col min="15" max="16384" width="9.109375" style="1"/>
  </cols>
  <sheetData>
    <row r="1" spans="2:16" ht="21" x14ac:dyDescent="0.4">
      <c r="B1" s="3" t="s">
        <v>0</v>
      </c>
      <c r="C1" s="2"/>
      <c r="D1" s="2"/>
      <c r="E1" s="2"/>
      <c r="F1" s="2"/>
      <c r="G1" s="2"/>
      <c r="H1" s="2"/>
      <c r="I1" s="2"/>
      <c r="J1" s="2"/>
      <c r="K1" s="2"/>
      <c r="L1" s="2"/>
      <c r="M1" s="2"/>
      <c r="N1" s="2"/>
      <c r="O1" s="2"/>
      <c r="P1" s="2"/>
    </row>
    <row r="2" spans="2:16" x14ac:dyDescent="0.3">
      <c r="B2" s="4" t="s">
        <v>1</v>
      </c>
      <c r="C2" s="2"/>
      <c r="D2" s="2"/>
      <c r="E2" s="2"/>
      <c r="F2" s="2"/>
      <c r="G2" s="2"/>
      <c r="H2" s="2"/>
      <c r="I2" s="2"/>
      <c r="J2" s="2"/>
      <c r="K2" s="2"/>
      <c r="L2" s="2"/>
      <c r="M2" s="2"/>
      <c r="N2" s="2"/>
      <c r="O2" s="2"/>
      <c r="P2" s="2"/>
    </row>
    <row r="5" spans="2:16" x14ac:dyDescent="0.3">
      <c r="D5" s="253" t="s">
        <v>2</v>
      </c>
      <c r="E5" s="253"/>
      <c r="F5" s="253"/>
      <c r="G5" s="253"/>
      <c r="H5" s="253"/>
      <c r="J5" s="254" t="s">
        <v>3</v>
      </c>
      <c r="K5" s="254"/>
      <c r="L5" s="254"/>
      <c r="M5" s="254"/>
      <c r="N5" s="254"/>
    </row>
    <row r="6" spans="2:16" x14ac:dyDescent="0.3">
      <c r="B6" s="115" t="s">
        <v>4</v>
      </c>
      <c r="D6" s="6">
        <v>2017</v>
      </c>
      <c r="E6" s="6">
        <f>D6+1</f>
        <v>2018</v>
      </c>
      <c r="F6" s="6">
        <f>E6+1</f>
        <v>2019</v>
      </c>
      <c r="G6" s="6">
        <f>F6+1</f>
        <v>2020</v>
      </c>
      <c r="H6" s="6">
        <f>G6+1</f>
        <v>2021</v>
      </c>
      <c r="J6" s="8">
        <v>2022</v>
      </c>
      <c r="K6" s="8">
        <f>J6+1</f>
        <v>2023</v>
      </c>
      <c r="L6" s="8">
        <f>K6+1</f>
        <v>2024</v>
      </c>
      <c r="M6" s="8">
        <f>L6+1</f>
        <v>2025</v>
      </c>
      <c r="N6" s="8">
        <f>M6+1</f>
        <v>2026</v>
      </c>
    </row>
    <row r="8" spans="2:16" x14ac:dyDescent="0.3">
      <c r="B8" s="68" t="s">
        <v>5</v>
      </c>
      <c r="D8" s="137">
        <v>46667.6</v>
      </c>
      <c r="E8" s="137">
        <v>45783</v>
      </c>
      <c r="F8" s="137">
        <v>52195.199999999997</v>
      </c>
      <c r="G8" s="137">
        <v>46994.6</v>
      </c>
      <c r="H8" s="137">
        <v>45192.9</v>
      </c>
      <c r="J8" s="141">
        <f>H8*(1+Assumptions!E24)</f>
        <v>48356.403000000006</v>
      </c>
      <c r="K8" s="141">
        <f>J8*(1+Assumptions!F24)</f>
        <v>51639.802763700012</v>
      </c>
      <c r="L8" s="141">
        <f>K8*(1+Assumptions!G24)</f>
        <v>55040.955093125587</v>
      </c>
      <c r="M8" s="141">
        <f>L8*(1+Assumptions!H24)</f>
        <v>58557.362645665162</v>
      </c>
      <c r="N8" s="141">
        <f>M8*(1+Assumptions!I24)</f>
        <v>62186.191494259067</v>
      </c>
    </row>
    <row r="9" spans="2:16" x14ac:dyDescent="0.3">
      <c r="B9" s="68" t="s">
        <v>6</v>
      </c>
      <c r="D9" s="137">
        <v>22262.9</v>
      </c>
      <c r="E9" s="137">
        <v>22816.6</v>
      </c>
      <c r="F9" s="137">
        <v>24277.599999999999</v>
      </c>
      <c r="G9" s="137">
        <v>21413.9</v>
      </c>
      <c r="H9" s="137">
        <v>20252.8</v>
      </c>
      <c r="J9" s="142">
        <f>J8*Assumptions!E31</f>
        <v>22672.924255889306</v>
      </c>
      <c r="K9" s="142">
        <f>K8*Assumptions!F31</f>
        <v>24212.415812864194</v>
      </c>
      <c r="L9" s="142">
        <f>L8*Assumptions!G31</f>
        <v>25807.118155546868</v>
      </c>
      <c r="M9" s="142">
        <f>M8*Assumptions!H31</f>
        <v>27455.860351933286</v>
      </c>
      <c r="N9" s="142">
        <f>N8*Assumptions!I31</f>
        <v>29157.313655268434</v>
      </c>
    </row>
    <row r="10" spans="2:16" x14ac:dyDescent="0.3">
      <c r="B10" s="147" t="s">
        <v>7</v>
      </c>
      <c r="C10" s="11"/>
      <c r="D10" s="138">
        <v>24404.699999999997</v>
      </c>
      <c r="E10" s="138">
        <v>22966.400000000001</v>
      </c>
      <c r="F10" s="138">
        <v>27917.599999999999</v>
      </c>
      <c r="G10" s="138">
        <v>25580.699999999997</v>
      </c>
      <c r="H10" s="138">
        <v>24940.100000000002</v>
      </c>
      <c r="I10" s="11"/>
      <c r="J10" s="143">
        <f>J8-J9</f>
        <v>25683.4787441107</v>
      </c>
      <c r="K10" s="143">
        <f>K8-K9</f>
        <v>27427.386950835818</v>
      </c>
      <c r="L10" s="143">
        <f>L8-L9</f>
        <v>29233.836937578719</v>
      </c>
      <c r="M10" s="143">
        <f>M8-M9</f>
        <v>31101.502293731875</v>
      </c>
      <c r="N10" s="143">
        <f>N8-N9</f>
        <v>33028.877838990637</v>
      </c>
    </row>
    <row r="11" spans="2:16" x14ac:dyDescent="0.3">
      <c r="B11" s="148" t="s">
        <v>8</v>
      </c>
      <c r="D11" s="137">
        <v>5763.8</v>
      </c>
      <c r="E11" s="137">
        <v>5057.5</v>
      </c>
      <c r="F11" s="137">
        <v>5923</v>
      </c>
      <c r="G11" s="137">
        <v>5831.3</v>
      </c>
      <c r="H11" s="137">
        <v>5775.4</v>
      </c>
      <c r="J11" s="142">
        <f>J$8*Assumptions!$J$9</f>
        <v>5796.2987002660348</v>
      </c>
      <c r="K11" s="142">
        <f>K$8*Assumptions!$J$9</f>
        <v>6189.8673820140993</v>
      </c>
      <c r="L11" s="142">
        <f>L$8*Assumptions!$J$9</f>
        <v>6597.5506173956937</v>
      </c>
      <c r="M11" s="142">
        <f>M$8*Assumptions!$J$9</f>
        <v>7019.04905941982</v>
      </c>
      <c r="N11" s="142">
        <f>N$8*Assumptions!$J$9</f>
        <v>7454.0230159937355</v>
      </c>
    </row>
    <row r="12" spans="2:16" x14ac:dyDescent="0.3">
      <c r="B12" s="148" t="s">
        <v>9</v>
      </c>
      <c r="D12" s="137">
        <v>9783</v>
      </c>
      <c r="E12" s="137">
        <v>9389</v>
      </c>
      <c r="F12" s="137">
        <v>12221.2</v>
      </c>
      <c r="G12" s="137">
        <v>11341.2</v>
      </c>
      <c r="H12" s="137">
        <v>11055</v>
      </c>
      <c r="J12" s="142">
        <f>J8*Assumptions!$J$10</f>
        <v>10974.966351821424</v>
      </c>
      <c r="K12" s="142">
        <f>K8*Assumptions!$J$10</f>
        <v>11720.1665671101</v>
      </c>
      <c r="L12" s="142">
        <f>L8*Assumptions!$J$10</f>
        <v>12492.091897719672</v>
      </c>
      <c r="M12" s="142">
        <f>M8*Assumptions!$J$10</f>
        <v>13290.175546919398</v>
      </c>
      <c r="N12" s="142">
        <f>N8*Assumptions!$J$10</f>
        <v>14113.774326792189</v>
      </c>
    </row>
    <row r="13" spans="2:16" x14ac:dyDescent="0.3">
      <c r="B13" s="148" t="s">
        <v>10</v>
      </c>
      <c r="D13" s="137">
        <v>1061.3</v>
      </c>
      <c r="E13" s="137">
        <v>620.4</v>
      </c>
      <c r="F13" s="137">
        <v>457.5</v>
      </c>
      <c r="G13" s="137">
        <v>244.9</v>
      </c>
      <c r="H13" s="137">
        <v>160.19999999999999</v>
      </c>
      <c r="J13" s="142">
        <f>J8*Assumptions!$J$7</f>
        <v>520.44821298725321</v>
      </c>
      <c r="K13" s="142">
        <f>K8*Assumptions!$J$7</f>
        <v>555.78664664908774</v>
      </c>
      <c r="L13" s="142">
        <f>L8*Assumptions!$J$7</f>
        <v>592.39242255733666</v>
      </c>
      <c r="M13" s="142">
        <f>M8*Assumptions!$J$7</f>
        <v>630.23866242042368</v>
      </c>
      <c r="N13" s="142">
        <f>N8*Assumptions!$J$7</f>
        <v>669.29486537016112</v>
      </c>
    </row>
    <row r="14" spans="2:16" x14ac:dyDescent="0.3">
      <c r="B14" s="147" t="s">
        <v>11</v>
      </c>
      <c r="C14" s="11"/>
      <c r="D14" s="138">
        <v>9919.1999999999971</v>
      </c>
      <c r="E14" s="138">
        <v>9140.3000000000011</v>
      </c>
      <c r="F14" s="138">
        <v>10230.899999999998</v>
      </c>
      <c r="G14" s="138">
        <v>8653.0999999999967</v>
      </c>
      <c r="H14" s="138">
        <v>8269.9000000000051</v>
      </c>
      <c r="I14" s="11"/>
      <c r="J14" s="143">
        <f>J10+J13-J11-J12</f>
        <v>9432.6619050104946</v>
      </c>
      <c r="K14" s="143">
        <f>K10+K13-K11-K12</f>
        <v>10073.13964836071</v>
      </c>
      <c r="L14" s="143">
        <f>L10+L13-L11-L12</f>
        <v>10736.586845020689</v>
      </c>
      <c r="M14" s="143">
        <f>M10+M13-M11-M12</f>
        <v>11422.516349813081</v>
      </c>
      <c r="N14" s="143">
        <f>N10+N13-N11-N12</f>
        <v>12130.375361574874</v>
      </c>
    </row>
    <row r="15" spans="2:16" ht="15.6" x14ac:dyDescent="0.3">
      <c r="B15" s="149" t="s">
        <v>12</v>
      </c>
      <c r="D15" s="137">
        <v>4124.1000000000004</v>
      </c>
      <c r="E15" s="137">
        <v>4040.3</v>
      </c>
      <c r="F15" s="137">
        <v>3639.1</v>
      </c>
      <c r="G15" s="137">
        <v>3333</v>
      </c>
      <c r="H15" s="137">
        <v>3364.6</v>
      </c>
      <c r="J15" s="144">
        <f>Schedules!I7</f>
        <v>3785.3760236643534</v>
      </c>
      <c r="K15" s="144">
        <f>Schedules!J7</f>
        <v>3689.1118744484693</v>
      </c>
      <c r="L15" s="144">
        <f>Schedules!K7</f>
        <v>3619.5574485591428</v>
      </c>
      <c r="M15" s="144">
        <f>Schedules!L7</f>
        <v>3574.7514708356484</v>
      </c>
      <c r="N15" s="144">
        <f>Schedules!M7</f>
        <v>3552.9056506079796</v>
      </c>
    </row>
    <row r="16" spans="2:16" ht="15.6" x14ac:dyDescent="0.3">
      <c r="B16" s="246" t="s">
        <v>130</v>
      </c>
      <c r="C16" s="11"/>
      <c r="D16" s="247">
        <f>D14-D15</f>
        <v>5795.0999999999967</v>
      </c>
      <c r="E16" s="247">
        <f t="shared" ref="E16:H16" si="0">E14-E15</f>
        <v>5100.0000000000009</v>
      </c>
      <c r="F16" s="247">
        <f t="shared" si="0"/>
        <v>6591.7999999999975</v>
      </c>
      <c r="G16" s="247">
        <f t="shared" si="0"/>
        <v>5320.0999999999967</v>
      </c>
      <c r="H16" s="247">
        <f t="shared" si="0"/>
        <v>4905.3000000000047</v>
      </c>
      <c r="I16" s="11"/>
      <c r="J16" s="248">
        <f>J14-J15</f>
        <v>5647.2858813461407</v>
      </c>
      <c r="K16" s="248">
        <f t="shared" ref="K16" si="1">K14-K15</f>
        <v>6384.0277739122403</v>
      </c>
      <c r="L16" s="248">
        <f t="shared" ref="L16" si="2">L14-L15</f>
        <v>7117.0293964615466</v>
      </c>
      <c r="M16" s="248">
        <f t="shared" ref="M16" si="3">M14-M15</f>
        <v>7847.7648789774321</v>
      </c>
      <c r="N16" s="248">
        <f t="shared" ref="N16" si="4">N14-N15</f>
        <v>8577.4697109668941</v>
      </c>
    </row>
    <row r="17" spans="2:14" x14ac:dyDescent="0.3">
      <c r="B17" s="148" t="s">
        <v>13</v>
      </c>
      <c r="D17" s="137">
        <v>1410.1</v>
      </c>
      <c r="E17" s="137">
        <v>1182.0999999999999</v>
      </c>
      <c r="F17" s="137">
        <v>1122.5999999999999</v>
      </c>
      <c r="G17" s="137">
        <v>1108</v>
      </c>
      <c r="H17" s="137">
        <v>720</v>
      </c>
      <c r="J17" s="144">
        <f>Schedules!I18</f>
        <v>815.46563785655394</v>
      </c>
      <c r="K17" s="144">
        <f>Schedules!J18</f>
        <v>815.46563785655394</v>
      </c>
      <c r="L17" s="144">
        <f>Schedules!K18</f>
        <v>815.46563785655394</v>
      </c>
      <c r="M17" s="144">
        <f>Schedules!L18</f>
        <v>815.46563785655394</v>
      </c>
      <c r="N17" s="144">
        <f>Schedules!M18</f>
        <v>815.46563785655394</v>
      </c>
    </row>
    <row r="18" spans="2:14" x14ac:dyDescent="0.3">
      <c r="B18" s="148" t="s">
        <v>14</v>
      </c>
      <c r="D18" s="137">
        <v>0</v>
      </c>
      <c r="E18" s="137">
        <v>0</v>
      </c>
      <c r="F18" s="137">
        <v>0</v>
      </c>
      <c r="G18" s="137">
        <v>0</v>
      </c>
      <c r="H18" s="137">
        <v>266.10000000000002</v>
      </c>
      <c r="J18" s="142">
        <f>H18</f>
        <v>266.10000000000002</v>
      </c>
      <c r="K18" s="142">
        <f>J18</f>
        <v>266.10000000000002</v>
      </c>
      <c r="L18" s="142">
        <f>K18</f>
        <v>266.10000000000002</v>
      </c>
      <c r="M18" s="142">
        <f>L18</f>
        <v>266.10000000000002</v>
      </c>
      <c r="N18" s="142">
        <f>M18</f>
        <v>266.10000000000002</v>
      </c>
    </row>
    <row r="19" spans="2:14" x14ac:dyDescent="0.3">
      <c r="B19" s="150" t="s">
        <v>15</v>
      </c>
      <c r="C19" s="11"/>
      <c r="D19" s="138">
        <f>D16-D17</f>
        <v>4384.9999999999964</v>
      </c>
      <c r="E19" s="138">
        <f t="shared" ref="E19:H19" si="5">E16-E17</f>
        <v>3917.900000000001</v>
      </c>
      <c r="F19" s="138">
        <f t="shared" si="5"/>
        <v>5469.1999999999971</v>
      </c>
      <c r="G19" s="138">
        <f t="shared" si="5"/>
        <v>4212.0999999999967</v>
      </c>
      <c r="H19" s="138">
        <f t="shared" si="5"/>
        <v>4185.3000000000047</v>
      </c>
      <c r="I19" s="11"/>
      <c r="J19" s="143">
        <f>J16-J17-J18</f>
        <v>4565.7202434895862</v>
      </c>
      <c r="K19" s="143">
        <f t="shared" ref="K19:N19" si="6">K16-K17-K18</f>
        <v>5302.4621360556857</v>
      </c>
      <c r="L19" s="143">
        <f t="shared" si="6"/>
        <v>6035.4637586049921</v>
      </c>
      <c r="M19" s="143">
        <f t="shared" si="6"/>
        <v>6766.1992411208776</v>
      </c>
      <c r="N19" s="143">
        <f t="shared" si="6"/>
        <v>7495.9040731103396</v>
      </c>
    </row>
    <row r="20" spans="2:14" x14ac:dyDescent="0.3">
      <c r="B20" s="151"/>
      <c r="D20" s="139"/>
      <c r="E20" s="139"/>
      <c r="F20" s="139"/>
      <c r="G20" s="139"/>
      <c r="H20" s="139"/>
      <c r="J20" s="145"/>
      <c r="K20" s="145"/>
      <c r="L20" s="145"/>
      <c r="M20" s="145"/>
      <c r="N20" s="145"/>
    </row>
    <row r="21" spans="2:14" x14ac:dyDescent="0.3">
      <c r="B21" s="68" t="s">
        <v>16</v>
      </c>
      <c r="D21" s="137">
        <v>1015.1999999999999</v>
      </c>
      <c r="E21" s="137">
        <v>1259.3</v>
      </c>
      <c r="F21" s="137">
        <v>1760</v>
      </c>
      <c r="G21" s="137">
        <v>794.09999999999991</v>
      </c>
      <c r="H21" s="137">
        <v>994.09999999999991</v>
      </c>
      <c r="J21" s="142">
        <f>J19*Assumptions!$J$11</f>
        <v>1187.8094742881865</v>
      </c>
      <c r="K21" s="142">
        <f>K19*Assumptions!$J$11</f>
        <v>1379.4789050516831</v>
      </c>
      <c r="L21" s="142">
        <f>L19*Assumptions!$J$11</f>
        <v>1570.1752739705171</v>
      </c>
      <c r="M21" s="142">
        <f>M19*Assumptions!$J$11</f>
        <v>1760.2820880199745</v>
      </c>
      <c r="N21" s="142">
        <f>N19*Assumptions!$J$11</f>
        <v>1950.1207699030533</v>
      </c>
    </row>
    <row r="22" spans="2:14" x14ac:dyDescent="0.3">
      <c r="B22" s="151"/>
      <c r="D22" s="139"/>
      <c r="E22" s="139"/>
      <c r="F22" s="139"/>
      <c r="G22" s="139"/>
      <c r="H22" s="139"/>
      <c r="J22" s="145"/>
      <c r="K22" s="145"/>
      <c r="L22" s="145"/>
      <c r="M22" s="145"/>
      <c r="N22" s="145"/>
    </row>
    <row r="23" spans="2:14" ht="15" thickBot="1" x14ac:dyDescent="0.35">
      <c r="B23" s="152" t="s">
        <v>17</v>
      </c>
      <c r="C23" s="12"/>
      <c r="D23" s="140">
        <v>3369.7999999999965</v>
      </c>
      <c r="E23" s="140">
        <v>2658.6000000000013</v>
      </c>
      <c r="F23" s="140">
        <v>3709.1999999999971</v>
      </c>
      <c r="G23" s="140">
        <v>3417.9999999999968</v>
      </c>
      <c r="H23" s="140">
        <v>3457.3000000000052</v>
      </c>
      <c r="I23" s="12"/>
      <c r="J23" s="146">
        <f>J19-J21</f>
        <v>3377.9107692013995</v>
      </c>
      <c r="K23" s="146">
        <f>K19-K21</f>
        <v>3922.9832310040028</v>
      </c>
      <c r="L23" s="146">
        <f>L19-L21</f>
        <v>4465.288484634475</v>
      </c>
      <c r="M23" s="146">
        <f>M19-M21</f>
        <v>5005.9171531009033</v>
      </c>
      <c r="N23" s="146">
        <f>N19-N21</f>
        <v>5545.7833032072867</v>
      </c>
    </row>
    <row r="24" spans="2:14" ht="15" thickTop="1" x14ac:dyDescent="0.3"/>
    <row r="27" spans="2:14" x14ac:dyDescent="0.3">
      <c r="B27" s="250"/>
      <c r="D27" s="249"/>
      <c r="E27" s="249"/>
      <c r="F27" s="249"/>
      <c r="G27" s="249"/>
      <c r="H27" s="249"/>
      <c r="J27" s="249"/>
      <c r="K27" s="249"/>
      <c r="L27" s="249"/>
      <c r="M27" s="249"/>
      <c r="N27" s="249"/>
    </row>
  </sheetData>
  <mergeCells count="2">
    <mergeCell ref="D5:H5"/>
    <mergeCell ref="J5:N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P58"/>
  <sheetViews>
    <sheetView showGridLines="0" zoomScale="90" zoomScaleNormal="90" workbookViewId="0"/>
  </sheetViews>
  <sheetFormatPr defaultColWidth="9.109375" defaultRowHeight="14.4" x14ac:dyDescent="0.3"/>
  <cols>
    <col min="1" max="1" width="4.44140625" style="1" customWidth="1"/>
    <col min="2" max="2" width="44.88671875" style="1" customWidth="1"/>
    <col min="3" max="3" width="9.109375" style="1"/>
    <col min="4" max="8" width="10" style="1" bestFit="1" customWidth="1"/>
    <col min="9" max="9" width="9.109375" style="1"/>
    <col min="10" max="10" width="11.109375" style="1" customWidth="1"/>
    <col min="11" max="16384" width="9.109375" style="1"/>
  </cols>
  <sheetData>
    <row r="1" spans="2:16" ht="21" x14ac:dyDescent="0.4">
      <c r="B1" s="3" t="s">
        <v>61</v>
      </c>
      <c r="C1" s="2"/>
      <c r="D1" s="2"/>
      <c r="E1" s="2"/>
      <c r="F1" s="2"/>
      <c r="G1" s="2"/>
      <c r="H1" s="2"/>
      <c r="I1" s="2"/>
      <c r="J1" s="2"/>
      <c r="K1" s="2"/>
      <c r="L1" s="2"/>
      <c r="M1" s="2"/>
      <c r="N1" s="2"/>
      <c r="O1" s="2"/>
      <c r="P1" s="2"/>
    </row>
    <row r="2" spans="2:16" x14ac:dyDescent="0.3">
      <c r="B2" s="5" t="s">
        <v>1</v>
      </c>
      <c r="C2" s="2"/>
      <c r="D2" s="2"/>
      <c r="E2" s="2"/>
      <c r="F2" s="2"/>
      <c r="G2" s="2"/>
      <c r="H2" s="2"/>
      <c r="I2" s="2"/>
      <c r="J2" s="2"/>
      <c r="K2" s="2"/>
      <c r="L2" s="2"/>
      <c r="M2" s="2"/>
      <c r="N2" s="2"/>
      <c r="O2" s="2"/>
      <c r="P2" s="2"/>
    </row>
    <row r="5" spans="2:16" x14ac:dyDescent="0.3">
      <c r="D5" s="255" t="s">
        <v>2</v>
      </c>
      <c r="E5" s="255"/>
      <c r="F5" s="255"/>
      <c r="G5" s="255"/>
      <c r="H5" s="255"/>
      <c r="J5" s="256" t="s">
        <v>3</v>
      </c>
      <c r="K5" s="256"/>
      <c r="L5" s="256"/>
      <c r="M5" s="256"/>
      <c r="N5" s="256"/>
    </row>
    <row r="6" spans="2:16" x14ac:dyDescent="0.3">
      <c r="B6" s="42" t="s">
        <v>4</v>
      </c>
      <c r="D6" s="7">
        <v>2017</v>
      </c>
      <c r="E6" s="7">
        <f>D6+1</f>
        <v>2018</v>
      </c>
      <c r="F6" s="7">
        <f>E6+1</f>
        <v>2019</v>
      </c>
      <c r="G6" s="7">
        <f>F6+1</f>
        <v>2020</v>
      </c>
      <c r="H6" s="7">
        <f>G6+1</f>
        <v>2021</v>
      </c>
      <c r="J6" s="9">
        <v>2022</v>
      </c>
      <c r="K6" s="9">
        <f>J6+1</f>
        <v>2023</v>
      </c>
      <c r="L6" s="9">
        <f>K6+1</f>
        <v>2024</v>
      </c>
      <c r="M6" s="9">
        <f>L6+1</f>
        <v>2025</v>
      </c>
      <c r="N6" s="9">
        <f>M6+1</f>
        <v>2026</v>
      </c>
    </row>
    <row r="8" spans="2:16" ht="15.6" x14ac:dyDescent="0.3">
      <c r="B8" s="153" t="s">
        <v>18</v>
      </c>
      <c r="D8" s="10"/>
      <c r="E8" s="10"/>
      <c r="F8" s="10"/>
      <c r="G8" s="10"/>
      <c r="H8" s="10"/>
    </row>
    <row r="9" spans="2:16" ht="15.6" x14ac:dyDescent="0.3">
      <c r="B9" s="154" t="s">
        <v>19</v>
      </c>
      <c r="D9" s="10"/>
      <c r="E9" s="10"/>
      <c r="F9" s="10"/>
      <c r="G9" s="10"/>
      <c r="H9" s="10"/>
    </row>
    <row r="10" spans="2:16" ht="15.6" x14ac:dyDescent="0.3">
      <c r="B10" s="149" t="s">
        <v>20</v>
      </c>
      <c r="D10" s="158">
        <v>41274.199999999997</v>
      </c>
      <c r="E10" s="158">
        <v>38517</v>
      </c>
      <c r="F10" s="158">
        <v>36725.199999999997</v>
      </c>
      <c r="G10" s="158">
        <v>35733.599999999999</v>
      </c>
      <c r="H10" s="158">
        <v>36978.9</v>
      </c>
      <c r="I10" s="76"/>
      <c r="J10" s="160">
        <f>Schedules!I8</f>
        <v>35795.648950379698</v>
      </c>
      <c r="K10" s="160">
        <f>Schedules!J8</f>
        <v>34885.346335712871</v>
      </c>
      <c r="L10" s="160">
        <f>Schedules!K8</f>
        <v>34227.618861212366</v>
      </c>
      <c r="M10" s="160">
        <f>Schedules!L8</f>
        <v>33803.920121789342</v>
      </c>
      <c r="N10" s="160">
        <f>Schedules!M8</f>
        <v>33597.339505487515</v>
      </c>
    </row>
    <row r="11" spans="2:16" ht="15.6" x14ac:dyDescent="0.3">
      <c r="B11" s="149" t="s">
        <v>21</v>
      </c>
      <c r="D11" s="158">
        <v>1097.5999999999999</v>
      </c>
      <c r="E11" s="158">
        <v>1760.8</v>
      </c>
      <c r="F11" s="158">
        <v>1317.6</v>
      </c>
      <c r="G11" s="158">
        <v>1408.4</v>
      </c>
      <c r="H11" s="158">
        <v>571.29999999999995</v>
      </c>
      <c r="I11" s="76"/>
      <c r="J11" s="161">
        <f>H11</f>
        <v>571.29999999999995</v>
      </c>
      <c r="K11" s="161">
        <f t="shared" ref="K11:N13" si="0">J11</f>
        <v>571.29999999999995</v>
      </c>
      <c r="L11" s="161">
        <f t="shared" si="0"/>
        <v>571.29999999999995</v>
      </c>
      <c r="M11" s="161">
        <f t="shared" si="0"/>
        <v>571.29999999999995</v>
      </c>
      <c r="N11" s="161">
        <f t="shared" si="0"/>
        <v>571.29999999999995</v>
      </c>
    </row>
    <row r="12" spans="2:16" ht="15.6" x14ac:dyDescent="0.3">
      <c r="B12" s="149" t="s">
        <v>22</v>
      </c>
      <c r="D12" s="158">
        <v>366.4</v>
      </c>
      <c r="E12" s="158">
        <v>498.3</v>
      </c>
      <c r="F12" s="158">
        <v>435.4</v>
      </c>
      <c r="G12" s="158">
        <v>381.3</v>
      </c>
      <c r="H12" s="158">
        <v>386.9</v>
      </c>
      <c r="I12" s="76"/>
      <c r="J12" s="161">
        <f>H12</f>
        <v>386.9</v>
      </c>
      <c r="K12" s="161">
        <f t="shared" si="0"/>
        <v>386.9</v>
      </c>
      <c r="L12" s="161">
        <f t="shared" si="0"/>
        <v>386.9</v>
      </c>
      <c r="M12" s="161">
        <f t="shared" si="0"/>
        <v>386.9</v>
      </c>
      <c r="N12" s="161">
        <f t="shared" si="0"/>
        <v>386.9</v>
      </c>
    </row>
    <row r="13" spans="2:16" ht="15.6" x14ac:dyDescent="0.3">
      <c r="B13" s="149" t="s">
        <v>23</v>
      </c>
      <c r="D13" s="158">
        <v>0</v>
      </c>
      <c r="E13" s="158">
        <v>0</v>
      </c>
      <c r="F13" s="158">
        <v>0</v>
      </c>
      <c r="G13" s="158">
        <v>693.2</v>
      </c>
      <c r="H13" s="158">
        <v>532.79999999999995</v>
      </c>
      <c r="I13" s="76"/>
      <c r="J13" s="161">
        <f>H13</f>
        <v>532.79999999999995</v>
      </c>
      <c r="K13" s="161">
        <f t="shared" si="0"/>
        <v>532.79999999999995</v>
      </c>
      <c r="L13" s="161">
        <f t="shared" si="0"/>
        <v>532.79999999999995</v>
      </c>
      <c r="M13" s="161">
        <f t="shared" si="0"/>
        <v>532.79999999999995</v>
      </c>
      <c r="N13" s="161">
        <f t="shared" si="0"/>
        <v>532.79999999999995</v>
      </c>
    </row>
    <row r="14" spans="2:16" ht="15.6" x14ac:dyDescent="0.3">
      <c r="B14" s="155" t="s">
        <v>24</v>
      </c>
      <c r="D14" s="158">
        <v>134</v>
      </c>
      <c r="E14" s="158">
        <v>5</v>
      </c>
      <c r="F14" s="158">
        <v>0</v>
      </c>
      <c r="G14" s="158">
        <v>43.9</v>
      </c>
      <c r="H14" s="158">
        <v>71.599999999999994</v>
      </c>
      <c r="I14" s="76"/>
      <c r="J14" s="161">
        <f>H14</f>
        <v>71.599999999999994</v>
      </c>
      <c r="K14" s="161">
        <f>J14</f>
        <v>71.599999999999994</v>
      </c>
      <c r="L14" s="161">
        <f t="shared" ref="L14:N15" si="1">K14</f>
        <v>71.599999999999994</v>
      </c>
      <c r="M14" s="161">
        <f t="shared" si="1"/>
        <v>71.599999999999994</v>
      </c>
      <c r="N14" s="161">
        <f t="shared" si="1"/>
        <v>71.599999999999994</v>
      </c>
    </row>
    <row r="15" spans="2:16" ht="15.6" x14ac:dyDescent="0.3">
      <c r="B15" s="155" t="s">
        <v>25</v>
      </c>
      <c r="D15" s="158">
        <v>575.1</v>
      </c>
      <c r="E15" s="158">
        <v>575.20000000000005</v>
      </c>
      <c r="F15" s="158">
        <v>575.20000000000005</v>
      </c>
      <c r="G15" s="158">
        <v>575</v>
      </c>
      <c r="H15" s="158">
        <v>25</v>
      </c>
      <c r="I15" s="76"/>
      <c r="J15" s="161">
        <f>H15</f>
        <v>25</v>
      </c>
      <c r="K15" s="162">
        <f>J15</f>
        <v>25</v>
      </c>
      <c r="L15" s="162">
        <f t="shared" si="1"/>
        <v>25</v>
      </c>
      <c r="M15" s="162">
        <f t="shared" si="1"/>
        <v>25</v>
      </c>
      <c r="N15" s="162">
        <f t="shared" si="1"/>
        <v>25</v>
      </c>
    </row>
    <row r="16" spans="2:16" ht="15.6" x14ac:dyDescent="0.3">
      <c r="B16" s="155" t="s">
        <v>26</v>
      </c>
      <c r="D16" s="158"/>
      <c r="E16" s="158"/>
      <c r="F16" s="158"/>
      <c r="G16" s="158"/>
      <c r="H16" s="158"/>
      <c r="I16" s="76"/>
      <c r="J16" s="162"/>
      <c r="K16" s="162"/>
      <c r="L16" s="162"/>
      <c r="M16" s="162"/>
      <c r="N16" s="162"/>
    </row>
    <row r="17" spans="2:15" ht="15.6" x14ac:dyDescent="0.3">
      <c r="B17" s="156" t="s">
        <v>27</v>
      </c>
      <c r="D17" s="158">
        <v>124.4</v>
      </c>
      <c r="E17" s="158">
        <v>154.6</v>
      </c>
      <c r="F17" s="158">
        <v>354.8</v>
      </c>
      <c r="G17" s="158">
        <v>215.7</v>
      </c>
      <c r="H17" s="158">
        <v>14</v>
      </c>
      <c r="I17" s="76"/>
      <c r="J17" s="161">
        <f>H17</f>
        <v>14</v>
      </c>
      <c r="K17" s="161">
        <f>J17</f>
        <v>14</v>
      </c>
      <c r="L17" s="161">
        <f t="shared" ref="L17:N18" si="2">K17</f>
        <v>14</v>
      </c>
      <c r="M17" s="161">
        <f t="shared" si="2"/>
        <v>14</v>
      </c>
      <c r="N17" s="161">
        <f t="shared" si="2"/>
        <v>14</v>
      </c>
    </row>
    <row r="18" spans="2:15" ht="15.6" x14ac:dyDescent="0.3">
      <c r="B18" s="156" t="s">
        <v>28</v>
      </c>
      <c r="D18" s="158">
        <v>364.2</v>
      </c>
      <c r="E18" s="158">
        <v>394.7</v>
      </c>
      <c r="F18" s="158">
        <v>401.7</v>
      </c>
      <c r="G18" s="158">
        <v>453.6</v>
      </c>
      <c r="H18" s="158">
        <v>507.2</v>
      </c>
      <c r="I18" s="76"/>
      <c r="J18" s="161">
        <f>H18</f>
        <v>507.2</v>
      </c>
      <c r="K18" s="160">
        <f>J18</f>
        <v>507.2</v>
      </c>
      <c r="L18" s="160">
        <f t="shared" si="2"/>
        <v>507.2</v>
      </c>
      <c r="M18" s="160">
        <f t="shared" si="2"/>
        <v>507.2</v>
      </c>
      <c r="N18" s="160">
        <f t="shared" si="2"/>
        <v>507.2</v>
      </c>
      <c r="O18" s="39"/>
    </row>
    <row r="19" spans="2:15" ht="15.6" x14ac:dyDescent="0.3">
      <c r="B19" s="149" t="s">
        <v>29</v>
      </c>
      <c r="D19" s="158">
        <v>0</v>
      </c>
      <c r="E19" s="158">
        <v>44</v>
      </c>
      <c r="F19" s="158">
        <v>38.6</v>
      </c>
      <c r="G19" s="158">
        <v>71.2</v>
      </c>
      <c r="H19" s="158">
        <v>137.6</v>
      </c>
      <c r="I19" s="76"/>
      <c r="J19" s="161">
        <f>H19</f>
        <v>137.6</v>
      </c>
      <c r="K19" s="161">
        <f>J19</f>
        <v>137.6</v>
      </c>
      <c r="L19" s="161">
        <f t="shared" ref="L19:N20" si="3">K19</f>
        <v>137.6</v>
      </c>
      <c r="M19" s="161">
        <f t="shared" si="3"/>
        <v>137.6</v>
      </c>
      <c r="N19" s="161">
        <f t="shared" si="3"/>
        <v>137.6</v>
      </c>
    </row>
    <row r="20" spans="2:15" ht="15.6" x14ac:dyDescent="0.3">
      <c r="B20" s="149" t="s">
        <v>30</v>
      </c>
      <c r="D20" s="158">
        <v>719.4</v>
      </c>
      <c r="E20" s="158">
        <v>1056.4000000000001</v>
      </c>
      <c r="F20" s="158">
        <v>951.7</v>
      </c>
      <c r="G20" s="158">
        <v>174.1</v>
      </c>
      <c r="H20" s="158">
        <v>184.7</v>
      </c>
      <c r="I20" s="76"/>
      <c r="J20" s="161">
        <f>H20</f>
        <v>184.7</v>
      </c>
      <c r="K20" s="161">
        <f>J20</f>
        <v>184.7</v>
      </c>
      <c r="L20" s="161">
        <f t="shared" si="3"/>
        <v>184.7</v>
      </c>
      <c r="M20" s="161">
        <f t="shared" si="3"/>
        <v>184.7</v>
      </c>
      <c r="N20" s="161">
        <f t="shared" si="3"/>
        <v>184.7</v>
      </c>
    </row>
    <row r="21" spans="2:15" ht="15.6" x14ac:dyDescent="0.3">
      <c r="B21" s="157" t="s">
        <v>31</v>
      </c>
      <c r="D21" s="158">
        <v>44655.299999999996</v>
      </c>
      <c r="E21" s="158">
        <v>43006</v>
      </c>
      <c r="F21" s="158">
        <v>40800.19999999999</v>
      </c>
      <c r="G21" s="158">
        <v>39749.999999999993</v>
      </c>
      <c r="H21" s="158">
        <v>39410</v>
      </c>
      <c r="I21" s="76"/>
      <c r="J21" s="160">
        <f>SUM(J10:J20)</f>
        <v>38226.748950379697</v>
      </c>
      <c r="K21" s="160">
        <f>SUM(K10:K20)</f>
        <v>37316.44633571287</v>
      </c>
      <c r="L21" s="160">
        <f>SUM(L10:L20)</f>
        <v>36658.718861212365</v>
      </c>
      <c r="M21" s="160">
        <f>SUM(M10:M20)</f>
        <v>36235.020121789341</v>
      </c>
      <c r="N21" s="160">
        <f>SUM(N10:N20)</f>
        <v>36028.439505487513</v>
      </c>
    </row>
    <row r="22" spans="2:15" ht="15.6" x14ac:dyDescent="0.3">
      <c r="B22" s="154" t="s">
        <v>32</v>
      </c>
      <c r="D22" s="158"/>
      <c r="E22" s="158"/>
      <c r="F22" s="158"/>
      <c r="G22" s="158"/>
      <c r="H22" s="158"/>
      <c r="I22" s="76"/>
      <c r="J22" s="162"/>
      <c r="K22" s="162"/>
      <c r="L22" s="162"/>
      <c r="M22" s="162"/>
      <c r="N22" s="162"/>
    </row>
    <row r="23" spans="2:15" ht="15.6" x14ac:dyDescent="0.3">
      <c r="B23" s="149" t="s">
        <v>33</v>
      </c>
      <c r="D23" s="158">
        <v>7682.5</v>
      </c>
      <c r="E23" s="158">
        <v>9065.2999999999993</v>
      </c>
      <c r="F23" s="158">
        <v>10009.6</v>
      </c>
      <c r="G23" s="158">
        <v>9119.7999999999993</v>
      </c>
      <c r="H23" s="158">
        <v>10082.799999999999</v>
      </c>
      <c r="I23" s="76"/>
      <c r="J23" s="160">
        <f>(IS!J9/365)*Assumptions!$J$13</f>
        <v>9424.7702921984655</v>
      </c>
      <c r="K23" s="160">
        <f>(IS!K9/365)*Assumptions!$J$13</f>
        <v>10064.712195038743</v>
      </c>
      <c r="L23" s="160">
        <f>(IS!L9/365)*Assumptions!$J$13</f>
        <v>10727.60433434058</v>
      </c>
      <c r="M23" s="160">
        <f>(IS!M9/365)*Assumptions!$J$13</f>
        <v>11412.959972485072</v>
      </c>
      <c r="N23" s="160">
        <f>(IS!N9/365)*Assumptions!$J$13</f>
        <v>12120.226770797191</v>
      </c>
    </row>
    <row r="24" spans="2:15" ht="15.6" x14ac:dyDescent="0.3">
      <c r="B24" s="149" t="s">
        <v>26</v>
      </c>
      <c r="D24" s="158"/>
      <c r="E24" s="158"/>
      <c r="F24" s="158"/>
      <c r="G24" s="158"/>
      <c r="H24" s="158"/>
      <c r="I24" s="76"/>
      <c r="J24" s="162"/>
      <c r="K24" s="162"/>
      <c r="L24" s="162"/>
      <c r="M24" s="162"/>
      <c r="N24" s="162"/>
    </row>
    <row r="25" spans="2:15" ht="15.6" x14ac:dyDescent="0.3">
      <c r="B25" s="156" t="s">
        <v>27</v>
      </c>
      <c r="D25" s="158">
        <v>48.9</v>
      </c>
      <c r="E25" s="158">
        <v>109</v>
      </c>
      <c r="F25" s="158">
        <v>669.3</v>
      </c>
      <c r="G25" s="158">
        <v>0</v>
      </c>
      <c r="H25" s="158">
        <v>0</v>
      </c>
      <c r="I25" s="76"/>
      <c r="J25" s="161">
        <f>H25</f>
        <v>0</v>
      </c>
      <c r="K25" s="161">
        <f>J25</f>
        <v>0</v>
      </c>
      <c r="L25" s="161">
        <f>K25</f>
        <v>0</v>
      </c>
      <c r="M25" s="161">
        <f>L25</f>
        <v>0</v>
      </c>
      <c r="N25" s="161">
        <f>M25</f>
        <v>0</v>
      </c>
    </row>
    <row r="26" spans="2:15" ht="15.6" x14ac:dyDescent="0.3">
      <c r="B26" s="156" t="s">
        <v>34</v>
      </c>
      <c r="D26" s="158">
        <v>3816.8</v>
      </c>
      <c r="E26" s="158">
        <v>4777.6000000000004</v>
      </c>
      <c r="F26" s="158">
        <v>6620</v>
      </c>
      <c r="G26" s="158">
        <v>2784.8</v>
      </c>
      <c r="H26" s="158">
        <v>4545.1000000000004</v>
      </c>
      <c r="I26" s="76"/>
      <c r="J26" s="160">
        <f>IS!J8/365*Assumptions!$J$14</f>
        <v>4572.5877105473546</v>
      </c>
      <c r="K26" s="160">
        <f>IS!K8/365*Assumptions!$J$14</f>
        <v>4883.0664160935212</v>
      </c>
      <c r="L26" s="160">
        <f>IS!L8/365*Assumptions!$J$14</f>
        <v>5204.6798194566882</v>
      </c>
      <c r="M26" s="160">
        <f>IS!M8/365*Assumptions!$J$14</f>
        <v>5537.1917715970976</v>
      </c>
      <c r="N26" s="160">
        <f>IS!N8/365*Assumptions!$J$14</f>
        <v>5880.3342960061245</v>
      </c>
    </row>
    <row r="27" spans="2:15" ht="15.6" x14ac:dyDescent="0.3">
      <c r="B27" s="156" t="s">
        <v>35</v>
      </c>
      <c r="D27" s="158">
        <v>1324.3</v>
      </c>
      <c r="E27" s="158">
        <v>1658.7</v>
      </c>
      <c r="F27" s="158">
        <v>251.10000000000002</v>
      </c>
      <c r="G27" s="158">
        <v>3373.5</v>
      </c>
      <c r="H27" s="158">
        <v>1123.2</v>
      </c>
      <c r="I27" s="76"/>
      <c r="J27" s="160">
        <f>CFS!D30</f>
        <v>4212.9354449232187</v>
      </c>
      <c r="K27" s="160">
        <f>CFS!E30</f>
        <v>6628.5167016039804</v>
      </c>
      <c r="L27" s="160">
        <f>CFS!F30</f>
        <v>9086.9577480343723</v>
      </c>
      <c r="M27" s="160">
        <f>CFS!G30</f>
        <v>11606.445981656987</v>
      </c>
      <c r="N27" s="160">
        <f>CFS!H30</f>
        <v>14204.170008026958</v>
      </c>
    </row>
    <row r="28" spans="2:15" ht="15.6" x14ac:dyDescent="0.3">
      <c r="B28" s="156" t="s">
        <v>36</v>
      </c>
      <c r="D28" s="158">
        <v>1461</v>
      </c>
      <c r="E28" s="158">
        <v>1666.7</v>
      </c>
      <c r="F28" s="158">
        <v>1580.7</v>
      </c>
      <c r="G28" s="158">
        <v>1070</v>
      </c>
      <c r="H28" s="158">
        <v>991.8</v>
      </c>
      <c r="I28" s="76"/>
      <c r="J28" s="161">
        <f>H28</f>
        <v>991.8</v>
      </c>
      <c r="K28" s="161">
        <f>J28</f>
        <v>991.8</v>
      </c>
      <c r="L28" s="161">
        <f>K28</f>
        <v>991.8</v>
      </c>
      <c r="M28" s="161">
        <f>L28</f>
        <v>991.8</v>
      </c>
      <c r="N28" s="161">
        <f>M28</f>
        <v>991.8</v>
      </c>
    </row>
    <row r="29" spans="2:15" ht="15.6" x14ac:dyDescent="0.3">
      <c r="B29" s="149" t="s">
        <v>37</v>
      </c>
      <c r="D29" s="158">
        <v>714.8</v>
      </c>
      <c r="E29" s="158">
        <v>1007.4</v>
      </c>
      <c r="F29" s="158">
        <v>1101.5</v>
      </c>
      <c r="G29" s="158">
        <v>1085.5</v>
      </c>
      <c r="H29" s="158">
        <v>1388.7</v>
      </c>
      <c r="I29" s="76"/>
      <c r="J29" s="160">
        <f>Assumptions!$J$17*IS!J8</f>
        <v>1085.6088569836072</v>
      </c>
      <c r="K29" s="160">
        <f>Assumptions!$J$17*IS!K8</f>
        <v>1159.3216983727943</v>
      </c>
      <c r="L29" s="160">
        <f>Assumptions!$J$17*IS!L8</f>
        <v>1235.6781033927216</v>
      </c>
      <c r="M29" s="160">
        <f>Assumptions!$J$17*IS!M8</f>
        <v>1314.6220063087637</v>
      </c>
      <c r="N29" s="160">
        <f>Assumptions!$J$17*IS!N8</f>
        <v>1396.0897850124686</v>
      </c>
    </row>
    <row r="30" spans="2:15" ht="15.6" x14ac:dyDescent="0.3">
      <c r="B30" s="154" t="s">
        <v>38</v>
      </c>
      <c r="D30" s="158">
        <v>15048.3</v>
      </c>
      <c r="E30" s="158">
        <v>18284.7</v>
      </c>
      <c r="F30" s="158">
        <v>20232.2</v>
      </c>
      <c r="G30" s="158">
        <v>17433.599999999999</v>
      </c>
      <c r="H30" s="158">
        <v>18131.600000000002</v>
      </c>
      <c r="I30" s="76"/>
      <c r="J30" s="160">
        <f>SUM(J23:J29)</f>
        <v>20287.702304652645</v>
      </c>
      <c r="K30" s="160">
        <f>SUM(K23:K29)</f>
        <v>23727.417011109039</v>
      </c>
      <c r="L30" s="160">
        <f>SUM(L23:L29)</f>
        <v>27246.720005224361</v>
      </c>
      <c r="M30" s="160">
        <f>SUM(M23:M29)</f>
        <v>30863.01973204792</v>
      </c>
      <c r="N30" s="160">
        <f>SUM(N23:N29)</f>
        <v>34592.62085984274</v>
      </c>
    </row>
    <row r="31" spans="2:15" ht="15.6" x14ac:dyDescent="0.3">
      <c r="B31" s="157" t="s">
        <v>39</v>
      </c>
      <c r="D31" s="158">
        <v>59703.599999999991</v>
      </c>
      <c r="E31" s="158">
        <v>61290.7</v>
      </c>
      <c r="F31" s="158">
        <v>61032.399999999994</v>
      </c>
      <c r="G31" s="158">
        <v>57183.599999999991</v>
      </c>
      <c r="H31" s="158">
        <v>57541.600000000006</v>
      </c>
      <c r="I31" s="76"/>
      <c r="J31" s="160">
        <f>J30+J21</f>
        <v>58514.451255032342</v>
      </c>
      <c r="K31" s="160">
        <f>K30+K21</f>
        <v>61043.863346821905</v>
      </c>
      <c r="L31" s="160">
        <f>L30+L21</f>
        <v>63905.438866436729</v>
      </c>
      <c r="M31" s="160">
        <f>M30+M21</f>
        <v>67098.039853837254</v>
      </c>
      <c r="N31" s="160">
        <f>N30+N21</f>
        <v>70621.060365330253</v>
      </c>
    </row>
    <row r="32" spans="2:15" ht="15.6" x14ac:dyDescent="0.3">
      <c r="B32" s="201"/>
      <c r="D32" s="158"/>
      <c r="E32" s="158"/>
      <c r="F32" s="158"/>
      <c r="G32" s="158"/>
      <c r="H32" s="158"/>
      <c r="I32" s="76"/>
      <c r="J32" s="163"/>
      <c r="K32" s="163"/>
      <c r="L32" s="163"/>
      <c r="M32" s="163"/>
      <c r="N32" s="163"/>
    </row>
    <row r="33" spans="2:14" ht="15.6" x14ac:dyDescent="0.3">
      <c r="B33" s="202" t="s">
        <v>40</v>
      </c>
      <c r="D33" s="159"/>
      <c r="E33" s="159"/>
      <c r="F33" s="159"/>
      <c r="G33" s="159"/>
      <c r="H33" s="159"/>
      <c r="I33" s="76"/>
      <c r="J33" s="163"/>
      <c r="K33" s="163"/>
      <c r="L33" s="163"/>
      <c r="M33" s="163"/>
      <c r="N33" s="163"/>
    </row>
    <row r="34" spans="2:14" ht="15.6" x14ac:dyDescent="0.3">
      <c r="B34" s="201" t="s">
        <v>41</v>
      </c>
      <c r="D34" s="159"/>
      <c r="E34" s="159"/>
      <c r="F34" s="159"/>
      <c r="G34" s="159"/>
      <c r="H34" s="159"/>
      <c r="I34" s="76"/>
      <c r="J34" s="163"/>
      <c r="K34" s="163"/>
      <c r="L34" s="163"/>
      <c r="M34" s="163"/>
      <c r="N34" s="163"/>
    </row>
    <row r="35" spans="2:14" ht="15.6" x14ac:dyDescent="0.3">
      <c r="B35" s="175" t="s">
        <v>42</v>
      </c>
      <c r="D35" s="158">
        <v>5096</v>
      </c>
      <c r="E35" s="158">
        <v>5096</v>
      </c>
      <c r="F35" s="158">
        <v>5096</v>
      </c>
      <c r="G35" s="158">
        <v>5096</v>
      </c>
      <c r="H35" s="158">
        <v>5096</v>
      </c>
      <c r="I35" s="77"/>
      <c r="J35" s="164">
        <f>H35</f>
        <v>5096</v>
      </c>
      <c r="K35" s="164">
        <f>J35</f>
        <v>5096</v>
      </c>
      <c r="L35" s="164">
        <f>K35</f>
        <v>5096</v>
      </c>
      <c r="M35" s="164">
        <f>L35</f>
        <v>5096</v>
      </c>
      <c r="N35" s="164">
        <f>M35</f>
        <v>5096</v>
      </c>
    </row>
    <row r="36" spans="2:14" ht="15.6" x14ac:dyDescent="0.3">
      <c r="B36" s="175" t="s">
        <v>43</v>
      </c>
      <c r="D36" s="158">
        <v>19975.7</v>
      </c>
      <c r="E36" s="158">
        <v>21838.9</v>
      </c>
      <c r="F36" s="158">
        <v>24216</v>
      </c>
      <c r="G36" s="158">
        <v>24573</v>
      </c>
      <c r="H36" s="158">
        <v>28069.5</v>
      </c>
      <c r="I36" s="76"/>
      <c r="J36" s="164">
        <f>Schedules!I25</f>
        <v>30100.299954443883</v>
      </c>
      <c r="K36" s="164">
        <f>Schedules!J25</f>
        <v>32458.797472923488</v>
      </c>
      <c r="L36" s="164">
        <f>Schedules!K25</f>
        <v>35143.328909885735</v>
      </c>
      <c r="M36" s="164">
        <f>Schedules!L25</f>
        <v>38152.88630233</v>
      </c>
      <c r="N36" s="164">
        <f>Schedules!M25</f>
        <v>41487.011224218222</v>
      </c>
    </row>
    <row r="37" spans="2:14" ht="15.6" x14ac:dyDescent="0.3">
      <c r="B37" s="203" t="s">
        <v>44</v>
      </c>
      <c r="D37" s="158">
        <v>25071.7</v>
      </c>
      <c r="E37" s="158">
        <v>26934.9</v>
      </c>
      <c r="F37" s="158">
        <v>29312</v>
      </c>
      <c r="G37" s="158">
        <v>29669</v>
      </c>
      <c r="H37" s="158">
        <v>33165.5</v>
      </c>
      <c r="I37" s="76"/>
      <c r="J37" s="164">
        <f>J35+J36</f>
        <v>35196.299954443879</v>
      </c>
      <c r="K37" s="164">
        <f>K35+K36</f>
        <v>37554.797472923485</v>
      </c>
      <c r="L37" s="164">
        <f>L35+L36</f>
        <v>40239.328909885735</v>
      </c>
      <c r="M37" s="164">
        <f>M35+M36</f>
        <v>43248.88630233</v>
      </c>
      <c r="N37" s="164">
        <f>N35+N36</f>
        <v>46583.011224218222</v>
      </c>
    </row>
    <row r="38" spans="2:14" ht="15.6" x14ac:dyDescent="0.3">
      <c r="B38" s="201" t="s">
        <v>45</v>
      </c>
      <c r="D38" s="158"/>
      <c r="E38" s="158"/>
      <c r="F38" s="158"/>
      <c r="G38" s="158"/>
      <c r="H38" s="158"/>
      <c r="I38" s="76"/>
      <c r="J38" s="163"/>
      <c r="K38" s="163"/>
      <c r="L38" s="163"/>
      <c r="M38" s="163"/>
      <c r="N38" s="163"/>
    </row>
    <row r="39" spans="2:14" ht="15.6" x14ac:dyDescent="0.3">
      <c r="B39" s="204" t="s">
        <v>46</v>
      </c>
      <c r="D39" s="158"/>
      <c r="E39" s="158"/>
      <c r="F39" s="158"/>
      <c r="G39" s="158"/>
      <c r="H39" s="158"/>
      <c r="I39" s="76"/>
      <c r="J39" s="163"/>
      <c r="K39" s="163"/>
      <c r="L39" s="163"/>
      <c r="M39" s="163"/>
      <c r="N39" s="163"/>
    </row>
    <row r="40" spans="2:14" ht="15.6" x14ac:dyDescent="0.3">
      <c r="B40" s="175" t="s">
        <v>47</v>
      </c>
      <c r="D40" s="158"/>
      <c r="E40" s="158"/>
      <c r="F40" s="158"/>
      <c r="G40" s="158"/>
      <c r="H40" s="158"/>
      <c r="I40" s="76"/>
      <c r="J40" s="163"/>
      <c r="K40" s="163"/>
      <c r="L40" s="163"/>
      <c r="M40" s="163"/>
      <c r="N40" s="163"/>
    </row>
    <row r="41" spans="2:14" ht="15.6" x14ac:dyDescent="0.3">
      <c r="B41" s="205" t="s">
        <v>48</v>
      </c>
      <c r="D41" s="158">
        <v>17442.400000000001</v>
      </c>
      <c r="E41" s="158">
        <v>14107.8</v>
      </c>
      <c r="F41" s="158">
        <v>9536.2000000000007</v>
      </c>
      <c r="G41" s="158">
        <v>6890.6</v>
      </c>
      <c r="H41" s="158">
        <v>2550.9</v>
      </c>
      <c r="I41" s="76"/>
      <c r="J41" s="165">
        <f>Schedules!I14</f>
        <v>2550.9</v>
      </c>
      <c r="K41" s="165">
        <f>Schedules!J14</f>
        <v>2550.9</v>
      </c>
      <c r="L41" s="165">
        <f>Schedules!K14</f>
        <v>2550.9</v>
      </c>
      <c r="M41" s="165">
        <f>Schedules!L14</f>
        <v>2550.9</v>
      </c>
      <c r="N41" s="165">
        <f>Schedules!M14</f>
        <v>2550.9</v>
      </c>
    </row>
    <row r="42" spans="2:14" ht="15.6" x14ac:dyDescent="0.3">
      <c r="B42" s="205" t="s">
        <v>49</v>
      </c>
      <c r="D42" s="158">
        <v>0</v>
      </c>
      <c r="E42" s="158">
        <v>0</v>
      </c>
      <c r="F42" s="158">
        <v>0</v>
      </c>
      <c r="G42" s="158">
        <v>323.89999999999998</v>
      </c>
      <c r="H42" s="158">
        <v>251.4</v>
      </c>
      <c r="I42" s="76"/>
      <c r="J42" s="164">
        <f>H42</f>
        <v>251.4</v>
      </c>
      <c r="K42" s="164">
        <f t="shared" ref="K42:N43" si="4">J42</f>
        <v>251.4</v>
      </c>
      <c r="L42" s="164">
        <f t="shared" si="4"/>
        <v>251.4</v>
      </c>
      <c r="M42" s="164">
        <f t="shared" si="4"/>
        <v>251.4</v>
      </c>
      <c r="N42" s="164">
        <f t="shared" si="4"/>
        <v>251.4</v>
      </c>
    </row>
    <row r="43" spans="2:14" ht="15.6" x14ac:dyDescent="0.3">
      <c r="B43" s="175" t="s">
        <v>50</v>
      </c>
      <c r="D43" s="158">
        <v>2953.6</v>
      </c>
      <c r="E43" s="158">
        <v>3406.9</v>
      </c>
      <c r="F43" s="158">
        <v>4082.7</v>
      </c>
      <c r="G43" s="158">
        <v>3367.3</v>
      </c>
      <c r="H43" s="158">
        <v>3207.5</v>
      </c>
      <c r="I43" s="76"/>
      <c r="J43" s="164">
        <f>H43</f>
        <v>3207.5</v>
      </c>
      <c r="K43" s="164">
        <f t="shared" si="4"/>
        <v>3207.5</v>
      </c>
      <c r="L43" s="164">
        <f t="shared" si="4"/>
        <v>3207.5</v>
      </c>
      <c r="M43" s="164">
        <f t="shared" si="4"/>
        <v>3207.5</v>
      </c>
      <c r="N43" s="164">
        <f t="shared" si="4"/>
        <v>3207.5</v>
      </c>
    </row>
    <row r="44" spans="2:14" x14ac:dyDescent="0.3">
      <c r="B44" s="206" t="s">
        <v>51</v>
      </c>
      <c r="D44" s="158">
        <v>20396</v>
      </c>
      <c r="E44" s="158">
        <v>17514.7</v>
      </c>
      <c r="F44" s="158">
        <v>13618.900000000001</v>
      </c>
      <c r="G44" s="158">
        <v>10581.8</v>
      </c>
      <c r="H44" s="158">
        <v>6009.8</v>
      </c>
      <c r="I44" s="76"/>
      <c r="J44" s="165">
        <f>SUM(J41:J43)</f>
        <v>6009.8</v>
      </c>
      <c r="K44" s="165">
        <f>SUM(K41:K43)</f>
        <v>6009.8</v>
      </c>
      <c r="L44" s="165">
        <f>SUM(L41:L43)</f>
        <v>6009.8</v>
      </c>
      <c r="M44" s="165">
        <f>SUM(M41:M43)</f>
        <v>6009.8</v>
      </c>
      <c r="N44" s="165">
        <f>SUM(N41:N43)</f>
        <v>6009.8</v>
      </c>
    </row>
    <row r="45" spans="2:14" ht="15.6" x14ac:dyDescent="0.3">
      <c r="B45" s="204" t="s">
        <v>52</v>
      </c>
      <c r="D45" s="158"/>
      <c r="E45" s="158"/>
      <c r="F45" s="158"/>
      <c r="G45" s="158"/>
      <c r="H45" s="158"/>
      <c r="I45" s="76"/>
      <c r="J45" s="163"/>
      <c r="K45" s="163"/>
      <c r="L45" s="163"/>
      <c r="M45" s="163"/>
      <c r="N45" s="163"/>
    </row>
    <row r="46" spans="2:14" ht="15.6" x14ac:dyDescent="0.3">
      <c r="B46" s="203" t="s">
        <v>47</v>
      </c>
      <c r="D46" s="158"/>
      <c r="E46" s="158"/>
      <c r="F46" s="158"/>
      <c r="G46" s="158"/>
      <c r="H46" s="158"/>
      <c r="I46" s="76"/>
      <c r="J46" s="163"/>
      <c r="K46" s="163"/>
      <c r="L46" s="163"/>
      <c r="M46" s="163"/>
      <c r="N46" s="163"/>
    </row>
    <row r="47" spans="2:14" ht="15.6" x14ac:dyDescent="0.3">
      <c r="B47" s="205" t="s">
        <v>48</v>
      </c>
      <c r="D47" s="158">
        <v>8038.5</v>
      </c>
      <c r="E47" s="158">
        <v>11084.4</v>
      </c>
      <c r="F47" s="158">
        <v>11419.6</v>
      </c>
      <c r="G47" s="158">
        <v>9008.7999999999993</v>
      </c>
      <c r="H47" s="158">
        <v>12336.1</v>
      </c>
      <c r="I47" s="76"/>
      <c r="J47" s="165">
        <f>Schedules!I15</f>
        <v>12336.1</v>
      </c>
      <c r="K47" s="165">
        <f>Schedules!J15</f>
        <v>12336.1</v>
      </c>
      <c r="L47" s="165">
        <f>Schedules!K15</f>
        <v>12336.1</v>
      </c>
      <c r="M47" s="165">
        <f>Schedules!L15</f>
        <v>12336.1</v>
      </c>
      <c r="N47" s="165">
        <f>Schedules!M15</f>
        <v>12336.1</v>
      </c>
    </row>
    <row r="48" spans="2:14" ht="15.6" x14ac:dyDescent="0.3">
      <c r="B48" s="205" t="s">
        <v>49</v>
      </c>
      <c r="D48" s="158">
        <v>0</v>
      </c>
      <c r="E48" s="158">
        <v>0</v>
      </c>
      <c r="F48" s="158">
        <v>0</v>
      </c>
      <c r="G48" s="158">
        <v>65.5</v>
      </c>
      <c r="H48" s="158">
        <v>12.2</v>
      </c>
      <c r="I48" s="76"/>
      <c r="J48" s="164">
        <f>H48</f>
        <v>12.2</v>
      </c>
      <c r="K48" s="164">
        <f>J48</f>
        <v>12.2</v>
      </c>
      <c r="L48" s="164">
        <f>K48</f>
        <v>12.2</v>
      </c>
      <c r="M48" s="164">
        <f>L48</f>
        <v>12.2</v>
      </c>
      <c r="N48" s="164">
        <f>M48</f>
        <v>12.2</v>
      </c>
    </row>
    <row r="49" spans="2:14" ht="15.6" x14ac:dyDescent="0.3">
      <c r="B49" s="205" t="s">
        <v>53</v>
      </c>
      <c r="D49" s="158">
        <v>1720.5</v>
      </c>
      <c r="E49" s="158">
        <v>1683.2</v>
      </c>
      <c r="F49" s="158">
        <v>1766.5</v>
      </c>
      <c r="G49" s="158">
        <v>2003.1</v>
      </c>
      <c r="H49" s="158">
        <v>2957.1</v>
      </c>
      <c r="I49" s="76"/>
      <c r="J49" s="165">
        <f>IS!J9/365*Assumptions!$J$16</f>
        <v>2101.1720833966515</v>
      </c>
      <c r="K49" s="165">
        <f>IS!K9/365*Assumptions!$J$16</f>
        <v>2243.8416678592848</v>
      </c>
      <c r="L49" s="165">
        <f>IS!L9/365*Assumptions!$J$16</f>
        <v>2391.6278116295011</v>
      </c>
      <c r="M49" s="165">
        <f>IS!M9/365*Assumptions!$J$16</f>
        <v>2544.4220007101335</v>
      </c>
      <c r="N49" s="165">
        <f>IS!N9/365*Assumptions!$J$16</f>
        <v>2702.1010959085488</v>
      </c>
    </row>
    <row r="50" spans="2:14" ht="15.6" x14ac:dyDescent="0.3">
      <c r="B50" s="203" t="s">
        <v>54</v>
      </c>
      <c r="D50" s="158">
        <v>3942</v>
      </c>
      <c r="E50" s="158">
        <v>3621.9</v>
      </c>
      <c r="F50" s="158">
        <v>4367</v>
      </c>
      <c r="G50" s="158">
        <v>5191.7</v>
      </c>
      <c r="H50" s="158">
        <v>2220.6999999999998</v>
      </c>
      <c r="I50" s="76"/>
      <c r="J50" s="164">
        <f>H50</f>
        <v>2220.6999999999998</v>
      </c>
      <c r="K50" s="164">
        <f t="shared" ref="K50:N51" si="5">J50</f>
        <v>2220.6999999999998</v>
      </c>
      <c r="L50" s="164">
        <f t="shared" si="5"/>
        <v>2220.6999999999998</v>
      </c>
      <c r="M50" s="164">
        <f t="shared" si="5"/>
        <v>2220.6999999999998</v>
      </c>
      <c r="N50" s="164">
        <f t="shared" si="5"/>
        <v>2220.6999999999998</v>
      </c>
    </row>
    <row r="51" spans="2:14" ht="15.6" x14ac:dyDescent="0.3">
      <c r="B51" s="203" t="s">
        <v>55</v>
      </c>
      <c r="D51" s="158">
        <v>206.3</v>
      </c>
      <c r="E51" s="158">
        <v>138.5</v>
      </c>
      <c r="F51" s="158">
        <v>192.5</v>
      </c>
      <c r="G51" s="158">
        <v>213.1</v>
      </c>
      <c r="H51" s="158">
        <v>222.2</v>
      </c>
      <c r="I51" s="76"/>
      <c r="J51" s="164">
        <f>H51</f>
        <v>222.2</v>
      </c>
      <c r="K51" s="164">
        <f t="shared" si="5"/>
        <v>222.2</v>
      </c>
      <c r="L51" s="164">
        <f t="shared" si="5"/>
        <v>222.2</v>
      </c>
      <c r="M51" s="164">
        <f t="shared" si="5"/>
        <v>222.2</v>
      </c>
      <c r="N51" s="164">
        <f t="shared" si="5"/>
        <v>222.2</v>
      </c>
    </row>
    <row r="52" spans="2:14" ht="15.6" x14ac:dyDescent="0.3">
      <c r="B52" s="203" t="s">
        <v>56</v>
      </c>
      <c r="D52" s="158">
        <v>318.8</v>
      </c>
      <c r="E52" s="158">
        <v>312.2</v>
      </c>
      <c r="F52" s="158">
        <v>295.7</v>
      </c>
      <c r="G52" s="158">
        <v>450.5</v>
      </c>
      <c r="H52" s="158">
        <v>618</v>
      </c>
      <c r="I52" s="76"/>
      <c r="J52" s="165">
        <f>Assumptions!$J$18*IS!J9</f>
        <v>415.97921719180988</v>
      </c>
      <c r="K52" s="165">
        <f>Assumptions!$J$18*IS!K9</f>
        <v>444.22420603913383</v>
      </c>
      <c r="L52" s="165">
        <f>Assumptions!$J$18*IS!L9</f>
        <v>473.48214492148929</v>
      </c>
      <c r="M52" s="165">
        <f>Assumptions!$J$18*IS!M9</f>
        <v>503.73155079712438</v>
      </c>
      <c r="N52" s="165">
        <f>Assumptions!$J$18*IS!N9</f>
        <v>534.94804520348362</v>
      </c>
    </row>
    <row r="53" spans="2:14" ht="15.6" x14ac:dyDescent="0.3">
      <c r="B53" s="203" t="s">
        <v>57</v>
      </c>
      <c r="D53" s="158">
        <v>10</v>
      </c>
      <c r="E53" s="158">
        <v>0.9</v>
      </c>
      <c r="F53" s="158">
        <v>59.3</v>
      </c>
      <c r="G53" s="158">
        <v>0</v>
      </c>
      <c r="H53" s="158">
        <v>0</v>
      </c>
      <c r="I53" s="76"/>
      <c r="J53" s="164">
        <f>H53</f>
        <v>0</v>
      </c>
      <c r="K53" s="164">
        <f>J53</f>
        <v>0</v>
      </c>
      <c r="L53" s="164">
        <f>K53</f>
        <v>0</v>
      </c>
      <c r="M53" s="164">
        <f>L53</f>
        <v>0</v>
      </c>
      <c r="N53" s="164">
        <f>M53</f>
        <v>0</v>
      </c>
    </row>
    <row r="54" spans="2:14" ht="15.6" x14ac:dyDescent="0.3">
      <c r="B54" s="204" t="s">
        <v>58</v>
      </c>
      <c r="D54" s="158">
        <v>14236.099999999999</v>
      </c>
      <c r="E54" s="158">
        <v>16841.100000000002</v>
      </c>
      <c r="F54" s="158">
        <v>18100.599999999999</v>
      </c>
      <c r="G54" s="158">
        <v>16932.699999999997</v>
      </c>
      <c r="H54" s="158">
        <v>18366.300000000003</v>
      </c>
      <c r="I54" s="76"/>
      <c r="J54" s="165">
        <f>SUM(J47:J53)</f>
        <v>17308.351300588463</v>
      </c>
      <c r="K54" s="165">
        <f>SUM(K47:K53)</f>
        <v>17479.265873898421</v>
      </c>
      <c r="L54" s="165">
        <f>SUM(L47:L53)</f>
        <v>17656.309956550995</v>
      </c>
      <c r="M54" s="165">
        <f>SUM(M47:M53)</f>
        <v>17839.353551507262</v>
      </c>
      <c r="N54" s="165">
        <f>SUM(N47:N53)</f>
        <v>18028.249141112035</v>
      </c>
    </row>
    <row r="55" spans="2:14" ht="15.6" x14ac:dyDescent="0.3">
      <c r="B55" s="201" t="s">
        <v>59</v>
      </c>
      <c r="D55" s="158">
        <v>34632.1</v>
      </c>
      <c r="E55" s="158">
        <v>34355.800000000003</v>
      </c>
      <c r="F55" s="158">
        <v>31719.5</v>
      </c>
      <c r="G55" s="158">
        <v>27514.499999999996</v>
      </c>
      <c r="H55" s="158">
        <v>24376.100000000002</v>
      </c>
      <c r="I55" s="76"/>
      <c r="J55" s="165">
        <f>J54+J44</f>
        <v>23318.151300588463</v>
      </c>
      <c r="K55" s="165">
        <f>K54+K44</f>
        <v>23489.06587389842</v>
      </c>
      <c r="L55" s="165">
        <f>L54+L44</f>
        <v>23666.109956550994</v>
      </c>
      <c r="M55" s="165">
        <f>M54+M44</f>
        <v>23849.153551507261</v>
      </c>
      <c r="N55" s="165">
        <f>N54+N44</f>
        <v>24038.049141112035</v>
      </c>
    </row>
    <row r="56" spans="2:14" ht="15.6" x14ac:dyDescent="0.3">
      <c r="B56" s="201" t="s">
        <v>60</v>
      </c>
      <c r="D56" s="158">
        <v>59703.8</v>
      </c>
      <c r="E56" s="158">
        <v>61290.700000000004</v>
      </c>
      <c r="F56" s="158">
        <v>61032.4</v>
      </c>
      <c r="G56" s="158">
        <v>57183.5</v>
      </c>
      <c r="H56" s="158">
        <v>57541.600000000006</v>
      </c>
      <c r="I56" s="76"/>
      <c r="J56" s="164">
        <f>J55+J37</f>
        <v>58514.451255032342</v>
      </c>
      <c r="K56" s="164">
        <f>K55+K37</f>
        <v>61043.863346821905</v>
      </c>
      <c r="L56" s="164">
        <f>L55+L37</f>
        <v>63905.438866436729</v>
      </c>
      <c r="M56" s="164">
        <f>M55+M37</f>
        <v>67098.039853837254</v>
      </c>
      <c r="N56" s="164">
        <f>N55+N37</f>
        <v>70621.060365330253</v>
      </c>
    </row>
    <row r="58" spans="2:14" x14ac:dyDescent="0.3">
      <c r="B58" s="1" t="s">
        <v>126</v>
      </c>
      <c r="J58" s="36">
        <f>J56-J31</f>
        <v>0</v>
      </c>
      <c r="K58" s="36">
        <f>K56-K31</f>
        <v>0</v>
      </c>
      <c r="L58" s="36">
        <f>L56-L31</f>
        <v>0</v>
      </c>
      <c r="M58" s="36">
        <f>M56-M31</f>
        <v>0</v>
      </c>
      <c r="N58" s="36">
        <f>N56-N31</f>
        <v>0</v>
      </c>
    </row>
  </sheetData>
  <mergeCells count="2">
    <mergeCell ref="D5:H5"/>
    <mergeCell ref="J5:N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30"/>
  <sheetViews>
    <sheetView showGridLines="0" zoomScale="80" zoomScaleNormal="80" workbookViewId="0"/>
  </sheetViews>
  <sheetFormatPr defaultColWidth="9.109375" defaultRowHeight="14.4" x14ac:dyDescent="0.3"/>
  <cols>
    <col min="1" max="1" width="4.44140625" style="1" customWidth="1"/>
    <col min="2" max="2" width="44.88671875" style="1" customWidth="1"/>
    <col min="3" max="3" width="9.109375" style="1"/>
    <col min="4" max="4" width="10.6640625" style="1" customWidth="1"/>
    <col min="5" max="8" width="10" style="1" bestFit="1" customWidth="1"/>
    <col min="9" max="16384" width="9.109375" style="1"/>
  </cols>
  <sheetData>
    <row r="1" spans="2:16" ht="21" x14ac:dyDescent="0.4">
      <c r="B1" s="3" t="s">
        <v>111</v>
      </c>
      <c r="C1" s="2"/>
      <c r="D1" s="2"/>
      <c r="E1" s="2"/>
      <c r="F1" s="2"/>
      <c r="G1" s="2"/>
      <c r="H1" s="2"/>
      <c r="I1" s="2"/>
      <c r="J1" s="2"/>
      <c r="K1" s="2"/>
      <c r="L1" s="2"/>
      <c r="M1" s="2"/>
      <c r="N1" s="2"/>
      <c r="O1" s="2"/>
      <c r="P1" s="2"/>
    </row>
    <row r="2" spans="2:16" x14ac:dyDescent="0.3">
      <c r="B2" s="5" t="s">
        <v>1</v>
      </c>
      <c r="C2" s="2"/>
      <c r="D2" s="2"/>
      <c r="E2" s="2"/>
      <c r="F2" s="2"/>
      <c r="G2" s="2"/>
      <c r="H2" s="2"/>
      <c r="I2" s="2"/>
      <c r="J2" s="2"/>
      <c r="K2" s="2"/>
      <c r="L2" s="2"/>
      <c r="M2" s="2"/>
      <c r="N2" s="2"/>
      <c r="O2" s="2"/>
      <c r="P2" s="2"/>
    </row>
    <row r="5" spans="2:16" x14ac:dyDescent="0.3">
      <c r="D5" s="256" t="s">
        <v>3</v>
      </c>
      <c r="E5" s="256"/>
      <c r="F5" s="256"/>
      <c r="G5" s="256"/>
      <c r="H5" s="256"/>
      <c r="J5" s="257"/>
      <c r="K5" s="257"/>
      <c r="L5" s="257"/>
      <c r="M5" s="257"/>
      <c r="N5" s="257"/>
    </row>
    <row r="6" spans="2:16" x14ac:dyDescent="0.3">
      <c r="B6" s="42" t="s">
        <v>4</v>
      </c>
      <c r="D6" s="9">
        <v>2022</v>
      </c>
      <c r="E6" s="9">
        <f>D6+1</f>
        <v>2023</v>
      </c>
      <c r="F6" s="9">
        <f>E6+1</f>
        <v>2024</v>
      </c>
      <c r="G6" s="9">
        <f>F6+1</f>
        <v>2025</v>
      </c>
      <c r="H6" s="9">
        <f>G6+1</f>
        <v>2026</v>
      </c>
    </row>
    <row r="8" spans="2:16" x14ac:dyDescent="0.3">
      <c r="B8" s="171" t="s">
        <v>65</v>
      </c>
      <c r="D8" s="145"/>
      <c r="E8" s="145"/>
      <c r="F8" s="145"/>
      <c r="G8" s="145"/>
      <c r="H8" s="145"/>
    </row>
    <row r="9" spans="2:16" x14ac:dyDescent="0.3">
      <c r="B9" s="68" t="s">
        <v>62</v>
      </c>
      <c r="D9" s="166">
        <f>IS!J23</f>
        <v>3377.9107692013995</v>
      </c>
      <c r="E9" s="166">
        <f>IS!K23</f>
        <v>3922.9832310040028</v>
      </c>
      <c r="F9" s="166">
        <f>IS!L23</f>
        <v>4465.288484634475</v>
      </c>
      <c r="G9" s="166">
        <f>IS!M23</f>
        <v>5005.9171531009033</v>
      </c>
      <c r="H9" s="166">
        <f>IS!N23</f>
        <v>5545.7833032072867</v>
      </c>
    </row>
    <row r="10" spans="2:16" x14ac:dyDescent="0.3">
      <c r="B10" s="172" t="s">
        <v>69</v>
      </c>
      <c r="D10" s="167">
        <f>IS!J15</f>
        <v>3785.3760236643534</v>
      </c>
      <c r="E10" s="167">
        <f>IS!K15</f>
        <v>3689.1118744484693</v>
      </c>
      <c r="F10" s="167">
        <f>IS!L15</f>
        <v>3619.5574485591428</v>
      </c>
      <c r="G10" s="167">
        <f>IS!M15</f>
        <v>3574.7514708356484</v>
      </c>
      <c r="H10" s="167">
        <f>IS!N15</f>
        <v>3552.9056506079796</v>
      </c>
    </row>
    <row r="11" spans="2:16" x14ac:dyDescent="0.3">
      <c r="B11" s="148" t="s">
        <v>63</v>
      </c>
      <c r="D11" s="168"/>
      <c r="E11" s="168"/>
      <c r="F11" s="168"/>
      <c r="G11" s="168"/>
      <c r="H11" s="168"/>
    </row>
    <row r="12" spans="2:16" x14ac:dyDescent="0.3">
      <c r="B12" s="173" t="s">
        <v>33</v>
      </c>
      <c r="D12" s="166">
        <f>-(BS!J23-BS!H23)</f>
        <v>658.02970780153373</v>
      </c>
      <c r="E12" s="166">
        <f>-(BS!K23-BS!J23)</f>
        <v>-639.94190284027718</v>
      </c>
      <c r="F12" s="166">
        <f>-(BS!L23-BS!K23)</f>
        <v>-662.89213930183723</v>
      </c>
      <c r="G12" s="166">
        <f>-(BS!M23-BS!L23)</f>
        <v>-685.35563814449233</v>
      </c>
      <c r="H12" s="166">
        <f>-(BS!N23-BS!M23)</f>
        <v>-707.26679831211914</v>
      </c>
    </row>
    <row r="13" spans="2:16" x14ac:dyDescent="0.3">
      <c r="B13" s="174" t="s">
        <v>34</v>
      </c>
      <c r="D13" s="166">
        <f>-(BS!J26-BS!H26)</f>
        <v>-27.487710547354254</v>
      </c>
      <c r="E13" s="166">
        <f>-(BS!K26-BS!J26)</f>
        <v>-310.47870554616657</v>
      </c>
      <c r="F13" s="166">
        <f>-(BS!L26-BS!K26)</f>
        <v>-321.61340336316698</v>
      </c>
      <c r="G13" s="166">
        <f>-(BS!M26-BS!L26)</f>
        <v>-332.51195214040945</v>
      </c>
      <c r="H13" s="166">
        <f>-(BS!N26-BS!M26)</f>
        <v>-343.14252440902692</v>
      </c>
    </row>
    <row r="14" spans="2:16" ht="15.6" x14ac:dyDescent="0.3">
      <c r="B14" s="175" t="s">
        <v>37</v>
      </c>
      <c r="D14" s="166">
        <f>-(BS!J29-BS!H29)</f>
        <v>303.09114301639283</v>
      </c>
      <c r="E14" s="166">
        <f>-(BS!K29-BS!J29)</f>
        <v>-73.712841389187133</v>
      </c>
      <c r="F14" s="166">
        <f>-(BS!L29-BS!K29)</f>
        <v>-76.356405019927251</v>
      </c>
      <c r="G14" s="166">
        <f>-(BS!M29-BS!L29)</f>
        <v>-78.943902916042134</v>
      </c>
      <c r="H14" s="166">
        <f>-(BS!N29-BS!M29)</f>
        <v>-81.46777870370488</v>
      </c>
    </row>
    <row r="15" spans="2:16" ht="15.6" x14ac:dyDescent="0.3">
      <c r="B15" s="175" t="s">
        <v>53</v>
      </c>
      <c r="D15" s="166">
        <f>BS!J49-BS!H49</f>
        <v>-855.92791660334842</v>
      </c>
      <c r="E15" s="166">
        <f>BS!K49-BS!J49</f>
        <v>142.66958446263334</v>
      </c>
      <c r="F15" s="166">
        <f>BS!L49-BS!K49</f>
        <v>147.78614377021631</v>
      </c>
      <c r="G15" s="166">
        <f>BS!M49-BS!L49</f>
        <v>152.79418908063235</v>
      </c>
      <c r="H15" s="166">
        <f>BS!N49-BS!M49</f>
        <v>157.67909519841533</v>
      </c>
    </row>
    <row r="16" spans="2:16" x14ac:dyDescent="0.3">
      <c r="B16" s="173" t="s">
        <v>56</v>
      </c>
      <c r="D16" s="166">
        <f>BS!J52-BS!H52</f>
        <v>-202.02078280819012</v>
      </c>
      <c r="E16" s="166">
        <f>BS!K52-BS!J52</f>
        <v>28.244988847323953</v>
      </c>
      <c r="F16" s="166">
        <f>BS!L52-BS!K52</f>
        <v>29.257938882355461</v>
      </c>
      <c r="G16" s="166">
        <f>BS!M52-BS!L52</f>
        <v>30.249405875635091</v>
      </c>
      <c r="H16" s="166">
        <f>BS!N52-BS!M52</f>
        <v>31.216494406359232</v>
      </c>
    </row>
    <row r="17" spans="2:8" x14ac:dyDescent="0.3">
      <c r="B17" s="176" t="s">
        <v>64</v>
      </c>
      <c r="D17" s="166">
        <f>SUM(D12:D16)</f>
        <v>-124.31555914096623</v>
      </c>
      <c r="E17" s="166">
        <f>SUM(E12:E16)</f>
        <v>-853.21887646567359</v>
      </c>
      <c r="F17" s="166">
        <f>SUM(F12:F16)</f>
        <v>-883.81786503235969</v>
      </c>
      <c r="G17" s="166">
        <f>SUM(G12:G16)</f>
        <v>-913.76789824467642</v>
      </c>
      <c r="H17" s="166">
        <f>SUM(H12:H16)</f>
        <v>-942.98151182007632</v>
      </c>
    </row>
    <row r="18" spans="2:8" x14ac:dyDescent="0.3">
      <c r="B18" s="177" t="s">
        <v>65</v>
      </c>
      <c r="C18" s="11"/>
      <c r="D18" s="169">
        <f>D17+D9+D10</f>
        <v>7038.9712337247865</v>
      </c>
      <c r="E18" s="169">
        <f>E17+E9+E10</f>
        <v>6758.8762289867991</v>
      </c>
      <c r="F18" s="169">
        <f>F17+F9+F10</f>
        <v>7201.0280681612585</v>
      </c>
      <c r="G18" s="169">
        <f>G17+G9+G10</f>
        <v>7666.9007256918758</v>
      </c>
      <c r="H18" s="169">
        <f>H17+H9+H10</f>
        <v>8155.7074419951896</v>
      </c>
    </row>
    <row r="19" spans="2:8" x14ac:dyDescent="0.3">
      <c r="B19" s="151"/>
      <c r="D19" s="145"/>
      <c r="E19" s="145"/>
      <c r="F19" s="145"/>
      <c r="G19" s="145"/>
      <c r="H19" s="145"/>
    </row>
    <row r="20" spans="2:8" x14ac:dyDescent="0.3">
      <c r="B20" s="178" t="s">
        <v>70</v>
      </c>
      <c r="D20" s="168"/>
      <c r="E20" s="168"/>
      <c r="F20" s="168"/>
      <c r="G20" s="168"/>
      <c r="H20" s="168"/>
    </row>
    <row r="21" spans="2:8" x14ac:dyDescent="0.3">
      <c r="B21" s="151" t="s">
        <v>71</v>
      </c>
      <c r="D21" s="166">
        <f>-Schedules!I6</f>
        <v>-2602.1249740440494</v>
      </c>
      <c r="E21" s="166">
        <f>-Schedules!J6</f>
        <v>-2778.8092597816408</v>
      </c>
      <c r="F21" s="166">
        <f>-Schedules!K6</f>
        <v>-2961.829974058639</v>
      </c>
      <c r="G21" s="166">
        <f>-Schedules!L6</f>
        <v>-3151.0527314126207</v>
      </c>
      <c r="H21" s="166">
        <f>-Schedules!M6</f>
        <v>-3346.3250343061527</v>
      </c>
    </row>
    <row r="22" spans="2:8" x14ac:dyDescent="0.3">
      <c r="B22" s="177" t="s">
        <v>70</v>
      </c>
      <c r="C22" s="11"/>
      <c r="D22" s="170">
        <f>D21</f>
        <v>-2602.1249740440494</v>
      </c>
      <c r="E22" s="170">
        <f>E21</f>
        <v>-2778.8092597816408</v>
      </c>
      <c r="F22" s="170">
        <f>F21</f>
        <v>-2961.829974058639</v>
      </c>
      <c r="G22" s="170">
        <f>G21</f>
        <v>-3151.0527314126207</v>
      </c>
      <c r="H22" s="170">
        <f>H21</f>
        <v>-3346.3250343061527</v>
      </c>
    </row>
    <row r="23" spans="2:8" x14ac:dyDescent="0.3">
      <c r="B23" s="151"/>
      <c r="D23" s="145"/>
      <c r="E23" s="145"/>
      <c r="F23" s="145"/>
      <c r="G23" s="145"/>
      <c r="H23" s="145"/>
    </row>
    <row r="24" spans="2:8" x14ac:dyDescent="0.3">
      <c r="B24" s="171" t="s">
        <v>72</v>
      </c>
      <c r="D24" s="145"/>
      <c r="E24" s="145"/>
      <c r="F24" s="145"/>
      <c r="G24" s="145"/>
      <c r="H24" s="145"/>
    </row>
    <row r="25" spans="2:8" x14ac:dyDescent="0.3">
      <c r="B25" s="151" t="s">
        <v>66</v>
      </c>
      <c r="D25" s="167">
        <f>Schedules!I24</f>
        <v>-1347.110814757518</v>
      </c>
      <c r="E25" s="167">
        <f>Schedules!J24</f>
        <v>-1564.4857125243964</v>
      </c>
      <c r="F25" s="167">
        <f>Schedules!K24</f>
        <v>-1780.7570476722285</v>
      </c>
      <c r="G25" s="167">
        <f>Schedules!L24</f>
        <v>-1996.3597606566402</v>
      </c>
      <c r="H25" s="167">
        <f>Schedules!M24</f>
        <v>-2211.6583813190659</v>
      </c>
    </row>
    <row r="26" spans="2:8" x14ac:dyDescent="0.3">
      <c r="B26" s="177" t="s">
        <v>73</v>
      </c>
      <c r="C26" s="11"/>
      <c r="D26" s="143">
        <f>D25</f>
        <v>-1347.110814757518</v>
      </c>
      <c r="E26" s="143">
        <f>E25</f>
        <v>-1564.4857125243964</v>
      </c>
      <c r="F26" s="143">
        <f>F25</f>
        <v>-1780.7570476722285</v>
      </c>
      <c r="G26" s="143">
        <f>G25</f>
        <v>-1996.3597606566402</v>
      </c>
      <c r="H26" s="143">
        <f>H25</f>
        <v>-2211.6583813190659</v>
      </c>
    </row>
    <row r="27" spans="2:8" x14ac:dyDescent="0.3">
      <c r="B27" s="151"/>
      <c r="D27" s="145"/>
      <c r="E27" s="145"/>
      <c r="F27" s="145"/>
      <c r="G27" s="145"/>
      <c r="H27" s="145"/>
    </row>
    <row r="28" spans="2:8" x14ac:dyDescent="0.3">
      <c r="B28" s="151" t="s">
        <v>74</v>
      </c>
      <c r="D28" s="144">
        <f>BS!H27</f>
        <v>1123.2</v>
      </c>
      <c r="E28" s="144">
        <f>D30</f>
        <v>4212.9354449232187</v>
      </c>
      <c r="F28" s="144">
        <f>E30</f>
        <v>6628.5167016039804</v>
      </c>
      <c r="G28" s="144">
        <f>F30</f>
        <v>9086.9577480343723</v>
      </c>
      <c r="H28" s="144">
        <f>G30</f>
        <v>11606.445981656987</v>
      </c>
    </row>
    <row r="29" spans="2:8" x14ac:dyDescent="0.3">
      <c r="B29" s="151" t="s">
        <v>67</v>
      </c>
      <c r="D29" s="142">
        <f>D18+D22+D26</f>
        <v>3089.7354449232189</v>
      </c>
      <c r="E29" s="142">
        <f>E18+E22+E26</f>
        <v>2415.5812566807617</v>
      </c>
      <c r="F29" s="142">
        <f>F18+F22+F26</f>
        <v>2458.441046430391</v>
      </c>
      <c r="G29" s="142">
        <f>G18+G22+G26</f>
        <v>2519.4882336226146</v>
      </c>
      <c r="H29" s="142">
        <f>H18+H22+H26</f>
        <v>2597.7240263699709</v>
      </c>
    </row>
    <row r="30" spans="2:8" x14ac:dyDescent="0.3">
      <c r="B30" s="171" t="s">
        <v>68</v>
      </c>
      <c r="D30" s="144">
        <f>SUM(D28:D29)</f>
        <v>4212.9354449232187</v>
      </c>
      <c r="E30" s="144">
        <f>SUM(E28:E29)</f>
        <v>6628.5167016039804</v>
      </c>
      <c r="F30" s="144">
        <f>SUM(F28:F29)</f>
        <v>9086.9577480343723</v>
      </c>
      <c r="G30" s="144">
        <f>SUM(G28:G29)</f>
        <v>11606.445981656987</v>
      </c>
      <c r="H30" s="144">
        <f>SUM(H28:H29)</f>
        <v>14204.170008026958</v>
      </c>
    </row>
  </sheetData>
  <mergeCells count="2">
    <mergeCell ref="D5:H5"/>
    <mergeCell ref="J5:N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S34"/>
  <sheetViews>
    <sheetView showGridLines="0" zoomScale="80" zoomScaleNormal="80" workbookViewId="0">
      <selection activeCell="O1" sqref="O1"/>
    </sheetView>
  </sheetViews>
  <sheetFormatPr defaultRowHeight="14.4" x14ac:dyDescent="0.3"/>
  <cols>
    <col min="1" max="1" width="4.44140625" customWidth="1"/>
    <col min="2" max="2" width="35.44140625" customWidth="1"/>
    <col min="3" max="3" width="11.6640625" customWidth="1"/>
    <col min="5" max="5" width="12.88671875" customWidth="1"/>
    <col min="6" max="6" width="11.5546875" bestFit="1" customWidth="1"/>
    <col min="10" max="10" width="10.6640625" bestFit="1" customWidth="1"/>
    <col min="12" max="12" width="8.109375" customWidth="1"/>
    <col min="13" max="13" width="10.44140625" customWidth="1"/>
    <col min="14" max="14" width="20.109375" customWidth="1"/>
    <col min="16" max="16" width="9.88671875" bestFit="1" customWidth="1"/>
  </cols>
  <sheetData>
    <row r="1" spans="2:18" ht="21" x14ac:dyDescent="0.4">
      <c r="B1" s="3" t="s">
        <v>75</v>
      </c>
      <c r="C1" s="18"/>
      <c r="D1" s="18"/>
      <c r="E1" s="18"/>
      <c r="F1" s="18"/>
      <c r="G1" s="18"/>
      <c r="H1" s="18"/>
      <c r="I1" s="18"/>
      <c r="J1" s="18"/>
      <c r="K1" s="18"/>
      <c r="L1" s="18"/>
      <c r="M1" s="18"/>
      <c r="N1" s="18"/>
      <c r="O1" s="18"/>
      <c r="P1" s="18"/>
      <c r="Q1" s="17"/>
    </row>
    <row r="2" spans="2:18" x14ac:dyDescent="0.3">
      <c r="B2" s="18"/>
      <c r="C2" s="18"/>
      <c r="D2" s="18"/>
      <c r="E2" s="18"/>
      <c r="F2" s="18"/>
      <c r="G2" s="18"/>
      <c r="H2" s="18"/>
      <c r="I2" s="18"/>
      <c r="J2" s="18"/>
      <c r="K2" s="18"/>
      <c r="L2" s="18"/>
      <c r="M2" s="18"/>
      <c r="N2" s="18"/>
      <c r="O2" s="18"/>
      <c r="P2" s="18"/>
      <c r="Q2" s="17"/>
    </row>
    <row r="3" spans="2:18" ht="15.6" x14ac:dyDescent="0.3">
      <c r="B3" t="s">
        <v>140</v>
      </c>
      <c r="C3" s="50">
        <v>44537</v>
      </c>
      <c r="E3" t="s">
        <v>144</v>
      </c>
      <c r="F3" s="116">
        <v>44651</v>
      </c>
    </row>
    <row r="4" spans="2:18" x14ac:dyDescent="0.3">
      <c r="B4" s="189" t="s">
        <v>76</v>
      </c>
      <c r="C4" s="190"/>
      <c r="D4" s="190"/>
      <c r="E4" s="191">
        <v>2017</v>
      </c>
      <c r="F4" s="191">
        <f>E4+1</f>
        <v>2018</v>
      </c>
      <c r="G4" s="191">
        <f>F4+1</f>
        <v>2019</v>
      </c>
      <c r="H4" s="191">
        <f>G4+1</f>
        <v>2020</v>
      </c>
      <c r="I4" s="191">
        <f>H4+1</f>
        <v>2021</v>
      </c>
      <c r="J4" s="192" t="s">
        <v>80</v>
      </c>
      <c r="K4" s="193"/>
      <c r="L4" s="194" t="s">
        <v>89</v>
      </c>
      <c r="M4" s="193"/>
      <c r="N4" s="193"/>
      <c r="O4" s="193"/>
      <c r="P4" s="193"/>
      <c r="Q4" s="190"/>
    </row>
    <row r="5" spans="2:18" x14ac:dyDescent="0.3">
      <c r="B5" s="195"/>
      <c r="C5" s="37"/>
      <c r="D5" s="37"/>
      <c r="E5" s="196"/>
      <c r="F5" s="196"/>
      <c r="G5" s="196"/>
      <c r="H5" s="196"/>
      <c r="I5" s="196"/>
      <c r="J5" s="197"/>
      <c r="K5" s="198"/>
      <c r="L5" s="199"/>
      <c r="M5" s="198"/>
      <c r="N5" s="198"/>
      <c r="O5" s="198"/>
      <c r="P5" s="198"/>
      <c r="Q5" s="37"/>
    </row>
    <row r="6" spans="2:18" ht="15.6" x14ac:dyDescent="0.3">
      <c r="B6" s="68" t="s">
        <v>86</v>
      </c>
      <c r="E6" s="184"/>
      <c r="F6" s="179">
        <f>IS!E8/IS!D8-1</f>
        <v>-1.8955335179010713E-2</v>
      </c>
      <c r="G6" s="179">
        <f>IS!F8/IS!E8-1</f>
        <v>0.14005635279470541</v>
      </c>
      <c r="H6" s="179">
        <f>IS!G8/IS!F8-1</f>
        <v>-9.9637514560725893E-2</v>
      </c>
      <c r="I6" s="179">
        <f>IS!H8/IS!G8-1</f>
        <v>-3.8338447396083719E-2</v>
      </c>
      <c r="J6" s="179">
        <v>7.0000000000000007E-2</v>
      </c>
      <c r="K6" s="27"/>
      <c r="L6" s="28" t="s">
        <v>90</v>
      </c>
      <c r="M6" s="13" t="s">
        <v>95</v>
      </c>
      <c r="O6" s="13"/>
      <c r="P6" s="13"/>
      <c r="Q6" s="28">
        <v>1</v>
      </c>
    </row>
    <row r="7" spans="2:18" ht="15.6" x14ac:dyDescent="0.3">
      <c r="B7" s="148" t="s">
        <v>77</v>
      </c>
      <c r="E7" s="179">
        <f>IS!D13/IS!D8</f>
        <v>2.2741688023382389E-2</v>
      </c>
      <c r="F7" s="179">
        <f>IS!E13/IS!E8</f>
        <v>1.3550881331498591E-2</v>
      </c>
      <c r="G7" s="179">
        <f>IS!F13/IS!F8</f>
        <v>8.7651738090858931E-3</v>
      </c>
      <c r="H7" s="179">
        <f>IS!G13/IS!G8</f>
        <v>5.2112370357445328E-3</v>
      </c>
      <c r="I7" s="179">
        <f>IS!H13/IS!H8</f>
        <v>3.5448046042630588E-3</v>
      </c>
      <c r="J7" s="179">
        <f>IFERROR(AVERAGE(E7:I7),na)</f>
        <v>1.0762756960794895E-2</v>
      </c>
      <c r="L7" s="28" t="s">
        <v>91</v>
      </c>
      <c r="M7" s="13" t="s">
        <v>92</v>
      </c>
      <c r="O7" s="13"/>
      <c r="P7" s="13"/>
      <c r="Q7" s="28">
        <v>2</v>
      </c>
    </row>
    <row r="8" spans="2:18" ht="15.6" x14ac:dyDescent="0.3">
      <c r="B8" s="148" t="s">
        <v>6</v>
      </c>
      <c r="E8" s="179">
        <f>IS!D9/IS!D8</f>
        <v>0.47705260180510678</v>
      </c>
      <c r="F8" s="179">
        <f>IS!E9/IS!E8</f>
        <v>0.49836402158006243</v>
      </c>
      <c r="G8" s="179">
        <f>IS!F9/IS!F8</f>
        <v>0.46513089326221568</v>
      </c>
      <c r="H8" s="179">
        <f>IS!G9/IS!G8</f>
        <v>0.45566724687517296</v>
      </c>
      <c r="I8" s="179">
        <f>IS!H9/IS!H8</f>
        <v>0.44814119031971833</v>
      </c>
      <c r="J8" s="179">
        <f>IFERROR(AVERAGE($E$8:$I$8),na)</f>
        <v>0.46887119076845529</v>
      </c>
      <c r="L8" s="28" t="s">
        <v>93</v>
      </c>
      <c r="M8" s="13" t="s">
        <v>94</v>
      </c>
      <c r="O8" s="13"/>
      <c r="P8" s="28"/>
      <c r="Q8" s="28">
        <v>3</v>
      </c>
    </row>
    <row r="9" spans="2:18" x14ac:dyDescent="0.3">
      <c r="B9" s="148" t="s">
        <v>78</v>
      </c>
      <c r="E9" s="179">
        <f>IS!D11/IS!D$8</f>
        <v>0.12350752984940302</v>
      </c>
      <c r="F9" s="179">
        <f>IS!E11/IS!E$8</f>
        <v>0.11046676714064173</v>
      </c>
      <c r="G9" s="179">
        <f>IS!F11/IS!F$8</f>
        <v>0.11347786769664645</v>
      </c>
      <c r="H9" s="179">
        <f>IS!G11/IS!G$8</f>
        <v>0.12408446927944913</v>
      </c>
      <c r="I9" s="179">
        <f>IS!H11/IS!H$8</f>
        <v>0.12779441018390056</v>
      </c>
      <c r="J9" s="179">
        <f>IFERROR(AVERAGE(E9:I9),na)</f>
        <v>0.11986620883000818</v>
      </c>
      <c r="L9" s="30" t="str">
        <f>VLOOKUP($O$11,$L$6:$Q$8,1,FALSE)</f>
        <v>Base</v>
      </c>
      <c r="M9" s="29" t="str">
        <f>VLOOKUP($O$11,$L$6:$Q$8,2,FALSE)</f>
        <v>Based on Demonstrated Historical Growth</v>
      </c>
      <c r="N9" s="29"/>
      <c r="O9" s="29"/>
      <c r="P9" s="29"/>
      <c r="Q9" s="31">
        <f>VLOOKUP($O$11,$L$6:$Q$8,6,FALSE)</f>
        <v>1</v>
      </c>
    </row>
    <row r="10" spans="2:18" x14ac:dyDescent="0.3">
      <c r="B10" s="148" t="s">
        <v>9</v>
      </c>
      <c r="E10" s="179">
        <f>IS!D12/IS!D$8</f>
        <v>0.20963152165528118</v>
      </c>
      <c r="F10" s="179">
        <f>IS!E12/IS!E$8</f>
        <v>0.20507611995718936</v>
      </c>
      <c r="G10" s="179">
        <f>IS!F12/IS!F$8</f>
        <v>0.23414413585923613</v>
      </c>
      <c r="H10" s="179">
        <f>IS!G12/IS!G$8</f>
        <v>0.2413298549195014</v>
      </c>
      <c r="I10" s="179">
        <f>IS!H12/IS!H$8</f>
        <v>0.24461807053762868</v>
      </c>
      <c r="J10" s="179">
        <f>IFERROR(AVERAGE(E10:I10),na)</f>
        <v>0.22695994058576735</v>
      </c>
    </row>
    <row r="11" spans="2:18" ht="15.6" x14ac:dyDescent="0.3">
      <c r="B11" s="148" t="s">
        <v>79</v>
      </c>
      <c r="E11" s="180">
        <f>IS!D21/IS!D19</f>
        <v>0.23151653363740041</v>
      </c>
      <c r="F11" s="180">
        <f>IS!E21/IS!E19</f>
        <v>0.32142219045917447</v>
      </c>
      <c r="G11" s="180">
        <f>IS!F21/IS!F19</f>
        <v>0.32180209171359631</v>
      </c>
      <c r="H11" s="180">
        <f>IS!G21/IS!G19</f>
        <v>0.18852828755252737</v>
      </c>
      <c r="I11" s="180">
        <f>IS!H21/IS!H19</f>
        <v>0.23752180249922319</v>
      </c>
      <c r="J11" s="179">
        <f>AVERAGE(E11:I11)</f>
        <v>0.26015818117238432</v>
      </c>
      <c r="L11" s="258" t="s">
        <v>96</v>
      </c>
      <c r="M11" s="258"/>
      <c r="N11" s="19"/>
      <c r="O11" s="19" t="s">
        <v>90</v>
      </c>
      <c r="P11" t="s">
        <v>98</v>
      </c>
      <c r="Q11" s="32" t="s">
        <v>97</v>
      </c>
      <c r="R11" s="32"/>
    </row>
    <row r="12" spans="2:18" ht="15.6" x14ac:dyDescent="0.3">
      <c r="B12" s="68"/>
      <c r="E12" s="20"/>
      <c r="F12" s="20"/>
      <c r="G12" s="20"/>
      <c r="H12" s="20"/>
      <c r="I12" s="20"/>
      <c r="J12" s="20"/>
      <c r="L12" s="14" t="s">
        <v>99</v>
      </c>
      <c r="Q12" s="33">
        <v>0.03</v>
      </c>
    </row>
    <row r="13" spans="2:18" ht="15.6" x14ac:dyDescent="0.3">
      <c r="B13" s="148" t="s">
        <v>81</v>
      </c>
      <c r="E13" s="181">
        <f>365*BS!D23/IS!D9</f>
        <v>125.95450278265633</v>
      </c>
      <c r="F13" s="181">
        <f>365*BS!E23/IS!E9</f>
        <v>145.01873635861608</v>
      </c>
      <c r="G13" s="181">
        <f>365*BS!F23/IS!F9</f>
        <v>150.4886809239793</v>
      </c>
      <c r="H13" s="181">
        <f>365*BS!G23/IS!G9</f>
        <v>155.44702272822789</v>
      </c>
      <c r="I13" s="181">
        <f>365*BS!H23/IS!H9</f>
        <v>181.71423210617789</v>
      </c>
      <c r="J13" s="181">
        <f>IFERROR(AVERAGE(E13:I13),na)</f>
        <v>151.72463497993149</v>
      </c>
      <c r="L13" s="14" t="s">
        <v>100</v>
      </c>
      <c r="Q13" s="33">
        <v>0.15</v>
      </c>
    </row>
    <row r="14" spans="2:18" ht="15.6" x14ac:dyDescent="0.3">
      <c r="B14" s="148" t="s">
        <v>82</v>
      </c>
      <c r="E14" s="181">
        <f>365*BS!D26/IS!D8</f>
        <v>29.852231526798036</v>
      </c>
      <c r="F14" s="181">
        <f>365*BS!E26/IS!E8</f>
        <v>38.088897625756289</v>
      </c>
      <c r="G14" s="181">
        <f>365*BS!F26/IS!F8</f>
        <v>46.293528906872666</v>
      </c>
      <c r="H14" s="181">
        <f>365*BS!G26/IS!G8</f>
        <v>21.629123346086576</v>
      </c>
      <c r="I14" s="181">
        <f>365*BS!H26/IS!H8</f>
        <v>36.708454204089584</v>
      </c>
      <c r="J14" s="181">
        <f>IFERROR(AVERAGE(E14:I14),na)</f>
        <v>34.514447121920632</v>
      </c>
      <c r="L14" s="14" t="s">
        <v>101</v>
      </c>
      <c r="Q14" s="33">
        <v>0.15</v>
      </c>
    </row>
    <row r="15" spans="2:18" x14ac:dyDescent="0.3">
      <c r="B15" s="148"/>
      <c r="E15" s="20"/>
      <c r="F15" s="20"/>
      <c r="G15" s="20"/>
      <c r="H15" s="20"/>
      <c r="I15" s="20"/>
      <c r="J15" s="20"/>
    </row>
    <row r="16" spans="2:18" ht="15.6" x14ac:dyDescent="0.3">
      <c r="B16" s="148" t="s">
        <v>83</v>
      </c>
      <c r="E16" s="181">
        <f>365*BS!D49/IS!D9</f>
        <v>28.207578527505401</v>
      </c>
      <c r="F16" s="181">
        <f>365*BS!E49/IS!E9</f>
        <v>26.926360632171317</v>
      </c>
      <c r="G16" s="181">
        <f>365*BS!F49/IS!F9</f>
        <v>26.558329488911593</v>
      </c>
      <c r="H16" s="181">
        <f>365*BS!G49/IS!G9</f>
        <v>34.142846468882361</v>
      </c>
      <c r="I16" s="181">
        <f>365*BS!H49/IS!H9</f>
        <v>53.293445844525202</v>
      </c>
      <c r="J16" s="181">
        <f>IFERROR(AVERAGE(E16:I16),na)</f>
        <v>33.825712192399173</v>
      </c>
      <c r="L16" s="259" t="s">
        <v>221</v>
      </c>
      <c r="M16" s="259"/>
      <c r="N16" s="259"/>
      <c r="O16" s="259"/>
      <c r="P16" s="259"/>
      <c r="Q16" s="259"/>
    </row>
    <row r="17" spans="2:19" x14ac:dyDescent="0.3">
      <c r="B17" s="148" t="s">
        <v>85</v>
      </c>
      <c r="E17" s="182">
        <f>BS!D29/IS!D8</f>
        <v>1.5316836520412448E-2</v>
      </c>
      <c r="F17" s="182">
        <f>BS!E29/IS!E8</f>
        <v>2.2003800537317344E-2</v>
      </c>
      <c r="G17" s="182">
        <f>BS!F29/IS!F8</f>
        <v>2.1103473116301882E-2</v>
      </c>
      <c r="H17" s="182">
        <f>BS!G29/IS!G8</f>
        <v>2.3098398539406657E-2</v>
      </c>
      <c r="I17" s="182">
        <f>BS!H29/IS!H8</f>
        <v>3.0728278114482584E-2</v>
      </c>
      <c r="J17" s="180">
        <f>IFERROR(AVERAGE(E17:I17),na)</f>
        <v>2.2450157365584183E-2</v>
      </c>
      <c r="L17" s="35" t="s">
        <v>106</v>
      </c>
      <c r="Q17" t="s">
        <v>105</v>
      </c>
    </row>
    <row r="18" spans="2:19" ht="15.6" x14ac:dyDescent="0.3">
      <c r="B18" s="149" t="s">
        <v>84</v>
      </c>
      <c r="E18" s="180">
        <f>BS!D52/IS!D9</f>
        <v>1.431978762874558E-2</v>
      </c>
      <c r="F18" s="180">
        <f>BS!E52/IS!E9</f>
        <v>1.3683020257181176E-2</v>
      </c>
      <c r="G18" s="180">
        <f>BS!F52/IS!F9</f>
        <v>1.2179951889807888E-2</v>
      </c>
      <c r="H18" s="180">
        <f>BS!G52/IS!G9</f>
        <v>2.1037737170716216E-2</v>
      </c>
      <c r="I18" s="180">
        <f>BS!H52/IS!H9</f>
        <v>3.0514299257386635E-2</v>
      </c>
      <c r="J18" s="183">
        <f>IFERROR(AVERAGE(E18:I18),na)</f>
        <v>1.8346959240767499E-2</v>
      </c>
      <c r="L18" t="s">
        <v>107</v>
      </c>
      <c r="Q18" s="65">
        <f>IF(DCF!D40="",Assumptions!Q27,DCF!D40)</f>
        <v>0.10067113979532355</v>
      </c>
    </row>
    <row r="19" spans="2:19" x14ac:dyDescent="0.3">
      <c r="B19" s="22"/>
      <c r="E19" s="25"/>
      <c r="F19" s="25"/>
      <c r="G19" s="25"/>
      <c r="H19" s="25"/>
      <c r="I19" s="25"/>
      <c r="J19" s="25"/>
      <c r="L19" t="s">
        <v>108</v>
      </c>
      <c r="Q19" s="52">
        <v>25</v>
      </c>
    </row>
    <row r="20" spans="2:19" ht="15.6" x14ac:dyDescent="0.3">
      <c r="B20" s="22" t="s">
        <v>125</v>
      </c>
      <c r="E20" s="40"/>
      <c r="F20" s="40"/>
      <c r="G20" s="40"/>
      <c r="H20" s="40"/>
      <c r="I20" s="40"/>
      <c r="J20" s="44">
        <v>0.39879999999999999</v>
      </c>
      <c r="L20" t="s">
        <v>109</v>
      </c>
      <c r="Q20" s="92">
        <f>IF(DCF!D42="",Assumptions!Q12,DCF!D42)</f>
        <v>0.03</v>
      </c>
    </row>
    <row r="21" spans="2:19" x14ac:dyDescent="0.3">
      <c r="Q21" s="24"/>
    </row>
    <row r="22" spans="2:19" x14ac:dyDescent="0.3">
      <c r="B22" s="187" t="s">
        <v>110</v>
      </c>
      <c r="C22" s="187"/>
      <c r="D22" s="187"/>
      <c r="E22" s="188">
        <v>2022</v>
      </c>
      <c r="F22" s="188">
        <f>E22+1</f>
        <v>2023</v>
      </c>
      <c r="G22" s="188">
        <f>F22+1</f>
        <v>2024</v>
      </c>
      <c r="H22" s="188">
        <f>G22+1</f>
        <v>2025</v>
      </c>
      <c r="I22" s="188">
        <f>H22+1</f>
        <v>2026</v>
      </c>
    </row>
    <row r="23" spans="2:19" x14ac:dyDescent="0.3">
      <c r="B23" s="195"/>
      <c r="C23" s="195"/>
      <c r="D23" s="195"/>
      <c r="E23" s="199"/>
      <c r="F23" s="199"/>
      <c r="G23" s="199"/>
      <c r="H23" s="199"/>
      <c r="I23" s="199"/>
    </row>
    <row r="24" spans="2:19" ht="15.6" x14ac:dyDescent="0.3">
      <c r="B24" s="68" t="s">
        <v>102</v>
      </c>
      <c r="E24" s="185">
        <f>CHOOSE($Q$9,E25,E26,E27)</f>
        <v>7.0000000000000007E-2</v>
      </c>
      <c r="F24" s="185">
        <f>CHOOSE($Q$9,F25,F26,F27)</f>
        <v>6.7900000000000002E-2</v>
      </c>
      <c r="G24" s="185">
        <f>CHOOSE($Q$9,G25,G26,G27)</f>
        <v>6.5863000000000005E-2</v>
      </c>
      <c r="H24" s="185">
        <f>CHOOSE($Q$9,H25,H26,H27)</f>
        <v>6.3887109999999997E-2</v>
      </c>
      <c r="I24" s="185">
        <f>CHOOSE($Q$9,I25,I26,I27)</f>
        <v>6.1970496699999995E-2</v>
      </c>
      <c r="L24" s="258" t="s">
        <v>150</v>
      </c>
      <c r="M24" s="258"/>
      <c r="N24" s="19" t="s">
        <v>148</v>
      </c>
      <c r="O24" s="19"/>
      <c r="P24" s="19"/>
      <c r="Q24" t="s">
        <v>98</v>
      </c>
      <c r="R24" s="32" t="s">
        <v>97</v>
      </c>
      <c r="S24" s="32"/>
    </row>
    <row r="25" spans="2:19" x14ac:dyDescent="0.3">
      <c r="B25" s="68" t="s">
        <v>87</v>
      </c>
      <c r="E25" s="186">
        <f>J6</f>
        <v>7.0000000000000007E-2</v>
      </c>
      <c r="F25" s="185">
        <f>E25*(1-$Q$20)</f>
        <v>6.7900000000000002E-2</v>
      </c>
      <c r="G25" s="185">
        <f>F25*(1-$Q$20)</f>
        <v>6.5863000000000005E-2</v>
      </c>
      <c r="H25" s="185">
        <f>G25*(1-$Q$20)</f>
        <v>6.3887109999999997E-2</v>
      </c>
      <c r="I25" s="185">
        <f>H25*(1-$Q$20)</f>
        <v>6.1970496699999995E-2</v>
      </c>
      <c r="L25" t="s">
        <v>152</v>
      </c>
      <c r="Q25" s="51">
        <v>0.04</v>
      </c>
    </row>
    <row r="26" spans="2:19" x14ac:dyDescent="0.3">
      <c r="B26" s="68" t="s">
        <v>88</v>
      </c>
      <c r="E26" s="185">
        <f>E25*(1+$Q13)</f>
        <v>8.0500000000000002E-2</v>
      </c>
      <c r="F26" s="185">
        <f>F25*(1+$Q13)</f>
        <v>7.8085000000000002E-2</v>
      </c>
      <c r="G26" s="185">
        <f>G25*(1+$Q13)</f>
        <v>7.5742450000000003E-2</v>
      </c>
      <c r="H26" s="185">
        <f>H25*(1+$Q13)</f>
        <v>7.3470176499999984E-2</v>
      </c>
      <c r="I26" s="185">
        <f>I25*(1+$Q13)</f>
        <v>7.1266071204999989E-2</v>
      </c>
      <c r="L26" t="s">
        <v>153</v>
      </c>
      <c r="Q26" s="52">
        <v>25</v>
      </c>
    </row>
    <row r="27" spans="2:19" x14ac:dyDescent="0.3">
      <c r="B27" s="68" t="s">
        <v>103</v>
      </c>
      <c r="E27" s="185">
        <f>E25*(1-$Q14)</f>
        <v>5.9500000000000004E-2</v>
      </c>
      <c r="F27" s="185">
        <f>F25*(1-$Q14)</f>
        <v>5.7715000000000002E-2</v>
      </c>
      <c r="G27" s="185">
        <f>G25*(1-$Q14)</f>
        <v>5.598355E-2</v>
      </c>
      <c r="H27" s="185">
        <f>H25*(1-$Q14)</f>
        <v>5.4304043499999996E-2</v>
      </c>
      <c r="I27" s="185">
        <f>I25*(1-$Q14)</f>
        <v>5.2674922194999994E-2</v>
      </c>
      <c r="L27" t="s">
        <v>107</v>
      </c>
      <c r="Q27" s="65">
        <f>WACC!$J$26</f>
        <v>0.10067113979532355</v>
      </c>
    </row>
    <row r="29" spans="2:19" x14ac:dyDescent="0.3">
      <c r="B29" s="187" t="s">
        <v>110</v>
      </c>
      <c r="C29" s="187"/>
      <c r="D29" s="187"/>
      <c r="E29" s="188">
        <v>2022</v>
      </c>
      <c r="F29" s="188">
        <f>E29+1</f>
        <v>2023</v>
      </c>
      <c r="G29" s="188">
        <f>F29+1</f>
        <v>2024</v>
      </c>
      <c r="H29" s="188">
        <f>G29+1</f>
        <v>2025</v>
      </c>
      <c r="I29" s="188">
        <f>H29+1</f>
        <v>2026</v>
      </c>
    </row>
    <row r="30" spans="2:19" s="37" customFormat="1" x14ac:dyDescent="0.3">
      <c r="B30" s="195"/>
      <c r="C30" s="195"/>
      <c r="D30" s="195"/>
      <c r="E30" s="199"/>
      <c r="F30" s="199"/>
      <c r="G30" s="199"/>
      <c r="H30" s="199"/>
      <c r="I30" s="199"/>
    </row>
    <row r="31" spans="2:19" x14ac:dyDescent="0.3">
      <c r="B31" s="68" t="s">
        <v>102</v>
      </c>
      <c r="E31" s="185">
        <f>CHOOSE($Q$9,E32,E33,E34)</f>
        <v>0.46887119076845529</v>
      </c>
      <c r="F31" s="185">
        <f t="shared" ref="F31:I31" si="0">CHOOSE($Q$9,F32,F33,F34)</f>
        <v>0.46887119076845529</v>
      </c>
      <c r="G31" s="185">
        <f t="shared" si="0"/>
        <v>0.46887119076845529</v>
      </c>
      <c r="H31" s="185">
        <f t="shared" si="0"/>
        <v>0.46887119076845529</v>
      </c>
      <c r="I31" s="185">
        <f t="shared" si="0"/>
        <v>0.46887119076845529</v>
      </c>
    </row>
    <row r="32" spans="2:19" x14ac:dyDescent="0.3">
      <c r="B32" s="68" t="s">
        <v>87</v>
      </c>
      <c r="E32" s="186">
        <f>J8</f>
        <v>0.46887119076845529</v>
      </c>
      <c r="F32" s="186">
        <f>E32</f>
        <v>0.46887119076845529</v>
      </c>
      <c r="G32" s="186">
        <f t="shared" ref="G32:I32" si="1">F32</f>
        <v>0.46887119076845529</v>
      </c>
      <c r="H32" s="186">
        <f t="shared" si="1"/>
        <v>0.46887119076845529</v>
      </c>
      <c r="I32" s="186">
        <f t="shared" si="1"/>
        <v>0.46887119076845529</v>
      </c>
    </row>
    <row r="33" spans="2:9" x14ac:dyDescent="0.3">
      <c r="B33" s="68" t="s">
        <v>88</v>
      </c>
      <c r="E33" s="186">
        <f>E32-3%</f>
        <v>0.43887119076845527</v>
      </c>
      <c r="F33" s="186">
        <f t="shared" ref="F33:I33" si="2">F32-3%</f>
        <v>0.43887119076845527</v>
      </c>
      <c r="G33" s="186">
        <f t="shared" si="2"/>
        <v>0.43887119076845527</v>
      </c>
      <c r="H33" s="186">
        <f t="shared" si="2"/>
        <v>0.43887119076845527</v>
      </c>
      <c r="I33" s="186">
        <f t="shared" si="2"/>
        <v>0.43887119076845527</v>
      </c>
    </row>
    <row r="34" spans="2:9" x14ac:dyDescent="0.3">
      <c r="B34" s="68" t="s">
        <v>103</v>
      </c>
      <c r="E34" s="186">
        <f>E32+3%</f>
        <v>0.49887119076845532</v>
      </c>
      <c r="F34" s="186">
        <f t="shared" ref="F34:I34" si="3">F32+3%</f>
        <v>0.49887119076845532</v>
      </c>
      <c r="G34" s="186">
        <f t="shared" si="3"/>
        <v>0.49887119076845532</v>
      </c>
      <c r="H34" s="186">
        <f t="shared" si="3"/>
        <v>0.49887119076845532</v>
      </c>
      <c r="I34" s="186">
        <f t="shared" si="3"/>
        <v>0.49887119076845532</v>
      </c>
    </row>
  </sheetData>
  <mergeCells count="3">
    <mergeCell ref="L11:M11"/>
    <mergeCell ref="L16:Q16"/>
    <mergeCell ref="L24:M24"/>
  </mergeCells>
  <dataValidations count="1">
    <dataValidation type="list" allowBlank="1" showInputMessage="1" showErrorMessage="1" sqref="O11" xr:uid="{00000000-0002-0000-0500-000000000000}">
      <formula1>$L$6:$L$8</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1000000}">
          <x14:formula1>
            <xm:f>DCF!$B$18:$B$20</xm:f>
          </x14:formula1>
          <xm:sqref>N24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27"/>
  <sheetViews>
    <sheetView showGridLines="0" workbookViewId="0">
      <pane xSplit="3" ySplit="4" topLeftCell="D5" activePane="bottomRight" state="frozen"/>
      <selection pane="topRight" activeCell="D1" sqref="D1"/>
      <selection pane="bottomLeft" activeCell="A5" sqref="A5"/>
      <selection pane="bottomRight" activeCell="L1" sqref="L1"/>
    </sheetView>
  </sheetViews>
  <sheetFormatPr defaultRowHeight="14.4" outlineLevelRow="1" x14ac:dyDescent="0.3"/>
  <cols>
    <col min="1" max="1" width="4.109375" customWidth="1"/>
    <col min="2" max="2" width="37.44140625" customWidth="1"/>
  </cols>
  <sheetData>
    <row r="1" spans="1:20" ht="21" x14ac:dyDescent="0.4">
      <c r="A1" s="37"/>
      <c r="B1" s="3" t="s">
        <v>112</v>
      </c>
      <c r="C1" s="17"/>
      <c r="D1" s="17"/>
      <c r="E1" s="17"/>
      <c r="F1" s="17"/>
      <c r="G1" s="17"/>
      <c r="H1" s="17"/>
      <c r="I1" s="17"/>
      <c r="J1" s="17"/>
      <c r="K1" s="17"/>
      <c r="L1" s="17"/>
      <c r="M1" s="17"/>
      <c r="N1" s="17"/>
      <c r="O1" s="17"/>
      <c r="P1" s="17"/>
      <c r="Q1" s="17"/>
      <c r="R1" s="17"/>
      <c r="S1" s="17"/>
      <c r="T1" s="17"/>
    </row>
    <row r="2" spans="1:20" ht="9.75" customHeight="1" x14ac:dyDescent="0.3">
      <c r="A2" s="37"/>
      <c r="B2" s="17"/>
      <c r="C2" s="17"/>
      <c r="D2" s="17"/>
      <c r="E2" s="17"/>
      <c r="F2" s="17"/>
      <c r="G2" s="17"/>
      <c r="H2" s="17"/>
      <c r="I2" s="17"/>
      <c r="J2" s="17"/>
      <c r="K2" s="17"/>
      <c r="L2" s="17"/>
      <c r="M2" s="17"/>
      <c r="N2" s="17"/>
      <c r="O2" s="17"/>
      <c r="P2" s="17"/>
      <c r="Q2" s="17"/>
      <c r="R2" s="17"/>
      <c r="S2" s="17"/>
      <c r="T2" s="17"/>
    </row>
    <row r="4" spans="1:20" x14ac:dyDescent="0.3">
      <c r="B4" s="208" t="s">
        <v>113</v>
      </c>
      <c r="C4" s="209"/>
      <c r="D4" s="210">
        <v>2017</v>
      </c>
      <c r="E4" s="210">
        <f>D4+1</f>
        <v>2018</v>
      </c>
      <c r="F4" s="210">
        <f>E4+1</f>
        <v>2019</v>
      </c>
      <c r="G4" s="210">
        <f>F4+1</f>
        <v>2020</v>
      </c>
      <c r="H4" s="210">
        <f>G4+1</f>
        <v>2021</v>
      </c>
      <c r="I4" s="188">
        <v>2022</v>
      </c>
      <c r="J4" s="188">
        <f>I4+1</f>
        <v>2023</v>
      </c>
      <c r="K4" s="188">
        <f>J4+1</f>
        <v>2024</v>
      </c>
      <c r="L4" s="188">
        <f>K4+1</f>
        <v>2025</v>
      </c>
      <c r="M4" s="188">
        <f>L4+1</f>
        <v>2026</v>
      </c>
    </row>
    <row r="5" spans="1:20" outlineLevel="1" x14ac:dyDescent="0.3">
      <c r="B5" s="178" t="s">
        <v>114</v>
      </c>
      <c r="C5" s="68"/>
      <c r="D5" s="40"/>
      <c r="E5" s="38">
        <f t="shared" ref="E5:M5" si="0">D8</f>
        <v>41274.199999999997</v>
      </c>
      <c r="F5" s="38">
        <f t="shared" si="0"/>
        <v>38517</v>
      </c>
      <c r="G5" s="38">
        <f t="shared" si="0"/>
        <v>36725.199999999997</v>
      </c>
      <c r="H5" s="38">
        <f t="shared" si="0"/>
        <v>35733.599999999999</v>
      </c>
      <c r="I5" s="26">
        <f t="shared" si="0"/>
        <v>36978.9</v>
      </c>
      <c r="J5" s="26">
        <f t="shared" si="0"/>
        <v>35795.648950379698</v>
      </c>
      <c r="K5" s="26">
        <f t="shared" si="0"/>
        <v>34885.346335712871</v>
      </c>
      <c r="L5" s="26">
        <f t="shared" si="0"/>
        <v>34227.618861212366</v>
      </c>
      <c r="M5" s="26">
        <f t="shared" si="0"/>
        <v>33803.920121789342</v>
      </c>
    </row>
    <row r="6" spans="1:20" outlineLevel="1" x14ac:dyDescent="0.3">
      <c r="B6" s="68" t="s">
        <v>71</v>
      </c>
      <c r="C6" s="68"/>
      <c r="D6" s="40"/>
      <c r="E6" s="26">
        <f>E8-E5+E7</f>
        <v>1283.1000000000031</v>
      </c>
      <c r="F6" s="26">
        <f>F8-F5+F7</f>
        <v>1847.299999999997</v>
      </c>
      <c r="G6" s="26">
        <f>G8-G5+G7</f>
        <v>2341.4000000000015</v>
      </c>
      <c r="H6" s="26">
        <f>H8-H5+H7</f>
        <v>4609.9000000000033</v>
      </c>
      <c r="I6" s="26">
        <f>IS!J8*Schedules!I10</f>
        <v>2602.1249740440494</v>
      </c>
      <c r="J6" s="26">
        <f>IS!K8*Schedules!J10</f>
        <v>2778.8092597816408</v>
      </c>
      <c r="K6" s="26">
        <f>IS!L8*Schedules!K10</f>
        <v>2961.829974058639</v>
      </c>
      <c r="L6" s="26">
        <f>IS!M8*Schedules!L10</f>
        <v>3151.0527314126207</v>
      </c>
      <c r="M6" s="26">
        <f>IS!N8*Schedules!M10</f>
        <v>3346.3250343061527</v>
      </c>
    </row>
    <row r="7" spans="1:20" outlineLevel="1" x14ac:dyDescent="0.3">
      <c r="B7" s="68" t="s">
        <v>115</v>
      </c>
      <c r="C7" s="68"/>
      <c r="D7" s="40"/>
      <c r="E7" s="38">
        <f>IS!E15</f>
        <v>4040.3</v>
      </c>
      <c r="F7" s="38">
        <f>IS!F15</f>
        <v>3639.1</v>
      </c>
      <c r="G7" s="38">
        <f>IS!G15</f>
        <v>3333</v>
      </c>
      <c r="H7" s="38">
        <f>IS!H15</f>
        <v>3364.6</v>
      </c>
      <c r="I7" s="26">
        <f>(I5+I6)*I11</f>
        <v>3785.3760236643534</v>
      </c>
      <c r="J7" s="26">
        <f>(J5+J6)*J11</f>
        <v>3689.1118744484693</v>
      </c>
      <c r="K7" s="26">
        <f>(K5+K6)*K11</f>
        <v>3619.5574485591428</v>
      </c>
      <c r="L7" s="26">
        <f>(L5+L6)*L11</f>
        <v>3574.7514708356484</v>
      </c>
      <c r="M7" s="26">
        <f>(M5+M6)*M11</f>
        <v>3552.9056506079796</v>
      </c>
    </row>
    <row r="8" spans="1:20" outlineLevel="1" x14ac:dyDescent="0.3">
      <c r="B8" s="178" t="s">
        <v>116</v>
      </c>
      <c r="C8" s="68"/>
      <c r="D8" s="38">
        <f>BS!D10</f>
        <v>41274.199999999997</v>
      </c>
      <c r="E8" s="38">
        <f>BS!E10</f>
        <v>38517</v>
      </c>
      <c r="F8" s="38">
        <f>BS!F10</f>
        <v>36725.199999999997</v>
      </c>
      <c r="G8" s="38">
        <f>BS!G10</f>
        <v>35733.599999999999</v>
      </c>
      <c r="H8" s="38">
        <f>BS!H10</f>
        <v>36978.9</v>
      </c>
      <c r="I8" s="26">
        <f>I5+I6-I7</f>
        <v>35795.648950379698</v>
      </c>
      <c r="J8" s="26">
        <f>J5+J6-J7</f>
        <v>34885.346335712871</v>
      </c>
      <c r="K8" s="26">
        <f>K5+K6-K7</f>
        <v>34227.618861212366</v>
      </c>
      <c r="L8" s="26">
        <f>L5+L6-L7</f>
        <v>33803.920121789342</v>
      </c>
      <c r="M8" s="26">
        <f>M5+M6-M7</f>
        <v>33597.339505487515</v>
      </c>
    </row>
    <row r="9" spans="1:20" outlineLevel="1" x14ac:dyDescent="0.3">
      <c r="B9" s="68"/>
      <c r="C9" s="68"/>
    </row>
    <row r="10" spans="1:20" outlineLevel="1" x14ac:dyDescent="0.3">
      <c r="B10" s="68" t="s">
        <v>117</v>
      </c>
      <c r="C10" s="68"/>
      <c r="E10" s="34">
        <f>E6/IS!E8</f>
        <v>2.8025686390144883E-2</v>
      </c>
      <c r="F10" s="34">
        <f>F6/IS!F8</f>
        <v>3.5392143338851025E-2</v>
      </c>
      <c r="G10" s="34">
        <f>G6/IS!G8</f>
        <v>4.9822745592046781E-2</v>
      </c>
      <c r="H10" s="34">
        <f>H6/IS!H8</f>
        <v>0.10200496095625647</v>
      </c>
      <c r="I10" s="24">
        <f>AVERAGE(E10:H10)</f>
        <v>5.3811384069324786E-2</v>
      </c>
      <c r="J10" s="24">
        <f t="shared" ref="J10:M11" si="1">I10</f>
        <v>5.3811384069324786E-2</v>
      </c>
      <c r="K10" s="24">
        <f t="shared" si="1"/>
        <v>5.3811384069324786E-2</v>
      </c>
      <c r="L10" s="24">
        <f t="shared" si="1"/>
        <v>5.3811384069324786E-2</v>
      </c>
      <c r="M10" s="24">
        <f t="shared" si="1"/>
        <v>5.3811384069324786E-2</v>
      </c>
    </row>
    <row r="11" spans="1:20" outlineLevel="1" x14ac:dyDescent="0.3">
      <c r="B11" s="68" t="s">
        <v>115</v>
      </c>
      <c r="C11" s="68"/>
      <c r="E11" s="34">
        <f>E7/((D8+E8)/2)</f>
        <v>0.10127181944876128</v>
      </c>
      <c r="F11" s="34">
        <f>F7/((E8+F8)/2)</f>
        <v>9.6730292309368943E-2</v>
      </c>
      <c r="G11" s="34">
        <f>G7/((F8+G8)/2)</f>
        <v>9.1997107321677984E-2</v>
      </c>
      <c r="H11" s="34">
        <f>H7/((G8+H8)/2)</f>
        <v>9.2545298263709816E-2</v>
      </c>
      <c r="I11" s="24">
        <f>AVERAGE(E11:H11)</f>
        <v>9.5636129335879505E-2</v>
      </c>
      <c r="J11" s="24">
        <f t="shared" si="1"/>
        <v>9.5636129335879505E-2</v>
      </c>
      <c r="K11" s="24">
        <f t="shared" si="1"/>
        <v>9.5636129335879505E-2</v>
      </c>
      <c r="L11" s="24">
        <f t="shared" si="1"/>
        <v>9.5636129335879505E-2</v>
      </c>
      <c r="M11" s="24">
        <f t="shared" si="1"/>
        <v>9.5636129335879505E-2</v>
      </c>
    </row>
    <row r="13" spans="1:20" x14ac:dyDescent="0.3">
      <c r="B13" s="208" t="s">
        <v>118</v>
      </c>
      <c r="C13" s="209"/>
      <c r="D13" s="211"/>
      <c r="E13" s="211"/>
      <c r="F13" s="211"/>
      <c r="G13" s="211"/>
      <c r="H13" s="211"/>
      <c r="I13" s="211"/>
      <c r="J13" s="211"/>
      <c r="K13" s="211"/>
      <c r="L13" s="211"/>
      <c r="M13" s="212"/>
    </row>
    <row r="14" spans="1:20" outlineLevel="1" x14ac:dyDescent="0.3">
      <c r="B14" s="68" t="s">
        <v>119</v>
      </c>
      <c r="C14" s="68"/>
      <c r="D14" s="26">
        <f>BS!D41</f>
        <v>17442.400000000001</v>
      </c>
      <c r="E14" s="26">
        <f>BS!E41</f>
        <v>14107.8</v>
      </c>
      <c r="F14" s="26">
        <f>BS!F41</f>
        <v>9536.2000000000007</v>
      </c>
      <c r="G14" s="26">
        <f>BS!G41</f>
        <v>6890.6</v>
      </c>
      <c r="H14" s="26">
        <f>BS!H41</f>
        <v>2550.9</v>
      </c>
      <c r="I14" s="26">
        <f t="shared" ref="I14:M15" si="2">H14</f>
        <v>2550.9</v>
      </c>
      <c r="J14" s="26">
        <f t="shared" si="2"/>
        <v>2550.9</v>
      </c>
      <c r="K14" s="26">
        <f t="shared" si="2"/>
        <v>2550.9</v>
      </c>
      <c r="L14" s="26">
        <f t="shared" si="2"/>
        <v>2550.9</v>
      </c>
      <c r="M14" s="26">
        <f t="shared" si="2"/>
        <v>2550.9</v>
      </c>
    </row>
    <row r="15" spans="1:20" outlineLevel="1" x14ac:dyDescent="0.3">
      <c r="B15" s="68" t="s">
        <v>120</v>
      </c>
      <c r="C15" s="68"/>
      <c r="D15" s="26">
        <f>BS!D47</f>
        <v>8038.5</v>
      </c>
      <c r="E15" s="26">
        <f>BS!E47</f>
        <v>11084.4</v>
      </c>
      <c r="F15" s="26">
        <f>BS!F47</f>
        <v>11419.6</v>
      </c>
      <c r="G15" s="26">
        <f>BS!G47</f>
        <v>9008.7999999999993</v>
      </c>
      <c r="H15" s="26">
        <f>BS!H47</f>
        <v>12336.1</v>
      </c>
      <c r="I15" s="26">
        <f t="shared" si="2"/>
        <v>12336.1</v>
      </c>
      <c r="J15" s="26">
        <f t="shared" si="2"/>
        <v>12336.1</v>
      </c>
      <c r="K15" s="26">
        <f t="shared" si="2"/>
        <v>12336.1</v>
      </c>
      <c r="L15" s="26">
        <f t="shared" si="2"/>
        <v>12336.1</v>
      </c>
      <c r="M15" s="26">
        <f t="shared" si="2"/>
        <v>12336.1</v>
      </c>
    </row>
    <row r="16" spans="1:20" outlineLevel="1" x14ac:dyDescent="0.3">
      <c r="B16" s="213" t="s">
        <v>121</v>
      </c>
      <c r="C16" s="213"/>
      <c r="D16" s="41">
        <f t="shared" ref="D16:M16" si="3">SUM(D14:D15)</f>
        <v>25480.9</v>
      </c>
      <c r="E16" s="41">
        <f t="shared" si="3"/>
        <v>25192.199999999997</v>
      </c>
      <c r="F16" s="41">
        <f t="shared" si="3"/>
        <v>20955.800000000003</v>
      </c>
      <c r="G16" s="41">
        <f t="shared" si="3"/>
        <v>15899.4</v>
      </c>
      <c r="H16" s="41">
        <f t="shared" si="3"/>
        <v>14887</v>
      </c>
      <c r="I16" s="41">
        <f t="shared" si="3"/>
        <v>14887</v>
      </c>
      <c r="J16" s="41">
        <f t="shared" si="3"/>
        <v>14887</v>
      </c>
      <c r="K16" s="41">
        <f t="shared" si="3"/>
        <v>14887</v>
      </c>
      <c r="L16" s="41">
        <f t="shared" si="3"/>
        <v>14887</v>
      </c>
      <c r="M16" s="41">
        <f t="shared" si="3"/>
        <v>14887</v>
      </c>
    </row>
    <row r="17" spans="2:13" outlineLevel="1" x14ac:dyDescent="0.3">
      <c r="B17" s="68"/>
      <c r="C17" s="68"/>
    </row>
    <row r="18" spans="2:13" outlineLevel="1" x14ac:dyDescent="0.3">
      <c r="B18" s="68" t="s">
        <v>13</v>
      </c>
      <c r="C18" s="68"/>
      <c r="D18" s="26">
        <f>IS!D17</f>
        <v>1410.1</v>
      </c>
      <c r="E18" s="26">
        <f>IS!E17</f>
        <v>1182.0999999999999</v>
      </c>
      <c r="F18" s="26">
        <f>IS!F17</f>
        <v>1122.5999999999999</v>
      </c>
      <c r="G18" s="26">
        <f>IS!G17</f>
        <v>1108</v>
      </c>
      <c r="H18" s="26">
        <f>IS!H17</f>
        <v>720</v>
      </c>
      <c r="I18" s="26">
        <f>I16*I19</f>
        <v>815.46563785655394</v>
      </c>
      <c r="J18" s="26">
        <f>J16*J19</f>
        <v>815.46563785655394</v>
      </c>
      <c r="K18" s="26">
        <f>K16*K19</f>
        <v>815.46563785655394</v>
      </c>
      <c r="L18" s="26">
        <f>L16*L19</f>
        <v>815.46563785655394</v>
      </c>
      <c r="M18" s="26">
        <f>M16*M19</f>
        <v>815.46563785655394</v>
      </c>
    </row>
    <row r="19" spans="2:13" outlineLevel="1" x14ac:dyDescent="0.3">
      <c r="B19" s="68" t="s">
        <v>122</v>
      </c>
      <c r="C19" s="68"/>
      <c r="D19" s="24">
        <f>D18/D16</f>
        <v>5.533948957846857E-2</v>
      </c>
      <c r="E19" s="24">
        <f>E18/E16</f>
        <v>4.6923254023070633E-2</v>
      </c>
      <c r="F19" s="24">
        <f>F18/F16</f>
        <v>5.3569894730814367E-2</v>
      </c>
      <c r="G19" s="24">
        <f>G18/G16</f>
        <v>6.9688164333245275E-2</v>
      </c>
      <c r="H19" s="24">
        <f>H18/H16</f>
        <v>4.8364344730301607E-2</v>
      </c>
      <c r="I19" s="24">
        <f>AVERAGE(D19:H19)</f>
        <v>5.4777029479180082E-2</v>
      </c>
      <c r="J19" s="24">
        <f>I19</f>
        <v>5.4777029479180082E-2</v>
      </c>
      <c r="K19" s="24">
        <f>J19</f>
        <v>5.4777029479180082E-2</v>
      </c>
      <c r="L19" s="24">
        <f>K19</f>
        <v>5.4777029479180082E-2</v>
      </c>
      <c r="M19" s="24">
        <f>L19</f>
        <v>5.4777029479180082E-2</v>
      </c>
    </row>
    <row r="21" spans="2:13" x14ac:dyDescent="0.3">
      <c r="B21" s="208" t="s">
        <v>123</v>
      </c>
      <c r="C21" s="209"/>
      <c r="D21" s="211"/>
      <c r="E21" s="211"/>
      <c r="F21" s="211"/>
      <c r="G21" s="211"/>
      <c r="H21" s="211"/>
      <c r="I21" s="211"/>
      <c r="J21" s="211"/>
      <c r="K21" s="211"/>
      <c r="L21" s="211"/>
      <c r="M21" s="212"/>
    </row>
    <row r="22" spans="2:13" outlineLevel="1" x14ac:dyDescent="0.3">
      <c r="B22" s="68" t="s">
        <v>114</v>
      </c>
      <c r="C22" s="68"/>
      <c r="D22" s="40"/>
      <c r="E22" s="43"/>
      <c r="F22" s="43"/>
      <c r="G22" s="43"/>
      <c r="H22" s="43"/>
      <c r="I22" s="26">
        <f>H25</f>
        <v>28069.5</v>
      </c>
      <c r="J22" s="26">
        <f>I25</f>
        <v>30100.299954443883</v>
      </c>
      <c r="K22" s="26">
        <f>J25</f>
        <v>32458.797472923488</v>
      </c>
      <c r="L22" s="26">
        <f>K25</f>
        <v>35143.328909885735</v>
      </c>
      <c r="M22" s="26">
        <f>L25</f>
        <v>38152.88630233</v>
      </c>
    </row>
    <row r="23" spans="2:13" outlineLevel="1" x14ac:dyDescent="0.3">
      <c r="B23" s="68" t="s">
        <v>62</v>
      </c>
      <c r="C23" s="68"/>
      <c r="D23" s="40"/>
      <c r="E23" s="43"/>
      <c r="F23" s="43"/>
      <c r="G23" s="43"/>
      <c r="H23" s="43"/>
      <c r="I23" s="26">
        <f>IS!J23</f>
        <v>3377.9107692013995</v>
      </c>
      <c r="J23" s="26">
        <f>IS!K23</f>
        <v>3922.9832310040028</v>
      </c>
      <c r="K23" s="26">
        <f>IS!L23</f>
        <v>4465.288484634475</v>
      </c>
      <c r="L23" s="26">
        <f>IS!M23</f>
        <v>5005.9171531009033</v>
      </c>
      <c r="M23" s="26">
        <f>IS!N23</f>
        <v>5545.7833032072867</v>
      </c>
    </row>
    <row r="24" spans="2:13" outlineLevel="1" x14ac:dyDescent="0.3">
      <c r="B24" s="68" t="s">
        <v>124</v>
      </c>
      <c r="C24" s="68"/>
      <c r="D24" s="40"/>
      <c r="E24" s="43"/>
      <c r="F24" s="43"/>
      <c r="G24" s="43"/>
      <c r="H24" s="43"/>
      <c r="I24" s="45">
        <f>-I23*Assumptions!$J$20</f>
        <v>-1347.110814757518</v>
      </c>
      <c r="J24" s="45">
        <f>-J23*Assumptions!$J$20</f>
        <v>-1564.4857125243964</v>
      </c>
      <c r="K24" s="45">
        <f>-K23*Assumptions!$J$20</f>
        <v>-1780.7570476722285</v>
      </c>
      <c r="L24" s="45">
        <f>-L23*Assumptions!$J$20</f>
        <v>-1996.3597606566402</v>
      </c>
      <c r="M24" s="45">
        <f>-M23*Assumptions!$J$20</f>
        <v>-2211.6583813190659</v>
      </c>
    </row>
    <row r="25" spans="2:13" outlineLevel="1" x14ac:dyDescent="0.3">
      <c r="B25" s="68" t="s">
        <v>116</v>
      </c>
      <c r="C25" s="68"/>
      <c r="D25" s="43"/>
      <c r="E25" s="43"/>
      <c r="F25" s="43"/>
      <c r="G25" s="43"/>
      <c r="H25" s="46">
        <f>BS!H36</f>
        <v>28069.5</v>
      </c>
      <c r="I25" s="41">
        <f>SUM(I22:I24)</f>
        <v>30100.299954443883</v>
      </c>
      <c r="J25" s="41">
        <f>SUM(J22:J24)</f>
        <v>32458.797472923488</v>
      </c>
      <c r="K25" s="41">
        <f>SUM(K22:K24)</f>
        <v>35143.328909885735</v>
      </c>
      <c r="L25" s="41">
        <f>SUM(L22:L24)</f>
        <v>38152.88630233</v>
      </c>
      <c r="M25" s="41">
        <f>SUM(M22:M24)</f>
        <v>41487.011224218222</v>
      </c>
    </row>
    <row r="27" spans="2:13" x14ac:dyDescent="0.3">
      <c r="E27" s="2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5"/>
  <sheetViews>
    <sheetView showGridLines="0" workbookViewId="0">
      <selection activeCell="I1" sqref="I1"/>
    </sheetView>
  </sheetViews>
  <sheetFormatPr defaultRowHeight="14.4" x14ac:dyDescent="0.3"/>
  <cols>
    <col min="1" max="1" width="3.109375" customWidth="1"/>
    <col min="2" max="2" width="28.88671875" customWidth="1"/>
  </cols>
  <sheetData>
    <row r="1" spans="1:19" ht="21" x14ac:dyDescent="0.4">
      <c r="A1" s="37"/>
      <c r="B1" s="3" t="s">
        <v>127</v>
      </c>
      <c r="C1" s="17"/>
      <c r="D1" s="17"/>
      <c r="E1" s="17"/>
      <c r="F1" s="17"/>
      <c r="G1" s="17"/>
      <c r="H1" s="17"/>
      <c r="I1" s="17"/>
      <c r="J1" s="17"/>
      <c r="K1" s="17"/>
      <c r="L1" s="17"/>
      <c r="M1" s="17"/>
      <c r="N1" s="17"/>
      <c r="O1" s="17"/>
      <c r="P1" s="17"/>
      <c r="Q1" s="17"/>
      <c r="R1" s="17"/>
      <c r="S1" s="17"/>
    </row>
    <row r="2" spans="1:19" x14ac:dyDescent="0.3">
      <c r="A2" s="37"/>
      <c r="B2" s="5" t="s">
        <v>1</v>
      </c>
      <c r="C2" s="17"/>
      <c r="D2" s="17"/>
      <c r="E2" s="17"/>
      <c r="F2" s="17"/>
      <c r="G2" s="17"/>
      <c r="H2" s="17"/>
      <c r="I2" s="17"/>
      <c r="J2" s="17"/>
      <c r="K2" s="17"/>
      <c r="L2" s="17"/>
      <c r="M2" s="17"/>
      <c r="N2" s="17"/>
      <c r="O2" s="17"/>
      <c r="P2" s="17"/>
      <c r="Q2" s="17"/>
      <c r="R2" s="17"/>
      <c r="S2" s="17"/>
    </row>
    <row r="4" spans="1:19" x14ac:dyDescent="0.3">
      <c r="B4" s="208" t="s">
        <v>128</v>
      </c>
      <c r="C4" s="209"/>
      <c r="D4" s="218"/>
      <c r="E4" s="218"/>
      <c r="F4" s="218"/>
      <c r="G4" s="218"/>
      <c r="H4" s="218"/>
      <c r="I4" s="188">
        <v>2022</v>
      </c>
      <c r="J4" s="188">
        <f>I4+1</f>
        <v>2023</v>
      </c>
      <c r="K4" s="188">
        <f>J4+1</f>
        <v>2024</v>
      </c>
      <c r="L4" s="188">
        <f>K4+1</f>
        <v>2025</v>
      </c>
      <c r="M4" s="188">
        <f>L4+1</f>
        <v>2026</v>
      </c>
    </row>
    <row r="5" spans="1:19" x14ac:dyDescent="0.3">
      <c r="B5" s="178" t="s">
        <v>11</v>
      </c>
      <c r="C5" s="68"/>
      <c r="D5" s="68"/>
      <c r="E5" s="68"/>
      <c r="F5" s="68"/>
      <c r="G5" s="68"/>
      <c r="H5" s="68"/>
      <c r="I5" s="215">
        <f>IS!J14</f>
        <v>9432.6619050104946</v>
      </c>
      <c r="J5" s="215">
        <f>IS!K14</f>
        <v>10073.13964836071</v>
      </c>
      <c r="K5" s="215">
        <f>IS!L14</f>
        <v>10736.586845020689</v>
      </c>
      <c r="L5" s="215">
        <f>IS!M14</f>
        <v>11422.516349813081</v>
      </c>
      <c r="M5" s="215">
        <f>IS!N14</f>
        <v>12130.375361574874</v>
      </c>
    </row>
    <row r="6" spans="1:19" x14ac:dyDescent="0.3">
      <c r="B6" s="68"/>
      <c r="C6" s="68"/>
      <c r="D6" s="68"/>
      <c r="E6" s="68"/>
      <c r="F6" s="68"/>
      <c r="G6" s="68"/>
      <c r="H6" s="68"/>
      <c r="I6" s="207"/>
      <c r="J6" s="207"/>
      <c r="K6" s="207"/>
      <c r="L6" s="207"/>
      <c r="M6" s="207"/>
    </row>
    <row r="7" spans="1:19" x14ac:dyDescent="0.3">
      <c r="B7" s="178" t="s">
        <v>129</v>
      </c>
      <c r="C7" s="68"/>
      <c r="D7" s="68"/>
      <c r="E7" s="68"/>
      <c r="F7" s="68"/>
      <c r="G7" s="68"/>
      <c r="H7" s="68"/>
      <c r="I7" s="207"/>
      <c r="J7" s="207"/>
      <c r="K7" s="207"/>
      <c r="L7" s="207"/>
      <c r="M7" s="207"/>
    </row>
    <row r="8" spans="1:19" x14ac:dyDescent="0.3">
      <c r="B8" s="68" t="s">
        <v>130</v>
      </c>
      <c r="C8" s="68"/>
      <c r="D8" s="68"/>
      <c r="E8" s="68"/>
      <c r="F8" s="68"/>
      <c r="G8" s="68"/>
      <c r="H8" s="68"/>
      <c r="I8" s="215">
        <f>IS!J14-IS!J15</f>
        <v>5647.2858813461407</v>
      </c>
      <c r="J8" s="215">
        <f>IS!K14-IS!K15</f>
        <v>6384.0277739122403</v>
      </c>
      <c r="K8" s="215">
        <f>IS!L14-IS!L15</f>
        <v>7117.0293964615466</v>
      </c>
      <c r="L8" s="215">
        <f>IS!M14-IS!M15</f>
        <v>7847.7648789774321</v>
      </c>
      <c r="M8" s="215">
        <f>IS!N14-IS!N15</f>
        <v>8577.4697109668941</v>
      </c>
    </row>
    <row r="9" spans="1:19" x14ac:dyDescent="0.3">
      <c r="B9" s="68" t="s">
        <v>131</v>
      </c>
      <c r="C9" s="68"/>
      <c r="D9" s="68"/>
      <c r="E9" s="68"/>
      <c r="F9" s="68"/>
      <c r="G9" s="68"/>
      <c r="H9" s="68"/>
      <c r="I9" s="215">
        <f>I8*Assumptions!$J$11</f>
        <v>1469.1876234514973</v>
      </c>
      <c r="J9" s="215">
        <f>J8*Assumptions!$J$11</f>
        <v>1660.8570542149939</v>
      </c>
      <c r="K9" s="215">
        <f>K8*Assumptions!$J$11</f>
        <v>1851.5534231338281</v>
      </c>
      <c r="L9" s="215">
        <f>L8*Assumptions!$J$11</f>
        <v>2041.6602371832855</v>
      </c>
      <c r="M9" s="215">
        <f>M8*Assumptions!$J$11</f>
        <v>2231.4989190663641</v>
      </c>
    </row>
    <row r="10" spans="1:19" x14ac:dyDescent="0.3">
      <c r="B10" s="213" t="s">
        <v>132</v>
      </c>
      <c r="C10" s="213"/>
      <c r="D10" s="213"/>
      <c r="E10" s="213"/>
      <c r="F10" s="213"/>
      <c r="G10" s="213"/>
      <c r="H10" s="213"/>
      <c r="I10" s="216">
        <f>I8-I9</f>
        <v>4178.0982578946432</v>
      </c>
      <c r="J10" s="216">
        <f>J8-J9</f>
        <v>4723.1707196972466</v>
      </c>
      <c r="K10" s="216">
        <f>K8-K9</f>
        <v>5265.4759733277187</v>
      </c>
      <c r="L10" s="216">
        <f>L8-L9</f>
        <v>5806.104641794147</v>
      </c>
      <c r="M10" s="216">
        <f>M8-M9</f>
        <v>6345.9707919005305</v>
      </c>
    </row>
    <row r="11" spans="1:19" x14ac:dyDescent="0.3">
      <c r="B11" s="68" t="s">
        <v>133</v>
      </c>
      <c r="C11" s="68"/>
      <c r="D11" s="68"/>
      <c r="E11" s="68"/>
      <c r="F11" s="68"/>
      <c r="G11" s="68"/>
      <c r="H11" s="68"/>
      <c r="I11" s="215">
        <f>IS!J15</f>
        <v>3785.3760236643534</v>
      </c>
      <c r="J11" s="215">
        <f>IS!K15</f>
        <v>3689.1118744484693</v>
      </c>
      <c r="K11" s="215">
        <f>IS!L15</f>
        <v>3619.5574485591428</v>
      </c>
      <c r="L11" s="215">
        <f>IS!M15</f>
        <v>3574.7514708356484</v>
      </c>
      <c r="M11" s="215">
        <f>IS!N15</f>
        <v>3552.9056506079796</v>
      </c>
    </row>
    <row r="12" spans="1:19" x14ac:dyDescent="0.3">
      <c r="B12" s="68" t="s">
        <v>134</v>
      </c>
      <c r="C12" s="68"/>
      <c r="D12" s="68"/>
      <c r="E12" s="68"/>
      <c r="F12" s="68"/>
      <c r="G12" s="68"/>
      <c r="H12" s="68"/>
      <c r="I12" s="215">
        <f>Schedules!I6</f>
        <v>2602.1249740440494</v>
      </c>
      <c r="J12" s="215">
        <f>Schedules!J6</f>
        <v>2778.8092597816408</v>
      </c>
      <c r="K12" s="215">
        <f>Schedules!K6</f>
        <v>2961.829974058639</v>
      </c>
      <c r="L12" s="215">
        <f>Schedules!L6</f>
        <v>3151.0527314126207</v>
      </c>
      <c r="M12" s="215">
        <f>Schedules!M6</f>
        <v>3346.3250343061527</v>
      </c>
    </row>
    <row r="13" spans="1:19" x14ac:dyDescent="0.3">
      <c r="B13" s="68" t="s">
        <v>135</v>
      </c>
      <c r="C13" s="68"/>
      <c r="D13" s="68"/>
      <c r="E13" s="68"/>
      <c r="F13" s="68"/>
      <c r="G13" s="68"/>
      <c r="H13" s="68"/>
      <c r="I13" s="215">
        <f>CFS!D17</f>
        <v>-124.31555914096623</v>
      </c>
      <c r="J13" s="215">
        <f>CFS!E17</f>
        <v>-853.21887646567359</v>
      </c>
      <c r="K13" s="215">
        <f>CFS!F17</f>
        <v>-883.81786503235969</v>
      </c>
      <c r="L13" s="215">
        <f>CFS!G17</f>
        <v>-913.76789824467642</v>
      </c>
      <c r="M13" s="215">
        <f>CFS!H17</f>
        <v>-942.98151182007632</v>
      </c>
    </row>
    <row r="14" spans="1:19" ht="15" thickBot="1" x14ac:dyDescent="0.35">
      <c r="B14" s="214" t="s">
        <v>136</v>
      </c>
      <c r="C14" s="214"/>
      <c r="D14" s="214"/>
      <c r="E14" s="214"/>
      <c r="F14" s="214"/>
      <c r="G14" s="214"/>
      <c r="H14" s="214"/>
      <c r="I14" s="217">
        <f>I10+I11-I12+I13</f>
        <v>5237.0337483739813</v>
      </c>
      <c r="J14" s="217">
        <f>J10+J11-J12+J13</f>
        <v>4780.2544578984007</v>
      </c>
      <c r="K14" s="217">
        <f>K10+K11-K12+K13</f>
        <v>5039.3855827958623</v>
      </c>
      <c r="L14" s="217">
        <f>L10+L11-L12+L13</f>
        <v>5316.0354829724984</v>
      </c>
      <c r="M14" s="217">
        <f>M10+M11-M12+M13</f>
        <v>5609.5698963822815</v>
      </c>
    </row>
    <row r="15" spans="1:19" ht="1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W59"/>
  <sheetViews>
    <sheetView showGridLines="0" workbookViewId="0">
      <selection activeCell="C1" sqref="C1"/>
    </sheetView>
  </sheetViews>
  <sheetFormatPr defaultRowHeight="14.4" x14ac:dyDescent="0.3"/>
  <cols>
    <col min="1" max="1" width="3.88671875" customWidth="1"/>
    <col min="2" max="2" width="40.44140625" customWidth="1"/>
    <col min="3" max="3" width="11.5546875" bestFit="1" customWidth="1"/>
    <col min="4" max="4" width="34.33203125" customWidth="1"/>
    <col min="5" max="5" width="12.44140625" customWidth="1"/>
    <col min="6" max="6" width="16" customWidth="1"/>
    <col min="7" max="7" width="10.33203125" customWidth="1"/>
    <col min="8" max="8" width="9.88671875" customWidth="1"/>
    <col min="9" max="9" width="9.6640625" customWidth="1"/>
    <col min="12" max="12" width="12.5546875" customWidth="1"/>
    <col min="21" max="21" width="13.33203125" bestFit="1" customWidth="1"/>
  </cols>
  <sheetData>
    <row r="1" spans="2:19" ht="20.399999999999999" x14ac:dyDescent="0.3">
      <c r="B1" s="48" t="s">
        <v>137</v>
      </c>
      <c r="C1" s="17"/>
      <c r="D1" s="17"/>
      <c r="E1" s="17"/>
      <c r="F1" s="17"/>
      <c r="G1" s="17"/>
      <c r="H1" s="17"/>
      <c r="I1" s="17"/>
      <c r="J1" s="17"/>
      <c r="K1" s="17"/>
      <c r="L1" s="17"/>
      <c r="M1" s="17"/>
      <c r="N1" s="17"/>
      <c r="O1" s="17"/>
      <c r="P1" s="17"/>
      <c r="Q1" s="17"/>
      <c r="R1" s="17"/>
      <c r="S1" s="17"/>
    </row>
    <row r="2" spans="2:19" x14ac:dyDescent="0.3">
      <c r="B2" s="5" t="s">
        <v>1</v>
      </c>
      <c r="C2" s="17"/>
      <c r="D2" s="17"/>
      <c r="E2" s="17"/>
      <c r="F2" s="17"/>
      <c r="G2" s="17"/>
      <c r="H2" s="17"/>
      <c r="I2" s="17"/>
      <c r="J2" s="17"/>
      <c r="K2" s="17"/>
      <c r="L2" s="17"/>
      <c r="M2" s="17"/>
      <c r="N2" s="17"/>
      <c r="O2" s="17"/>
      <c r="P2" s="17"/>
      <c r="Q2" s="17"/>
      <c r="R2" s="17"/>
      <c r="S2" s="17"/>
    </row>
    <row r="5" spans="2:19" x14ac:dyDescent="0.3">
      <c r="B5" t="s">
        <v>138</v>
      </c>
    </row>
    <row r="6" spans="2:19" ht="6" customHeight="1" x14ac:dyDescent="0.3"/>
    <row r="7" spans="2:19" ht="15.6" x14ac:dyDescent="0.3">
      <c r="B7" s="222" t="s">
        <v>139</v>
      </c>
      <c r="C7" s="222"/>
      <c r="D7" s="223"/>
      <c r="E7" s="188">
        <v>2022</v>
      </c>
      <c r="F7" s="188">
        <f>E7+1</f>
        <v>2023</v>
      </c>
      <c r="G7" s="188">
        <f>F7+1</f>
        <v>2024</v>
      </c>
      <c r="H7" s="188">
        <f>G7+1</f>
        <v>2025</v>
      </c>
      <c r="I7" s="188">
        <f>H7+1</f>
        <v>2026</v>
      </c>
    </row>
    <row r="8" spans="2:19" ht="9" customHeight="1" x14ac:dyDescent="0.3">
      <c r="B8" s="68"/>
      <c r="C8" s="68"/>
      <c r="D8" s="207"/>
      <c r="E8" s="207"/>
      <c r="F8" s="207"/>
      <c r="G8" s="207"/>
      <c r="H8" s="207"/>
      <c r="I8" s="207"/>
    </row>
    <row r="9" spans="2:19" x14ac:dyDescent="0.3">
      <c r="B9" s="178" t="s">
        <v>141</v>
      </c>
      <c r="C9" s="68"/>
      <c r="D9" s="207"/>
      <c r="E9" s="207"/>
      <c r="F9" s="207"/>
      <c r="G9" s="207"/>
      <c r="H9" s="207"/>
      <c r="I9" s="207"/>
    </row>
    <row r="10" spans="2:19" x14ac:dyDescent="0.3">
      <c r="B10" s="68" t="s">
        <v>142</v>
      </c>
      <c r="C10" s="68"/>
      <c r="D10" s="219">
        <f>Assumptions!C3</f>
        <v>44537</v>
      </c>
      <c r="E10" s="220">
        <f>Assumptions!F3</f>
        <v>44651</v>
      </c>
      <c r="F10" s="220">
        <f>DATE(YEAR(E10)+1,MONTH(E10),DAY(E10))</f>
        <v>45016</v>
      </c>
      <c r="G10" s="220">
        <f>DATE(YEAR(F10)+1,MONTH(F10),DAY(F10))</f>
        <v>45382</v>
      </c>
      <c r="H10" s="220">
        <f>DATE(YEAR(G10)+1,MONTH(G10),DAY(G10))</f>
        <v>45747</v>
      </c>
      <c r="I10" s="220">
        <f>DATE(YEAR(H10)+1,MONTH(H10),DAY(H10))</f>
        <v>46112</v>
      </c>
    </row>
    <row r="11" spans="2:19" x14ac:dyDescent="0.3">
      <c r="B11" s="68" t="s">
        <v>143</v>
      </c>
      <c r="C11" s="68"/>
      <c r="D11" s="219">
        <f>D10</f>
        <v>44537</v>
      </c>
      <c r="E11" s="220">
        <f>AVERAGE(D10,E10)</f>
        <v>44594</v>
      </c>
      <c r="F11" s="220">
        <f>AVERAGE(E10,F10)</f>
        <v>44833.5</v>
      </c>
      <c r="G11" s="220">
        <f>AVERAGE(F10,G10)</f>
        <v>45199</v>
      </c>
      <c r="H11" s="220">
        <f>AVERAGE(G10,H10)</f>
        <v>45564.5</v>
      </c>
      <c r="I11" s="220">
        <f>AVERAGE(H10,I10)</f>
        <v>45929.5</v>
      </c>
    </row>
    <row r="12" spans="2:19" x14ac:dyDescent="0.3">
      <c r="B12" s="68" t="s">
        <v>145</v>
      </c>
      <c r="C12" s="68"/>
      <c r="D12" s="207"/>
      <c r="E12" s="221">
        <f>YEARFRAC(D10,E10)</f>
        <v>0.31666666666666665</v>
      </c>
      <c r="F12" s="221">
        <f>YEARFRAC(E10,F10)</f>
        <v>1</v>
      </c>
      <c r="G12" s="221">
        <f>YEARFRAC(F10,G10)</f>
        <v>1</v>
      </c>
      <c r="H12" s="221">
        <f>YEARFRAC(G10,H10)</f>
        <v>1</v>
      </c>
      <c r="I12" s="221">
        <f>YEARFRAC(H10,I10)</f>
        <v>1</v>
      </c>
    </row>
    <row r="13" spans="2:19" x14ac:dyDescent="0.3">
      <c r="B13" s="68"/>
      <c r="C13" s="68"/>
      <c r="D13" s="207"/>
      <c r="E13" s="207"/>
      <c r="F13" s="207"/>
      <c r="G13" s="207"/>
      <c r="H13" s="207"/>
      <c r="I13" s="207"/>
    </row>
    <row r="14" spans="2:19" x14ac:dyDescent="0.3">
      <c r="B14" s="68" t="s">
        <v>11</v>
      </c>
      <c r="C14" s="68"/>
      <c r="D14" s="207"/>
      <c r="E14" s="215">
        <f>FCFF!I5</f>
        <v>9432.6619050104946</v>
      </c>
      <c r="F14" s="215">
        <f>FCFF!J5</f>
        <v>10073.13964836071</v>
      </c>
      <c r="G14" s="215">
        <f>FCFF!K5</f>
        <v>10736.586845020689</v>
      </c>
      <c r="H14" s="215">
        <f>FCFF!L5</f>
        <v>11422.516349813081</v>
      </c>
      <c r="I14" s="215">
        <f>FCFF!M5</f>
        <v>12130.375361574874</v>
      </c>
    </row>
    <row r="15" spans="2:19" x14ac:dyDescent="0.3">
      <c r="B15" s="68" t="s">
        <v>146</v>
      </c>
      <c r="C15" s="68"/>
      <c r="D15" s="207"/>
      <c r="E15" s="215">
        <f>FCFF!I14</f>
        <v>5237.0337483739813</v>
      </c>
      <c r="F15" s="215">
        <f>FCFF!J14</f>
        <v>4780.2544578984007</v>
      </c>
      <c r="G15" s="215">
        <f>FCFF!K14</f>
        <v>5039.3855827958623</v>
      </c>
      <c r="H15" s="215">
        <f>FCFF!L14</f>
        <v>5316.0354829724984</v>
      </c>
      <c r="I15" s="215">
        <f>FCFF!M14</f>
        <v>5609.5698963822815</v>
      </c>
    </row>
    <row r="16" spans="2:19" x14ac:dyDescent="0.3">
      <c r="B16" s="68"/>
      <c r="C16" s="68"/>
      <c r="D16" s="207"/>
      <c r="E16" s="207"/>
      <c r="F16" s="207"/>
      <c r="G16" s="207"/>
      <c r="H16" s="207"/>
      <c r="I16" s="207"/>
    </row>
    <row r="17" spans="2:12" x14ac:dyDescent="0.3">
      <c r="B17" s="224" t="s">
        <v>147</v>
      </c>
      <c r="C17" s="225"/>
      <c r="D17" s="225"/>
      <c r="E17" s="225"/>
      <c r="F17" s="225"/>
      <c r="G17" s="225"/>
      <c r="H17" s="225"/>
      <c r="I17" s="226"/>
    </row>
    <row r="18" spans="2:12" x14ac:dyDescent="0.3">
      <c r="B18" s="227" t="s">
        <v>148</v>
      </c>
      <c r="C18" s="63"/>
      <c r="D18" s="63"/>
      <c r="E18" s="63"/>
      <c r="F18" s="63"/>
      <c r="G18" s="63"/>
      <c r="H18" s="63"/>
      <c r="I18" s="228">
        <f>I14*Assumptions!Q19</f>
        <v>303259.38403937186</v>
      </c>
    </row>
    <row r="19" spans="2:12" x14ac:dyDescent="0.3">
      <c r="B19" s="227" t="s">
        <v>149</v>
      </c>
      <c r="C19" s="63"/>
      <c r="D19" s="63"/>
      <c r="E19" s="63"/>
      <c r="F19" s="63"/>
      <c r="G19" s="63"/>
      <c r="H19" s="63"/>
      <c r="I19" s="228">
        <f>IF(Assumptions!Q25=Assumptions!Q18,"Error",I15*(1+Assumptions!Q25)/(Assumptions!Q18-Assumptions!Q25))</f>
        <v>96156.965435603139</v>
      </c>
    </row>
    <row r="20" spans="2:12" x14ac:dyDescent="0.3">
      <c r="B20" s="229" t="s">
        <v>151</v>
      </c>
      <c r="C20" s="230"/>
      <c r="D20" s="230"/>
      <c r="E20" s="230"/>
      <c r="F20" s="230"/>
      <c r="G20" s="230"/>
      <c r="H20" s="230"/>
      <c r="I20" s="231">
        <f>AVERAGE(I18:I19)</f>
        <v>199708.17473748751</v>
      </c>
    </row>
    <row r="21" spans="2:12" x14ac:dyDescent="0.3">
      <c r="I21" s="62"/>
    </row>
    <row r="23" spans="2:12" x14ac:dyDescent="0.3">
      <c r="B23" s="21" t="s">
        <v>177</v>
      </c>
      <c r="C23" s="68"/>
      <c r="D23" s="68" t="str">
        <f>VLOOKUP(Assumptions!$N$24,DCF!$B$18:$I$20,1)</f>
        <v>Terminal Value :Exit Multiple</v>
      </c>
      <c r="E23" s="68"/>
      <c r="F23" s="68"/>
      <c r="G23" s="68"/>
      <c r="H23" s="68"/>
      <c r="I23" s="69">
        <f>VLOOKUP(Assumptions!$N$24,DCF!$B$18:$I$20,8)</f>
        <v>303259.38403937186</v>
      </c>
    </row>
    <row r="25" spans="2:12" x14ac:dyDescent="0.3">
      <c r="B25" s="15" t="s">
        <v>181</v>
      </c>
      <c r="E25" s="26">
        <f>E12*E15</f>
        <v>1658.3940203184272</v>
      </c>
      <c r="F25" s="26">
        <f>F12*F15</f>
        <v>4780.2544578984007</v>
      </c>
      <c r="G25" s="26">
        <f>G12*G15</f>
        <v>5039.3855827958623</v>
      </c>
      <c r="H25" s="26">
        <f>H12*H15</f>
        <v>5316.0354829724984</v>
      </c>
      <c r="I25" s="26">
        <f>I12*I15</f>
        <v>5609.5698963822815</v>
      </c>
    </row>
    <row r="26" spans="2:12" x14ac:dyDescent="0.3">
      <c r="B26" s="15" t="s">
        <v>147</v>
      </c>
      <c r="E26">
        <v>0</v>
      </c>
      <c r="F26">
        <v>0</v>
      </c>
      <c r="G26">
        <v>0</v>
      </c>
      <c r="H26">
        <v>0</v>
      </c>
      <c r="I26" s="62">
        <f>I23</f>
        <v>303259.38403937186</v>
      </c>
    </row>
    <row r="28" spans="2:12" ht="15.6" x14ac:dyDescent="0.3">
      <c r="B28" s="117" t="s">
        <v>178</v>
      </c>
      <c r="C28" s="117"/>
      <c r="D28" s="117"/>
      <c r="F28" s="97"/>
      <c r="G28" s="97"/>
      <c r="H28" s="97"/>
      <c r="I28" s="97"/>
      <c r="J28" s="97"/>
      <c r="K28" s="97"/>
      <c r="L28" s="97"/>
    </row>
    <row r="29" spans="2:12" x14ac:dyDescent="0.3">
      <c r="B29" t="s">
        <v>179</v>
      </c>
      <c r="D29" s="62">
        <f>XNPV(Assumptions!Q18,DCF!E25:I25,DCF!E11:I11)</f>
        <v>18515.824712559279</v>
      </c>
      <c r="F29" s="37"/>
      <c r="G29" s="37"/>
      <c r="H29" s="37"/>
      <c r="I29" s="37"/>
      <c r="J29" s="37"/>
      <c r="K29" s="37"/>
      <c r="L29" s="37"/>
    </row>
    <row r="30" spans="2:12" x14ac:dyDescent="0.3">
      <c r="B30" t="s">
        <v>180</v>
      </c>
      <c r="D30" s="62">
        <f>XNPV(Assumptions!Q18,DCF!E26:I26,DCF!E11:I11)</f>
        <v>213525.73527530808</v>
      </c>
      <c r="F30" s="37"/>
      <c r="G30" s="37"/>
      <c r="H30" s="98"/>
      <c r="I30" s="99"/>
      <c r="J30" s="99"/>
      <c r="K30" s="99"/>
      <c r="L30" s="99"/>
    </row>
    <row r="31" spans="2:12" ht="15.6" x14ac:dyDescent="0.3">
      <c r="B31" s="58" t="s">
        <v>182</v>
      </c>
      <c r="C31" s="47"/>
      <c r="D31" s="70">
        <f>SUM(D29:D30)</f>
        <v>232041.55998786737</v>
      </c>
      <c r="F31" s="37"/>
      <c r="G31" s="100"/>
      <c r="H31" s="101"/>
      <c r="I31" s="101"/>
      <c r="J31" s="102"/>
      <c r="K31" s="101"/>
      <c r="L31" s="101"/>
    </row>
    <row r="32" spans="2:12" ht="15.6" x14ac:dyDescent="0.3">
      <c r="B32" t="s">
        <v>183</v>
      </c>
      <c r="D32" s="72">
        <f>BS!H27</f>
        <v>1123.2</v>
      </c>
      <c r="F32" s="37"/>
      <c r="G32" s="100"/>
      <c r="H32" s="101"/>
      <c r="I32" s="101"/>
      <c r="J32" s="102"/>
      <c r="K32" s="101"/>
      <c r="L32" s="101"/>
    </row>
    <row r="33" spans="2:23" ht="15.6" x14ac:dyDescent="0.3">
      <c r="B33" t="s">
        <v>184</v>
      </c>
      <c r="D33" s="72">
        <f>Schedules!H16</f>
        <v>14887</v>
      </c>
      <c r="F33" s="37"/>
      <c r="G33" s="103"/>
      <c r="H33" s="104"/>
      <c r="I33" s="104"/>
      <c r="J33" s="104"/>
      <c r="K33" s="104"/>
      <c r="L33" s="104"/>
      <c r="P33" s="13"/>
      <c r="Q33" s="236"/>
      <c r="R33" s="237"/>
      <c r="S33" s="237"/>
      <c r="T33" s="237"/>
      <c r="U33" s="237"/>
      <c r="V33" s="37"/>
      <c r="W33" s="37"/>
    </row>
    <row r="34" spans="2:23" ht="15.6" x14ac:dyDescent="0.3">
      <c r="B34" s="58" t="s">
        <v>185</v>
      </c>
      <c r="C34" s="58"/>
      <c r="D34" s="73">
        <f>D31+D32-D33</f>
        <v>218277.75998786738</v>
      </c>
      <c r="F34" s="105"/>
      <c r="G34" s="103"/>
      <c r="H34" s="106"/>
      <c r="I34" s="106"/>
      <c r="J34" s="106"/>
      <c r="K34" s="106"/>
      <c r="L34" s="106"/>
      <c r="P34" s="13"/>
      <c r="Q34" s="37"/>
      <c r="R34" s="108"/>
      <c r="S34" s="125"/>
      <c r="T34" s="125"/>
      <c r="U34" s="238"/>
      <c r="V34" s="37"/>
      <c r="W34" s="37"/>
    </row>
    <row r="35" spans="2:23" ht="15.6" x14ac:dyDescent="0.3">
      <c r="B35" t="s">
        <v>186</v>
      </c>
      <c r="D35" s="71">
        <f>BS!H35</f>
        <v>5096</v>
      </c>
      <c r="F35" s="105"/>
      <c r="G35" s="107"/>
      <c r="H35" s="106"/>
      <c r="I35" s="106"/>
      <c r="J35" s="106"/>
      <c r="K35" s="106"/>
      <c r="L35" s="106"/>
      <c r="P35" s="13"/>
      <c r="Q35" s="108"/>
      <c r="R35" s="108"/>
      <c r="S35" s="125"/>
      <c r="T35" s="125"/>
      <c r="U35" s="238"/>
      <c r="V35" s="37"/>
      <c r="W35" s="37"/>
    </row>
    <row r="36" spans="2:23" ht="16.2" thickBot="1" x14ac:dyDescent="0.35">
      <c r="B36" s="74" t="s">
        <v>187</v>
      </c>
      <c r="C36" s="74"/>
      <c r="D36" s="75">
        <f>D34/D35</f>
        <v>42.833155413631744</v>
      </c>
      <c r="F36" s="105"/>
      <c r="G36" s="103"/>
      <c r="H36" s="106"/>
      <c r="I36" s="106"/>
      <c r="J36" s="106"/>
      <c r="K36" s="106"/>
      <c r="L36" s="106"/>
      <c r="P36" s="13"/>
      <c r="Q36" s="239"/>
      <c r="R36" s="239"/>
      <c r="S36" s="240"/>
      <c r="T36" s="240"/>
      <c r="U36" s="241"/>
      <c r="V36" s="37"/>
      <c r="W36" s="37"/>
    </row>
    <row r="37" spans="2:23" ht="16.2" thickTop="1" x14ac:dyDescent="0.3">
      <c r="B37" s="15"/>
      <c r="C37" s="15"/>
      <c r="D37" s="95"/>
      <c r="F37" s="105"/>
      <c r="G37" s="103"/>
      <c r="H37" s="106"/>
      <c r="I37" s="106"/>
      <c r="J37" s="106"/>
      <c r="K37" s="106"/>
      <c r="L37" s="106"/>
      <c r="P37" s="235"/>
      <c r="Q37" s="108"/>
      <c r="R37" s="108"/>
      <c r="S37" s="242"/>
      <c r="T37" s="242"/>
      <c r="U37" s="242"/>
      <c r="V37" s="37"/>
      <c r="W37" s="37"/>
    </row>
    <row r="38" spans="2:23" ht="15.6" x14ac:dyDescent="0.3">
      <c r="B38" s="96" t="s">
        <v>222</v>
      </c>
      <c r="F38" s="105"/>
      <c r="G38" s="103"/>
      <c r="H38" s="106"/>
      <c r="I38" s="106"/>
      <c r="J38" s="106"/>
      <c r="K38" s="106"/>
      <c r="L38" s="106"/>
      <c r="P38" s="13"/>
      <c r="Q38" s="239"/>
      <c r="R38" s="239"/>
      <c r="S38" s="240"/>
      <c r="T38" s="240"/>
      <c r="U38" s="240"/>
      <c r="V38" s="37"/>
      <c r="W38" s="37"/>
    </row>
    <row r="39" spans="2:23" ht="15.6" x14ac:dyDescent="0.3">
      <c r="B39" s="117" t="s">
        <v>104</v>
      </c>
      <c r="C39" s="117"/>
      <c r="D39" s="118" t="s">
        <v>220</v>
      </c>
      <c r="F39" s="108"/>
      <c r="G39" s="108"/>
      <c r="H39" s="108"/>
      <c r="I39" s="108"/>
      <c r="J39" s="108"/>
      <c r="K39" s="108"/>
      <c r="L39" s="108"/>
      <c r="P39" s="13"/>
      <c r="Q39" s="108"/>
      <c r="R39" s="108"/>
      <c r="S39" s="243"/>
      <c r="T39" s="243"/>
      <c r="U39" s="243"/>
      <c r="V39" s="37"/>
      <c r="W39" s="37"/>
    </row>
    <row r="40" spans="2:23" ht="15.6" x14ac:dyDescent="0.3">
      <c r="B40" s="91" t="s">
        <v>188</v>
      </c>
      <c r="C40" s="60"/>
      <c r="D40" s="93"/>
      <c r="F40" s="37"/>
      <c r="G40" s="37"/>
      <c r="H40" s="98"/>
      <c r="I40" s="99"/>
      <c r="J40" s="99"/>
      <c r="K40" s="99"/>
      <c r="L40" s="99"/>
      <c r="P40" s="13"/>
      <c r="Q40" s="239"/>
      <c r="R40" s="239"/>
      <c r="S40" s="240"/>
      <c r="T40" s="240"/>
      <c r="U40" s="240"/>
      <c r="V40" s="37"/>
      <c r="W40" s="37"/>
    </row>
    <row r="41" spans="2:23" ht="15.6" x14ac:dyDescent="0.3">
      <c r="B41" s="91" t="s">
        <v>219</v>
      </c>
      <c r="C41" s="60"/>
      <c r="D41" s="94"/>
      <c r="F41" s="37"/>
      <c r="G41" s="100"/>
      <c r="H41" s="109"/>
      <c r="I41" s="110"/>
      <c r="J41" s="111"/>
      <c r="K41" s="110"/>
      <c r="L41" s="110"/>
      <c r="P41" s="13"/>
      <c r="Q41" s="108"/>
      <c r="R41" s="108"/>
      <c r="S41" s="108"/>
      <c r="T41" s="108"/>
      <c r="U41" s="108"/>
      <c r="V41" s="37"/>
      <c r="W41" s="37"/>
    </row>
    <row r="42" spans="2:23" ht="15.6" x14ac:dyDescent="0.3">
      <c r="B42" s="91" t="s">
        <v>99</v>
      </c>
      <c r="C42" s="60"/>
      <c r="D42" s="93"/>
      <c r="F42" s="260"/>
      <c r="G42" s="103"/>
      <c r="H42" s="104"/>
      <c r="I42" s="104"/>
      <c r="J42" s="104"/>
      <c r="K42" s="104"/>
      <c r="L42" s="104"/>
      <c r="Q42" s="37"/>
      <c r="R42" s="37"/>
      <c r="S42" s="37"/>
      <c r="T42" s="37"/>
      <c r="U42" s="37"/>
      <c r="V42" s="37"/>
      <c r="W42" s="37"/>
    </row>
    <row r="43" spans="2:23" ht="15.6" x14ac:dyDescent="0.3">
      <c r="B43" s="91"/>
      <c r="C43" s="60"/>
      <c r="D43" s="200"/>
      <c r="F43" s="260"/>
      <c r="G43" s="103"/>
      <c r="H43" s="106"/>
      <c r="I43" s="106"/>
      <c r="J43" s="106"/>
      <c r="K43" s="106"/>
      <c r="L43" s="106"/>
    </row>
    <row r="44" spans="2:23" x14ac:dyDescent="0.3">
      <c r="F44" s="260"/>
      <c r="G44" s="107"/>
      <c r="H44" s="106"/>
      <c r="I44" s="106"/>
      <c r="J44" s="106"/>
      <c r="K44" s="106"/>
      <c r="L44" s="106"/>
    </row>
    <row r="45" spans="2:23" x14ac:dyDescent="0.3">
      <c r="F45" s="260"/>
      <c r="G45" s="103"/>
      <c r="H45" s="106"/>
      <c r="I45" s="106"/>
      <c r="J45" s="106"/>
      <c r="K45" s="106"/>
      <c r="L45" s="106"/>
    </row>
    <row r="46" spans="2:23" x14ac:dyDescent="0.3">
      <c r="F46" s="260"/>
      <c r="G46" s="103"/>
      <c r="H46" s="106"/>
      <c r="I46" s="106"/>
      <c r="J46" s="106"/>
      <c r="K46" s="106"/>
      <c r="L46" s="106"/>
    </row>
    <row r="47" spans="2:23" ht="15.6" x14ac:dyDescent="0.3">
      <c r="F47" s="108"/>
      <c r="G47" s="108"/>
      <c r="H47" s="108"/>
      <c r="I47" s="108"/>
      <c r="J47" s="108"/>
      <c r="K47" s="108"/>
      <c r="L47" s="108"/>
    </row>
    <row r="55" spans="2:3" x14ac:dyDescent="0.3">
      <c r="B55" t="s">
        <v>223</v>
      </c>
    </row>
    <row r="57" spans="2:3" x14ac:dyDescent="0.3">
      <c r="B57" t="s">
        <v>179</v>
      </c>
      <c r="C57" s="62">
        <f>D29</f>
        <v>18515.824712559279</v>
      </c>
    </row>
    <row r="58" spans="2:3" x14ac:dyDescent="0.3">
      <c r="B58" t="s">
        <v>180</v>
      </c>
      <c r="C58" s="62">
        <f t="shared" ref="C58:C59" si="0">D30</f>
        <v>213525.73527530808</v>
      </c>
    </row>
    <row r="59" spans="2:3" x14ac:dyDescent="0.3">
      <c r="B59" s="58" t="s">
        <v>182</v>
      </c>
      <c r="C59" s="62">
        <f t="shared" si="0"/>
        <v>232041.55998786737</v>
      </c>
    </row>
  </sheetData>
  <mergeCells count="1">
    <mergeCell ref="F42:F46"/>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 Page</vt:lpstr>
      <vt:lpstr>Dashboard</vt:lpstr>
      <vt:lpstr>IS</vt:lpstr>
      <vt:lpstr>BS</vt:lpstr>
      <vt:lpstr>CFS</vt:lpstr>
      <vt:lpstr>Assumptions</vt:lpstr>
      <vt:lpstr>Schedules</vt:lpstr>
      <vt:lpstr>FCFF</vt:lpstr>
      <vt:lpstr>DCF</vt:lpstr>
      <vt:lpstr>Relative Valuation</vt:lpstr>
      <vt:lpstr>WACC</vt:lpstr>
      <vt:lpstr>Market Return</vt:lpstr>
      <vt:lpstr>Share 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2022-09-10T08:39:50Z</dcterms:modified>
</cp:coreProperties>
</file>