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7680" yWindow="960" windowWidth="24000" windowHeight="13600" activeTab="2"/>
  </bookViews>
  <sheets>
    <sheet name="RRSP (Deduction)" sheetId="1" r:id="rId1"/>
    <sheet name="Interest Inc (Income)" sheetId="3" r:id="rId2"/>
    <sheet name="Dividend Inc" sheetId="19" r:id="rId3"/>
    <sheet name="Foreign Investment Inc" sheetId="24" r:id="rId4"/>
    <sheet name="Old Age Security Pension" sheetId="27" r:id="rId5"/>
  </sheets>
  <calcPr calcId="140001" iterate="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27" l="1"/>
  <c r="B31" i="27"/>
  <c r="B30" i="27"/>
  <c r="B29" i="27"/>
  <c r="B22" i="27"/>
  <c r="B21" i="27"/>
  <c r="B20" i="27"/>
  <c r="B19" i="27"/>
  <c r="B32" i="24"/>
  <c r="B31" i="24"/>
  <c r="B30" i="24"/>
  <c r="B29" i="24"/>
  <c r="B22" i="24"/>
  <c r="B21" i="24"/>
  <c r="B20" i="24"/>
  <c r="B19" i="24"/>
  <c r="B36" i="19"/>
  <c r="B35" i="19"/>
  <c r="B34" i="19"/>
  <c r="B33" i="19"/>
  <c r="B26" i="19"/>
  <c r="B25" i="19"/>
  <c r="B24" i="19"/>
  <c r="B23" i="19"/>
  <c r="B32" i="3"/>
  <c r="B31" i="3"/>
  <c r="B30" i="3"/>
  <c r="B29" i="3"/>
  <c r="B22" i="3"/>
  <c r="B21" i="3"/>
  <c r="B20" i="3"/>
  <c r="B19" i="3"/>
  <c r="B51" i="27"/>
  <c r="B41" i="27"/>
  <c r="B42" i="27"/>
  <c r="B43" i="27"/>
  <c r="B50" i="27"/>
  <c r="B58" i="27"/>
  <c r="B49" i="27"/>
  <c r="B48" i="27"/>
  <c r="B52" i="27"/>
  <c r="B59" i="27"/>
  <c r="B53" i="27"/>
  <c r="B57" i="27"/>
  <c r="B60" i="27"/>
  <c r="I47" i="24"/>
  <c r="I70" i="19"/>
  <c r="B33" i="1"/>
  <c r="B32" i="1"/>
  <c r="B31" i="1"/>
  <c r="B30" i="1"/>
  <c r="I71" i="24"/>
  <c r="I94" i="19"/>
  <c r="J49" i="19"/>
  <c r="G43" i="19"/>
  <c r="F44" i="19"/>
  <c r="H43" i="19"/>
  <c r="G44" i="19"/>
  <c r="F45" i="19"/>
  <c r="H44" i="19"/>
  <c r="G45" i="19"/>
  <c r="H45" i="19"/>
  <c r="G46" i="19"/>
  <c r="H46" i="19"/>
  <c r="F47" i="19"/>
  <c r="H47" i="19"/>
  <c r="I49" i="19"/>
  <c r="I44" i="19"/>
  <c r="I45" i="19"/>
  <c r="I46" i="19"/>
  <c r="F46" i="19"/>
  <c r="I47" i="19"/>
  <c r="B23" i="1"/>
  <c r="B22" i="1"/>
  <c r="B21" i="1"/>
  <c r="B20" i="1"/>
  <c r="B58" i="24"/>
  <c r="B42" i="24"/>
  <c r="B87" i="24"/>
  <c r="B84" i="24"/>
  <c r="H71" i="24"/>
  <c r="G69" i="24"/>
  <c r="G68" i="24"/>
  <c r="F68" i="24"/>
  <c r="G67" i="24"/>
  <c r="F67" i="24"/>
  <c r="E68" i="24"/>
  <c r="G66" i="24"/>
  <c r="F66" i="24"/>
  <c r="E67" i="24"/>
  <c r="G65" i="24"/>
  <c r="F65" i="24"/>
  <c r="E66" i="24"/>
  <c r="B48" i="24"/>
  <c r="H47" i="24"/>
  <c r="B47" i="24"/>
  <c r="G45" i="24"/>
  <c r="G44" i="24"/>
  <c r="F44" i="24"/>
  <c r="E45" i="24"/>
  <c r="G43" i="24"/>
  <c r="F43" i="24"/>
  <c r="E44" i="24"/>
  <c r="G42" i="24"/>
  <c r="F42" i="24"/>
  <c r="E43" i="24"/>
  <c r="G41" i="24"/>
  <c r="F41" i="24"/>
  <c r="E42" i="24"/>
  <c r="B41" i="24"/>
  <c r="B40" i="24"/>
  <c r="E69" i="24"/>
  <c r="H66" i="24"/>
  <c r="H67" i="24"/>
  <c r="H68" i="24"/>
  <c r="H69" i="24"/>
  <c r="H42" i="24"/>
  <c r="H43" i="24"/>
  <c r="H44" i="24"/>
  <c r="H45" i="24"/>
  <c r="B72" i="24"/>
  <c r="H94" i="19"/>
  <c r="H70" i="19"/>
  <c r="B81" i="19"/>
  <c r="B65" i="19"/>
  <c r="B39" i="3"/>
  <c r="B41" i="3"/>
  <c r="G92" i="19"/>
  <c r="G91" i="19"/>
  <c r="G90" i="19"/>
  <c r="G89" i="19"/>
  <c r="G88" i="19"/>
  <c r="G68" i="19"/>
  <c r="G67" i="19"/>
  <c r="G66" i="19"/>
  <c r="G65" i="19"/>
  <c r="G64" i="19"/>
  <c r="F67" i="19"/>
  <c r="E68" i="19"/>
  <c r="F66" i="19"/>
  <c r="F65" i="19"/>
  <c r="F91" i="19"/>
  <c r="E92" i="19"/>
  <c r="F90" i="19"/>
  <c r="E91" i="19"/>
  <c r="F89" i="19"/>
  <c r="F88" i="19"/>
  <c r="F64" i="19"/>
  <c r="E90" i="19"/>
  <c r="E67" i="19"/>
  <c r="E65" i="19"/>
  <c r="H65" i="19"/>
  <c r="E89" i="19"/>
  <c r="H89" i="19"/>
  <c r="E66" i="19"/>
  <c r="B71" i="19"/>
  <c r="H90" i="19"/>
  <c r="H91" i="19"/>
  <c r="H92" i="19"/>
  <c r="H66" i="19"/>
  <c r="H67" i="19"/>
  <c r="H68" i="19"/>
  <c r="B95" i="19"/>
  <c r="B64" i="19"/>
  <c r="B63" i="19"/>
  <c r="B70" i="19"/>
  <c r="B47" i="19"/>
  <c r="B45" i="19"/>
  <c r="B46" i="19"/>
  <c r="B48" i="19"/>
  <c r="B44" i="1"/>
  <c r="B42" i="1"/>
  <c r="B41" i="1"/>
  <c r="B43" i="1"/>
  <c r="B51" i="1"/>
  <c r="B50" i="1"/>
  <c r="B52" i="1"/>
  <c r="B42" i="3"/>
  <c r="B48" i="3"/>
  <c r="B45" i="1"/>
  <c r="B40" i="3"/>
  <c r="B43" i="3"/>
  <c r="B47" i="3"/>
  <c r="B49" i="3"/>
  <c r="B107" i="19"/>
  <c r="B111" i="19"/>
  <c r="J43" i="19"/>
  <c r="K43" i="19"/>
  <c r="J44" i="19"/>
  <c r="K44" i="19"/>
  <c r="J45" i="19"/>
  <c r="K45" i="19"/>
  <c r="J46" i="19"/>
  <c r="K46" i="19"/>
  <c r="J47" i="19"/>
  <c r="K47" i="19"/>
  <c r="K48" i="19"/>
  <c r="K49" i="19"/>
  <c r="K50" i="19"/>
  <c r="B51" i="19"/>
  <c r="K51" i="19"/>
  <c r="B52" i="19"/>
  <c r="K52" i="19"/>
  <c r="B53" i="19"/>
  <c r="K53" i="19"/>
  <c r="K54" i="19"/>
  <c r="B56" i="19"/>
  <c r="B57" i="19"/>
  <c r="B58" i="19"/>
  <c r="I64" i="19"/>
  <c r="J64" i="19"/>
  <c r="I65" i="19"/>
  <c r="J65" i="19"/>
  <c r="B66" i="19"/>
  <c r="I66" i="19"/>
  <c r="J66" i="19"/>
  <c r="B67" i="19"/>
  <c r="I67" i="19"/>
  <c r="J67" i="19"/>
  <c r="B68" i="19"/>
  <c r="I68" i="19"/>
  <c r="J68" i="19"/>
  <c r="J69" i="19"/>
  <c r="J70" i="19"/>
  <c r="J71" i="19"/>
  <c r="B72" i="19"/>
  <c r="B73" i="19"/>
  <c r="B74" i="19"/>
  <c r="B76" i="19"/>
  <c r="B78" i="19"/>
  <c r="B80" i="19"/>
  <c r="B83" i="19"/>
  <c r="B87" i="19"/>
  <c r="B88" i="19"/>
  <c r="I88" i="19"/>
  <c r="J88" i="19"/>
  <c r="B89" i="19"/>
  <c r="I89" i="19"/>
  <c r="J89" i="19"/>
  <c r="I90" i="19"/>
  <c r="J90" i="19"/>
  <c r="B91" i="19"/>
  <c r="I91" i="19"/>
  <c r="J91" i="19"/>
  <c r="I92" i="19"/>
  <c r="J92" i="19"/>
  <c r="B93" i="19"/>
  <c r="J93" i="19"/>
  <c r="J94" i="19"/>
  <c r="J95" i="19"/>
  <c r="B96" i="19"/>
  <c r="B97" i="19"/>
  <c r="B99" i="19"/>
  <c r="B101" i="19"/>
  <c r="B106" i="19"/>
  <c r="B108" i="19"/>
  <c r="B109" i="19"/>
  <c r="B110" i="19"/>
  <c r="B112" i="19"/>
  <c r="B113" i="19"/>
  <c r="B114" i="19"/>
  <c r="B118" i="19"/>
  <c r="B119" i="19"/>
  <c r="B120" i="19"/>
  <c r="I41" i="24"/>
  <c r="J41" i="24"/>
  <c r="I42" i="24"/>
  <c r="J42" i="24"/>
  <c r="B43" i="24"/>
  <c r="I43" i="24"/>
  <c r="J43" i="24"/>
  <c r="B44" i="24"/>
  <c r="I44" i="24"/>
  <c r="J44" i="24"/>
  <c r="B45" i="24"/>
  <c r="I45" i="24"/>
  <c r="J45" i="24"/>
  <c r="J46" i="24"/>
  <c r="J47" i="24"/>
  <c r="J48" i="24"/>
  <c r="B49" i="24"/>
  <c r="B50" i="24"/>
  <c r="B51" i="24"/>
  <c r="B53" i="24"/>
  <c r="B55" i="24"/>
  <c r="B57" i="24"/>
  <c r="B60" i="24"/>
  <c r="B64" i="24"/>
  <c r="B65" i="24"/>
  <c r="I65" i="24"/>
  <c r="J65" i="24"/>
  <c r="B66" i="24"/>
  <c r="I66" i="24"/>
  <c r="J66" i="24"/>
  <c r="I67" i="24"/>
  <c r="J67" i="24"/>
  <c r="B68" i="24"/>
  <c r="I68" i="24"/>
  <c r="J68" i="24"/>
  <c r="I69" i="24"/>
  <c r="J69" i="24"/>
  <c r="B70" i="24"/>
  <c r="J70" i="24"/>
  <c r="J71" i="24"/>
  <c r="J72" i="24"/>
  <c r="B73" i="24"/>
  <c r="B74" i="24"/>
  <c r="B76" i="24"/>
  <c r="B78" i="24"/>
  <c r="B83" i="24"/>
  <c r="B85" i="24"/>
  <c r="B86" i="24"/>
  <c r="B88" i="24"/>
  <c r="B89" i="24"/>
  <c r="B93" i="24"/>
  <c r="B94" i="24"/>
  <c r="B95" i="24"/>
</calcChain>
</file>

<file path=xl/sharedStrings.xml><?xml version="1.0" encoding="utf-8"?>
<sst xmlns="http://schemas.openxmlformats.org/spreadsheetml/2006/main" count="367" uniqueCount="107">
  <si>
    <t>Input cell</t>
  </si>
  <si>
    <t>#1</t>
  </si>
  <si>
    <t>RRSP</t>
  </si>
  <si>
    <t>Contribution</t>
  </si>
  <si>
    <t>#2</t>
  </si>
  <si>
    <t>Province</t>
  </si>
  <si>
    <t>Total Income</t>
  </si>
  <si>
    <t>Background</t>
  </si>
  <si>
    <t>Federal Bracket</t>
  </si>
  <si>
    <t>Income level</t>
  </si>
  <si>
    <t>over</t>
  </si>
  <si>
    <t>Provincial Bracket</t>
  </si>
  <si>
    <t>#4</t>
  </si>
  <si>
    <t>Output cell</t>
  </si>
  <si>
    <t>Tax savings</t>
  </si>
  <si>
    <t>Federal</t>
  </si>
  <si>
    <t>Provincial</t>
  </si>
  <si>
    <t>Total Tax Savings</t>
  </si>
  <si>
    <t>Interest income</t>
  </si>
  <si>
    <t>Taxes Payable</t>
  </si>
  <si>
    <t>2016 rates</t>
  </si>
  <si>
    <t>Additional Taxes Payable</t>
  </si>
  <si>
    <t>Net income</t>
  </si>
  <si>
    <t>Yes</t>
  </si>
  <si>
    <t>No</t>
  </si>
  <si>
    <t>Dividend Income</t>
  </si>
  <si>
    <t>Non-Canadian corporation</t>
  </si>
  <si>
    <t>Canadian Corporation</t>
  </si>
  <si>
    <t>A</t>
  </si>
  <si>
    <t>B</t>
  </si>
  <si>
    <t>Tax Tips:</t>
  </si>
  <si>
    <t>Basic personal amount (federal)</t>
  </si>
  <si>
    <t>Basic personal amount</t>
  </si>
  <si>
    <t>Basic personal amount (Provincial)</t>
  </si>
  <si>
    <t>`</t>
  </si>
  <si>
    <t>Basic personal amount (Federal)</t>
  </si>
  <si>
    <t>View Details Page</t>
  </si>
  <si>
    <t>Federal Dividend Tax Credit</t>
  </si>
  <si>
    <t>Is the company traded on the stock market?</t>
  </si>
  <si>
    <t>Type of corporation</t>
  </si>
  <si>
    <t>Eligible dividend</t>
  </si>
  <si>
    <t>Gross up (non-eligible dividend)</t>
  </si>
  <si>
    <t>Non-eligible dividend</t>
  </si>
  <si>
    <t>Foreign dividend</t>
  </si>
  <si>
    <t>Eligible dividend tax credit</t>
  </si>
  <si>
    <t>Non-eligible dividend tax credit</t>
  </si>
  <si>
    <t>Dividend tax credit (federal)</t>
  </si>
  <si>
    <t>Dividend Tax Credit</t>
  </si>
  <si>
    <t>Dividend tax credit (provincial)</t>
  </si>
  <si>
    <t>Foreign investment income</t>
  </si>
  <si>
    <t>Foreign Tax Credit</t>
  </si>
  <si>
    <t>Federal foreign tax credit</t>
  </si>
  <si>
    <t>Basic federal tax</t>
  </si>
  <si>
    <t>Net foreign business income</t>
  </si>
  <si>
    <t>Proportion of net foreign business income</t>
  </si>
  <si>
    <t>US</t>
  </si>
  <si>
    <t>Non-US</t>
  </si>
  <si>
    <t>Country of foreign income</t>
  </si>
  <si>
    <t>Taxes withheld/paid on foreign income</t>
  </si>
  <si>
    <t>Input fields will only appear if user selects "Non-Canadian corporation"</t>
  </si>
  <si>
    <t>Don't Know</t>
  </si>
  <si>
    <t>Marginal tax</t>
  </si>
  <si>
    <t>Lower bracket tax</t>
  </si>
  <si>
    <t>Total tax</t>
  </si>
  <si>
    <t>FTC limitation</t>
  </si>
  <si>
    <t>Foreign taxes paid</t>
  </si>
  <si>
    <t>Federal foreign tax credit (lesser of A or B)</t>
  </si>
  <si>
    <t>Provincial foreign tax credit</t>
  </si>
  <si>
    <t>Basic provincial tax</t>
  </si>
  <si>
    <t>Provincial foreign tax credit (lesser of A or B)</t>
  </si>
  <si>
    <t xml:space="preserve">US source investment income - limitation on 20(11) and 20(12) </t>
  </si>
  <si>
    <t>Foreign business income</t>
  </si>
  <si>
    <t>Not eligible for FTC</t>
  </si>
  <si>
    <t>20(11) deduction</t>
  </si>
  <si>
    <t>Net total income</t>
  </si>
  <si>
    <t>Less: Federal FTC claimed</t>
  </si>
  <si>
    <t>Foreign tax credit (federal)</t>
  </si>
  <si>
    <t>Foreign tax credit (provincial)</t>
  </si>
  <si>
    <t>20(12) deduction</t>
  </si>
  <si>
    <t>C</t>
  </si>
  <si>
    <t>Total 20(11)/(12) deduction</t>
  </si>
  <si>
    <t>A+B+C</t>
  </si>
  <si>
    <t>A+B</t>
  </si>
  <si>
    <t>Unused credit - 20(12) deduction</t>
  </si>
  <si>
    <t>min(A or B)</t>
  </si>
  <si>
    <t>Iterative calculation</t>
  </si>
  <si>
    <t>2015 rates</t>
  </si>
  <si>
    <t>Gross up (eligible dividend)</t>
  </si>
  <si>
    <t>With interest and 20(11)/(12)</t>
  </si>
  <si>
    <t>Foreign Investment Income</t>
  </si>
  <si>
    <t>Alberta</t>
  </si>
  <si>
    <t>AB dividend tax credit</t>
  </si>
  <si>
    <t>AB foreign tax credit</t>
  </si>
  <si>
    <t>AB Dividend Tax Credit</t>
  </si>
  <si>
    <t>2016 AB rates</t>
  </si>
  <si>
    <t>Old Age Security (OAS) Pension</t>
  </si>
  <si>
    <t>OAS Pension</t>
  </si>
  <si>
    <t>OAS Clawback</t>
  </si>
  <si>
    <t>Threshold for 2017</t>
  </si>
  <si>
    <t>Clawback %</t>
  </si>
  <si>
    <t>If net income is equal or greater than threshold</t>
  </si>
  <si>
    <t>If net income is less than but sum is greater than threshold</t>
  </si>
  <si>
    <t>Total OAS Clawback</t>
  </si>
  <si>
    <t>Additional Federal Tax Savings</t>
  </si>
  <si>
    <t>Additional AB Tax Savings</t>
  </si>
  <si>
    <t>Additional Federal Taxes</t>
  </si>
  <si>
    <t>Additional AB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</si>
</sst>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  <numFmt numFmtId="166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3" fontId="0" fillId="0" borderId="0" xfId="0" applyNumberFormat="1"/>
    <xf numFmtId="3" fontId="5" fillId="0" borderId="0" xfId="0" applyNumberFormat="1" applyFont="1"/>
    <xf numFmtId="10" fontId="5" fillId="0" borderId="0" xfId="2" applyNumberFormat="1" applyFont="1"/>
    <xf numFmtId="10" fontId="5" fillId="0" borderId="0" xfId="0" applyNumberFormat="1" applyFont="1"/>
    <xf numFmtId="9" fontId="0" fillId="0" borderId="0" xfId="0" applyNumberFormat="1"/>
    <xf numFmtId="10" fontId="0" fillId="0" borderId="0" xfId="2" applyNumberFormat="1" applyFont="1"/>
    <xf numFmtId="0" fontId="2" fillId="0" borderId="0" xfId="0" applyFont="1"/>
    <xf numFmtId="0" fontId="0" fillId="3" borderId="0" xfId="0" applyFill="1"/>
    <xf numFmtId="164" fontId="0" fillId="0" borderId="0" xfId="1" applyNumberFormat="1" applyFont="1" applyFill="1"/>
    <xf numFmtId="164" fontId="0" fillId="0" borderId="0" xfId="1" applyNumberFormat="1" applyFont="1"/>
    <xf numFmtId="164" fontId="0" fillId="3" borderId="0" xfId="0" applyNumberFormat="1" applyFill="1"/>
    <xf numFmtId="43" fontId="0" fillId="0" borderId="0" xfId="0" applyNumberFormat="1"/>
    <xf numFmtId="10" fontId="0" fillId="0" borderId="0" xfId="0" applyNumberFormat="1"/>
    <xf numFmtId="164" fontId="0" fillId="0" borderId="0" xfId="1" quotePrefix="1" applyNumberFormat="1" applyFont="1" applyFill="1"/>
    <xf numFmtId="164" fontId="0" fillId="0" borderId="0" xfId="0" applyNumberFormat="1"/>
    <xf numFmtId="0" fontId="6" fillId="0" borderId="0" xfId="0" applyFont="1"/>
    <xf numFmtId="10" fontId="0" fillId="0" borderId="0" xfId="0" applyNumberFormat="1" applyFill="1"/>
    <xf numFmtId="0" fontId="0" fillId="0" borderId="0" xfId="0" applyFill="1"/>
    <xf numFmtId="43" fontId="0" fillId="0" borderId="0" xfId="1" applyFont="1"/>
    <xf numFmtId="3" fontId="5" fillId="0" borderId="0" xfId="0" applyNumberFormat="1" applyFont="1" applyBorder="1"/>
    <xf numFmtId="164" fontId="5" fillId="0" borderId="0" xfId="1" applyNumberFormat="1" applyFont="1"/>
    <xf numFmtId="9" fontId="2" fillId="0" borderId="0" xfId="0" applyNumberFormat="1" applyFont="1"/>
    <xf numFmtId="3" fontId="2" fillId="0" borderId="0" xfId="0" applyNumberFormat="1" applyFont="1"/>
    <xf numFmtId="3" fontId="5" fillId="0" borderId="0" xfId="0" applyNumberFormat="1" applyFont="1" applyFill="1"/>
    <xf numFmtId="0" fontId="0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9" fontId="0" fillId="0" borderId="0" xfId="0" applyNumberFormat="1" applyFill="1"/>
    <xf numFmtId="0" fontId="2" fillId="0" borderId="0" xfId="0" applyFont="1" applyFill="1"/>
    <xf numFmtId="9" fontId="0" fillId="0" borderId="0" xfId="0" applyNumberFormat="1" applyFont="1"/>
    <xf numFmtId="0" fontId="0" fillId="2" borderId="0" xfId="0" applyFill="1" applyAlignment="1">
      <alignment wrapText="1"/>
    </xf>
    <xf numFmtId="164" fontId="0" fillId="0" borderId="1" xfId="0" applyNumberFormat="1" applyBorder="1"/>
    <xf numFmtId="164" fontId="0" fillId="0" borderId="0" xfId="1" applyNumberFormat="1" applyFont="1" applyBorder="1"/>
    <xf numFmtId="165" fontId="0" fillId="0" borderId="0" xfId="1" applyNumberFormat="1" applyFont="1" applyFill="1"/>
    <xf numFmtId="165" fontId="0" fillId="0" borderId="1" xfId="1" applyNumberFormat="1" applyFont="1" applyFill="1" applyBorder="1"/>
    <xf numFmtId="165" fontId="0" fillId="0" borderId="0" xfId="1" applyNumberFormat="1" applyFont="1" applyFill="1" applyBorder="1"/>
    <xf numFmtId="164" fontId="4" fillId="0" borderId="0" xfId="1" applyNumberFormat="1" applyFont="1"/>
    <xf numFmtId="164" fontId="2" fillId="0" borderId="0" xfId="1" applyNumberFormat="1" applyFont="1"/>
    <xf numFmtId="164" fontId="0" fillId="0" borderId="1" xfId="1" applyNumberFormat="1" applyFont="1" applyBorder="1"/>
    <xf numFmtId="164" fontId="4" fillId="0" borderId="0" xfId="1" applyNumberFormat="1" applyFont="1" applyBorder="1"/>
    <xf numFmtId="164" fontId="7" fillId="0" borderId="0" xfId="0" applyNumberFormat="1" applyFont="1"/>
    <xf numFmtId="164" fontId="2" fillId="0" borderId="0" xfId="1" applyNumberFormat="1" applyFont="1" applyFill="1"/>
    <xf numFmtId="164" fontId="0" fillId="0" borderId="0" xfId="1" applyNumberFormat="1" applyFont="1" applyFill="1" applyBorder="1"/>
    <xf numFmtId="0" fontId="0" fillId="0" borderId="0" xfId="0" applyFill="1" applyBorder="1"/>
    <xf numFmtId="3" fontId="0" fillId="0" borderId="0" xfId="0" applyNumberFormat="1" applyFill="1" applyBorder="1"/>
    <xf numFmtId="164" fontId="0" fillId="0" borderId="0" xfId="0" applyNumberFormat="1" applyFill="1" applyBorder="1"/>
    <xf numFmtId="164" fontId="4" fillId="0" borderId="0" xfId="1" applyNumberFormat="1" applyFont="1" applyFill="1" applyBorder="1"/>
    <xf numFmtId="0" fontId="0" fillId="0" borderId="0" xfId="0" applyBorder="1"/>
    <xf numFmtId="3" fontId="0" fillId="0" borderId="0" xfId="0" applyNumberFormat="1" applyFill="1"/>
    <xf numFmtId="164" fontId="0" fillId="0" borderId="0" xfId="0" applyNumberFormat="1" applyFill="1"/>
    <xf numFmtId="164" fontId="0" fillId="0" borderId="1" xfId="1" applyNumberFormat="1" applyFont="1" applyFill="1" applyBorder="1"/>
    <xf numFmtId="166" fontId="0" fillId="0" borderId="0" xfId="2" applyNumberFormat="1" applyFont="1"/>
    <xf numFmtId="164" fontId="0" fillId="2" borderId="0" xfId="0" applyNumberFormat="1" applyFill="1"/>
    <xf numFmtId="0" fontId="0" fillId="0" borderId="0" xfId="0" applyFont="1" applyFill="1"/>
    <xf numFmtId="166" fontId="0" fillId="0" borderId="0" xfId="0" applyNumberFormat="1"/>
    <xf numFmtId="10" fontId="0" fillId="0" borderId="0" xfId="2" applyNumberFormat="1" applyFont="1" applyFill="1"/>
    <xf numFmtId="3" fontId="3" fillId="0" borderId="0" xfId="0" applyNumberFormat="1" applyFont="1"/>
    <xf numFmtId="10" fontId="0" fillId="0" borderId="0" xfId="0" applyNumberFormat="1" applyAlignment="1">
      <alignment horizontal="center"/>
    </xf>
    <xf numFmtId="165" fontId="2" fillId="0" borderId="0" xfId="1" applyNumberFormat="1" applyFont="1" applyFill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10" fontId="5" fillId="0" borderId="0" xfId="0" applyNumberFormat="1" applyFont="1" applyFill="1"/>
    <xf numFmtId="10" fontId="0" fillId="0" borderId="0" xfId="0" applyNumberFormat="1" applyFill="1" applyAlignment="1">
      <alignment horizontal="center"/>
    </xf>
    <xf numFmtId="0" fontId="3" fillId="0" borderId="0" xfId="0" applyFont="1" applyFill="1"/>
    <xf numFmtId="3" fontId="4" fillId="0" borderId="0" xfId="0" applyNumberFormat="1" applyFont="1"/>
    <xf numFmtId="9" fontId="2" fillId="0" borderId="0" xfId="0" applyNumberFormat="1" applyFont="1" applyFill="1"/>
    <xf numFmtId="164" fontId="5" fillId="0" borderId="0" xfId="1" applyNumberFormat="1" applyFont="1" applyFill="1"/>
    <xf numFmtId="3" fontId="2" fillId="0" borderId="0" xfId="0" applyNumberFormat="1" applyFont="1" applyFill="1"/>
    <xf numFmtId="0" fontId="0" fillId="0" borderId="0" xfId="0" applyFill="1" applyAlignment="1">
      <alignment horizontal="center"/>
    </xf>
    <xf numFmtId="164" fontId="0" fillId="0" borderId="1" xfId="0" applyNumberFormat="1" applyFill="1" applyBorder="1"/>
    <xf numFmtId="165" fontId="0" fillId="0" borderId="1" xfId="0" applyNumberFormat="1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10" fontId="0" fillId="0" borderId="0" xfId="2" applyNumberFormat="1" applyFont="1" applyFill="1" applyBorder="1"/>
    <xf numFmtId="165" fontId="0" fillId="3" borderId="0" xfId="1" applyNumberFormat="1" applyFont="1" applyFill="1"/>
    <xf numFmtId="0" fontId="8" fillId="0" borderId="0" xfId="0" applyFont="1" applyFill="1" applyBorder="1"/>
    <xf numFmtId="43" fontId="0" fillId="0" borderId="0" xfId="0" applyNumberFormat="1" applyFill="1" applyBorder="1"/>
    <xf numFmtId="1" fontId="0" fillId="0" borderId="0" xfId="0" applyNumberFormat="1"/>
    <xf numFmtId="9" fontId="0" fillId="0" borderId="0" xfId="2" applyFont="1"/>
    <xf numFmtId="0" fontId="0" fillId="0" borderId="0" xfId="0" applyFont="1" applyAlignment="1">
      <alignment wrapText="1"/>
    </xf>
    <xf numFmtId="3" fontId="0" fillId="0" borderId="1" xfId="0" applyNumberFormat="1" applyBorder="1"/>
    <xf numFmtId="165" fontId="0" fillId="4" borderId="1" xfId="1" applyNumberFormat="1" applyFont="1" applyFill="1" applyBorder="1"/>
    <xf numFmtId="0" fontId="0" fillId="4" borderId="0" xfId="0" applyFont="1" applyFill="1"/>
    <xf numFmtId="164" fontId="0" fillId="0" borderId="0" xfId="0" applyNumberFormat="1" applyBorder="1"/>
    <xf numFmtId="0" fontId="0" fillId="4" borderId="0" xfId="0" applyFill="1"/>
    <xf numFmtId="164" fontId="0" fillId="4" borderId="1" xfId="0" applyNumberFormat="1" applyFill="1" applyBorder="1"/>
    <xf numFmtId="0" fontId="4" fillId="0" borderId="0" xfId="0" applyFont="1" applyFill="1"/>
    <xf numFmtId="10" fontId="5" fillId="0" borderId="0" xfId="2" applyNumberFormat="1" applyFont="1" applyFill="1"/>
    <xf numFmtId="164" fontId="7" fillId="0" borderId="0" xfId="0" applyNumberFormat="1" applyFont="1" applyFill="1"/>
    <xf numFmtId="3" fontId="5" fillId="0" borderId="0" xfId="0" applyNumberFormat="1" applyFont="1" applyFill="1" applyBorder="1"/>
    <xf numFmtId="9" fontId="0" fillId="0" borderId="0" xfId="0" applyNumberFormat="1" applyFont="1" applyFill="1"/>
    <xf numFmtId="166" fontId="0" fillId="0" borderId="0" xfId="2" applyNumberFormat="1" applyFont="1" applyFill="1"/>
    <xf numFmtId="166" fontId="0" fillId="0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zoomScale="85" zoomScaleNormal="85" zoomScalePageLayoutView="85" workbookViewId="0">
      <selection activeCell="F18" sqref="F18"/>
    </sheetView>
  </sheetViews>
  <sheetFormatPr baseColWidth="10" defaultColWidth="8.83203125" defaultRowHeight="14" x14ac:dyDescent="0"/>
  <cols>
    <col min="1" max="1" width="29.6640625" customWidth="1"/>
    <col min="2" max="2" width="11.6640625" customWidth="1"/>
    <col min="3" max="3" width="9.5" bestFit="1" customWidth="1"/>
    <col min="4" max="4" width="9" bestFit="1" customWidth="1"/>
    <col min="5" max="5" width="10.5" bestFit="1" customWidth="1"/>
    <col min="6" max="6" width="9.33203125" bestFit="1" customWidth="1"/>
    <col min="7" max="7" width="11.6640625" bestFit="1" customWidth="1"/>
    <col min="8" max="8" width="9" bestFit="1" customWidth="1"/>
    <col min="11" max="11" width="12.33203125" bestFit="1" customWidth="1"/>
  </cols>
  <sheetData>
    <row r="1" spans="1:20">
      <c r="B1" s="1"/>
      <c r="C1" t="s">
        <v>0</v>
      </c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20">
      <c r="A2" s="2" t="s">
        <v>1</v>
      </c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20">
      <c r="A3" s="3" t="s">
        <v>2</v>
      </c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20">
      <c r="A4" t="s">
        <v>3</v>
      </c>
      <c r="B4" s="1">
        <v>1000</v>
      </c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20"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20">
      <c r="E6" s="47"/>
      <c r="F6" s="47"/>
      <c r="G6" s="47"/>
      <c r="H6" s="47"/>
      <c r="I6" s="47"/>
      <c r="J6" s="47"/>
      <c r="K6" s="47"/>
      <c r="L6" s="47"/>
      <c r="M6" s="47"/>
      <c r="N6" s="47"/>
      <c r="O6" s="21"/>
      <c r="P6" s="53"/>
      <c r="Q6" s="21"/>
      <c r="R6" s="21"/>
      <c r="S6" s="21"/>
      <c r="T6" s="21"/>
    </row>
    <row r="7" spans="1:20">
      <c r="A7" s="2" t="s">
        <v>4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21"/>
      <c r="P7" s="21"/>
      <c r="Q7" s="21"/>
      <c r="R7" s="21"/>
      <c r="S7" s="21"/>
      <c r="T7" s="21"/>
    </row>
    <row r="8" spans="1:20">
      <c r="A8" t="s">
        <v>5</v>
      </c>
      <c r="B8" s="1" t="s">
        <v>90</v>
      </c>
      <c r="E8" s="47"/>
      <c r="F8" s="47"/>
      <c r="G8" s="47"/>
      <c r="H8" s="47"/>
      <c r="I8" s="47"/>
      <c r="J8" s="47"/>
      <c r="K8" s="47"/>
      <c r="L8" s="48"/>
      <c r="M8" s="48"/>
      <c r="N8" s="48"/>
      <c r="O8" s="52"/>
      <c r="P8" s="52"/>
      <c r="Q8" s="52"/>
      <c r="R8" s="52"/>
      <c r="S8" s="52"/>
      <c r="T8" s="52"/>
    </row>
    <row r="9" spans="1:20">
      <c r="E9" s="47"/>
      <c r="F9" s="46"/>
      <c r="G9" s="46"/>
      <c r="H9" s="46"/>
      <c r="I9" s="47"/>
      <c r="J9" s="47"/>
      <c r="K9" s="47"/>
      <c r="L9" s="47"/>
      <c r="M9" s="47"/>
      <c r="N9" s="47"/>
      <c r="O9" s="21"/>
      <c r="P9" s="21"/>
      <c r="Q9" s="21"/>
      <c r="R9" s="21"/>
      <c r="S9" s="21"/>
      <c r="T9" s="21"/>
    </row>
    <row r="11" spans="1:20">
      <c r="H11" s="8"/>
      <c r="L11" s="8"/>
    </row>
    <row r="12" spans="1:20">
      <c r="A12" t="s">
        <v>6</v>
      </c>
      <c r="B12" s="1">
        <v>14000</v>
      </c>
      <c r="H12" s="13"/>
    </row>
    <row r="13" spans="1:20">
      <c r="D13" s="4"/>
      <c r="H13" s="82"/>
    </row>
    <row r="14" spans="1:20">
      <c r="D14" s="4"/>
    </row>
    <row r="16" spans="1:20">
      <c r="A16" s="2" t="s">
        <v>7</v>
      </c>
    </row>
    <row r="17" spans="1:9">
      <c r="A17" s="91" t="s">
        <v>8</v>
      </c>
      <c r="B17" s="21"/>
      <c r="C17" s="21"/>
      <c r="D17" s="21"/>
      <c r="E17" s="21"/>
      <c r="F17" s="21"/>
      <c r="G17" s="21"/>
      <c r="H17" s="21"/>
      <c r="I17" s="21"/>
    </row>
    <row r="18" spans="1:9">
      <c r="A18" s="21"/>
      <c r="B18" s="91" t="s">
        <v>20</v>
      </c>
      <c r="C18" s="21"/>
      <c r="D18" s="21"/>
      <c r="E18" s="21"/>
      <c r="F18" s="91"/>
      <c r="G18" s="21"/>
      <c r="H18" s="21"/>
      <c r="I18" s="21"/>
    </row>
    <row r="19" spans="1:9" ht="15">
      <c r="A19" s="21" t="s">
        <v>9</v>
      </c>
      <c r="B19" s="52">
        <v>0</v>
      </c>
      <c r="C19" s="27">
        <v>45282</v>
      </c>
      <c r="D19" s="92">
        <v>0.15</v>
      </c>
      <c r="E19" s="21"/>
      <c r="F19" s="52"/>
      <c r="G19" s="27"/>
      <c r="H19" s="92"/>
      <c r="I19" s="21"/>
    </row>
    <row r="20" spans="1:9" ht="15">
      <c r="A20" s="21" t="s">
        <v>10</v>
      </c>
      <c r="B20" s="27">
        <f>C19</f>
        <v>45282</v>
      </c>
      <c r="C20" s="27">
        <v>90563</v>
      </c>
      <c r="D20" s="66">
        <v>0.20499999999999999</v>
      </c>
      <c r="E20" s="21"/>
      <c r="F20" s="27"/>
      <c r="G20" s="27"/>
      <c r="H20" s="66"/>
      <c r="I20" s="21"/>
    </row>
    <row r="21" spans="1:9" ht="15">
      <c r="A21" s="21" t="s">
        <v>10</v>
      </c>
      <c r="B21" s="27">
        <f>C20</f>
        <v>90563</v>
      </c>
      <c r="C21" s="27">
        <v>140388</v>
      </c>
      <c r="D21" s="66">
        <v>0.26</v>
      </c>
      <c r="E21" s="21"/>
      <c r="F21" s="27"/>
      <c r="G21" s="27"/>
      <c r="H21" s="66"/>
      <c r="I21" s="21"/>
    </row>
    <row r="22" spans="1:9" ht="15">
      <c r="A22" s="21" t="s">
        <v>10</v>
      </c>
      <c r="B22" s="27">
        <f>C21</f>
        <v>140388</v>
      </c>
      <c r="C22" s="27">
        <v>200000</v>
      </c>
      <c r="D22" s="66">
        <v>0.28999999999999998</v>
      </c>
      <c r="E22" s="21"/>
      <c r="F22" s="27"/>
      <c r="G22" s="27"/>
      <c r="H22" s="66"/>
      <c r="I22" s="21"/>
    </row>
    <row r="23" spans="1:9" ht="15">
      <c r="A23" s="21"/>
      <c r="B23" s="27">
        <f>C22</f>
        <v>200000</v>
      </c>
      <c r="C23" s="21"/>
      <c r="D23" s="66">
        <v>0.33</v>
      </c>
      <c r="E23" s="21"/>
      <c r="F23" s="27"/>
      <c r="G23" s="21"/>
      <c r="H23" s="66"/>
      <c r="I23" s="21"/>
    </row>
    <row r="24" spans="1:9">
      <c r="A24" s="21"/>
      <c r="B24" s="21"/>
      <c r="C24" s="91"/>
      <c r="D24" s="21"/>
      <c r="E24" s="21"/>
      <c r="F24" s="52"/>
      <c r="G24" s="21"/>
      <c r="H24" s="21"/>
      <c r="I24" s="21"/>
    </row>
    <row r="25" spans="1:9" ht="15">
      <c r="A25" s="21" t="s">
        <v>35</v>
      </c>
      <c r="B25" s="27">
        <v>11474</v>
      </c>
      <c r="C25" s="27"/>
      <c r="D25" s="21"/>
      <c r="E25" s="21"/>
      <c r="F25" s="21"/>
      <c r="G25" s="52"/>
      <c r="H25" s="12"/>
      <c r="I25" s="21"/>
    </row>
    <row r="26" spans="1:9">
      <c r="A26" s="21"/>
      <c r="B26" s="21"/>
      <c r="C26" s="21"/>
      <c r="D26" s="21"/>
      <c r="E26" s="21"/>
      <c r="F26" s="21"/>
      <c r="G26" s="21"/>
      <c r="H26" s="21"/>
      <c r="I26" s="21"/>
    </row>
    <row r="27" spans="1:9">
      <c r="A27" s="91" t="s">
        <v>11</v>
      </c>
      <c r="B27" s="21"/>
      <c r="C27" s="21"/>
      <c r="D27" s="21"/>
      <c r="E27" s="21"/>
      <c r="F27" s="21"/>
      <c r="G27" s="21"/>
      <c r="H27" s="21"/>
      <c r="I27" s="21"/>
    </row>
    <row r="28" spans="1:9">
      <c r="A28" s="32" t="s">
        <v>90</v>
      </c>
      <c r="B28" s="91" t="s">
        <v>20</v>
      </c>
      <c r="C28" s="21"/>
      <c r="D28" s="21"/>
      <c r="E28" s="21"/>
      <c r="F28" s="91"/>
      <c r="G28" s="21"/>
      <c r="H28" s="21"/>
      <c r="I28" s="21"/>
    </row>
    <row r="29" spans="1:9" ht="15">
      <c r="A29" s="21" t="s">
        <v>9</v>
      </c>
      <c r="B29" s="21"/>
      <c r="C29" s="27">
        <v>125000</v>
      </c>
      <c r="D29" s="66">
        <v>0.1</v>
      </c>
      <c r="E29" s="21"/>
      <c r="F29" s="21"/>
      <c r="G29" s="27"/>
      <c r="H29" s="66"/>
      <c r="I29" s="21"/>
    </row>
    <row r="30" spans="1:9" ht="15">
      <c r="A30" s="21" t="s">
        <v>10</v>
      </c>
      <c r="B30" s="27">
        <f>C29</f>
        <v>125000</v>
      </c>
      <c r="C30" s="27">
        <v>150000</v>
      </c>
      <c r="D30" s="66">
        <v>0.12</v>
      </c>
      <c r="E30" s="21"/>
      <c r="F30" s="27"/>
      <c r="G30" s="27"/>
      <c r="H30" s="66"/>
      <c r="I30" s="21"/>
    </row>
    <row r="31" spans="1:9" ht="15">
      <c r="A31" s="21" t="s">
        <v>10</v>
      </c>
      <c r="B31" s="27">
        <f>C30</f>
        <v>150000</v>
      </c>
      <c r="C31" s="27">
        <v>200000</v>
      </c>
      <c r="D31" s="66">
        <v>0.13</v>
      </c>
      <c r="E31" s="21"/>
      <c r="F31" s="27"/>
      <c r="G31" s="27"/>
      <c r="H31" s="66"/>
      <c r="I31" s="21"/>
    </row>
    <row r="32" spans="1:9" ht="15">
      <c r="A32" s="21" t="s">
        <v>10</v>
      </c>
      <c r="B32" s="27">
        <f>C31</f>
        <v>200000</v>
      </c>
      <c r="C32" s="27">
        <v>300000</v>
      </c>
      <c r="D32" s="66">
        <v>0.14000000000000001</v>
      </c>
      <c r="E32" s="21"/>
      <c r="F32" s="27"/>
      <c r="G32" s="27"/>
      <c r="H32" s="66"/>
      <c r="I32" s="21"/>
    </row>
    <row r="33" spans="1:14" ht="15">
      <c r="A33" s="21"/>
      <c r="B33" s="27">
        <f>C32</f>
        <v>300000</v>
      </c>
      <c r="C33" s="21"/>
      <c r="D33" s="66">
        <v>0.15</v>
      </c>
      <c r="E33" s="21"/>
      <c r="F33" s="27"/>
      <c r="G33" s="21"/>
      <c r="H33" s="66"/>
      <c r="I33" s="21"/>
    </row>
    <row r="34" spans="1:14">
      <c r="A34" s="21"/>
      <c r="B34" s="21"/>
      <c r="C34" s="91"/>
      <c r="D34" s="21"/>
      <c r="E34" s="21"/>
      <c r="F34" s="21"/>
      <c r="G34" s="21"/>
      <c r="H34" s="21"/>
      <c r="I34" s="21"/>
    </row>
    <row r="35" spans="1:14" ht="15">
      <c r="A35" s="21" t="s">
        <v>32</v>
      </c>
      <c r="B35" s="27">
        <v>18451</v>
      </c>
      <c r="C35" s="27"/>
      <c r="D35" s="21"/>
      <c r="E35" s="21"/>
      <c r="F35" s="21"/>
      <c r="G35" s="21"/>
      <c r="H35" s="45"/>
      <c r="I35" s="52"/>
      <c r="J35" s="4"/>
      <c r="K35" s="4"/>
      <c r="L35" s="4"/>
      <c r="N35" s="4"/>
    </row>
    <row r="36" spans="1:14">
      <c r="A36" s="21"/>
      <c r="B36" s="52"/>
      <c r="C36" s="52"/>
      <c r="D36" s="21" t="s">
        <v>34</v>
      </c>
      <c r="E36" s="12"/>
      <c r="F36" s="93"/>
      <c r="G36" s="21"/>
      <c r="H36" s="20"/>
      <c r="I36" s="21"/>
    </row>
    <row r="37" spans="1:14">
      <c r="A37" s="21"/>
      <c r="B37" s="52"/>
      <c r="C37" s="52"/>
      <c r="D37" s="21"/>
      <c r="E37" s="12"/>
      <c r="F37" s="93"/>
      <c r="G37" s="21"/>
      <c r="H37" s="20"/>
      <c r="I37" s="21"/>
    </row>
    <row r="38" spans="1:14">
      <c r="A38" s="68" t="s">
        <v>12</v>
      </c>
      <c r="B38" s="21"/>
      <c r="C38" s="21"/>
      <c r="D38" s="21"/>
      <c r="E38" s="21"/>
      <c r="F38" s="21"/>
      <c r="G38" s="21"/>
      <c r="H38" s="53"/>
      <c r="I38" s="21"/>
    </row>
    <row r="39" spans="1:14">
      <c r="B39" s="11"/>
      <c r="C39" t="s">
        <v>13</v>
      </c>
      <c r="I39" s="18"/>
      <c r="J39" s="4"/>
      <c r="K39" s="13"/>
    </row>
    <row r="41" spans="1:14">
      <c r="A41" t="s">
        <v>14</v>
      </c>
      <c r="B41" s="13">
        <f>IF(AND(B12&gt;=B19,B12&lt;=C19),B4*D19,IF(AND(B12&gt;B20,B12&lt;=C20),IF((B12-B20)&gt;B4,B4*D20,((B12-B20)*D20)+((B4-(B12-B20))*D19)),IF(AND(B12&gt;B21,B12&lt;=C21),IF((B12-B21)&gt;B4,B4*D21,IF((B12-B20)&gt;B4,(((B12-B21)*D21)+((B4-(B12-B21))*D20)),(((B12-B21)*D21))+((B21-B20)*D20)+((B4-(B12-B20))*D19))),IF(AND(B12&gt;B22,B12&lt;=C22),IF((B12-B22)&gt;B4,B4*D22,IF((B12-B21)&gt;B4,((B12-B22)*D22)+((B4-(B12-B22))*D21),IF((B12-B20)&gt;B4,((B12-B22)*D22)+((B22-B21)*D21)+((B4-(B12-B21))*D20),((B12-B22)*D22)+((B22-B21)*D21)+((B21-B20)*D20)+((B4-(B12-B20))*D19)))),IF(B12&gt;B23,IF((B12-B23)&gt;B4,B4*D23,IF((B12-B22)&gt;B4,((B12-B23)*D23)+((B4-(B12-B23))*D22),IF((B12-B21)&gt;B4,((B12-B23)*D23)+((B23-B22)*D22)+((B4-(B12-B22))*D21),IF((B12-B20)&gt;B4,((B12-B23)*D23)+((B23-B22)*D22)+((B22-B21)*D21)+((B4-(B12-B21))*D20),((B12-B23)*D23)+((B23-B22)*D22)+((B22-B21)*D21)+((B21-B20)*D20)+((B4-(B12-B20))*D19))))))))))</f>
        <v>150</v>
      </c>
      <c r="C41" t="s">
        <v>15</v>
      </c>
      <c r="H41" s="51"/>
      <c r="I41" s="51"/>
      <c r="J41" s="51"/>
      <c r="K41" s="51"/>
      <c r="L41" s="51"/>
    </row>
    <row r="42" spans="1:14">
      <c r="B42" s="37">
        <f>-IF((B12&gt;=B25),IF((B12-B4)&gt;=B25,0,IF(((B12-B4)&lt;B25),((B25-(B12-B4))*D19))),IF(B12&lt;B25,B4*D19))</f>
        <v>0</v>
      </c>
      <c r="C42" t="s">
        <v>31</v>
      </c>
      <c r="H42" s="51"/>
      <c r="I42" s="4"/>
      <c r="J42" s="51"/>
      <c r="K42" s="51"/>
      <c r="L42" s="51"/>
    </row>
    <row r="43" spans="1:14">
      <c r="B43" s="12">
        <f>IF(AND(B12&gt;=B29,B12&lt;=C29),B4*D29,IF(AND(B12&gt;B30,B12&lt;=C30),IF((B12-B30)&gt;B4,B4*D30,((B12-B30)*D30)+((B4-(B12-B30))*D29)),IF(AND(B12&gt;B31,B12&lt;=C31),IF((B12-B31)&gt;B4,B4*D31,IF((B12-B30)&gt;B4,(((B12-B31)*D31)+((B4-(B12-B31))*D30)),(((B12-B31)*D31))+((B31-B30)*D30)+((B4-(B12-B30))*D29))),IF(AND(B12&gt;B32,B12&lt;=C32),IF((B12-B32)&gt;B4,B4*D32,IF((B12-B31)&gt;B4,((B12-B32)*D32)+((B4-(B12-B32))*D31),IF((B12-B30)&gt;B4,((B12-B32)*D32)+((B32-B31)*D31)+((B4-(B12-B31))*D30),((B12-B32)*D32)+((B32-B31)*D31)+((B31-B30)*D30)+((B4-(B12-B30))*D29)))),IF(B12&gt;B33,IF((B12-B33)&gt;B4,B4*D33,IF((B12-B32)&gt;B4,((B12-B33)*D33)+((B4-(B12-B33))*D32),IF((B12-B31)&gt;B4,((B12-B33)*D33)+((B33-B32)*D32)+((B4-(B12-B32))*D31),IF((B12-B30)&gt;B4,((B12-B33)*D33)+((B33-B32)*D32)+((B32-B31)*D31)+((B4-(B12-B31))*D30),((B12-B33)*D33)+((B33-B32)*D32)+((B32-B31)*D31)+((B31-B30)*D30)+((B4-(B12-B30))*D29))))))))))</f>
        <v>100</v>
      </c>
      <c r="C43" t="s">
        <v>16</v>
      </c>
      <c r="H43" s="51"/>
      <c r="I43" s="18"/>
      <c r="J43" s="51"/>
      <c r="K43" s="51"/>
      <c r="L43" s="51"/>
    </row>
    <row r="44" spans="1:14">
      <c r="B44" s="38">
        <f>-IF((B12&gt;=B35),IF((B12-B4)&gt;=B35,0,IF(((B12-B4)&lt;B35),((B35-(B12-B4))*D29))),IF(B12&lt;B35,B4*D29))</f>
        <v>-100</v>
      </c>
      <c r="C44" t="s">
        <v>33</v>
      </c>
      <c r="H44" s="51"/>
      <c r="I44" s="51"/>
      <c r="J44" s="51"/>
      <c r="K44" s="51"/>
      <c r="L44" s="51"/>
    </row>
    <row r="45" spans="1:14">
      <c r="A45" t="s">
        <v>17</v>
      </c>
      <c r="B45" s="14">
        <f>SUM(B41:B44)</f>
        <v>150</v>
      </c>
      <c r="G45" s="51"/>
      <c r="H45" s="51"/>
      <c r="I45" s="51"/>
      <c r="J45" s="51"/>
      <c r="K45" s="51"/>
      <c r="L45" s="51"/>
    </row>
    <row r="46" spans="1:14">
      <c r="G46" s="51"/>
      <c r="H46" s="51"/>
      <c r="I46" s="51"/>
      <c r="J46" s="51"/>
      <c r="K46" s="51"/>
      <c r="L46" s="51"/>
    </row>
    <row r="47" spans="1:14">
      <c r="G47" s="51"/>
      <c r="H47" s="51"/>
      <c r="I47" s="51"/>
      <c r="J47" s="51"/>
      <c r="K47" s="51"/>
      <c r="L47" s="51"/>
    </row>
    <row r="48" spans="1:14">
      <c r="G48" s="51"/>
      <c r="H48" s="51"/>
      <c r="I48" s="51"/>
      <c r="J48" s="51"/>
      <c r="K48" s="51"/>
      <c r="L48" s="51"/>
    </row>
    <row r="49" spans="1:12">
      <c r="A49" s="19" t="s">
        <v>36</v>
      </c>
      <c r="B49" s="13"/>
      <c r="G49" s="51"/>
      <c r="H49" s="51"/>
      <c r="I49" s="51"/>
      <c r="J49" s="51"/>
      <c r="K49" s="51"/>
      <c r="L49" s="51"/>
    </row>
    <row r="50" spans="1:12">
      <c r="A50" t="s">
        <v>103</v>
      </c>
      <c r="B50" s="13">
        <f>SUM(B41:B42)</f>
        <v>150</v>
      </c>
    </row>
    <row r="51" spans="1:12">
      <c r="A51" t="s">
        <v>104</v>
      </c>
      <c r="B51" s="35">
        <f>SUM(B43:B44)</f>
        <v>0</v>
      </c>
    </row>
    <row r="52" spans="1:12">
      <c r="B52" s="13">
        <f>SUM(B50:B51)</f>
        <v>150</v>
      </c>
    </row>
    <row r="53" spans="1:12">
      <c r="B53" s="15"/>
    </row>
    <row r="64" spans="1:12">
      <c r="A64" s="3"/>
    </row>
  </sheetData>
  <dataValidations disablePrompts="1" count="1">
    <dataValidation type="list" allowBlank="1" showInputMessage="1" showErrorMessage="1" sqref="B8">
      <formula1>#REF!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zoomScale="85" zoomScaleNormal="85" zoomScalePageLayoutView="85" workbookViewId="0">
      <selection activeCell="D22" sqref="D22"/>
    </sheetView>
  </sheetViews>
  <sheetFormatPr baseColWidth="10" defaultColWidth="8.83203125" defaultRowHeight="14" x14ac:dyDescent="0"/>
  <cols>
    <col min="1" max="1" width="33.6640625" customWidth="1"/>
    <col min="2" max="2" width="16" customWidth="1"/>
    <col min="3" max="3" width="14.6640625" customWidth="1"/>
    <col min="4" max="4" width="11.33203125" customWidth="1"/>
    <col min="5" max="5" width="10.5" bestFit="1" customWidth="1"/>
    <col min="6" max="7" width="10.5" customWidth="1"/>
    <col min="8" max="8" width="16.83203125" style="13" customWidth="1"/>
    <col min="9" max="9" width="14" customWidth="1"/>
    <col min="10" max="10" width="12.83203125" bestFit="1" customWidth="1"/>
    <col min="11" max="11" width="12" bestFit="1" customWidth="1"/>
    <col min="12" max="12" width="10.1640625" bestFit="1" customWidth="1"/>
    <col min="13" max="13" width="12.33203125" bestFit="1" customWidth="1"/>
    <col min="17" max="17" width="9.5" bestFit="1" customWidth="1"/>
  </cols>
  <sheetData>
    <row r="1" spans="1:16">
      <c r="B1" s="1"/>
      <c r="C1" t="s">
        <v>0</v>
      </c>
    </row>
    <row r="2" spans="1:16">
      <c r="A2" s="2" t="s">
        <v>1</v>
      </c>
      <c r="E2" s="68"/>
      <c r="F2" s="21"/>
      <c r="G2" s="21"/>
      <c r="H2" s="12"/>
      <c r="I2" s="21"/>
      <c r="J2" s="21"/>
      <c r="K2" s="21"/>
      <c r="L2" s="21"/>
      <c r="M2" s="21"/>
      <c r="N2" s="21"/>
      <c r="O2" s="21"/>
      <c r="P2" s="21"/>
    </row>
    <row r="3" spans="1:16">
      <c r="A3" s="3" t="s">
        <v>18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>
      <c r="A4" t="s">
        <v>18</v>
      </c>
      <c r="B4" s="1">
        <v>1000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>
      <c r="E5" s="21"/>
      <c r="F5" s="21"/>
      <c r="G5" s="12"/>
      <c r="H5" s="21"/>
      <c r="I5" s="21"/>
      <c r="J5" s="21"/>
      <c r="K5" s="21"/>
      <c r="L5" s="21"/>
      <c r="M5" s="21"/>
      <c r="N5" s="21"/>
      <c r="O5" s="21"/>
      <c r="P5" s="21"/>
    </row>
    <row r="6" spans="1:16">
      <c r="E6" s="21"/>
      <c r="F6" s="21"/>
      <c r="G6" s="21"/>
      <c r="H6" s="12"/>
      <c r="I6" s="21"/>
      <c r="J6" s="21"/>
      <c r="K6" s="21"/>
      <c r="L6" s="21"/>
      <c r="M6" s="21"/>
      <c r="N6" s="21"/>
      <c r="O6" s="21"/>
      <c r="P6" s="21"/>
    </row>
    <row r="7" spans="1:16">
      <c r="A7" s="2" t="s">
        <v>4</v>
      </c>
      <c r="E7" s="21"/>
      <c r="F7" s="21"/>
      <c r="G7" s="21"/>
      <c r="H7" s="12"/>
      <c r="I7" s="31"/>
      <c r="J7" s="21"/>
      <c r="K7" s="21"/>
      <c r="L7" s="21"/>
      <c r="M7" s="21"/>
      <c r="N7" s="21"/>
      <c r="O7" s="21"/>
      <c r="P7" s="21"/>
    </row>
    <row r="8" spans="1:16">
      <c r="A8" t="s">
        <v>5</v>
      </c>
      <c r="B8" s="1" t="s">
        <v>90</v>
      </c>
      <c r="E8" s="21"/>
      <c r="F8" s="21"/>
      <c r="G8" s="21"/>
      <c r="H8" s="12"/>
      <c r="I8" s="21"/>
      <c r="J8" s="21"/>
      <c r="K8" s="21"/>
      <c r="L8" s="21"/>
      <c r="M8" s="21"/>
      <c r="N8" s="21"/>
      <c r="O8" s="21"/>
      <c r="P8" s="21"/>
    </row>
    <row r="9" spans="1:16">
      <c r="E9" s="21"/>
      <c r="F9" s="21"/>
      <c r="G9" s="21"/>
      <c r="H9" s="12"/>
      <c r="I9" s="21"/>
      <c r="J9" s="21"/>
      <c r="K9" s="21"/>
      <c r="L9" s="21"/>
      <c r="M9" s="21"/>
      <c r="N9" s="21"/>
      <c r="O9" s="21"/>
      <c r="P9" s="21"/>
    </row>
    <row r="10" spans="1:16">
      <c r="E10" s="21"/>
      <c r="F10" s="47"/>
      <c r="G10" s="47"/>
      <c r="H10" s="12"/>
      <c r="I10" s="21"/>
      <c r="J10" s="21"/>
      <c r="K10" s="21"/>
      <c r="L10" s="21"/>
      <c r="M10" s="21"/>
      <c r="N10" s="21"/>
      <c r="O10" s="21"/>
      <c r="P10" s="21"/>
    </row>
    <row r="11" spans="1:16">
      <c r="E11" s="21"/>
      <c r="F11" s="21"/>
      <c r="G11" s="21"/>
      <c r="H11" s="45"/>
      <c r="I11" s="21"/>
      <c r="J11" s="21"/>
      <c r="K11" s="21"/>
      <c r="L11" s="21"/>
      <c r="M11" s="21"/>
      <c r="N11" s="21"/>
      <c r="O11" s="21"/>
      <c r="P11" s="21"/>
    </row>
    <row r="12" spans="1:16">
      <c r="A12" t="s">
        <v>6</v>
      </c>
      <c r="B12" s="1">
        <v>139000</v>
      </c>
    </row>
    <row r="14" spans="1:16">
      <c r="F14" s="21"/>
      <c r="G14" s="21"/>
      <c r="H14" s="12"/>
      <c r="I14" s="21"/>
    </row>
    <row r="15" spans="1:16">
      <c r="A15" s="2" t="s">
        <v>7</v>
      </c>
      <c r="F15" s="21"/>
      <c r="G15" s="21"/>
      <c r="H15" s="12"/>
      <c r="I15" s="21"/>
    </row>
    <row r="16" spans="1:16">
      <c r="A16" s="3" t="s">
        <v>8</v>
      </c>
      <c r="F16" s="21"/>
      <c r="G16" s="21"/>
      <c r="H16" s="12"/>
      <c r="I16" s="21"/>
    </row>
    <row r="17" spans="1:14">
      <c r="B17" s="91" t="s">
        <v>20</v>
      </c>
      <c r="C17" s="21"/>
      <c r="D17" s="21"/>
      <c r="F17" s="91"/>
      <c r="G17" s="21"/>
      <c r="H17" s="21"/>
      <c r="I17" s="21"/>
    </row>
    <row r="18" spans="1:14" ht="15">
      <c r="A18" t="s">
        <v>9</v>
      </c>
      <c r="B18" s="52">
        <v>0</v>
      </c>
      <c r="C18" s="27">
        <v>45282</v>
      </c>
      <c r="D18" s="92">
        <v>0.15</v>
      </c>
      <c r="F18" s="52"/>
      <c r="G18" s="27"/>
      <c r="H18" s="92"/>
      <c r="I18" s="27"/>
      <c r="J18" s="6"/>
      <c r="K18" s="6"/>
      <c r="L18" s="4"/>
      <c r="M18" s="5"/>
      <c r="N18" s="6"/>
    </row>
    <row r="19" spans="1:14" ht="15">
      <c r="A19" t="s">
        <v>10</v>
      </c>
      <c r="B19" s="27">
        <f>C18</f>
        <v>45282</v>
      </c>
      <c r="C19" s="27">
        <v>90563</v>
      </c>
      <c r="D19" s="66">
        <v>0.20499999999999999</v>
      </c>
      <c r="F19" s="27"/>
      <c r="G19" s="27"/>
      <c r="H19" s="66"/>
      <c r="I19" s="27"/>
      <c r="J19" s="7"/>
      <c r="K19" s="7"/>
      <c r="L19" s="5"/>
      <c r="M19" s="5"/>
      <c r="N19" s="7"/>
    </row>
    <row r="20" spans="1:14" ht="15">
      <c r="A20" t="s">
        <v>10</v>
      </c>
      <c r="B20" s="27">
        <f>C19</f>
        <v>90563</v>
      </c>
      <c r="C20" s="27">
        <v>140388</v>
      </c>
      <c r="D20" s="66">
        <v>0.26</v>
      </c>
      <c r="F20" s="27"/>
      <c r="G20" s="27"/>
      <c r="H20" s="66"/>
      <c r="I20" s="27"/>
      <c r="J20" s="7"/>
      <c r="K20" s="7"/>
      <c r="L20" s="5"/>
      <c r="M20" s="5"/>
      <c r="N20" s="7"/>
    </row>
    <row r="21" spans="1:14" ht="15">
      <c r="A21" t="s">
        <v>10</v>
      </c>
      <c r="B21" s="27">
        <f>C20</f>
        <v>140388</v>
      </c>
      <c r="C21" s="27">
        <v>200000</v>
      </c>
      <c r="D21" s="66">
        <v>0.28999999999999998</v>
      </c>
      <c r="F21" s="27"/>
      <c r="G21" s="27"/>
      <c r="H21" s="66"/>
      <c r="I21" s="94"/>
      <c r="J21" s="7"/>
      <c r="K21" s="7"/>
      <c r="L21" s="5"/>
      <c r="M21" s="5"/>
      <c r="N21" s="7"/>
    </row>
    <row r="22" spans="1:14" ht="15">
      <c r="B22" s="27">
        <f>C21</f>
        <v>200000</v>
      </c>
      <c r="C22" s="21"/>
      <c r="D22" s="66">
        <v>0.33</v>
      </c>
      <c r="F22" s="27"/>
      <c r="G22" s="21"/>
      <c r="H22" s="66"/>
      <c r="I22" s="52"/>
      <c r="J22" s="7"/>
      <c r="K22" s="7"/>
      <c r="L22" s="5"/>
      <c r="N22" s="7"/>
    </row>
    <row r="23" spans="1:14">
      <c r="B23" s="21"/>
      <c r="C23" s="91"/>
      <c r="D23" s="21"/>
      <c r="F23" s="21"/>
      <c r="G23" s="21"/>
      <c r="H23" s="12"/>
      <c r="I23" s="21"/>
    </row>
    <row r="24" spans="1:14" ht="15">
      <c r="A24" t="s">
        <v>35</v>
      </c>
      <c r="B24" s="27">
        <v>11474</v>
      </c>
      <c r="C24" s="27"/>
      <c r="D24" s="21"/>
      <c r="F24" s="21"/>
      <c r="G24" s="52"/>
      <c r="H24" s="12"/>
      <c r="I24" s="21"/>
    </row>
    <row r="25" spans="1:14">
      <c r="F25" s="21"/>
      <c r="G25" s="21"/>
      <c r="H25" s="12"/>
      <c r="I25" s="21"/>
      <c r="J25" s="9"/>
    </row>
    <row r="26" spans="1:14">
      <c r="A26" s="3" t="s">
        <v>11</v>
      </c>
      <c r="F26" s="21"/>
      <c r="G26" s="21"/>
      <c r="H26" s="12"/>
      <c r="I26" s="21"/>
    </row>
    <row r="27" spans="1:14">
      <c r="A27" s="10" t="s">
        <v>90</v>
      </c>
      <c r="B27" s="91" t="s">
        <v>20</v>
      </c>
      <c r="C27" s="21"/>
      <c r="D27" s="21"/>
      <c r="F27" s="91"/>
      <c r="G27" s="21"/>
      <c r="H27" s="21"/>
      <c r="I27" s="70"/>
      <c r="J27" s="10"/>
      <c r="K27" s="25"/>
    </row>
    <row r="28" spans="1:14" ht="15">
      <c r="A28" t="s">
        <v>9</v>
      </c>
      <c r="B28" s="21"/>
      <c r="C28" s="27">
        <v>125000</v>
      </c>
      <c r="D28" s="66">
        <v>0.1</v>
      </c>
      <c r="F28" s="21"/>
      <c r="G28" s="27"/>
      <c r="H28" s="66"/>
      <c r="I28" s="27"/>
      <c r="J28" s="7"/>
    </row>
    <row r="29" spans="1:14" ht="15">
      <c r="A29" t="s">
        <v>10</v>
      </c>
      <c r="B29" s="27">
        <f>C28</f>
        <v>125000</v>
      </c>
      <c r="C29" s="27">
        <v>150000</v>
      </c>
      <c r="D29" s="66">
        <v>0.12</v>
      </c>
      <c r="F29" s="27"/>
      <c r="G29" s="27"/>
      <c r="H29" s="66"/>
      <c r="I29" s="27"/>
      <c r="J29" s="24"/>
      <c r="K29" s="18"/>
      <c r="L29" s="15"/>
    </row>
    <row r="30" spans="1:14" ht="15">
      <c r="A30" t="s">
        <v>10</v>
      </c>
      <c r="B30" s="27">
        <f>C29</f>
        <v>150000</v>
      </c>
      <c r="C30" s="27">
        <v>200000</v>
      </c>
      <c r="D30" s="66">
        <v>0.13</v>
      </c>
      <c r="F30" s="27"/>
      <c r="G30" s="27"/>
      <c r="H30" s="66"/>
      <c r="I30" s="52"/>
      <c r="J30" s="24"/>
      <c r="K30" s="4"/>
      <c r="L30" s="13"/>
      <c r="N30" s="18"/>
    </row>
    <row r="31" spans="1:14" ht="15">
      <c r="A31" t="s">
        <v>10</v>
      </c>
      <c r="B31" s="27">
        <f>C30</f>
        <v>200000</v>
      </c>
      <c r="C31" s="27">
        <v>300000</v>
      </c>
      <c r="D31" s="66">
        <v>0.14000000000000001</v>
      </c>
      <c r="F31" s="27"/>
      <c r="G31" s="27"/>
      <c r="H31" s="66"/>
      <c r="I31" s="52"/>
      <c r="J31" s="24"/>
      <c r="K31" s="4"/>
      <c r="L31" s="13"/>
      <c r="N31" s="4"/>
    </row>
    <row r="32" spans="1:14" ht="15">
      <c r="B32" s="27">
        <f>C31</f>
        <v>300000</v>
      </c>
      <c r="C32" s="21"/>
      <c r="D32" s="66">
        <v>0.15</v>
      </c>
      <c r="F32" s="27"/>
      <c r="G32" s="21"/>
      <c r="H32" s="66"/>
      <c r="I32" s="52"/>
      <c r="J32" s="24"/>
      <c r="K32" s="4"/>
      <c r="L32" s="13"/>
    </row>
    <row r="33" spans="1:17">
      <c r="B33" s="21"/>
      <c r="C33" s="91"/>
      <c r="D33" s="21"/>
      <c r="F33" s="21"/>
      <c r="G33" s="21"/>
      <c r="H33" s="45"/>
      <c r="I33" s="52"/>
      <c r="J33" s="26"/>
      <c r="K33" s="16"/>
      <c r="L33" s="26"/>
    </row>
    <row r="34" spans="1:17" ht="15">
      <c r="A34" t="s">
        <v>33</v>
      </c>
      <c r="B34" s="27">
        <v>18451</v>
      </c>
      <c r="C34" s="27"/>
      <c r="D34" s="21"/>
      <c r="F34" s="21"/>
      <c r="G34" s="21"/>
      <c r="H34" s="45"/>
      <c r="I34" s="52"/>
      <c r="J34" s="26"/>
      <c r="K34" s="16"/>
      <c r="L34" s="26"/>
    </row>
    <row r="35" spans="1:17">
      <c r="B35" s="4"/>
      <c r="C35" s="4"/>
      <c r="D35" t="s">
        <v>34</v>
      </c>
      <c r="E35" s="13"/>
      <c r="F35" s="93"/>
      <c r="G35" s="21"/>
      <c r="H35" s="20"/>
      <c r="I35" s="21"/>
    </row>
    <row r="36" spans="1:17">
      <c r="A36" s="2" t="s">
        <v>12</v>
      </c>
      <c r="E36" s="36"/>
      <c r="F36" s="21"/>
      <c r="G36" s="4"/>
      <c r="H36" s="4"/>
      <c r="I36" s="16"/>
    </row>
    <row r="37" spans="1:17">
      <c r="B37" s="11"/>
      <c r="C37" t="s">
        <v>13</v>
      </c>
      <c r="H37" s="36"/>
      <c r="J37" s="4"/>
      <c r="K37" s="4"/>
      <c r="L37" s="16"/>
    </row>
    <row r="38" spans="1:17">
      <c r="H38" s="36"/>
      <c r="I38" s="18"/>
      <c r="J38" s="4"/>
      <c r="K38" s="4"/>
      <c r="L38" s="16"/>
    </row>
    <row r="39" spans="1:17">
      <c r="A39" t="s">
        <v>19</v>
      </c>
      <c r="B39" s="17">
        <f>IF(AND((B4+B12)&gt;=B18,(B4+B12)&lt;=C18),B4*D18,IF(AND((B4+B12)&gt;B19,(B4+B12)&lt;=C19),IF((B4+B12-B19)&gt;B4,B4*D19,((B4+B12-B19)*D19)+((B4-(B4+B12-B19))*D18)),IF(AND((B4+B12)&gt;B20,(B4+B12)&lt;=C20),IF((B4+B12-B20)&gt;B4,B4*D20,IF((B4+B12-B19)&gt;B4,(((B4+B12-B20)*D20)+((B4-(B4+B12-B20))*D19)),((B4+B12-B20)*D20)+((C19-B19)*D19)+((B4-(B4+B12-B19))*D18))),IF(AND((B4+B12)&gt;B21,(B4+B12)&lt;=C21),IF((B4+B12-B21)&gt;B4,B4*D21,IF((B4+B12-B20)&gt;B4,((B4+B12-B21)*D21)+(((B4-(B4+B12-B21))*D20)),IF((B4+B12-B19)&gt;B4,(((B4+B12-B21)*D21)+((C20-B20)*D20)+((B4-(B4+B12-B20))*D19)),((B4+B12-B21)*D21)+((C20-B20)*D20)+((C19-B19)*D19)+((B4-(B4+B12-B19))*D18)))),IF((B4+B12)&gt;B22,IF((B4+B12-B22)&gt;B4,B4*D22,IF((B4+B12-B21)&gt;B4,(((B4+B12-B22)*D22)+((B4-(B4+B12-B22))*D21)),IF((B4+B12-B20)&gt;B4,(((B4+B12-B22)*D22)+((C21-B21)*D21)+((B4-(B4+B12-B21))*D20)),IF((B4+B12-B19)&gt;B4,(((B4+B12-B22)*D22)+((C21-B21)*D21)+((C20-B20)*D20)+((B4-(B4+B12-B20))*D19)),((B4+B12-B22)*D22)+((C21-B21)*D21)+((C20-B20)*D20)+((C19-B19)*D19)+((B4-(B4+B12-B19))*D18))))))))))</f>
        <v>260</v>
      </c>
      <c r="C39" t="s">
        <v>15</v>
      </c>
      <c r="H39" s="43"/>
      <c r="K39" s="4"/>
      <c r="L39" s="16"/>
    </row>
    <row r="40" spans="1:17">
      <c r="B40" s="37">
        <f>-IF(B12&gt;=B24,0,IF(B12&lt;B24,IF((B12+B4)&gt;B24,(B24-B12)*D18,B4*D18)))</f>
        <v>0</v>
      </c>
      <c r="C40" t="s">
        <v>31</v>
      </c>
      <c r="H40" s="43"/>
      <c r="K40" s="4"/>
      <c r="L40" s="16"/>
    </row>
    <row r="41" spans="1:17">
      <c r="B41" s="12">
        <f>IF(AND((B4+B12)&gt;=B28,(B4+B12)&lt;=C28),B4*D28,IF(AND((B4+B12)&gt;B29,(B4+B12)&lt;=C29),IF((B4+B12-B29)&gt;B4,B4*D29,((B4+B12-B29)*D29)+((B4-(B4+B12-B29))*D28)),IF(AND((B4+B12)&gt;B30,(B4+B12)&lt;=C30),IF((B4+B12-B30)&gt;B4,B4*D30,IF((B4+B12-B29)&gt;B4,(((B4+B12-B30)*D30)+((B4-(B4+B12-B30))*D29)),((B4+B12-B30)*D30)+((C29-B29)*D29)+((B4-(B4+B12-B29))*D28))),IF(AND((B4+B12)&gt;B31,(B4+B12)&lt;=C31),IF((B4+B12-B31)&gt;B4,B4*D31,IF((B4+B12-B30)&gt;B4,(((B4+B12-B31)*D31)+((B4-(B4+B12-B31))*D30)),IF((B4+B12-B29)&gt;B4,(((B4+B12-B31)*D31)+((C30-B30)*D30)+((B4-(B4+B12-B30))*D29)),((B4+B12-B31)*D31)+((C30-B30)*D30)+((C29-B29)*D29)+((B4-(B4+B12-B29))*D28)))),IF((B4+B12)&gt;B32,IF((B4+B12-B32)&gt;B4,B4*D32,IF((B4+B12-B31)&gt;B4,(((B4+B12-B32)*D32)+((B4-(B4+B12-B32))*D31)),IF((B4+B12-B30)&gt;B4,(((B4+B12-B32)*D32)+((C31-B31)*D31)+((B4-(B4+B12-B31))*D30)),IF((B4+B12-B29)&gt;B4,(((B4+B12-B32)*D32)+((C31-B31)*D31)+((C30-B30)*D30)+((B4-(B4+B12-B30))*D29)),((B4+B12-B32)*D32)+((C31-B31)*D31)+((C30-B30)*D30)+((C29-B29)*D29)+((B4-(B4+B12-B29))*D28))))))))))</f>
        <v>120</v>
      </c>
      <c r="C41" t="s">
        <v>16</v>
      </c>
    </row>
    <row r="42" spans="1:17">
      <c r="B42" s="38">
        <f>-IF(B12&gt;=B34,0,IF(B12&lt;B34,IF((B12+B4)&gt;B34,(B34-B12)*D28,B4*D28)))</f>
        <v>0</v>
      </c>
      <c r="C42" t="s">
        <v>33</v>
      </c>
    </row>
    <row r="43" spans="1:17">
      <c r="A43" s="10" t="s">
        <v>21</v>
      </c>
      <c r="B43" s="45">
        <f>SUM(B39:B42)</f>
        <v>380</v>
      </c>
      <c r="F43" s="47"/>
      <c r="G43" s="47"/>
      <c r="H43" s="46"/>
      <c r="I43" s="47"/>
      <c r="J43" s="47"/>
      <c r="K43" s="49"/>
      <c r="L43" s="48"/>
      <c r="M43" s="47"/>
    </row>
    <row r="44" spans="1:17">
      <c r="E44" s="18"/>
      <c r="F44" s="49"/>
      <c r="G44" s="47"/>
      <c r="H44" s="46"/>
      <c r="I44" s="49"/>
      <c r="J44" s="49"/>
      <c r="K44" s="47"/>
      <c r="L44" s="47"/>
      <c r="M44" s="47"/>
      <c r="Q44" s="15"/>
    </row>
    <row r="45" spans="1:17">
      <c r="B45" s="13"/>
      <c r="F45" s="47"/>
      <c r="G45" s="47"/>
      <c r="H45" s="46"/>
      <c r="I45" s="47"/>
      <c r="J45" s="47"/>
      <c r="K45" s="47"/>
      <c r="L45" s="47"/>
      <c r="M45" s="47"/>
    </row>
    <row r="46" spans="1:17">
      <c r="A46" s="19" t="s">
        <v>36</v>
      </c>
      <c r="B46" s="13"/>
      <c r="F46" s="47"/>
      <c r="G46" s="47"/>
      <c r="H46" s="46"/>
      <c r="I46" s="46"/>
      <c r="J46" s="49"/>
      <c r="K46" s="47"/>
      <c r="L46" s="47"/>
      <c r="M46" s="47"/>
    </row>
    <row r="47" spans="1:17">
      <c r="A47" t="s">
        <v>105</v>
      </c>
      <c r="B47" s="13">
        <f>SUM(B39:B40)</f>
        <v>260</v>
      </c>
      <c r="F47" s="47"/>
      <c r="G47" s="47"/>
      <c r="H47" s="46"/>
      <c r="I47" s="47"/>
      <c r="J47" s="47"/>
      <c r="K47" s="47"/>
      <c r="L47" s="47"/>
      <c r="M47" s="47"/>
    </row>
    <row r="48" spans="1:17">
      <c r="A48" t="s">
        <v>106</v>
      </c>
      <c r="B48" s="35">
        <f>SUM(B41:B42)</f>
        <v>120</v>
      </c>
      <c r="F48" s="47"/>
      <c r="G48" s="47"/>
      <c r="H48" s="46"/>
      <c r="I48" s="49"/>
      <c r="J48" s="49"/>
      <c r="K48" s="47"/>
      <c r="L48" s="47"/>
      <c r="M48" s="47"/>
    </row>
    <row r="49" spans="2:13">
      <c r="B49" s="13">
        <f>SUM(B47:B48)</f>
        <v>380</v>
      </c>
      <c r="F49" s="47"/>
      <c r="G49" s="47"/>
      <c r="H49" s="46"/>
      <c r="I49" s="47"/>
      <c r="J49" s="47"/>
      <c r="K49" s="47"/>
      <c r="L49" s="47"/>
      <c r="M49" s="47"/>
    </row>
    <row r="50" spans="2:13">
      <c r="B50" s="13"/>
      <c r="F50" s="47"/>
      <c r="G50" s="47"/>
      <c r="H50" s="46"/>
      <c r="I50" s="46"/>
      <c r="J50" s="49"/>
      <c r="K50" s="47"/>
      <c r="L50" s="47"/>
      <c r="M50" s="47"/>
    </row>
    <row r="51" spans="2:13">
      <c r="B51" s="13"/>
      <c r="F51" s="47"/>
      <c r="G51" s="47"/>
      <c r="H51" s="46"/>
      <c r="I51" s="47"/>
      <c r="J51" s="47"/>
      <c r="K51" s="47"/>
      <c r="L51" s="47"/>
      <c r="M51" s="47"/>
    </row>
    <row r="52" spans="2:13">
      <c r="B52" s="13"/>
      <c r="F52" s="47"/>
      <c r="G52" s="47"/>
      <c r="H52" s="46"/>
      <c r="I52" s="49"/>
      <c r="J52" s="49"/>
      <c r="K52" s="47"/>
      <c r="L52" s="47"/>
      <c r="M52" s="47"/>
    </row>
    <row r="53" spans="2:13">
      <c r="B53" s="13"/>
      <c r="F53" s="47"/>
      <c r="G53" s="47"/>
      <c r="H53" s="46"/>
      <c r="I53" s="47"/>
      <c r="J53" s="47"/>
      <c r="K53" s="47"/>
      <c r="L53" s="47"/>
      <c r="M53" s="47"/>
    </row>
    <row r="54" spans="2:13">
      <c r="B54" s="15"/>
      <c r="F54" s="47"/>
      <c r="G54" s="47"/>
      <c r="H54" s="50"/>
      <c r="I54" s="47"/>
      <c r="J54" s="47"/>
      <c r="K54" s="47"/>
      <c r="L54" s="47"/>
      <c r="M54" s="47"/>
    </row>
    <row r="55" spans="2:13">
      <c r="F55" s="47"/>
      <c r="G55" s="47"/>
      <c r="H55" s="46"/>
      <c r="I55" s="47"/>
      <c r="J55" s="47"/>
      <c r="K55" s="47"/>
      <c r="L55" s="47"/>
      <c r="M55" s="47"/>
    </row>
    <row r="56" spans="2:13">
      <c r="F56" s="47"/>
      <c r="G56" s="47"/>
      <c r="H56" s="46"/>
      <c r="I56" s="48"/>
      <c r="J56" s="48"/>
      <c r="K56" s="47"/>
      <c r="L56" s="47"/>
      <c r="M56" s="47"/>
    </row>
    <row r="57" spans="2:13">
      <c r="F57" s="47"/>
      <c r="G57" s="47"/>
      <c r="H57" s="46"/>
      <c r="I57" s="47"/>
      <c r="J57" s="47"/>
      <c r="K57" s="47"/>
      <c r="L57" s="47"/>
      <c r="M57" s="47"/>
    </row>
    <row r="58" spans="2:13">
      <c r="H58" s="12"/>
    </row>
    <row r="60" spans="2:13">
      <c r="H60" s="40"/>
      <c r="M60" s="2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topLeftCell="A7" zoomScale="85" zoomScaleNormal="85" zoomScalePageLayoutView="85" workbookViewId="0">
      <selection activeCell="B7" sqref="B7"/>
    </sheetView>
  </sheetViews>
  <sheetFormatPr baseColWidth="10" defaultColWidth="8.83203125" defaultRowHeight="14" x14ac:dyDescent="0"/>
  <cols>
    <col min="1" max="1" width="39" customWidth="1"/>
    <col min="2" max="2" width="14.1640625" customWidth="1"/>
    <col min="3" max="3" width="11.6640625" customWidth="1"/>
    <col min="4" max="4" width="11.83203125" customWidth="1"/>
    <col min="5" max="5" width="10.5" bestFit="1" customWidth="1"/>
    <col min="6" max="7" width="10.5" customWidth="1"/>
    <col min="8" max="8" width="16.83203125" style="13" customWidth="1"/>
    <col min="9" max="9" width="11.6640625" bestFit="1" customWidth="1"/>
    <col min="10" max="10" width="13.5" bestFit="1" customWidth="1"/>
    <col min="11" max="11" width="12" bestFit="1" customWidth="1"/>
    <col min="12" max="12" width="11.33203125" bestFit="1" customWidth="1"/>
    <col min="13" max="13" width="12.33203125" bestFit="1" customWidth="1"/>
    <col min="17" max="17" width="9.5" bestFit="1" customWidth="1"/>
  </cols>
  <sheetData>
    <row r="1" spans="1:14">
      <c r="B1" s="1"/>
      <c r="C1" t="s">
        <v>0</v>
      </c>
      <c r="E1" t="s">
        <v>23</v>
      </c>
      <c r="F1" t="s">
        <v>27</v>
      </c>
      <c r="I1" s="30" t="s">
        <v>30</v>
      </c>
    </row>
    <row r="2" spans="1:14">
      <c r="A2" s="2" t="s">
        <v>1</v>
      </c>
      <c r="E2" t="s">
        <v>24</v>
      </c>
      <c r="F2" t="s">
        <v>26</v>
      </c>
      <c r="I2" s="30" t="s">
        <v>70</v>
      </c>
    </row>
    <row r="3" spans="1:14">
      <c r="A3" s="3" t="s">
        <v>25</v>
      </c>
      <c r="H3" s="46"/>
      <c r="I3" s="46"/>
      <c r="J3" s="49"/>
      <c r="K3" s="47"/>
      <c r="L3" s="21"/>
      <c r="M3" s="21"/>
      <c r="N3" s="21"/>
    </row>
    <row r="4" spans="1:14">
      <c r="E4" t="s">
        <v>55</v>
      </c>
      <c r="F4" t="s">
        <v>23</v>
      </c>
      <c r="H4" s="47"/>
      <c r="I4" s="46"/>
      <c r="J4" s="46"/>
      <c r="K4" s="49"/>
      <c r="L4" s="21"/>
      <c r="M4" s="21"/>
      <c r="N4" s="21"/>
    </row>
    <row r="5" spans="1:14">
      <c r="A5" t="s">
        <v>25</v>
      </c>
      <c r="B5" s="56">
        <v>8000</v>
      </c>
      <c r="E5" t="s">
        <v>56</v>
      </c>
      <c r="F5" t="s">
        <v>24</v>
      </c>
      <c r="H5" s="21"/>
      <c r="I5" s="37"/>
      <c r="J5" s="37"/>
      <c r="K5" s="37"/>
      <c r="L5" s="21"/>
      <c r="M5" s="21"/>
      <c r="N5" s="21"/>
    </row>
    <row r="6" spans="1:14" ht="28">
      <c r="A6" s="28" t="s">
        <v>39</v>
      </c>
      <c r="B6" s="34" t="s">
        <v>26</v>
      </c>
      <c r="E6" s="30"/>
      <c r="F6" t="s">
        <v>60</v>
      </c>
      <c r="H6" s="21"/>
      <c r="I6" s="12"/>
      <c r="J6" s="37"/>
      <c r="K6" s="37"/>
      <c r="L6" s="21"/>
      <c r="M6" s="21"/>
      <c r="N6" s="21"/>
    </row>
    <row r="7" spans="1:14">
      <c r="A7" s="28" t="s">
        <v>38</v>
      </c>
      <c r="B7" s="34" t="s">
        <v>23</v>
      </c>
      <c r="E7" s="30"/>
      <c r="F7" s="30"/>
      <c r="H7" s="21"/>
      <c r="I7" s="46"/>
      <c r="J7" s="47"/>
      <c r="K7" s="39"/>
      <c r="L7" s="21"/>
      <c r="M7" s="21"/>
      <c r="N7" s="21"/>
    </row>
    <row r="8" spans="1:14">
      <c r="A8" s="28"/>
      <c r="E8" s="47"/>
      <c r="F8" s="47"/>
      <c r="G8" s="47"/>
      <c r="H8" s="47"/>
      <c r="I8" s="49"/>
      <c r="J8" s="46"/>
      <c r="K8" s="46"/>
      <c r="L8" s="21"/>
      <c r="M8" s="21"/>
      <c r="N8" s="21"/>
    </row>
    <row r="9" spans="1:14">
      <c r="A9" s="30" t="s">
        <v>59</v>
      </c>
      <c r="D9" s="47"/>
      <c r="E9" s="47"/>
      <c r="F9" s="46"/>
      <c r="G9" s="47"/>
      <c r="H9" s="76"/>
      <c r="I9" s="76"/>
      <c r="J9" s="47"/>
      <c r="K9" s="47"/>
      <c r="L9" s="47"/>
      <c r="M9" s="47"/>
      <c r="N9" s="21"/>
    </row>
    <row r="10" spans="1:14">
      <c r="A10" s="28" t="s">
        <v>57</v>
      </c>
      <c r="B10" s="1" t="s">
        <v>55</v>
      </c>
      <c r="D10" s="47"/>
      <c r="E10" s="47"/>
      <c r="F10" s="46"/>
      <c r="G10" s="47"/>
      <c r="H10" s="76"/>
      <c r="I10" s="76"/>
      <c r="J10" s="80"/>
      <c r="K10" s="80"/>
      <c r="L10" s="80"/>
      <c r="M10" s="80"/>
      <c r="N10" s="21"/>
    </row>
    <row r="11" spans="1:14">
      <c r="A11" s="28" t="s">
        <v>58</v>
      </c>
      <c r="B11" s="1">
        <v>2000</v>
      </c>
      <c r="D11" s="47"/>
      <c r="E11" s="47"/>
      <c r="F11" s="46"/>
      <c r="G11" s="47"/>
      <c r="H11" s="76"/>
      <c r="I11" s="76"/>
      <c r="J11" s="80"/>
      <c r="K11" s="80"/>
      <c r="L11" s="80"/>
      <c r="M11" s="80"/>
      <c r="N11" s="21"/>
    </row>
    <row r="12" spans="1:14" s="21" customFormat="1">
      <c r="A12" s="57"/>
      <c r="B12"/>
      <c r="D12" s="47"/>
      <c r="E12" s="47"/>
      <c r="F12" s="46"/>
      <c r="G12" s="47"/>
      <c r="H12" s="76"/>
      <c r="I12" s="76"/>
      <c r="J12" s="80"/>
      <c r="K12" s="80"/>
      <c r="L12" s="80"/>
      <c r="M12" s="80"/>
    </row>
    <row r="13" spans="1:14">
      <c r="A13" s="2" t="s">
        <v>4</v>
      </c>
      <c r="D13" s="47"/>
      <c r="E13" s="47"/>
      <c r="F13" s="46"/>
      <c r="G13" s="76"/>
      <c r="H13" s="76"/>
      <c r="I13" s="76"/>
      <c r="J13" s="39"/>
      <c r="K13" s="39"/>
      <c r="L13" s="47"/>
      <c r="M13" s="47"/>
      <c r="N13" s="21"/>
    </row>
    <row r="14" spans="1:14">
      <c r="A14" t="s">
        <v>5</v>
      </c>
      <c r="B14" s="1" t="s">
        <v>90</v>
      </c>
      <c r="D14" s="47"/>
      <c r="E14" s="47"/>
      <c r="F14" s="46"/>
      <c r="G14" s="47"/>
      <c r="H14" s="76"/>
      <c r="I14" s="76"/>
      <c r="J14" s="47"/>
      <c r="K14" s="47"/>
      <c r="L14" s="47"/>
      <c r="M14" s="47"/>
      <c r="N14" s="21"/>
    </row>
    <row r="15" spans="1:14">
      <c r="D15" s="47"/>
      <c r="E15" s="47"/>
      <c r="F15" s="47"/>
      <c r="G15" s="47"/>
      <c r="H15" s="76"/>
      <c r="I15" s="76"/>
      <c r="J15" s="47"/>
      <c r="K15" s="47"/>
      <c r="L15" s="47"/>
      <c r="M15" s="47"/>
      <c r="N15" s="21"/>
    </row>
    <row r="16" spans="1:14">
      <c r="D16" s="47"/>
      <c r="E16" s="47"/>
      <c r="F16" s="78"/>
      <c r="G16" s="47"/>
      <c r="H16" s="76"/>
      <c r="I16" s="76"/>
      <c r="J16" s="47"/>
      <c r="K16" s="47"/>
      <c r="L16" s="47"/>
      <c r="M16" s="47"/>
      <c r="N16" s="21"/>
    </row>
    <row r="17" spans="1:14">
      <c r="D17" s="47"/>
      <c r="E17" s="47"/>
      <c r="F17" s="47"/>
      <c r="G17" s="76"/>
      <c r="H17" s="76"/>
      <c r="I17" s="76"/>
      <c r="J17" s="47"/>
      <c r="K17" s="47"/>
      <c r="L17" s="47"/>
      <c r="M17" s="47"/>
      <c r="N17" s="21"/>
    </row>
    <row r="18" spans="1:14">
      <c r="A18" t="s">
        <v>6</v>
      </c>
      <c r="B18" s="1">
        <v>90000</v>
      </c>
      <c r="L18" s="21"/>
      <c r="M18" s="21"/>
      <c r="N18" s="21"/>
    </row>
    <row r="19" spans="1:14">
      <c r="A19" s="2" t="s">
        <v>7</v>
      </c>
    </row>
    <row r="20" spans="1:14">
      <c r="A20" s="3" t="s">
        <v>8</v>
      </c>
      <c r="E20" s="21"/>
      <c r="F20" s="21"/>
      <c r="G20" s="21"/>
      <c r="H20" s="12"/>
      <c r="I20" s="21"/>
    </row>
    <row r="21" spans="1:14">
      <c r="B21" s="91" t="s">
        <v>20</v>
      </c>
      <c r="C21" s="21"/>
      <c r="D21" s="21"/>
      <c r="E21" s="21"/>
      <c r="F21" s="91"/>
      <c r="G21" s="21"/>
      <c r="H21" s="21"/>
      <c r="I21" s="21"/>
    </row>
    <row r="22" spans="1:14" ht="15">
      <c r="A22" t="s">
        <v>9</v>
      </c>
      <c r="B22" s="52">
        <v>0</v>
      </c>
      <c r="C22" s="27">
        <v>45282</v>
      </c>
      <c r="D22" s="92">
        <v>0.15</v>
      </c>
      <c r="E22" s="21"/>
      <c r="F22" s="52"/>
      <c r="G22" s="27"/>
      <c r="H22" s="92"/>
      <c r="I22" s="21"/>
      <c r="N22" s="6"/>
    </row>
    <row r="23" spans="1:14" ht="15">
      <c r="A23" t="s">
        <v>10</v>
      </c>
      <c r="B23" s="27">
        <f>C22</f>
        <v>45282</v>
      </c>
      <c r="C23" s="27">
        <v>90563</v>
      </c>
      <c r="D23" s="66">
        <v>0.20499999999999999</v>
      </c>
      <c r="E23" s="21"/>
      <c r="F23" s="27"/>
      <c r="G23" s="27"/>
      <c r="H23" s="66"/>
      <c r="I23" s="21"/>
      <c r="N23" s="7"/>
    </row>
    <row r="24" spans="1:14" ht="15">
      <c r="A24" t="s">
        <v>10</v>
      </c>
      <c r="B24" s="27">
        <f>C23</f>
        <v>90563</v>
      </c>
      <c r="C24" s="27">
        <v>140388</v>
      </c>
      <c r="D24" s="66">
        <v>0.26</v>
      </c>
      <c r="E24" s="21"/>
      <c r="F24" s="27"/>
      <c r="G24" s="27"/>
      <c r="H24" s="66"/>
      <c r="I24" s="21"/>
      <c r="N24" s="7"/>
    </row>
    <row r="25" spans="1:14" ht="15">
      <c r="A25" t="s">
        <v>10</v>
      </c>
      <c r="B25" s="27">
        <f>C24</f>
        <v>140388</v>
      </c>
      <c r="C25" s="27">
        <v>200000</v>
      </c>
      <c r="D25" s="66">
        <v>0.28999999999999998</v>
      </c>
      <c r="E25" s="21"/>
      <c r="F25" s="27"/>
      <c r="G25" s="27"/>
      <c r="H25" s="66"/>
      <c r="I25" s="21"/>
      <c r="N25" s="7"/>
    </row>
    <row r="26" spans="1:14" ht="15">
      <c r="B26" s="27">
        <f>C25</f>
        <v>200000</v>
      </c>
      <c r="C26" s="21"/>
      <c r="D26" s="66">
        <v>0.33</v>
      </c>
      <c r="E26" s="21"/>
      <c r="F26" s="27"/>
      <c r="G26" s="21"/>
      <c r="H26" s="66"/>
      <c r="I26" s="21"/>
      <c r="N26" s="7"/>
    </row>
    <row r="27" spans="1:14">
      <c r="B27" s="21"/>
      <c r="C27" s="91"/>
      <c r="D27" s="21"/>
      <c r="E27" s="21"/>
      <c r="F27" s="21"/>
      <c r="G27" s="21"/>
      <c r="H27" s="12"/>
      <c r="I27" s="21"/>
    </row>
    <row r="28" spans="1:14" ht="15">
      <c r="A28" t="s">
        <v>35</v>
      </c>
      <c r="B28" s="27">
        <v>11474</v>
      </c>
      <c r="C28" s="27"/>
      <c r="D28" s="21"/>
      <c r="E28" s="21"/>
      <c r="F28" s="21"/>
      <c r="G28" s="52"/>
      <c r="H28" s="12"/>
      <c r="I28" s="21"/>
    </row>
    <row r="29" spans="1:14">
      <c r="E29" s="21"/>
      <c r="F29" s="21"/>
      <c r="G29" s="21"/>
      <c r="H29" s="12"/>
      <c r="I29" s="21"/>
    </row>
    <row r="30" spans="1:14">
      <c r="A30" s="3" t="s">
        <v>11</v>
      </c>
      <c r="E30" s="21"/>
      <c r="F30" s="21"/>
      <c r="G30" s="21"/>
      <c r="H30" s="12"/>
      <c r="I30" s="21"/>
    </row>
    <row r="31" spans="1:14">
      <c r="A31" s="10" t="s">
        <v>90</v>
      </c>
      <c r="B31" s="91" t="s">
        <v>20</v>
      </c>
      <c r="C31" s="21"/>
      <c r="D31" s="21"/>
      <c r="E31" s="21"/>
      <c r="F31" s="91"/>
      <c r="G31" s="21"/>
      <c r="H31" s="21"/>
      <c r="I31" s="47"/>
      <c r="J31" s="32"/>
      <c r="K31" s="70"/>
    </row>
    <row r="32" spans="1:14" ht="15">
      <c r="A32" t="s">
        <v>9</v>
      </c>
      <c r="B32" s="21"/>
      <c r="C32" s="27">
        <v>125000</v>
      </c>
      <c r="D32" s="66">
        <v>0.1</v>
      </c>
      <c r="E32" s="21"/>
      <c r="F32" s="21"/>
      <c r="G32" s="27"/>
      <c r="H32" s="66"/>
      <c r="I32" s="47"/>
      <c r="J32" s="66"/>
      <c r="K32" s="21"/>
    </row>
    <row r="33" spans="1:17" ht="15">
      <c r="A33" t="s">
        <v>10</v>
      </c>
      <c r="B33" s="27">
        <f>C32</f>
        <v>125000</v>
      </c>
      <c r="C33" s="27">
        <v>150000</v>
      </c>
      <c r="D33" s="66">
        <v>0.12</v>
      </c>
      <c r="E33" s="21"/>
      <c r="F33" s="27"/>
      <c r="G33" s="27"/>
      <c r="H33" s="66"/>
      <c r="I33" s="47"/>
      <c r="J33" s="71"/>
      <c r="K33" s="53"/>
      <c r="L33" s="15"/>
    </row>
    <row r="34" spans="1:17" ht="15">
      <c r="A34" t="s">
        <v>10</v>
      </c>
      <c r="B34" s="27">
        <f>C33</f>
        <v>150000</v>
      </c>
      <c r="C34" s="27">
        <v>200000</v>
      </c>
      <c r="D34" s="66">
        <v>0.13</v>
      </c>
      <c r="E34" s="21"/>
      <c r="F34" s="27"/>
      <c r="G34" s="27"/>
      <c r="H34" s="66"/>
      <c r="I34" s="47"/>
      <c r="J34" s="71"/>
      <c r="K34" s="52"/>
      <c r="L34" s="13"/>
      <c r="N34" s="18"/>
    </row>
    <row r="35" spans="1:17" ht="15">
      <c r="A35" t="s">
        <v>10</v>
      </c>
      <c r="B35" s="27">
        <f>C34</f>
        <v>200000</v>
      </c>
      <c r="C35" s="27">
        <v>300000</v>
      </c>
      <c r="D35" s="66">
        <v>0.14000000000000001</v>
      </c>
      <c r="E35" s="21"/>
      <c r="F35" s="27"/>
      <c r="G35" s="27"/>
      <c r="H35" s="66"/>
      <c r="I35" s="47"/>
      <c r="J35" s="71"/>
      <c r="K35" s="52"/>
      <c r="L35" s="13"/>
      <c r="N35" s="4"/>
    </row>
    <row r="36" spans="1:17" ht="15">
      <c r="B36" s="27">
        <f>C35</f>
        <v>300000</v>
      </c>
      <c r="C36" s="21"/>
      <c r="D36" s="66">
        <v>0.15</v>
      </c>
      <c r="E36" s="21"/>
      <c r="F36" s="27"/>
      <c r="G36" s="21"/>
      <c r="H36" s="66"/>
      <c r="I36" s="47"/>
      <c r="J36" s="71"/>
      <c r="K36" s="52"/>
      <c r="L36" s="13"/>
    </row>
    <row r="37" spans="1:17">
      <c r="B37" s="21"/>
      <c r="C37" s="91"/>
      <c r="D37" s="21"/>
      <c r="E37" s="21"/>
      <c r="F37" s="21"/>
      <c r="G37" s="21"/>
      <c r="H37" s="45"/>
      <c r="I37" s="47"/>
      <c r="J37" s="72"/>
      <c r="K37" s="20"/>
      <c r="L37" s="26"/>
    </row>
    <row r="38" spans="1:17" ht="15">
      <c r="A38" t="s">
        <v>33</v>
      </c>
      <c r="B38" s="27">
        <v>18451</v>
      </c>
      <c r="C38" s="27"/>
      <c r="D38" s="21"/>
      <c r="H38" s="41"/>
      <c r="I38" s="47"/>
      <c r="J38" s="72"/>
      <c r="K38" s="20"/>
      <c r="L38" s="26"/>
    </row>
    <row r="39" spans="1:17">
      <c r="B39" s="4"/>
      <c r="C39" s="4"/>
      <c r="D39" t="s">
        <v>34</v>
      </c>
      <c r="E39" s="13"/>
      <c r="F39" s="44"/>
      <c r="H39" s="16"/>
      <c r="I39" s="47"/>
      <c r="J39" s="21"/>
      <c r="K39" s="21"/>
    </row>
    <row r="40" spans="1:17">
      <c r="B40" s="4"/>
      <c r="C40" s="4"/>
      <c r="E40" s="13"/>
      <c r="F40" s="44"/>
      <c r="H40" s="16"/>
      <c r="I40" s="47"/>
      <c r="J40" s="21"/>
      <c r="K40" s="21"/>
    </row>
    <row r="41" spans="1:17">
      <c r="A41" s="3" t="s">
        <v>47</v>
      </c>
      <c r="B41" s="37"/>
      <c r="C41" s="4"/>
      <c r="D41" s="21"/>
      <c r="E41" s="13"/>
      <c r="F41" s="13"/>
      <c r="G41" s="44"/>
      <c r="H41"/>
      <c r="I41" s="47"/>
      <c r="J41" s="32" t="s">
        <v>88</v>
      </c>
      <c r="K41" s="21"/>
      <c r="Q41" s="18"/>
    </row>
    <row r="42" spans="1:17">
      <c r="B42" s="37"/>
      <c r="C42" s="69" t="s">
        <v>86</v>
      </c>
      <c r="D42" s="91"/>
      <c r="E42" s="13"/>
      <c r="F42" s="3" t="s">
        <v>94</v>
      </c>
      <c r="G42" s="44"/>
      <c r="H42"/>
      <c r="I42" s="47" t="s">
        <v>62</v>
      </c>
      <c r="J42" s="73" t="s">
        <v>61</v>
      </c>
      <c r="K42" s="73" t="s">
        <v>63</v>
      </c>
      <c r="Q42" s="18"/>
    </row>
    <row r="43" spans="1:17" ht="15">
      <c r="A43" s="28" t="s">
        <v>87</v>
      </c>
      <c r="B43" s="33">
        <v>0.38</v>
      </c>
      <c r="D43" s="95"/>
      <c r="E43" s="30"/>
      <c r="F43">
        <v>0</v>
      </c>
      <c r="G43" s="5">
        <f t="shared" ref="G43:H46" si="0">C32</f>
        <v>125000</v>
      </c>
      <c r="H43" s="7">
        <f t="shared" si="0"/>
        <v>0.1</v>
      </c>
      <c r="I43" s="12">
        <v>0</v>
      </c>
      <c r="J43" s="12">
        <f ca="1">IF(AND(($B$18+$B$5+$B$67)&gt;=F43,($B$18+$B$5+$B$67)&lt;G43),($B$18+$B$5+$B$67-F43)*H43,0)</f>
        <v>9800</v>
      </c>
      <c r="K43" s="53">
        <f t="shared" ref="K43:K47" ca="1" si="1">(IF(J43=0,0,I43+J43))</f>
        <v>9800</v>
      </c>
    </row>
    <row r="44" spans="1:17" ht="15">
      <c r="A44" s="28" t="s">
        <v>41</v>
      </c>
      <c r="B44" s="33">
        <v>0.17</v>
      </c>
      <c r="D44" s="95"/>
      <c r="E44" s="30"/>
      <c r="F44" s="5">
        <f>G43</f>
        <v>125000</v>
      </c>
      <c r="G44" s="5">
        <f t="shared" si="0"/>
        <v>150000</v>
      </c>
      <c r="H44" s="7">
        <f t="shared" si="0"/>
        <v>0.12</v>
      </c>
      <c r="I44" s="12">
        <f>(G43-F43)*H43</f>
        <v>12500</v>
      </c>
      <c r="J44" s="12">
        <f ca="1">IF(AND(($B$18+$B$5+$B$67)&gt;=F44,($B$18+$B$5+$B$67)&lt;G44),($B$18+$B$5+$B$67-F44)*H44,0)</f>
        <v>0</v>
      </c>
      <c r="K44" s="53">
        <f t="shared" ca="1" si="1"/>
        <v>0</v>
      </c>
    </row>
    <row r="45" spans="1:17" ht="15">
      <c r="A45" s="28" t="s">
        <v>40</v>
      </c>
      <c r="B45" s="13">
        <f>IF(AND(B6="canadian corporation",B7="yes"),B5*B43,0)</f>
        <v>0</v>
      </c>
      <c r="D45" s="21"/>
      <c r="E45" s="30"/>
      <c r="F45" s="27">
        <f>G44</f>
        <v>150000</v>
      </c>
      <c r="G45" s="5">
        <f t="shared" si="0"/>
        <v>200000</v>
      </c>
      <c r="H45" s="7">
        <f t="shared" si="0"/>
        <v>0.13</v>
      </c>
      <c r="I45" s="12">
        <f>((G44-F44)*H44)+I44</f>
        <v>15500</v>
      </c>
      <c r="J45" s="12">
        <f ca="1">IF(AND(($B$18+$B$5+$B$67)&gt;=F45,($B$18+$B$5+$B$67)&lt;G45),($B$18+$B$5+$B$67-F45)*H45,0)</f>
        <v>0</v>
      </c>
      <c r="K45" s="53">
        <f t="shared" ca="1" si="1"/>
        <v>0</v>
      </c>
    </row>
    <row r="46" spans="1:17" ht="15">
      <c r="A46" s="28" t="s">
        <v>42</v>
      </c>
      <c r="B46" s="13">
        <f>IF(AND(B6="canadian corporation",B7="no"),B5*B44,0)</f>
        <v>0</v>
      </c>
      <c r="D46" s="21"/>
      <c r="E46" s="30"/>
      <c r="F46" s="5">
        <f>G45</f>
        <v>200000</v>
      </c>
      <c r="G46" s="5">
        <f t="shared" si="0"/>
        <v>300000</v>
      </c>
      <c r="H46" s="7">
        <f t="shared" si="0"/>
        <v>0.14000000000000001</v>
      </c>
      <c r="I46" s="12">
        <f t="shared" ref="I46:I47" si="2">((G45-F45)*H45)+I45</f>
        <v>22000</v>
      </c>
      <c r="J46" s="12">
        <f ca="1">IF(AND(($B$18+$B$5+$B$67)&gt;=F46,($B$18+$B$5+$B$67)&lt;G46),($B$18+$B$5+$B$67-F46)*H46,0)</f>
        <v>0</v>
      </c>
      <c r="K46" s="53">
        <f t="shared" ca="1" si="1"/>
        <v>0</v>
      </c>
    </row>
    <row r="47" spans="1:17" ht="15">
      <c r="A47" s="28" t="s">
        <v>43</v>
      </c>
      <c r="B47" s="42">
        <f>IF(B6="non-canadian corporation",B5,0)</f>
        <v>8000</v>
      </c>
      <c r="D47" s="21"/>
      <c r="E47" s="30"/>
      <c r="F47" s="5">
        <f>G46</f>
        <v>300000</v>
      </c>
      <c r="H47" s="7">
        <f>D36</f>
        <v>0.15</v>
      </c>
      <c r="I47" s="12">
        <f t="shared" si="2"/>
        <v>36000</v>
      </c>
      <c r="J47" s="12">
        <f ca="1">IF(($B$18+$B$5+$B$67)&gt;=F47,($B$18+$B$5+$B$67-F47)*H47,0)</f>
        <v>0</v>
      </c>
      <c r="K47" s="74">
        <f t="shared" ca="1" si="1"/>
        <v>0</v>
      </c>
    </row>
    <row r="48" spans="1:17">
      <c r="B48" s="18">
        <f>SUM(B45:B47)</f>
        <v>8000</v>
      </c>
      <c r="D48" s="21"/>
      <c r="F48" s="13"/>
      <c r="G48" s="44"/>
      <c r="H48"/>
      <c r="I48" s="47"/>
      <c r="J48" s="21"/>
      <c r="K48" s="53">
        <f ca="1">SUM(K43:K47)</f>
        <v>9800</v>
      </c>
    </row>
    <row r="49" spans="1:17">
      <c r="B49" s="18"/>
      <c r="D49" s="21"/>
      <c r="F49" s="13"/>
      <c r="G49" s="44"/>
      <c r="H49" s="63" t="s">
        <v>32</v>
      </c>
      <c r="I49" s="12">
        <f>B38</f>
        <v>18451</v>
      </c>
      <c r="J49" s="20">
        <f>D32</f>
        <v>0.1</v>
      </c>
      <c r="K49" s="54">
        <f ca="1">IF(($B$18+$B$5+$B$67)&lt;I49,($B$18+$B$5+$B$67)*J49,I49*J49)</f>
        <v>1845.1000000000001</v>
      </c>
    </row>
    <row r="50" spans="1:17">
      <c r="A50" s="19" t="s">
        <v>37</v>
      </c>
      <c r="B50" s="37"/>
      <c r="C50" s="4"/>
      <c r="D50" s="21"/>
      <c r="E50" s="13"/>
      <c r="F50" s="13"/>
      <c r="G50" s="44"/>
      <c r="H50"/>
      <c r="I50" s="47"/>
      <c r="J50" s="21"/>
      <c r="K50" s="13">
        <f ca="1">IF((K48-K49)&lt;=0,0,K48-K49)</f>
        <v>7954.9</v>
      </c>
      <c r="Q50" s="18"/>
    </row>
    <row r="51" spans="1:17">
      <c r="A51" t="s">
        <v>44</v>
      </c>
      <c r="B51" s="37">
        <f ca="1">MIN(J71,IF(B45&gt;0,B5*C51,0))</f>
        <v>0</v>
      </c>
      <c r="C51" s="55">
        <v>0.1502</v>
      </c>
      <c r="D51" s="96"/>
      <c r="E51" s="13"/>
      <c r="F51" s="44"/>
      <c r="H51" s="63" t="s">
        <v>91</v>
      </c>
      <c r="I51" s="47"/>
      <c r="J51" s="21"/>
      <c r="K51" s="75">
        <f ca="1">MIN(B58,K50)</f>
        <v>0</v>
      </c>
      <c r="Q51" s="18"/>
    </row>
    <row r="52" spans="1:17">
      <c r="A52" t="s">
        <v>45</v>
      </c>
      <c r="B52" s="38">
        <f ca="1">MIN(J71,IF(B46&gt;0,B5*C52,0))</f>
        <v>0</v>
      </c>
      <c r="C52" s="55">
        <v>0.105217</v>
      </c>
      <c r="D52" s="96"/>
      <c r="E52" s="13"/>
      <c r="I52" s="47"/>
      <c r="J52" s="21"/>
      <c r="K52" s="12">
        <f ca="1">K50-K51</f>
        <v>7954.9</v>
      </c>
      <c r="Q52" s="18"/>
    </row>
    <row r="53" spans="1:17">
      <c r="B53" s="37">
        <f ca="1">SUM(B51:B52)</f>
        <v>0</v>
      </c>
      <c r="C53" s="4"/>
      <c r="D53" s="21"/>
      <c r="E53" s="13"/>
      <c r="H53" s="63" t="s">
        <v>92</v>
      </c>
      <c r="I53" s="47"/>
      <c r="J53" s="21"/>
      <c r="K53" s="75">
        <f ca="1">MIN(B99,K52)</f>
        <v>3.3728571428571286</v>
      </c>
      <c r="Q53" s="18"/>
    </row>
    <row r="54" spans="1:17">
      <c r="B54" s="37"/>
      <c r="C54" s="4"/>
      <c r="D54" s="21"/>
      <c r="E54" s="13"/>
      <c r="I54" s="47"/>
      <c r="J54" s="21"/>
      <c r="K54" s="12">
        <f ca="1">K52-K53</f>
        <v>7951.5271428571423</v>
      </c>
      <c r="Q54" s="18"/>
    </row>
    <row r="55" spans="1:17">
      <c r="A55" s="19" t="s">
        <v>93</v>
      </c>
      <c r="B55" s="37"/>
      <c r="C55" s="4"/>
      <c r="D55" s="21"/>
      <c r="E55" s="13"/>
      <c r="F55" s="18"/>
      <c r="G55" s="4"/>
      <c r="H55" s="16"/>
      <c r="I55" s="47"/>
      <c r="J55" s="21"/>
      <c r="K55" s="21"/>
      <c r="Q55" s="18"/>
    </row>
    <row r="56" spans="1:17">
      <c r="A56" t="s">
        <v>44</v>
      </c>
      <c r="B56" s="37">
        <f ca="1">MIN(K50,IF(B45&gt;0,B5*C56,0))</f>
        <v>0</v>
      </c>
      <c r="C56" s="55">
        <v>0.1</v>
      </c>
      <c r="D56" s="96"/>
      <c r="I56" s="47"/>
      <c r="J56" s="21"/>
      <c r="K56" s="21"/>
      <c r="Q56" s="18"/>
    </row>
    <row r="57" spans="1:17">
      <c r="A57" t="s">
        <v>45</v>
      </c>
      <c r="B57" s="38">
        <f ca="1">MIN(K50,IF(B46&gt;0,B5*C57,0))</f>
        <v>0</v>
      </c>
      <c r="C57" s="58">
        <v>3.0800000000000001E-2</v>
      </c>
      <c r="D57" s="97"/>
      <c r="I57" s="47"/>
      <c r="J57" s="21"/>
      <c r="K57" s="21"/>
      <c r="Q57" s="18"/>
    </row>
    <row r="58" spans="1:17">
      <c r="B58" s="37">
        <f ca="1">SUM(B56:B57)</f>
        <v>0</v>
      </c>
      <c r="C58" s="4"/>
      <c r="D58" s="21"/>
      <c r="I58" s="47"/>
      <c r="J58" s="21"/>
      <c r="K58" s="21"/>
      <c r="Q58" s="18"/>
    </row>
    <row r="59" spans="1:17">
      <c r="B59" s="37"/>
      <c r="C59" s="4"/>
      <c r="D59" s="21"/>
      <c r="I59" s="47"/>
      <c r="J59" s="21"/>
      <c r="K59" s="21"/>
      <c r="Q59" s="18"/>
    </row>
    <row r="60" spans="1:17">
      <c r="A60" s="3" t="s">
        <v>50</v>
      </c>
      <c r="B60" s="37"/>
      <c r="C60" s="4"/>
      <c r="D60" s="21"/>
      <c r="I60" s="47"/>
      <c r="J60" s="21"/>
      <c r="K60" s="21"/>
      <c r="Q60" s="18"/>
    </row>
    <row r="61" spans="1:17">
      <c r="B61" s="37"/>
      <c r="C61" s="4"/>
      <c r="I61" s="47"/>
      <c r="J61" s="21"/>
      <c r="K61" s="21"/>
      <c r="Q61" s="18"/>
    </row>
    <row r="62" spans="1:17">
      <c r="A62" s="19" t="s">
        <v>51</v>
      </c>
      <c r="B62" s="37"/>
      <c r="C62" s="4"/>
      <c r="H62" s="12"/>
      <c r="I62" s="47"/>
      <c r="J62" s="21"/>
      <c r="K62" s="21"/>
      <c r="Q62" s="18"/>
    </row>
    <row r="63" spans="1:17">
      <c r="A63" t="s">
        <v>71</v>
      </c>
      <c r="B63" s="37">
        <f>$B$5</f>
        <v>8000</v>
      </c>
      <c r="C63" s="60" t="s">
        <v>28</v>
      </c>
      <c r="D63" s="19" t="s">
        <v>52</v>
      </c>
      <c r="E63" s="13"/>
      <c r="F63" s="18"/>
      <c r="G63" s="4"/>
      <c r="H63" s="67" t="s">
        <v>62</v>
      </c>
      <c r="I63" s="47" t="s">
        <v>61</v>
      </c>
      <c r="J63" s="73" t="s">
        <v>63</v>
      </c>
      <c r="K63" s="21"/>
      <c r="Q63" s="18"/>
    </row>
    <row r="64" spans="1:17" ht="15">
      <c r="A64" t="s">
        <v>72</v>
      </c>
      <c r="B64" s="37">
        <f>IF($B$10="US",-IF(($B$11/$B$5)&gt;15%,$B$11-($B$5*15%),0),0)</f>
        <v>-800</v>
      </c>
      <c r="C64" s="60" t="s">
        <v>29</v>
      </c>
      <c r="D64" t="s">
        <v>9</v>
      </c>
      <c r="E64" s="4">
        <v>0</v>
      </c>
      <c r="F64" s="5">
        <f t="shared" ref="F64:G67" si="3">C22</f>
        <v>45282</v>
      </c>
      <c r="G64" s="6">
        <f t="shared" si="3"/>
        <v>0.15</v>
      </c>
      <c r="H64" s="12">
        <v>0</v>
      </c>
      <c r="I64" s="12">
        <f ca="1">IF(AND(($B$18+$B$5+$B$67)&gt;=E64,($B$18+$B$5+$B$67)&lt;F64),($B$18+$B$5+$B$67-E64)*G64,0)</f>
        <v>0</v>
      </c>
      <c r="J64" s="12">
        <f ca="1">(IF(I64=0,0,H64+I64))</f>
        <v>0</v>
      </c>
      <c r="K64" s="21"/>
      <c r="Q64" s="18"/>
    </row>
    <row r="65" spans="1:17" ht="15">
      <c r="A65" t="s">
        <v>73</v>
      </c>
      <c r="B65" s="37">
        <f>IF(B6="Canadian Corporation",0,IF($B$10="non-US",-IF(($B$11/$B$5)&gt;15%,$B$11-($B$5*15%),0),0))</f>
        <v>0</v>
      </c>
      <c r="C65" s="4"/>
      <c r="D65" t="s">
        <v>10</v>
      </c>
      <c r="E65" s="5">
        <f>F64</f>
        <v>45282</v>
      </c>
      <c r="F65" s="5">
        <f t="shared" si="3"/>
        <v>90563</v>
      </c>
      <c r="G65" s="6">
        <f t="shared" si="3"/>
        <v>0.20499999999999999</v>
      </c>
      <c r="H65" s="12">
        <f>(F64-E64)*G64</f>
        <v>6792.3</v>
      </c>
      <c r="I65" s="12">
        <f ca="1">IF(AND(($B$18+$B$5+$B$67)&gt;=E65,($B$18+$B$5+$B$67)&lt;F65),($B$18+$B$5+$B$67-E65)*G65,0)</f>
        <v>0</v>
      </c>
      <c r="J65" s="12">
        <f t="shared" ref="J65:J68" ca="1" si="4">(IF(I65=0,0,H65+I65))</f>
        <v>0</v>
      </c>
      <c r="K65" s="21"/>
      <c r="Q65" s="18"/>
    </row>
    <row r="66" spans="1:17" ht="15">
      <c r="A66" t="s">
        <v>78</v>
      </c>
      <c r="B66" s="38">
        <f ca="1">-B101</f>
        <v>0</v>
      </c>
      <c r="C66" s="4"/>
      <c r="D66" t="s">
        <v>10</v>
      </c>
      <c r="E66" s="5">
        <f>F65</f>
        <v>90563</v>
      </c>
      <c r="F66" s="5">
        <f t="shared" si="3"/>
        <v>140388</v>
      </c>
      <c r="G66" s="6">
        <f t="shared" si="3"/>
        <v>0.26</v>
      </c>
      <c r="H66" s="12">
        <f>((F65-E65)*G65)+H65</f>
        <v>16074.904999999999</v>
      </c>
      <c r="I66" s="12">
        <f ca="1">IF(AND(($B$18+$B$5+$B$67)&gt;=E66,($B$18+$B$5+$B$67)&lt;F66),($B$18+$B$5+$B$67-E66)*G66,0)</f>
        <v>1933.6200000000001</v>
      </c>
      <c r="J66" s="12">
        <f t="shared" ca="1" si="4"/>
        <v>18008.524999999998</v>
      </c>
      <c r="K66" s="21"/>
      <c r="Q66" s="18"/>
    </row>
    <row r="67" spans="1:17" ht="15">
      <c r="A67" t="s">
        <v>80</v>
      </c>
      <c r="B67" s="38">
        <f ca="1">SUM(B65:B66)</f>
        <v>0</v>
      </c>
      <c r="C67" s="60" t="s">
        <v>79</v>
      </c>
      <c r="D67" t="s">
        <v>10</v>
      </c>
      <c r="E67" s="5">
        <f>F66</f>
        <v>140388</v>
      </c>
      <c r="F67" s="5">
        <f t="shared" si="3"/>
        <v>200000</v>
      </c>
      <c r="G67" s="6">
        <f t="shared" si="3"/>
        <v>0.28999999999999998</v>
      </c>
      <c r="H67" s="12">
        <f>((F66-E66)*G66)+H66</f>
        <v>29029.404999999999</v>
      </c>
      <c r="I67" s="12">
        <f ca="1">IF(AND(($B$18+$B$5+$B$67)&gt;=E67,($B$18+$B$5+$B$67)&lt;F67),($B$18+$B$5+$B$67-E67)*G67,0)</f>
        <v>0</v>
      </c>
      <c r="J67" s="12">
        <f t="shared" ca="1" si="4"/>
        <v>0</v>
      </c>
      <c r="K67" s="21"/>
      <c r="Q67" s="18"/>
    </row>
    <row r="68" spans="1:17" ht="15">
      <c r="A68" t="s">
        <v>53</v>
      </c>
      <c r="B68" s="37">
        <f ca="1">B63+B64+B67</f>
        <v>7200</v>
      </c>
      <c r="C68" s="60" t="s">
        <v>81</v>
      </c>
      <c r="E68" s="5">
        <f>F67</f>
        <v>200000</v>
      </c>
      <c r="G68" s="6">
        <f>D26</f>
        <v>0.33</v>
      </c>
      <c r="H68" s="12">
        <f>((F67-E67)*G67)+H67</f>
        <v>46316.884999999995</v>
      </c>
      <c r="I68" s="12">
        <f ca="1">IF(($B$18+$B$5+$B$67)&gt;=E68,($B$18+$B$5+$B$67-E68)*G68,0)</f>
        <v>0</v>
      </c>
      <c r="J68" s="54">
        <f t="shared" ca="1" si="4"/>
        <v>0</v>
      </c>
      <c r="K68" s="21"/>
      <c r="Q68" s="18"/>
    </row>
    <row r="69" spans="1:17">
      <c r="B69" s="37"/>
      <c r="C69" s="4"/>
      <c r="E69" s="13"/>
      <c r="F69" s="18"/>
      <c r="G69" s="4"/>
      <c r="H69" s="16"/>
      <c r="I69" s="47"/>
      <c r="J69" s="12">
        <f ca="1">SUM(J64:J68)</f>
        <v>18008.524999999998</v>
      </c>
      <c r="K69" s="21"/>
      <c r="Q69" s="18"/>
    </row>
    <row r="70" spans="1:17">
      <c r="A70" t="s">
        <v>6</v>
      </c>
      <c r="B70" s="39">
        <f>$B$5+$B$18</f>
        <v>98000</v>
      </c>
      <c r="C70" s="60" t="s">
        <v>28</v>
      </c>
      <c r="G70" s="63" t="s">
        <v>32</v>
      </c>
      <c r="H70" s="13">
        <f>B28</f>
        <v>11474</v>
      </c>
      <c r="I70" s="78">
        <f>D22</f>
        <v>0.15</v>
      </c>
      <c r="J70" s="54">
        <f ca="1">IF(($B$5+$B$18+B67)&lt;H70,($B$5+$B$18+B67)*I70,H70*I70)</f>
        <v>1721.1</v>
      </c>
      <c r="K70" s="21"/>
      <c r="Q70" s="18"/>
    </row>
    <row r="71" spans="1:17">
      <c r="A71" t="s">
        <v>73</v>
      </c>
      <c r="B71" s="39">
        <f>IF($B$10="non-US",-IF(($B$11/$B$5)&gt;15%,$B$11-($B$5*15%),0),0)</f>
        <v>0</v>
      </c>
      <c r="C71" s="4"/>
      <c r="G71" s="63"/>
      <c r="I71" s="47"/>
      <c r="J71" s="13">
        <f ca="1">IF((J69-J70)&lt;=0,0,J69-J70)</f>
        <v>16287.424999999997</v>
      </c>
      <c r="K71" s="21"/>
      <c r="Q71" s="18"/>
    </row>
    <row r="72" spans="1:17">
      <c r="A72" t="s">
        <v>78</v>
      </c>
      <c r="B72" s="38">
        <f ca="1">B66</f>
        <v>0</v>
      </c>
      <c r="C72" s="4"/>
      <c r="G72" s="63"/>
      <c r="I72" s="47"/>
      <c r="J72" s="46"/>
      <c r="K72" s="21"/>
      <c r="Q72" s="18"/>
    </row>
    <row r="73" spans="1:17">
      <c r="A73" t="s">
        <v>80</v>
      </c>
      <c r="B73" s="38">
        <f ca="1">SUM(B71:B72)</f>
        <v>0</v>
      </c>
      <c r="C73" s="60" t="s">
        <v>29</v>
      </c>
      <c r="E73" s="13"/>
      <c r="F73" s="18"/>
      <c r="I73" s="47"/>
      <c r="J73" s="21"/>
      <c r="K73" s="21"/>
      <c r="Q73" s="18"/>
    </row>
    <row r="74" spans="1:17">
      <c r="A74" t="s">
        <v>74</v>
      </c>
      <c r="B74" s="37">
        <f ca="1">B70+B73</f>
        <v>98000</v>
      </c>
      <c r="C74" s="60" t="s">
        <v>82</v>
      </c>
      <c r="I74" s="47"/>
      <c r="J74" s="21"/>
      <c r="K74" s="21"/>
      <c r="Q74" s="18"/>
    </row>
    <row r="75" spans="1:17">
      <c r="B75" s="37"/>
      <c r="C75" s="4"/>
      <c r="I75" s="47"/>
      <c r="J75" s="21"/>
      <c r="K75" s="21"/>
      <c r="Q75" s="18"/>
    </row>
    <row r="76" spans="1:17">
      <c r="A76" t="s">
        <v>54</v>
      </c>
      <c r="B76" s="59">
        <f ca="1">B68/B74</f>
        <v>7.3469387755102047E-2</v>
      </c>
      <c r="C76" s="4"/>
      <c r="I76" s="47"/>
      <c r="J76" s="21"/>
      <c r="K76" s="21"/>
      <c r="Q76" s="18"/>
    </row>
    <row r="77" spans="1:17">
      <c r="B77" s="37"/>
      <c r="C77" s="4"/>
      <c r="I77" s="47"/>
      <c r="J77" s="21"/>
      <c r="K77" s="21"/>
      <c r="Q77" s="18"/>
    </row>
    <row r="78" spans="1:17">
      <c r="A78" t="s">
        <v>52</v>
      </c>
      <c r="B78" s="37">
        <f ca="1">J71</f>
        <v>16287.424999999997</v>
      </c>
      <c r="C78" s="4"/>
      <c r="I78" s="47"/>
      <c r="J78" s="21"/>
      <c r="K78" s="21"/>
      <c r="Q78" s="18"/>
    </row>
    <row r="79" spans="1:17">
      <c r="B79" s="37"/>
      <c r="C79" s="4"/>
      <c r="E79" s="65"/>
      <c r="F79" s="39"/>
      <c r="G79" s="4"/>
      <c r="H79" s="61"/>
      <c r="I79" s="47"/>
      <c r="J79" s="73"/>
      <c r="K79" s="21"/>
      <c r="Q79" s="18"/>
    </row>
    <row r="80" spans="1:17" ht="15">
      <c r="A80" t="s">
        <v>64</v>
      </c>
      <c r="B80" s="37">
        <f ca="1">B78*B76</f>
        <v>1196.6271428571429</v>
      </c>
      <c r="C80" s="60" t="s">
        <v>28</v>
      </c>
      <c r="E80" s="4"/>
      <c r="G80" s="6"/>
      <c r="H80" s="39"/>
      <c r="I80" s="47"/>
      <c r="J80" s="39"/>
      <c r="K80" s="21"/>
      <c r="Q80" s="18"/>
    </row>
    <row r="81" spans="1:17" ht="15">
      <c r="A81" t="s">
        <v>65</v>
      </c>
      <c r="B81" s="37">
        <f>IF(B6="Canadian Corporation",0,MIN($B$11,$B$5*15%))</f>
        <v>1200</v>
      </c>
      <c r="C81" s="60" t="s">
        <v>29</v>
      </c>
      <c r="E81" s="5"/>
      <c r="G81" s="7"/>
      <c r="H81" s="39"/>
      <c r="I81" s="47"/>
      <c r="J81" s="39"/>
      <c r="K81" s="21"/>
      <c r="Q81" s="18"/>
    </row>
    <row r="82" spans="1:17" ht="15">
      <c r="B82" s="37"/>
      <c r="C82" s="4"/>
      <c r="E82" s="5"/>
      <c r="G82" s="7"/>
      <c r="H82" s="39"/>
      <c r="I82" s="47"/>
      <c r="J82" s="39"/>
      <c r="K82" s="21"/>
      <c r="Q82" s="18"/>
    </row>
    <row r="83" spans="1:17" ht="15">
      <c r="A83" t="s">
        <v>66</v>
      </c>
      <c r="B83" s="62">
        <f ca="1">MIN(B80,B81)</f>
        <v>1196.6271428571429</v>
      </c>
      <c r="C83" s="60" t="s">
        <v>84</v>
      </c>
      <c r="E83" s="5"/>
      <c r="G83" s="7"/>
      <c r="H83" s="39"/>
      <c r="I83" s="47"/>
      <c r="J83" s="39"/>
      <c r="K83" s="21"/>
      <c r="Q83" s="18"/>
    </row>
    <row r="84" spans="1:17" ht="15">
      <c r="B84" s="62"/>
      <c r="C84" s="4"/>
      <c r="E84" s="5"/>
      <c r="F84" s="5"/>
      <c r="G84" s="7"/>
      <c r="H84" s="39"/>
      <c r="I84" s="47"/>
      <c r="J84" s="39"/>
      <c r="K84" s="21"/>
      <c r="Q84" s="18"/>
    </row>
    <row r="85" spans="1:17" ht="15">
      <c r="B85" s="62"/>
      <c r="C85" s="4"/>
      <c r="E85" s="13"/>
      <c r="F85" s="5"/>
      <c r="G85" s="4"/>
      <c r="H85" s="16"/>
      <c r="I85" s="47"/>
      <c r="J85" s="39"/>
      <c r="K85" s="21"/>
      <c r="Q85" s="18"/>
    </row>
    <row r="86" spans="1:17">
      <c r="A86" s="19" t="s">
        <v>67</v>
      </c>
      <c r="B86" s="37"/>
      <c r="C86" s="4"/>
      <c r="H86" s="12"/>
      <c r="I86" s="47"/>
      <c r="J86" s="21"/>
      <c r="K86" s="21"/>
      <c r="L86" s="19"/>
      <c r="Q86" s="18"/>
    </row>
    <row r="87" spans="1:17">
      <c r="A87" t="s">
        <v>53</v>
      </c>
      <c r="B87" s="37">
        <f ca="1">B68</f>
        <v>7200</v>
      </c>
      <c r="C87" s="4"/>
      <c r="D87" s="19" t="s">
        <v>68</v>
      </c>
      <c r="E87" s="13"/>
      <c r="F87" s="18"/>
      <c r="G87" s="4"/>
      <c r="H87" s="67" t="s">
        <v>62</v>
      </c>
      <c r="I87" s="47" t="s">
        <v>61</v>
      </c>
      <c r="J87" s="73" t="s">
        <v>63</v>
      </c>
      <c r="K87" s="53"/>
      <c r="Q87" s="18"/>
    </row>
    <row r="88" spans="1:17" ht="15">
      <c r="A88" t="s">
        <v>22</v>
      </c>
      <c r="B88" s="39">
        <f ca="1">B74</f>
        <v>98000</v>
      </c>
      <c r="C88" s="4"/>
      <c r="D88" t="s">
        <v>9</v>
      </c>
      <c r="E88">
        <v>0</v>
      </c>
      <c r="F88" s="5">
        <f t="shared" ref="F88:G91" si="5">C32</f>
        <v>125000</v>
      </c>
      <c r="G88" s="7">
        <f t="shared" si="5"/>
        <v>0.1</v>
      </c>
      <c r="H88" s="12">
        <v>0</v>
      </c>
      <c r="I88" s="46">
        <f ca="1">IF(AND(($B$18+$B$5+$B$67)&gt;=E88,($B$18+$B$5+$B$67)&lt;F88),($B$18+$B$5+$B$67-E88)*G88,0)</f>
        <v>9800</v>
      </c>
      <c r="J88" s="12">
        <f ca="1">(IF(I88=0,0,H88+I88))</f>
        <v>9800</v>
      </c>
      <c r="K88" s="21"/>
      <c r="Q88" s="18"/>
    </row>
    <row r="89" spans="1:17" ht="15">
      <c r="A89" t="s">
        <v>54</v>
      </c>
      <c r="B89" s="59">
        <f ca="1">B87/B88</f>
        <v>7.3469387755102047E-2</v>
      </c>
      <c r="C89" s="4"/>
      <c r="D89" t="s">
        <v>10</v>
      </c>
      <c r="E89" s="5">
        <f>F88</f>
        <v>125000</v>
      </c>
      <c r="F89" s="5">
        <f t="shared" si="5"/>
        <v>150000</v>
      </c>
      <c r="G89" s="7">
        <f t="shared" si="5"/>
        <v>0.12</v>
      </c>
      <c r="H89" s="12">
        <f>(F88-E88)*G88</f>
        <v>12500</v>
      </c>
      <c r="I89" s="46">
        <f ca="1">IF(AND(($B$18+$B$5+$B$67)&gt;=E89,($B$18+$B$5+$B$67)&lt;F89),($B$18+$B$5+$B$67-E89)*G89,0)</f>
        <v>0</v>
      </c>
      <c r="J89" s="12">
        <f t="shared" ref="J89:J92" ca="1" si="6">(IF(I89=0,0,H89+I89))</f>
        <v>0</v>
      </c>
      <c r="K89" s="21"/>
      <c r="Q89" s="18"/>
    </row>
    <row r="90" spans="1:17" ht="15">
      <c r="B90" s="37"/>
      <c r="C90" s="4"/>
      <c r="D90" t="s">
        <v>10</v>
      </c>
      <c r="E90" s="27">
        <f>F89</f>
        <v>150000</v>
      </c>
      <c r="F90" s="5">
        <f t="shared" si="5"/>
        <v>200000</v>
      </c>
      <c r="G90" s="7">
        <f t="shared" si="5"/>
        <v>0.13</v>
      </c>
      <c r="H90" s="12">
        <f>((F89-E89)*G89)+H89</f>
        <v>15500</v>
      </c>
      <c r="I90" s="46">
        <f ca="1">IF(AND(($B$18+$B$5+$B$67)&gt;=E90,($B$18+$B$5+$B$67)&lt;F90),($B$18+$B$5+$B$67-E90)*G90,0)</f>
        <v>0</v>
      </c>
      <c r="J90" s="12">
        <f t="shared" ca="1" si="6"/>
        <v>0</v>
      </c>
      <c r="K90" s="21"/>
      <c r="Q90" s="18"/>
    </row>
    <row r="91" spans="1:17" ht="15">
      <c r="A91" t="s">
        <v>68</v>
      </c>
      <c r="B91" s="37">
        <f ca="1">J95</f>
        <v>7954.9</v>
      </c>
      <c r="C91" s="4"/>
      <c r="D91" t="s">
        <v>10</v>
      </c>
      <c r="E91" s="5">
        <f>F90</f>
        <v>200000</v>
      </c>
      <c r="F91" s="5">
        <f t="shared" si="5"/>
        <v>300000</v>
      </c>
      <c r="G91" s="7">
        <f t="shared" si="5"/>
        <v>0.14000000000000001</v>
      </c>
      <c r="H91" s="12">
        <f>((F90-E90)*G90)+H90</f>
        <v>22000</v>
      </c>
      <c r="I91" s="46">
        <f ca="1">IF(AND(($B$18+$B$5+$B$67)&gt;=E91,($B$18+$B$5+$B$67)&lt;F91),($B$18+$B$5+$B$67-E91)*G91,0)</f>
        <v>0</v>
      </c>
      <c r="J91" s="12">
        <f ca="1">(IF(I91=0,0,H91+I91))</f>
        <v>0</v>
      </c>
      <c r="K91" s="21"/>
      <c r="Q91" s="18"/>
    </row>
    <row r="92" spans="1:17" ht="15">
      <c r="B92" s="37"/>
      <c r="C92" s="4"/>
      <c r="E92" s="5">
        <f>F91</f>
        <v>300000</v>
      </c>
      <c r="G92" s="7">
        <f>D36</f>
        <v>0.15</v>
      </c>
      <c r="H92" s="12">
        <f>((F91-E91)*G91)+H91</f>
        <v>36000</v>
      </c>
      <c r="I92" s="46">
        <f ca="1">IF(($B$18+$B$5+$B$67)&gt;=E92,($B$18+$B$5+$B$67-E92)*G92,0)</f>
        <v>0</v>
      </c>
      <c r="J92" s="54">
        <f t="shared" ca="1" si="6"/>
        <v>0</v>
      </c>
      <c r="K92" s="21"/>
      <c r="Q92" s="18"/>
    </row>
    <row r="93" spans="1:17">
      <c r="A93" t="s">
        <v>64</v>
      </c>
      <c r="B93" s="37">
        <f ca="1">B91*B89</f>
        <v>584.44163265306122</v>
      </c>
      <c r="C93" s="60" t="s">
        <v>28</v>
      </c>
      <c r="E93" s="13"/>
      <c r="F93" s="18"/>
      <c r="G93" s="4"/>
      <c r="H93" s="20"/>
      <c r="I93" s="47"/>
      <c r="J93" s="53">
        <f ca="1">SUM(J88:J92)</f>
        <v>9800</v>
      </c>
      <c r="K93" s="21"/>
      <c r="Q93" s="18"/>
    </row>
    <row r="94" spans="1:17">
      <c r="B94" s="37"/>
      <c r="C94" s="60"/>
      <c r="E94" s="13"/>
      <c r="F94" s="18"/>
      <c r="G94" s="63" t="s">
        <v>32</v>
      </c>
      <c r="H94" s="13">
        <f>B38</f>
        <v>18451</v>
      </c>
      <c r="I94" s="78">
        <f>D32</f>
        <v>0.1</v>
      </c>
      <c r="J94" s="54">
        <f ca="1">IF(($B$5+$B$18+$B$67)&lt;H94,($B$5+$B$18+$B$67)*I94,H94*I94)</f>
        <v>1845.1000000000001</v>
      </c>
      <c r="K94" s="21"/>
      <c r="Q94" s="18"/>
    </row>
    <row r="95" spans="1:17">
      <c r="A95" t="s">
        <v>65</v>
      </c>
      <c r="B95" s="37">
        <f>B81</f>
        <v>1200</v>
      </c>
      <c r="E95" s="36"/>
      <c r="F95" s="21"/>
      <c r="G95" s="4"/>
      <c r="H95" s="4"/>
      <c r="I95" s="47"/>
      <c r="J95" s="13">
        <f ca="1">IF((J93-J94)&lt;=0,0,J93-J94)</f>
        <v>7954.9</v>
      </c>
      <c r="K95" s="21"/>
    </row>
    <row r="96" spans="1:17">
      <c r="A96" t="s">
        <v>75</v>
      </c>
      <c r="B96" s="38">
        <f ca="1">-B83</f>
        <v>-1196.6271428571429</v>
      </c>
      <c r="C96" s="60"/>
      <c r="F96" s="39"/>
      <c r="G96" s="64"/>
      <c r="H96" s="18"/>
      <c r="I96" s="47"/>
      <c r="J96" s="49"/>
      <c r="K96" s="21"/>
    </row>
    <row r="97" spans="1:12">
      <c r="B97" s="37">
        <f ca="1">SUM(B95:B96)</f>
        <v>3.3728571428571286</v>
      </c>
      <c r="C97" s="60" t="s">
        <v>29</v>
      </c>
      <c r="G97" s="18"/>
      <c r="H97" s="18"/>
      <c r="I97" s="47"/>
      <c r="J97" s="12"/>
      <c r="K97" s="21"/>
    </row>
    <row r="98" spans="1:12">
      <c r="B98" s="37"/>
      <c r="C98" s="4"/>
      <c r="H98" s="18"/>
      <c r="I98" s="47"/>
      <c r="J98" s="53"/>
      <c r="K98" s="52"/>
      <c r="L98" s="16"/>
    </row>
    <row r="99" spans="1:12">
      <c r="A99" t="s">
        <v>69</v>
      </c>
      <c r="B99" s="62">
        <f ca="1">MIN(B93,B97)</f>
        <v>3.3728571428571286</v>
      </c>
      <c r="C99" s="60" t="s">
        <v>84</v>
      </c>
      <c r="I99" s="47"/>
      <c r="J99" s="21"/>
      <c r="K99" s="52"/>
      <c r="L99" s="16"/>
    </row>
    <row r="100" spans="1:12">
      <c r="B100" s="37"/>
      <c r="C100" s="4"/>
      <c r="I100" s="47"/>
      <c r="J100" s="21"/>
      <c r="K100" s="52"/>
      <c r="L100" s="16"/>
    </row>
    <row r="101" spans="1:12">
      <c r="A101" t="s">
        <v>83</v>
      </c>
      <c r="B101" s="62">
        <f ca="1">B81-B83-B99</f>
        <v>0</v>
      </c>
      <c r="C101" s="60" t="s">
        <v>85</v>
      </c>
      <c r="G101" s="18"/>
      <c r="H101" s="18"/>
      <c r="I101" s="47"/>
      <c r="J101" s="53"/>
      <c r="K101" s="52"/>
      <c r="L101" s="16"/>
    </row>
    <row r="102" spans="1:12">
      <c r="B102" s="37"/>
      <c r="C102" s="4"/>
      <c r="G102" s="18"/>
      <c r="H102" s="18"/>
      <c r="I102" s="47"/>
      <c r="J102" s="53"/>
      <c r="K102" s="52"/>
      <c r="L102" s="16"/>
    </row>
    <row r="103" spans="1:12">
      <c r="A103" s="2" t="s">
        <v>12</v>
      </c>
      <c r="G103" s="18"/>
      <c r="H103" s="49"/>
      <c r="I103" s="76"/>
      <c r="J103" s="49"/>
      <c r="K103" s="48"/>
      <c r="L103" s="16"/>
    </row>
    <row r="104" spans="1:12">
      <c r="B104" s="11"/>
      <c r="C104" t="s">
        <v>13</v>
      </c>
      <c r="G104" s="18"/>
      <c r="H104" s="49"/>
      <c r="I104" s="81"/>
      <c r="J104" s="49"/>
      <c r="K104" s="48"/>
      <c r="L104" s="16"/>
    </row>
    <row r="105" spans="1:12">
      <c r="B105" s="37"/>
      <c r="C105" s="4"/>
      <c r="H105" s="46"/>
      <c r="I105" s="47"/>
      <c r="J105" s="47"/>
      <c r="K105" s="47"/>
      <c r="L105" s="16"/>
    </row>
    <row r="106" spans="1:12">
      <c r="A106" t="s">
        <v>19</v>
      </c>
      <c r="B106" s="37">
        <f ca="1">IF(AND((B5+B67+B18)&gt;=B22,(B5+B67+B18)&lt;=C22),(B5+B67)*D22,IF(AND((B5+B67+B18)&gt;B23,(B5+B67+B18)&lt;=C23),IF((B5+B67+B18-B23)&gt;(B5+B67),(B5+B67)*D23,((B5+B67+B18-B23)*D23)+((B5+B67-(B5+B67+B18-B23))*D22)),IF(AND((B5+B67+B18)&gt;B24,(B5+B67+B18)&lt;=C24),IF((B5+B67+B18-B24)&gt;(B5+B67),(B5+B67)*D24,IF((B5+B67+B18-B23)&gt;(B5+B67),(((B5+B67+B18-B24)*D24)+((B5+B67-(B5+B67+B18-B24))*D23)),((B5+B67+B18-B24)*D24)+((C23-B23)*D23)+((B5+B67-(B5+B67+B18-B23))*D22))),IF(AND((B5+B67+B18)&gt;B25,(B5+B67+B18)&lt;=C25),IF((B5+B67+B18-B25)&gt;(B5+B67),(B5+B67)*D25,IF((B5+B67+B18-B24)&gt;(B5+B67),((B5+B67+B18-B25)*D25)+(((B5+B67-(B5+B67+B18-B25))*D24)),IF((B5+B67+B18-B23)&gt;(B5+B67),(((B5+B67+B18-B25)*D25)+((C24-B24)*D24)+((B5+B67-(B5+B67+B18-B24))*D23)),((B5+B67+B18-B25)*D25)+((C24-B24)*D24)+((C23-B23)*D23)+((B5+B67-(B5+B67+B18-B23))*D22)))),IF((B5+B67+B18)&gt;B26,IF((B5+B67+B18-B26)&gt;(B5+B67),(B5+B67)*D26,IF((B5+B67+B18-B25)&gt;(B5+B67),(((B5+B67+B18-B26)*D26)+((B5+B67-(B5+B67+B18-B26))*D25)),IF((B5+B67+B18-B24)&gt;(B5+B67),(((B5+B67+B18-B26)*D26)+((C25-B25)*D25)+((B5+B67-(B5+B67+B18-B25))*D24)),IF((B5+B67+B18-B23)&gt;(B5+B67),(((B5+B67+B18-B26)*D26)+((C25-B25)*D25)+((C24-B24)*D24)+((B5+B67-(B5+B67+B18-B24))*D23)),((B5+B67+B18-B26)*D26)+((C25-B25)*D25)+((C24-B24)*D24)+((C23-B23)*D23)+((B5+B67-(B5+B67+B18-B23))*D22))))))))))</f>
        <v>2049.0350000000003</v>
      </c>
      <c r="C106" t="s">
        <v>15</v>
      </c>
      <c r="G106" s="29"/>
      <c r="H106" s="47"/>
      <c r="I106" s="47"/>
      <c r="J106" s="47"/>
      <c r="K106" s="47"/>
      <c r="L106" s="13"/>
    </row>
    <row r="107" spans="1:12">
      <c r="B107" s="37">
        <f>-IF(B18&gt;=B28,0,IF(B18&lt;B28,IF((B18+B5+B67)&gt;B28,(B28-B18)*D22,((B5+B67)*D22))))</f>
        <v>0</v>
      </c>
      <c r="C107" t="s">
        <v>31</v>
      </c>
      <c r="G107" s="29"/>
      <c r="H107" s="77"/>
      <c r="I107" s="47"/>
      <c r="J107" s="49"/>
      <c r="K107" s="48"/>
      <c r="L107" s="16"/>
    </row>
    <row r="108" spans="1:12">
      <c r="B108" s="37">
        <f ca="1">-B53</f>
        <v>0</v>
      </c>
      <c r="C108" t="s">
        <v>46</v>
      </c>
      <c r="G108" s="29"/>
      <c r="H108" s="21"/>
      <c r="I108" s="53"/>
      <c r="J108" s="53"/>
      <c r="K108" s="52"/>
      <c r="L108" s="16"/>
    </row>
    <row r="109" spans="1:12">
      <c r="B109" s="37">
        <f ca="1">IF(B83=0,0,-MIN(B83,SUM(B106:B108)))</f>
        <v>-1196.6271428571429</v>
      </c>
      <c r="C109" t="s">
        <v>76</v>
      </c>
      <c r="G109" s="29"/>
      <c r="H109" s="21"/>
      <c r="I109" s="53"/>
      <c r="J109" s="53"/>
      <c r="K109" s="52"/>
      <c r="L109" s="16"/>
    </row>
    <row r="110" spans="1:12">
      <c r="B110" s="37">
        <f ca="1">IF(AND((B5+B67+B18)&gt;=B32,(B5+B67+B18)&lt;=C32),(B5+B67)*D32,IF(AND((B5+B67+B18)&gt;B33,(B5+B67+B18)&lt;=C33),IF((B5+B67+B18-B33)&gt;(B5+B67),(B5+B67)*D33,((B5+B67+B18-B33)*D33)+((B5+B67-(B5+B67+B18-B33))*D32)),IF(AND((B5+B67+B18)&gt;B34,(B5+B67+B18)&lt;=C34),IF((B5+B67+B18-B34)&gt;(B5+B67),(B5+B67)*D34,IF((B5+B67+B18-B33)&gt;(B5+B67),(((B5+B67+B18-B34)*D34)+((B5+B67-(B5+B67+B18-B34))*D33)),((B5+B67+B18-B34)*D34)+((C33-B33)*D33)+((B5+B67-(B5+B67+B18-B33))*D32))),IF(AND((B5+B67+B18)&gt;B35,(B5+B67+B18)&lt;=C35),IF((B5+B67+B18-B35)&gt;(B5+B67),(B5+B67)*D35,IF((B5+B67+B18-B34)&gt;(B5+B67),(((B5+B67+B18-B35)*D35)+((B5+B67-(B5+B67+B18-B35))*D34)),IF((B5+B67+B18-B33)&gt;(B5+B67),(((B5+B67+B18-B35)*D35)+((C34-B34)*D34)+((B5+B67-(B5+B67+B18-B34))*D33)),((B5+B67+B18-B35)*D35)+((C34-B34)*D34)+((C33-B33)*D33)+((B5+B67-(B5+B67+B18-B33))*D32)))),IF((B5+B67+B18)&gt;B36,IF((B5+B67+B18-B36)&gt;(B5+B67),(B5+B67)*D36,IF((B5+B67+B18-B35)&gt;(B5+B67),(((B5+B67+B18-B36)*D36)+((B5+B67-(B5+B67+B18-B36))*D35)),IF((B5+B67+B18-B34)&gt;(B5+B67),(((B5+B67+B18-B36)*D36)+((C35-B35)*D35)+((B5+B67-(B5+B67+B18-B35))*D34)),IF((B5+B67+B18-B33)&gt;(B5+B67),(((B5+B67+B18-B36)*D36)+((C35-B35)*D35)+((C34-B34)*D34)+((B5+B67-(B5+B67+B18-B34))*D33)),((B5+B67+B18-B36)*D36)+((C35-B35)*D35)+((C34-B34)*D34)+((C33-B33)*D33)+((B5+B67-(B5+B67+B18-B33))*D32))))))))))</f>
        <v>800</v>
      </c>
      <c r="C110" t="s">
        <v>16</v>
      </c>
      <c r="G110" s="29"/>
      <c r="H110" s="21"/>
      <c r="I110" s="53"/>
      <c r="J110" s="53"/>
      <c r="K110" s="21"/>
    </row>
    <row r="111" spans="1:12">
      <c r="B111" s="37">
        <f>-IF(B18&gt;=B38,0,IF(B18&lt;B38,IF((B18+B5+B67)&gt;B38,(B38-B18)*D32,((B5+B67)*D32))))</f>
        <v>0</v>
      </c>
      <c r="C111" t="s">
        <v>33</v>
      </c>
      <c r="G111" s="29"/>
      <c r="H111"/>
      <c r="I111" s="21"/>
      <c r="J111" s="53"/>
      <c r="K111" s="52"/>
      <c r="L111" s="13"/>
    </row>
    <row r="112" spans="1:12">
      <c r="B112" s="37">
        <f ca="1">-B58</f>
        <v>0</v>
      </c>
      <c r="C112" t="s">
        <v>48</v>
      </c>
      <c r="G112" s="29"/>
      <c r="H112"/>
      <c r="I112" s="21"/>
      <c r="J112" s="21"/>
      <c r="K112" s="21"/>
    </row>
    <row r="113" spans="1:17">
      <c r="B113" s="38">
        <f ca="1">IF(B99=0,0,-MIN(B99,SUM(B110,B111,B112)))</f>
        <v>-3.3728571428571286</v>
      </c>
      <c r="C113" t="s">
        <v>77</v>
      </c>
      <c r="G113" s="29"/>
      <c r="H113"/>
      <c r="I113" s="12"/>
      <c r="J113" s="53"/>
      <c r="K113" s="21"/>
      <c r="L113" s="13"/>
    </row>
    <row r="114" spans="1:17">
      <c r="A114" s="10" t="s">
        <v>21</v>
      </c>
      <c r="B114" s="79">
        <f ca="1">SUM(B106:B113)</f>
        <v>1649.0350000000003</v>
      </c>
      <c r="F114" s="47"/>
      <c r="I114" s="21"/>
      <c r="J114" s="21"/>
      <c r="K114" s="49"/>
      <c r="L114" s="48"/>
      <c r="M114" s="47"/>
    </row>
    <row r="115" spans="1:17">
      <c r="E115" s="18"/>
      <c r="F115" s="49"/>
      <c r="K115" s="47"/>
      <c r="L115" s="47"/>
      <c r="M115" s="47"/>
      <c r="Q115" s="15"/>
    </row>
    <row r="116" spans="1:17">
      <c r="B116" s="13"/>
      <c r="F116" s="47"/>
      <c r="K116" s="47"/>
      <c r="L116" s="47"/>
      <c r="M116" s="47"/>
    </row>
    <row r="117" spans="1:17">
      <c r="A117" s="19" t="s">
        <v>36</v>
      </c>
      <c r="B117" s="13"/>
      <c r="F117" s="47"/>
      <c r="K117" s="47"/>
      <c r="L117" s="47"/>
      <c r="M117" s="47"/>
    </row>
    <row r="118" spans="1:17">
      <c r="A118" t="s">
        <v>105</v>
      </c>
      <c r="B118" s="37">
        <f ca="1">SUM(B106:B109)</f>
        <v>852.40785714285744</v>
      </c>
      <c r="F118" s="47"/>
      <c r="K118" s="47"/>
      <c r="L118" s="47"/>
      <c r="M118" s="47"/>
    </row>
    <row r="119" spans="1:17">
      <c r="A119" t="s">
        <v>106</v>
      </c>
      <c r="B119" s="38">
        <f ca="1">SUM(B110:B113)</f>
        <v>796.62714285714287</v>
      </c>
      <c r="F119" s="47"/>
      <c r="K119" s="47"/>
      <c r="L119" s="47"/>
      <c r="M119" s="47"/>
    </row>
    <row r="120" spans="1:17">
      <c r="B120" s="37">
        <f ca="1">SUM(B118:B119)</f>
        <v>1649.0350000000003</v>
      </c>
      <c r="F120" s="47"/>
      <c r="K120" s="47"/>
      <c r="L120" s="47"/>
      <c r="M120" s="47"/>
    </row>
    <row r="121" spans="1:17">
      <c r="B121" s="13"/>
      <c r="F121" s="47"/>
      <c r="K121" s="47"/>
      <c r="L121" s="47"/>
      <c r="M121" s="47"/>
    </row>
    <row r="122" spans="1:17">
      <c r="B122" s="13"/>
      <c r="F122" s="47"/>
      <c r="K122" s="47"/>
      <c r="L122" s="47"/>
      <c r="M122" s="47"/>
    </row>
    <row r="123" spans="1:17">
      <c r="B123" s="13"/>
      <c r="F123" s="47"/>
      <c r="K123" s="47"/>
      <c r="L123" s="47"/>
      <c r="M123" s="47"/>
    </row>
    <row r="124" spans="1:17">
      <c r="B124" s="13"/>
      <c r="F124" s="47"/>
      <c r="K124" s="47"/>
      <c r="L124" s="47"/>
      <c r="M124" s="47"/>
    </row>
    <row r="125" spans="1:17">
      <c r="B125" s="15"/>
      <c r="F125" s="47"/>
      <c r="K125" s="49"/>
      <c r="L125" s="47"/>
      <c r="M125" s="49"/>
      <c r="N125" s="18"/>
    </row>
    <row r="126" spans="1:17">
      <c r="F126" s="47"/>
      <c r="K126" s="47"/>
      <c r="L126" s="47"/>
      <c r="M126" s="47"/>
    </row>
    <row r="127" spans="1:17">
      <c r="F127" s="47"/>
      <c r="K127" s="47"/>
      <c r="L127" s="47"/>
      <c r="M127" s="47"/>
    </row>
    <row r="128" spans="1:17">
      <c r="F128" s="47"/>
      <c r="G128" s="47"/>
      <c r="H128" s="46"/>
      <c r="I128" s="47"/>
      <c r="J128" s="47"/>
      <c r="K128" s="47"/>
      <c r="L128" s="47"/>
      <c r="M128" s="47"/>
    </row>
    <row r="129" spans="8:13">
      <c r="H129" s="12"/>
    </row>
    <row r="131" spans="8:13">
      <c r="H131" s="40"/>
      <c r="M131" s="22"/>
    </row>
  </sheetData>
  <dataValidations count="4">
    <dataValidation type="list" allowBlank="1" showInputMessage="1" showErrorMessage="1" sqref="B7">
      <formula1>$E$1:$E$2</formula1>
    </dataValidation>
    <dataValidation type="list" allowBlank="1" showInputMessage="1" showErrorMessage="1" sqref="B6">
      <formula1>$F$1:$F$2</formula1>
    </dataValidation>
    <dataValidation type="list" allowBlank="1" showInputMessage="1" showErrorMessage="1" sqref="B10">
      <formula1>$E$4:$E$5</formula1>
    </dataValidation>
    <dataValidation type="list" allowBlank="1" showInputMessage="1" showErrorMessage="1" sqref="B14">
      <formula1>$H$1:$H$18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opLeftCell="A6" zoomScale="85" zoomScaleNormal="85" zoomScalePageLayoutView="85" workbookViewId="0">
      <selection activeCell="B17" sqref="B17:D34"/>
    </sheetView>
  </sheetViews>
  <sheetFormatPr baseColWidth="10" defaultColWidth="8.83203125" defaultRowHeight="14" x14ac:dyDescent="0"/>
  <cols>
    <col min="1" max="1" width="39" customWidth="1"/>
    <col min="2" max="2" width="14.1640625" customWidth="1"/>
    <col min="3" max="3" width="11.6640625" customWidth="1"/>
    <col min="4" max="4" width="11.83203125" customWidth="1"/>
    <col min="5" max="5" width="10.5" bestFit="1" customWidth="1"/>
    <col min="6" max="7" width="10.5" customWidth="1"/>
    <col min="8" max="8" width="16.83203125" style="13" customWidth="1"/>
    <col min="9" max="9" width="11.6640625" bestFit="1" customWidth="1"/>
    <col min="10" max="10" width="13.5" bestFit="1" customWidth="1"/>
    <col min="11" max="11" width="12" bestFit="1" customWidth="1"/>
    <col min="12" max="12" width="11.33203125" bestFit="1" customWidth="1"/>
    <col min="13" max="13" width="12.33203125" bestFit="1" customWidth="1"/>
    <col min="17" max="17" width="9.5" bestFit="1" customWidth="1"/>
  </cols>
  <sheetData>
    <row r="1" spans="1:14">
      <c r="B1" s="1"/>
      <c r="C1" t="s">
        <v>0</v>
      </c>
      <c r="E1" t="s">
        <v>23</v>
      </c>
      <c r="F1" t="s">
        <v>27</v>
      </c>
      <c r="I1" s="30" t="s">
        <v>30</v>
      </c>
    </row>
    <row r="2" spans="1:14">
      <c r="A2" s="2" t="s">
        <v>1</v>
      </c>
      <c r="E2" t="s">
        <v>24</v>
      </c>
      <c r="F2" t="s">
        <v>26</v>
      </c>
      <c r="I2" s="30" t="s">
        <v>70</v>
      </c>
    </row>
    <row r="3" spans="1:14">
      <c r="A3" s="3" t="s">
        <v>89</v>
      </c>
      <c r="H3" s="46"/>
      <c r="I3" s="46"/>
      <c r="J3" s="49"/>
      <c r="K3" s="47"/>
      <c r="L3" s="21"/>
      <c r="M3" s="21"/>
      <c r="N3" s="21"/>
    </row>
    <row r="4" spans="1:14">
      <c r="E4" t="s">
        <v>55</v>
      </c>
      <c r="F4" t="s">
        <v>23</v>
      </c>
      <c r="H4" s="47"/>
      <c r="I4" s="46"/>
      <c r="J4" s="46"/>
      <c r="K4" s="49"/>
      <c r="L4" s="21"/>
      <c r="M4" s="21"/>
      <c r="N4" s="21"/>
    </row>
    <row r="5" spans="1:14">
      <c r="A5" t="s">
        <v>49</v>
      </c>
      <c r="B5" s="56">
        <v>2000</v>
      </c>
      <c r="E5" t="s">
        <v>56</v>
      </c>
      <c r="F5" t="s">
        <v>24</v>
      </c>
      <c r="H5" s="21"/>
      <c r="I5" s="37"/>
      <c r="J5" s="37"/>
      <c r="K5" s="37"/>
      <c r="L5" s="21"/>
      <c r="M5" s="21"/>
      <c r="N5" s="21"/>
    </row>
    <row r="6" spans="1:14">
      <c r="A6" s="28" t="s">
        <v>57</v>
      </c>
      <c r="B6" s="1" t="s">
        <v>55</v>
      </c>
      <c r="D6" s="47"/>
      <c r="E6" s="47"/>
      <c r="F6" s="46"/>
      <c r="G6" s="47"/>
      <c r="H6" s="76"/>
      <c r="I6" s="76"/>
      <c r="J6" s="80"/>
      <c r="K6" s="80"/>
      <c r="L6" s="80"/>
      <c r="M6" s="80"/>
      <c r="N6" s="21"/>
    </row>
    <row r="7" spans="1:14">
      <c r="A7" s="28" t="s">
        <v>58</v>
      </c>
      <c r="B7" s="1">
        <v>200</v>
      </c>
      <c r="D7" s="47"/>
      <c r="E7" s="47"/>
      <c r="F7" s="46"/>
      <c r="G7" s="47"/>
      <c r="H7" s="76"/>
      <c r="I7" s="76"/>
      <c r="J7" s="80"/>
      <c r="K7" s="80"/>
      <c r="L7" s="80"/>
      <c r="M7" s="80"/>
      <c r="N7" s="21"/>
    </row>
    <row r="8" spans="1:14" s="21" customFormat="1">
      <c r="A8" s="57"/>
      <c r="B8"/>
      <c r="D8" s="47"/>
      <c r="E8" s="47"/>
      <c r="F8" s="46"/>
      <c r="G8" s="47"/>
      <c r="H8" s="76"/>
      <c r="I8" s="76"/>
      <c r="J8" s="80"/>
      <c r="K8" s="80"/>
      <c r="L8" s="80"/>
      <c r="M8" s="80"/>
    </row>
    <row r="9" spans="1:14">
      <c r="A9" s="2" t="s">
        <v>4</v>
      </c>
      <c r="D9" s="47"/>
      <c r="E9" s="47"/>
      <c r="F9" s="46"/>
      <c r="G9" s="76"/>
      <c r="H9" s="76"/>
      <c r="I9" s="76"/>
      <c r="J9" s="39"/>
      <c r="K9" s="39"/>
      <c r="L9" s="47"/>
      <c r="M9" s="47"/>
      <c r="N9" s="21"/>
    </row>
    <row r="10" spans="1:14">
      <c r="A10" t="s">
        <v>5</v>
      </c>
      <c r="B10" s="1" t="s">
        <v>90</v>
      </c>
      <c r="D10" s="47"/>
      <c r="E10" s="47"/>
      <c r="F10" s="46"/>
      <c r="G10" s="47"/>
      <c r="H10" s="76"/>
      <c r="I10" s="76"/>
      <c r="J10" s="47"/>
      <c r="K10" s="47"/>
      <c r="L10" s="47"/>
      <c r="M10" s="47"/>
      <c r="N10" s="21"/>
    </row>
    <row r="11" spans="1:14">
      <c r="D11" s="47"/>
      <c r="E11" s="47"/>
      <c r="F11" s="47"/>
      <c r="G11" s="47"/>
      <c r="H11" s="76"/>
      <c r="I11" s="76"/>
      <c r="J11" s="47"/>
      <c r="K11" s="47"/>
      <c r="L11" s="47"/>
      <c r="M11" s="47"/>
      <c r="N11" s="21"/>
    </row>
    <row r="12" spans="1:14">
      <c r="D12" s="47"/>
      <c r="E12" s="47"/>
      <c r="F12" s="78"/>
      <c r="G12" s="47"/>
      <c r="H12" s="76"/>
      <c r="I12" s="76"/>
      <c r="J12" s="47"/>
      <c r="K12" s="47"/>
      <c r="L12" s="47"/>
      <c r="M12" s="47"/>
      <c r="N12" s="21"/>
    </row>
    <row r="13" spans="1:14">
      <c r="D13" s="47"/>
      <c r="E13" s="47"/>
      <c r="F13" s="47"/>
      <c r="G13" s="76"/>
      <c r="H13" s="76"/>
      <c r="I13" s="76"/>
      <c r="J13" s="47"/>
      <c r="K13" s="47"/>
      <c r="L13" s="47"/>
      <c r="M13" s="47"/>
      <c r="N13" s="21"/>
    </row>
    <row r="14" spans="1:14">
      <c r="A14" t="s">
        <v>6</v>
      </c>
      <c r="B14" s="1">
        <v>139000</v>
      </c>
      <c r="L14" s="21"/>
      <c r="M14" s="21"/>
      <c r="N14" s="21"/>
    </row>
    <row r="15" spans="1:14">
      <c r="A15" s="2" t="s">
        <v>7</v>
      </c>
      <c r="E15" s="21"/>
      <c r="F15" s="21"/>
      <c r="G15" s="21"/>
      <c r="H15" s="12"/>
    </row>
    <row r="16" spans="1:14">
      <c r="A16" s="3" t="s">
        <v>8</v>
      </c>
      <c r="E16" s="21"/>
      <c r="F16" s="21"/>
      <c r="G16" s="21"/>
      <c r="H16" s="12"/>
    </row>
    <row r="17" spans="1:14">
      <c r="B17" s="91" t="s">
        <v>20</v>
      </c>
      <c r="C17" s="21"/>
      <c r="D17" s="21"/>
      <c r="E17" s="21"/>
      <c r="F17" s="91"/>
      <c r="G17" s="21"/>
      <c r="H17" s="21"/>
    </row>
    <row r="18" spans="1:14" ht="15">
      <c r="A18" t="s">
        <v>9</v>
      </c>
      <c r="B18" s="52">
        <v>0</v>
      </c>
      <c r="C18" s="27">
        <v>45282</v>
      </c>
      <c r="D18" s="92">
        <v>0.15</v>
      </c>
      <c r="E18" s="21"/>
      <c r="F18" s="52"/>
      <c r="G18" s="27"/>
      <c r="H18" s="92"/>
      <c r="N18" s="6"/>
    </row>
    <row r="19" spans="1:14" ht="15">
      <c r="A19" t="s">
        <v>10</v>
      </c>
      <c r="B19" s="27">
        <f>C18</f>
        <v>45282</v>
      </c>
      <c r="C19" s="27">
        <v>90563</v>
      </c>
      <c r="D19" s="66">
        <v>0.20499999999999999</v>
      </c>
      <c r="E19" s="21"/>
      <c r="F19" s="27"/>
      <c r="G19" s="27"/>
      <c r="H19" s="66"/>
      <c r="N19" s="7"/>
    </row>
    <row r="20" spans="1:14" ht="15">
      <c r="A20" t="s">
        <v>10</v>
      </c>
      <c r="B20" s="27">
        <f>C19</f>
        <v>90563</v>
      </c>
      <c r="C20" s="27">
        <v>140388</v>
      </c>
      <c r="D20" s="66">
        <v>0.26</v>
      </c>
      <c r="E20" s="21"/>
      <c r="F20" s="27"/>
      <c r="G20" s="27"/>
      <c r="H20" s="66"/>
      <c r="N20" s="7"/>
    </row>
    <row r="21" spans="1:14" ht="15">
      <c r="A21" t="s">
        <v>10</v>
      </c>
      <c r="B21" s="27">
        <f>C20</f>
        <v>140388</v>
      </c>
      <c r="C21" s="27">
        <v>200000</v>
      </c>
      <c r="D21" s="66">
        <v>0.28999999999999998</v>
      </c>
      <c r="E21" s="21"/>
      <c r="F21" s="27"/>
      <c r="G21" s="27"/>
      <c r="H21" s="66"/>
      <c r="N21" s="7"/>
    </row>
    <row r="22" spans="1:14" ht="15">
      <c r="B22" s="27">
        <f>C21</f>
        <v>200000</v>
      </c>
      <c r="C22" s="21"/>
      <c r="D22" s="66">
        <v>0.33</v>
      </c>
      <c r="E22" s="21"/>
      <c r="F22" s="27"/>
      <c r="G22" s="21"/>
      <c r="H22" s="66"/>
      <c r="N22" s="7"/>
    </row>
    <row r="23" spans="1:14">
      <c r="B23" s="21"/>
      <c r="C23" s="91"/>
      <c r="D23" s="21"/>
      <c r="E23" s="21"/>
      <c r="F23" s="21"/>
      <c r="G23" s="21"/>
      <c r="H23" s="12"/>
    </row>
    <row r="24" spans="1:14" ht="15">
      <c r="A24" t="s">
        <v>35</v>
      </c>
      <c r="B24" s="27">
        <v>11474</v>
      </c>
      <c r="C24" s="27"/>
      <c r="D24" s="21"/>
      <c r="E24" s="21"/>
      <c r="F24" s="21"/>
      <c r="G24" s="52"/>
      <c r="H24" s="12"/>
    </row>
    <row r="25" spans="1:14">
      <c r="E25" s="21"/>
      <c r="F25" s="21"/>
      <c r="G25" s="21"/>
      <c r="H25" s="12"/>
    </row>
    <row r="26" spans="1:14">
      <c r="A26" s="3" t="s">
        <v>11</v>
      </c>
      <c r="E26" s="21"/>
      <c r="F26" s="21"/>
      <c r="G26" s="21"/>
      <c r="H26" s="12"/>
    </row>
    <row r="27" spans="1:14">
      <c r="A27" s="10" t="s">
        <v>90</v>
      </c>
      <c r="B27" s="91" t="s">
        <v>20</v>
      </c>
      <c r="C27" s="21"/>
      <c r="D27" s="21"/>
      <c r="E27" s="21"/>
      <c r="F27" s="91"/>
      <c r="G27" s="21"/>
      <c r="H27" s="21"/>
      <c r="I27" s="47"/>
      <c r="J27" s="32"/>
      <c r="K27" s="70"/>
    </row>
    <row r="28" spans="1:14" ht="15">
      <c r="A28" t="s">
        <v>9</v>
      </c>
      <c r="B28" s="21"/>
      <c r="C28" s="27">
        <v>125000</v>
      </c>
      <c r="D28" s="66">
        <v>0.1</v>
      </c>
      <c r="E28" s="21"/>
      <c r="F28" s="21"/>
      <c r="G28" s="27"/>
      <c r="H28" s="66"/>
      <c r="I28" s="47"/>
      <c r="J28" s="66"/>
      <c r="K28" s="21"/>
    </row>
    <row r="29" spans="1:14" ht="15">
      <c r="A29" t="s">
        <v>10</v>
      </c>
      <c r="B29" s="27">
        <f>C28</f>
        <v>125000</v>
      </c>
      <c r="C29" s="27">
        <v>150000</v>
      </c>
      <c r="D29" s="66">
        <v>0.12</v>
      </c>
      <c r="E29" s="21"/>
      <c r="F29" s="27"/>
      <c r="G29" s="27"/>
      <c r="H29" s="66"/>
      <c r="I29" s="47"/>
      <c r="J29" s="71"/>
      <c r="K29" s="53"/>
      <c r="L29" s="15"/>
    </row>
    <row r="30" spans="1:14" ht="15">
      <c r="A30" t="s">
        <v>10</v>
      </c>
      <c r="B30" s="27">
        <f>C29</f>
        <v>150000</v>
      </c>
      <c r="C30" s="27">
        <v>200000</v>
      </c>
      <c r="D30" s="66">
        <v>0.13</v>
      </c>
      <c r="E30" s="21"/>
      <c r="F30" s="27"/>
      <c r="G30" s="27"/>
      <c r="H30" s="66"/>
      <c r="I30" s="47"/>
      <c r="J30" s="71"/>
      <c r="K30" s="52"/>
      <c r="L30" s="13"/>
      <c r="N30" s="18"/>
    </row>
    <row r="31" spans="1:14" ht="15">
      <c r="A31" t="s">
        <v>10</v>
      </c>
      <c r="B31" s="27">
        <f>C30</f>
        <v>200000</v>
      </c>
      <c r="C31" s="27">
        <v>300000</v>
      </c>
      <c r="D31" s="66">
        <v>0.14000000000000001</v>
      </c>
      <c r="E31" s="21"/>
      <c r="F31" s="27"/>
      <c r="G31" s="27"/>
      <c r="H31" s="66"/>
      <c r="I31" s="47"/>
      <c r="J31" s="71"/>
      <c r="K31" s="52"/>
      <c r="L31" s="13"/>
      <c r="N31" s="4"/>
    </row>
    <row r="32" spans="1:14" ht="15">
      <c r="B32" s="27">
        <f>C31</f>
        <v>300000</v>
      </c>
      <c r="C32" s="21"/>
      <c r="D32" s="66">
        <v>0.15</v>
      </c>
      <c r="E32" s="21"/>
      <c r="F32" s="27"/>
      <c r="G32" s="21"/>
      <c r="H32" s="66"/>
      <c r="I32" s="47"/>
      <c r="J32" s="71"/>
      <c r="K32" s="52"/>
      <c r="L32" s="13"/>
    </row>
    <row r="33" spans="1:17">
      <c r="B33" s="21"/>
      <c r="C33" s="91"/>
      <c r="D33" s="21"/>
      <c r="E33" s="21"/>
      <c r="F33" s="21"/>
      <c r="G33" s="21"/>
      <c r="H33" s="45"/>
      <c r="I33" s="47"/>
      <c r="J33" s="72"/>
      <c r="K33" s="20"/>
      <c r="L33" s="26"/>
    </row>
    <row r="34" spans="1:17" ht="15">
      <c r="A34" t="s">
        <v>33</v>
      </c>
      <c r="B34" s="27">
        <v>18451</v>
      </c>
      <c r="C34" s="27"/>
      <c r="D34" s="21"/>
      <c r="H34" s="41"/>
      <c r="I34" s="47"/>
      <c r="J34" s="72"/>
      <c r="K34" s="20"/>
      <c r="L34" s="26"/>
    </row>
    <row r="35" spans="1:17">
      <c r="B35" s="4"/>
      <c r="C35" s="4"/>
      <c r="D35" t="s">
        <v>34</v>
      </c>
      <c r="E35" s="13"/>
      <c r="F35" s="44"/>
      <c r="H35" s="16"/>
      <c r="I35" s="47"/>
      <c r="J35" s="21"/>
      <c r="K35" s="21"/>
    </row>
    <row r="36" spans="1:17">
      <c r="B36" s="37"/>
      <c r="C36" s="4"/>
      <c r="I36" s="47"/>
      <c r="J36" s="21"/>
      <c r="K36" s="21"/>
      <c r="Q36" s="18"/>
    </row>
    <row r="37" spans="1:17">
      <c r="A37" s="3" t="s">
        <v>50</v>
      </c>
      <c r="B37" s="37"/>
      <c r="C37" s="4"/>
      <c r="I37" s="47"/>
      <c r="J37" s="21"/>
      <c r="K37" s="21"/>
      <c r="Q37" s="18"/>
    </row>
    <row r="38" spans="1:17">
      <c r="B38" s="37"/>
      <c r="C38" s="4"/>
      <c r="I38" s="47"/>
      <c r="J38" s="21"/>
      <c r="K38" s="21"/>
      <c r="Q38" s="18"/>
    </row>
    <row r="39" spans="1:17">
      <c r="A39" s="19" t="s">
        <v>51</v>
      </c>
      <c r="B39" s="37"/>
      <c r="C39" s="4"/>
      <c r="H39" s="12"/>
      <c r="I39" s="47"/>
      <c r="J39" s="21"/>
      <c r="K39" s="21"/>
      <c r="Q39" s="18"/>
    </row>
    <row r="40" spans="1:17">
      <c r="A40" t="s">
        <v>71</v>
      </c>
      <c r="B40" s="37">
        <f>$B$5</f>
        <v>2000</v>
      </c>
      <c r="C40" s="60" t="s">
        <v>28</v>
      </c>
      <c r="D40" s="19" t="s">
        <v>52</v>
      </c>
      <c r="E40" s="13"/>
      <c r="F40" s="18"/>
      <c r="G40" s="4"/>
      <c r="H40" s="67" t="s">
        <v>62</v>
      </c>
      <c r="I40" s="47" t="s">
        <v>61</v>
      </c>
      <c r="J40" s="73" t="s">
        <v>63</v>
      </c>
      <c r="K40" s="21"/>
      <c r="Q40" s="18"/>
    </row>
    <row r="41" spans="1:17" ht="15">
      <c r="A41" t="s">
        <v>72</v>
      </c>
      <c r="B41" s="37">
        <f>IF($B$6="US",-IF(($B$7/$B$5)&gt;15%,$B$7-($B$5*15%),0),0)</f>
        <v>0</v>
      </c>
      <c r="C41" s="60" t="s">
        <v>29</v>
      </c>
      <c r="D41" t="s">
        <v>9</v>
      </c>
      <c r="E41" s="4">
        <v>0</v>
      </c>
      <c r="F41" s="5">
        <f t="shared" ref="F41:G44" si="0">C18</f>
        <v>45282</v>
      </c>
      <c r="G41" s="6">
        <f t="shared" si="0"/>
        <v>0.15</v>
      </c>
      <c r="H41" s="12">
        <v>0</v>
      </c>
      <c r="I41" s="12">
        <f ca="1">IF(AND(($B$14+$B$5+$B$44)&gt;=E41,($B$14+$B$5+$B$44)&lt;F41),($B$14+$B$5+$B$44-E41)*G41,0)</f>
        <v>0</v>
      </c>
      <c r="J41" s="12">
        <f ca="1">(IF(I41=0,0,H41+I41))</f>
        <v>0</v>
      </c>
      <c r="K41" s="21"/>
      <c r="Q41" s="18"/>
    </row>
    <row r="42" spans="1:17" ht="15">
      <c r="A42" t="s">
        <v>73</v>
      </c>
      <c r="B42" s="37">
        <f>IF($B$6="non-US",-IF(($B$7/$B$5)&gt;15%,$B$7-($B$5*15%),0),0)</f>
        <v>0</v>
      </c>
      <c r="C42" s="4"/>
      <c r="D42" t="s">
        <v>10</v>
      </c>
      <c r="E42" s="5">
        <f>F41</f>
        <v>45282</v>
      </c>
      <c r="F42" s="5">
        <f t="shared" si="0"/>
        <v>90563</v>
      </c>
      <c r="G42" s="6">
        <f t="shared" si="0"/>
        <v>0.20499999999999999</v>
      </c>
      <c r="H42" s="12">
        <f>(F41-E41)*G41</f>
        <v>6792.3</v>
      </c>
      <c r="I42" s="12">
        <f ca="1">IF(AND(($B$14+$B$5+$B$44)&gt;=E42,($B$14+$B$5+$B$44)&lt;F42),($B$14+$B$5+$B$44-E42)*G42,0)</f>
        <v>0</v>
      </c>
      <c r="J42" s="12">
        <f t="shared" ref="J42:J45" ca="1" si="1">(IF(I42=0,0,H42+I42))</f>
        <v>0</v>
      </c>
      <c r="K42" s="21"/>
      <c r="Q42" s="18"/>
    </row>
    <row r="43" spans="1:17" ht="15">
      <c r="A43" t="s">
        <v>78</v>
      </c>
      <c r="B43" s="38">
        <f ca="1">-B78</f>
        <v>0</v>
      </c>
      <c r="C43" s="4"/>
      <c r="D43" t="s">
        <v>10</v>
      </c>
      <c r="E43" s="5">
        <f>F42</f>
        <v>90563</v>
      </c>
      <c r="F43" s="5">
        <f t="shared" si="0"/>
        <v>140388</v>
      </c>
      <c r="G43" s="6">
        <f t="shared" si="0"/>
        <v>0.26</v>
      </c>
      <c r="H43" s="12">
        <f>((F42-E42)*G42)+H42</f>
        <v>16074.904999999999</v>
      </c>
      <c r="I43" s="12">
        <f ca="1">IF(AND(($B$14+$B$5+$B$44)&gt;=E43,($B$14+$B$5+$B$44)&lt;F43),($B$14+$B$5+$B$44-E43)*G43,0)</f>
        <v>0</v>
      </c>
      <c r="J43" s="12">
        <f t="shared" ca="1" si="1"/>
        <v>0</v>
      </c>
      <c r="K43" s="21"/>
      <c r="Q43" s="18"/>
    </row>
    <row r="44" spans="1:17" ht="15">
      <c r="A44" t="s">
        <v>80</v>
      </c>
      <c r="B44" s="38">
        <f ca="1">SUM(B42:B43)</f>
        <v>0</v>
      </c>
      <c r="C44" s="60" t="s">
        <v>79</v>
      </c>
      <c r="D44" t="s">
        <v>10</v>
      </c>
      <c r="E44" s="5">
        <f>F43</f>
        <v>140388</v>
      </c>
      <c r="F44" s="5">
        <f t="shared" si="0"/>
        <v>200000</v>
      </c>
      <c r="G44" s="6">
        <f t="shared" si="0"/>
        <v>0.28999999999999998</v>
      </c>
      <c r="H44" s="12">
        <f>((F43-E43)*G43)+H43</f>
        <v>29029.404999999999</v>
      </c>
      <c r="I44" s="12">
        <f ca="1">IF(AND(($B$14+$B$5+$B$44)&gt;=E44,($B$14+$B$5+$B$44)&lt;F44),($B$14+$B$5+$B$44-E44)*G44,0)</f>
        <v>177.48</v>
      </c>
      <c r="J44" s="12">
        <f t="shared" ca="1" si="1"/>
        <v>29206.884999999998</v>
      </c>
      <c r="K44" s="21"/>
      <c r="Q44" s="18"/>
    </row>
    <row r="45" spans="1:17" ht="15">
      <c r="A45" t="s">
        <v>53</v>
      </c>
      <c r="B45" s="37">
        <f ca="1">B40+B41+B44</f>
        <v>2000</v>
      </c>
      <c r="C45" s="60" t="s">
        <v>81</v>
      </c>
      <c r="E45" s="5">
        <f>F44</f>
        <v>200000</v>
      </c>
      <c r="G45" s="6">
        <f>D22</f>
        <v>0.33</v>
      </c>
      <c r="H45" s="12">
        <f>((F44-E44)*G44)+H44</f>
        <v>46316.884999999995</v>
      </c>
      <c r="I45" s="12">
        <f ca="1">IF(($B$14+$B$5+$B$44)&gt;=E45,($B$14+$B$5+$B$44-E45)*G45,0)</f>
        <v>0</v>
      </c>
      <c r="J45" s="54">
        <f t="shared" ca="1" si="1"/>
        <v>0</v>
      </c>
      <c r="K45" s="21"/>
      <c r="Q45" s="18"/>
    </row>
    <row r="46" spans="1:17">
      <c r="B46" s="37"/>
      <c r="C46" s="4"/>
      <c r="E46" s="13"/>
      <c r="F46" s="18"/>
      <c r="G46" s="4"/>
      <c r="H46" s="16"/>
      <c r="I46" s="47"/>
      <c r="J46" s="12">
        <f ca="1">SUM(J41:J45)</f>
        <v>29206.884999999998</v>
      </c>
      <c r="K46" s="21"/>
      <c r="Q46" s="18"/>
    </row>
    <row r="47" spans="1:17">
      <c r="A47" t="s">
        <v>6</v>
      </c>
      <c r="B47" s="39">
        <f>$B$5+$B$14</f>
        <v>141000</v>
      </c>
      <c r="C47" s="60" t="s">
        <v>28</v>
      </c>
      <c r="G47" s="63" t="s">
        <v>32</v>
      </c>
      <c r="H47" s="13">
        <f>B24</f>
        <v>11474</v>
      </c>
      <c r="I47" s="78">
        <f>D18</f>
        <v>0.15</v>
      </c>
      <c r="J47" s="54">
        <f ca="1">IF(($B$5+$B$14+B44)&lt;H47,($B$5+$B$14+B44)*I47,H47*I47)</f>
        <v>1721.1</v>
      </c>
      <c r="K47" s="21"/>
      <c r="Q47" s="18"/>
    </row>
    <row r="48" spans="1:17">
      <c r="A48" t="s">
        <v>73</v>
      </c>
      <c r="B48" s="39">
        <f>IF($B$6="non-US",-IF(($B$7/$B$5)&gt;15%,$B$7-($B$5*15%),0),0)</f>
        <v>0</v>
      </c>
      <c r="C48" s="4"/>
      <c r="G48" s="63"/>
      <c r="I48" s="47"/>
      <c r="J48" s="13">
        <f ca="1">IF((J46-J47)&lt;=0,0,J46-J47)</f>
        <v>27485.785</v>
      </c>
      <c r="K48" s="21"/>
      <c r="Q48" s="18"/>
    </row>
    <row r="49" spans="1:17">
      <c r="A49" t="s">
        <v>78</v>
      </c>
      <c r="B49" s="38">
        <f ca="1">B43</f>
        <v>0</v>
      </c>
      <c r="C49" s="4"/>
      <c r="G49" s="63"/>
      <c r="I49" s="47"/>
      <c r="J49" s="46"/>
      <c r="K49" s="21"/>
      <c r="Q49" s="18"/>
    </row>
    <row r="50" spans="1:17">
      <c r="A50" t="s">
        <v>80</v>
      </c>
      <c r="B50" s="38">
        <f ca="1">SUM(B48:B49)</f>
        <v>0</v>
      </c>
      <c r="C50" s="60" t="s">
        <v>29</v>
      </c>
      <c r="E50" s="13"/>
      <c r="F50" s="18"/>
      <c r="I50" s="47"/>
      <c r="J50" s="21"/>
      <c r="K50" s="21"/>
      <c r="Q50" s="18"/>
    </row>
    <row r="51" spans="1:17">
      <c r="A51" t="s">
        <v>74</v>
      </c>
      <c r="B51" s="37">
        <f ca="1">B47+B50</f>
        <v>141000</v>
      </c>
      <c r="C51" s="60" t="s">
        <v>82</v>
      </c>
      <c r="I51" s="47"/>
      <c r="J51" s="21"/>
      <c r="K51" s="21"/>
      <c r="Q51" s="18"/>
    </row>
    <row r="52" spans="1:17">
      <c r="B52" s="37"/>
      <c r="C52" s="4"/>
      <c r="I52" s="47"/>
      <c r="J52" s="21"/>
      <c r="K52" s="21"/>
      <c r="Q52" s="18"/>
    </row>
    <row r="53" spans="1:17">
      <c r="A53" t="s">
        <v>54</v>
      </c>
      <c r="B53" s="59">
        <f ca="1">B45/B51</f>
        <v>1.4184397163120567E-2</v>
      </c>
      <c r="C53" s="4"/>
      <c r="I53" s="47"/>
      <c r="J53" s="21"/>
      <c r="K53" s="21"/>
      <c r="Q53" s="18"/>
    </row>
    <row r="54" spans="1:17">
      <c r="B54" s="37"/>
      <c r="C54" s="4"/>
      <c r="I54" s="47"/>
      <c r="J54" s="21"/>
      <c r="K54" s="21"/>
      <c r="Q54" s="18"/>
    </row>
    <row r="55" spans="1:17">
      <c r="A55" t="s">
        <v>52</v>
      </c>
      <c r="B55" s="37">
        <f ca="1">J48</f>
        <v>27485.785</v>
      </c>
      <c r="C55" s="4"/>
      <c r="I55" s="47"/>
      <c r="J55" s="21"/>
      <c r="K55" s="21"/>
      <c r="Q55" s="18"/>
    </row>
    <row r="56" spans="1:17">
      <c r="B56" s="37"/>
      <c r="C56" s="4"/>
      <c r="E56" s="65"/>
      <c r="F56" s="39"/>
      <c r="G56" s="4"/>
      <c r="H56" s="61"/>
      <c r="I56" s="47"/>
      <c r="J56" s="73"/>
      <c r="K56" s="21"/>
      <c r="Q56" s="18"/>
    </row>
    <row r="57" spans="1:17" ht="15">
      <c r="A57" t="s">
        <v>64</v>
      </c>
      <c r="B57" s="37">
        <f ca="1">B55*B53</f>
        <v>389.86929078014185</v>
      </c>
      <c r="C57" s="60" t="s">
        <v>28</v>
      </c>
      <c r="E57" s="4"/>
      <c r="G57" s="6"/>
      <c r="H57" s="39"/>
      <c r="I57" s="47"/>
      <c r="J57" s="39"/>
      <c r="K57" s="21"/>
      <c r="Q57" s="18"/>
    </row>
    <row r="58" spans="1:17" ht="15">
      <c r="A58" t="s">
        <v>65</v>
      </c>
      <c r="B58" s="37">
        <f>MIN($B$7,$B$5*15%)</f>
        <v>200</v>
      </c>
      <c r="C58" s="60" t="s">
        <v>29</v>
      </c>
      <c r="E58" s="5"/>
      <c r="G58" s="7"/>
      <c r="H58" s="39"/>
      <c r="I58" s="47"/>
      <c r="J58" s="39"/>
      <c r="K58" s="21"/>
      <c r="Q58" s="18"/>
    </row>
    <row r="59" spans="1:17" ht="15">
      <c r="B59" s="37"/>
      <c r="C59" s="4"/>
      <c r="E59" s="5"/>
      <c r="G59" s="7"/>
      <c r="H59" s="39"/>
      <c r="I59" s="47"/>
      <c r="J59" s="39"/>
      <c r="K59" s="21"/>
      <c r="Q59" s="18"/>
    </row>
    <row r="60" spans="1:17" ht="15">
      <c r="A60" t="s">
        <v>66</v>
      </c>
      <c r="B60" s="62">
        <f ca="1">MIN(B57,B58)</f>
        <v>200</v>
      </c>
      <c r="C60" s="60" t="s">
        <v>84</v>
      </c>
      <c r="E60" s="5"/>
      <c r="G60" s="7"/>
      <c r="H60" s="39"/>
      <c r="I60" s="47"/>
      <c r="J60" s="39"/>
      <c r="K60" s="21"/>
      <c r="Q60" s="18"/>
    </row>
    <row r="61" spans="1:17" ht="15">
      <c r="B61" s="62"/>
      <c r="C61" s="4"/>
      <c r="E61" s="5"/>
      <c r="F61" s="5"/>
      <c r="G61" s="7"/>
      <c r="H61" s="39"/>
      <c r="I61" s="47"/>
      <c r="J61" s="39"/>
      <c r="K61" s="21"/>
      <c r="Q61" s="18"/>
    </row>
    <row r="62" spans="1:17" ht="15">
      <c r="B62" s="62"/>
      <c r="C62" s="4"/>
      <c r="E62" s="13"/>
      <c r="F62" s="5"/>
      <c r="G62" s="4"/>
      <c r="H62" s="16"/>
      <c r="I62" s="47"/>
      <c r="J62" s="39"/>
      <c r="K62" s="21"/>
      <c r="Q62" s="18"/>
    </row>
    <row r="63" spans="1:17">
      <c r="A63" s="19" t="s">
        <v>67</v>
      </c>
      <c r="B63" s="37"/>
      <c r="C63" s="4"/>
      <c r="H63" s="12"/>
      <c r="I63" s="47"/>
      <c r="J63" s="21"/>
      <c r="K63" s="21"/>
      <c r="L63" s="19"/>
      <c r="Q63" s="18"/>
    </row>
    <row r="64" spans="1:17">
      <c r="A64" t="s">
        <v>53</v>
      </c>
      <c r="B64" s="37">
        <f ca="1">B45</f>
        <v>2000</v>
      </c>
      <c r="C64" s="4"/>
      <c r="D64" s="19" t="s">
        <v>68</v>
      </c>
      <c r="E64" s="13"/>
      <c r="F64" s="18"/>
      <c r="G64" s="4"/>
      <c r="H64" s="67" t="s">
        <v>62</v>
      </c>
      <c r="I64" s="47" t="s">
        <v>61</v>
      </c>
      <c r="J64" s="73" t="s">
        <v>63</v>
      </c>
      <c r="K64" s="53"/>
      <c r="Q64" s="18"/>
    </row>
    <row r="65" spans="1:17" ht="15">
      <c r="A65" t="s">
        <v>22</v>
      </c>
      <c r="B65" s="39">
        <f ca="1">B51</f>
        <v>141000</v>
      </c>
      <c r="C65" s="4"/>
      <c r="D65" t="s">
        <v>9</v>
      </c>
      <c r="E65">
        <v>0</v>
      </c>
      <c r="F65" s="5">
        <f t="shared" ref="F65:G68" si="2">C28</f>
        <v>125000</v>
      </c>
      <c r="G65" s="7">
        <f t="shared" si="2"/>
        <v>0.1</v>
      </c>
      <c r="H65" s="12">
        <v>0</v>
      </c>
      <c r="I65" s="46">
        <f ca="1">IF(AND(($B$14+$B$5+$B$44)&gt;=E65,($B$14+$B$5+$B$44)&lt;F65),($B$14+$B$5+$B$44-E65)*G65,0)</f>
        <v>0</v>
      </c>
      <c r="J65" s="12">
        <f ca="1">(IF(I65=0,0,H65+I65))</f>
        <v>0</v>
      </c>
      <c r="K65" s="21"/>
      <c r="Q65" s="18"/>
    </row>
    <row r="66" spans="1:17" ht="15">
      <c r="A66" t="s">
        <v>54</v>
      </c>
      <c r="B66" s="59">
        <f ca="1">B64/B65</f>
        <v>1.4184397163120567E-2</v>
      </c>
      <c r="C66" s="4"/>
      <c r="D66" t="s">
        <v>10</v>
      </c>
      <c r="E66" s="5">
        <f>F65</f>
        <v>125000</v>
      </c>
      <c r="F66" s="5">
        <f t="shared" si="2"/>
        <v>150000</v>
      </c>
      <c r="G66" s="7">
        <f t="shared" si="2"/>
        <v>0.12</v>
      </c>
      <c r="H66" s="12">
        <f>(F65-E65)*G65</f>
        <v>12500</v>
      </c>
      <c r="I66" s="46">
        <f ca="1">IF(AND(($B$14+$B$5+$B$44)&gt;=E66,($B$14+$B$5+$B$44)&lt;F66),($B$14+$B$5+$B$44-E66)*G66,0)</f>
        <v>1920</v>
      </c>
      <c r="J66" s="12">
        <f t="shared" ref="J66:J69" ca="1" si="3">(IF(I66=0,0,H66+I66))</f>
        <v>14420</v>
      </c>
      <c r="K66" s="21"/>
      <c r="Q66" s="18"/>
    </row>
    <row r="67" spans="1:17" ht="15">
      <c r="B67" s="37"/>
      <c r="C67" s="4"/>
      <c r="D67" t="s">
        <v>10</v>
      </c>
      <c r="E67" s="27">
        <f>F66</f>
        <v>150000</v>
      </c>
      <c r="F67" s="5">
        <f t="shared" si="2"/>
        <v>200000</v>
      </c>
      <c r="G67" s="7">
        <f t="shared" si="2"/>
        <v>0.13</v>
      </c>
      <c r="H67" s="12">
        <f>((F66-E66)*G66)+H66</f>
        <v>15500</v>
      </c>
      <c r="I67" s="46">
        <f ca="1">IF(AND(($B$14+$B$5+$B$44)&gt;=E67,($B$14+$B$5+$B$44)&lt;F67),($B$14+$B$5+$B$44-E67)*G67,0)</f>
        <v>0</v>
      </c>
      <c r="J67" s="12">
        <f t="shared" ca="1" si="3"/>
        <v>0</v>
      </c>
      <c r="K67" s="21"/>
      <c r="Q67" s="18"/>
    </row>
    <row r="68" spans="1:17" ht="15">
      <c r="A68" t="s">
        <v>68</v>
      </c>
      <c r="B68" s="37">
        <f ca="1">J72</f>
        <v>12574.9</v>
      </c>
      <c r="C68" s="4"/>
      <c r="D68" t="s">
        <v>10</v>
      </c>
      <c r="E68" s="5">
        <f>F67</f>
        <v>200000</v>
      </c>
      <c r="F68" s="5">
        <f t="shared" si="2"/>
        <v>300000</v>
      </c>
      <c r="G68" s="7">
        <f t="shared" si="2"/>
        <v>0.14000000000000001</v>
      </c>
      <c r="H68" s="12">
        <f>((F67-E67)*G67)+H67</f>
        <v>22000</v>
      </c>
      <c r="I68" s="46">
        <f ca="1">IF(AND(($B$14+$B$5+$B$44)&gt;=E68,($B$14+$B$5+$B$44)&lt;F68),($B$14+$B$5+$B$44-E68)*G68,0)</f>
        <v>0</v>
      </c>
      <c r="J68" s="12">
        <f ca="1">(IF(I68=0,0,H68+I68))</f>
        <v>0</v>
      </c>
      <c r="K68" s="21"/>
      <c r="Q68" s="18"/>
    </row>
    <row r="69" spans="1:17" ht="15">
      <c r="B69" s="37"/>
      <c r="C69" s="4"/>
      <c r="E69" s="5">
        <f>F68</f>
        <v>300000</v>
      </c>
      <c r="G69" s="7">
        <f>D32</f>
        <v>0.15</v>
      </c>
      <c r="H69" s="12">
        <f>((F68-E68)*G68)+H68</f>
        <v>36000</v>
      </c>
      <c r="I69" s="46">
        <f ca="1">IF(($B$14+$B$5+$B$44)&gt;=E69,($B$14+$B$5+$B$44-E69)*G69,0)</f>
        <v>0</v>
      </c>
      <c r="J69" s="54">
        <f t="shared" ca="1" si="3"/>
        <v>0</v>
      </c>
      <c r="K69" s="21"/>
      <c r="Q69" s="18"/>
    </row>
    <row r="70" spans="1:17">
      <c r="A70" t="s">
        <v>64</v>
      </c>
      <c r="B70" s="37">
        <f ca="1">B68*B66</f>
        <v>178.36737588652483</v>
      </c>
      <c r="C70" s="60" t="s">
        <v>28</v>
      </c>
      <c r="E70" s="13"/>
      <c r="F70" s="18"/>
      <c r="G70" s="4"/>
      <c r="H70" s="20"/>
      <c r="I70" s="47"/>
      <c r="J70" s="53">
        <f ca="1">SUM(J65:J69)</f>
        <v>14420</v>
      </c>
      <c r="K70" s="21"/>
      <c r="Q70" s="18"/>
    </row>
    <row r="71" spans="1:17">
      <c r="B71" s="37"/>
      <c r="C71" s="60"/>
      <c r="E71" s="13"/>
      <c r="F71" s="18"/>
      <c r="G71" s="63" t="s">
        <v>32</v>
      </c>
      <c r="H71" s="13">
        <f>B34</f>
        <v>18451</v>
      </c>
      <c r="I71" s="78">
        <f>D28</f>
        <v>0.1</v>
      </c>
      <c r="J71" s="54">
        <f ca="1">IF(($B$5+$B$14+$B$44)&lt;H71,($B$5+$B$14+$B$44)*I71,H71*I71)</f>
        <v>1845.1000000000001</v>
      </c>
      <c r="K71" s="21"/>
      <c r="Q71" s="18"/>
    </row>
    <row r="72" spans="1:17">
      <c r="A72" t="s">
        <v>65</v>
      </c>
      <c r="B72" s="37">
        <f>B58</f>
        <v>200</v>
      </c>
      <c r="E72" s="36"/>
      <c r="F72" s="21"/>
      <c r="G72" s="4"/>
      <c r="H72" s="4"/>
      <c r="I72" s="47"/>
      <c r="J72" s="13">
        <f ca="1">IF((J70-J71)&lt;=0,0,J70-J71)</f>
        <v>12574.9</v>
      </c>
      <c r="K72" s="21"/>
    </row>
    <row r="73" spans="1:17">
      <c r="A73" t="s">
        <v>75</v>
      </c>
      <c r="B73" s="38">
        <f ca="1">-B60</f>
        <v>-200</v>
      </c>
      <c r="C73" s="60"/>
      <c r="F73" s="39"/>
      <c r="G73" s="64"/>
      <c r="H73" s="18"/>
      <c r="I73" s="47"/>
      <c r="J73" s="49"/>
      <c r="K73" s="21"/>
    </row>
    <row r="74" spans="1:17">
      <c r="B74" s="37">
        <f ca="1">SUM(B72:B73)</f>
        <v>0</v>
      </c>
      <c r="C74" s="60" t="s">
        <v>29</v>
      </c>
      <c r="G74" s="18"/>
      <c r="H74" s="18"/>
      <c r="I74" s="47"/>
      <c r="J74" s="12"/>
      <c r="K74" s="21"/>
    </row>
    <row r="75" spans="1:17">
      <c r="B75" s="37"/>
      <c r="C75" s="4"/>
      <c r="H75" s="18"/>
      <c r="I75" s="47"/>
      <c r="J75" s="53"/>
      <c r="K75" s="52"/>
      <c r="L75" s="16"/>
    </row>
    <row r="76" spans="1:17">
      <c r="A76" t="s">
        <v>69</v>
      </c>
      <c r="B76" s="62">
        <f ca="1">MIN(B70,B74)</f>
        <v>0</v>
      </c>
      <c r="C76" s="60" t="s">
        <v>84</v>
      </c>
      <c r="I76" s="47"/>
      <c r="J76" s="21"/>
      <c r="K76" s="52"/>
      <c r="L76" s="16"/>
    </row>
    <row r="77" spans="1:17">
      <c r="B77" s="37"/>
      <c r="C77" s="4"/>
      <c r="I77" s="47"/>
      <c r="J77" s="21"/>
      <c r="K77" s="52"/>
      <c r="L77" s="16"/>
    </row>
    <row r="78" spans="1:17">
      <c r="A78" t="s">
        <v>83</v>
      </c>
      <c r="B78" s="62">
        <f ca="1">B58-B60-B76</f>
        <v>0</v>
      </c>
      <c r="C78" s="60" t="s">
        <v>85</v>
      </c>
      <c r="G78" s="18"/>
      <c r="H78" s="18"/>
      <c r="I78" s="47"/>
      <c r="J78" s="53"/>
      <c r="K78" s="52"/>
      <c r="L78" s="16"/>
    </row>
    <row r="79" spans="1:17">
      <c r="B79" s="37"/>
      <c r="C79" s="4"/>
      <c r="G79" s="18"/>
      <c r="H79" s="18"/>
      <c r="I79" s="47"/>
      <c r="J79" s="53"/>
      <c r="K79" s="52"/>
      <c r="L79" s="16"/>
    </row>
    <row r="80" spans="1:17">
      <c r="A80" s="2" t="s">
        <v>12</v>
      </c>
      <c r="G80" s="18"/>
      <c r="H80" s="49"/>
      <c r="I80" s="76"/>
      <c r="J80" s="49"/>
      <c r="K80" s="48"/>
      <c r="L80" s="16"/>
    </row>
    <row r="81" spans="1:17">
      <c r="B81" s="11"/>
      <c r="C81" t="s">
        <v>13</v>
      </c>
      <c r="G81" s="18"/>
      <c r="H81" s="49"/>
      <c r="I81" s="81"/>
      <c r="J81" s="49"/>
      <c r="K81" s="48"/>
      <c r="L81" s="16"/>
    </row>
    <row r="82" spans="1:17">
      <c r="B82" s="37"/>
      <c r="C82" s="4"/>
      <c r="H82" s="46"/>
      <c r="I82" s="47"/>
      <c r="J82" s="47"/>
      <c r="K82" s="47"/>
      <c r="L82" s="16"/>
    </row>
    <row r="83" spans="1:17">
      <c r="A83" t="s">
        <v>19</v>
      </c>
      <c r="B83" s="37">
        <f ca="1">IF(AND((B5+B44+B14)&gt;=B18,(B5+B44+B14)&lt;=C18),(B5+B44)*D18,IF(AND((B5+B44+B14)&gt;B19,(B5+B44+B14)&lt;=C19),IF((B5+B44+B14-B19)&gt;(B5+B44),(B5+B44)*D19,((B5+B44+B14-B19)*D19)+((B5+B44-(B5+B44+B14-B19))*D18)),IF(AND((B5+B44+B14)&gt;B20,(B5+B44+B14)&lt;=C20),IF((B5+B44+B14-B20)&gt;(B5+B44),(B5+B44)*D20,IF((B5+B44+B14-B19)&gt;(B5+B44),(((B5+B44+B14-B20)*D20)+((B5+B44-(B5+B44+B14-B20))*D19)),((B5+B44+B14-B20)*D20)+((C19-B19)*D19)+((B5+B44-(B5+B44+B14-B19))*D18))),IF(AND((B5+B44+B14)&gt;B21,(B5+B44+B14)&lt;=C21),IF((B5+B44+B14-B21)&gt;(B5+B44),(B5+B44)*D21,IF((B5+B44+B14-B20)&gt;(B5+B44),((B5+B44+B14-B21)*D21)+(((B5+B44-(B5+B44+B14-B21))*D20)),IF((B5+B44+B14-B19)&gt;(B5+B44),(((B5+B44+B14-B21)*D21)+((C20-B20)*D20)+((B5+B44-(B5+B44+B14-B20))*D19)),((B5+B44+B14-B21)*D21)+((C20-B20)*D20)+((C19-B19)*D19)+((B5+B44-(B5+B44+B14-B19))*D18)))),IF((B5+B44+B14)&gt;B22,IF((B5+B44+B14-B22)&gt;(B5+B44),(B5+B44)*D22,IF((B5+B44+B14-B21)&gt;(B5+B44),(((B5+B44+B14-B22)*D22)+((B5+B44-(B5+B44+B14-B22))*D21)),IF((B5+B44+B14-B20)&gt;(B5+B44),(((B5+B44+B14-B22)*D22)+((C21-B21)*D21)+((B5+B44-(B5+B44+B14-B21))*D20)),IF((B5+B44+B14-B19)&gt;(B5+B44),(((B5+B44+B14-B22)*D22)+((C21-B21)*D21)+((C20-B20)*D20)+((B5+B44-(B5+B44+B14-B20))*D19)),((B5+B44+B14-B22)*D22)+((C21-B21)*D21)+((C20-B20)*D20)+((C19-B19)*D19)+((B5+B44-(B5+B44+B14-B19))*D18))))))))))</f>
        <v>538.36</v>
      </c>
      <c r="C83" t="s">
        <v>15</v>
      </c>
      <c r="G83" s="29"/>
      <c r="H83" s="47"/>
      <c r="I83" s="47"/>
      <c r="J83" s="47"/>
      <c r="K83" s="47"/>
      <c r="L83" s="13"/>
    </row>
    <row r="84" spans="1:17">
      <c r="B84" s="37">
        <f>-IF(B14&gt;=B24,0,IF(B14&lt;B24,IF((B14+B5+B44)&gt;B24,(B24-B14)*D18,((B5+B44)*D18))))</f>
        <v>0</v>
      </c>
      <c r="C84" t="s">
        <v>31</v>
      </c>
      <c r="G84" s="29"/>
      <c r="H84" s="77"/>
      <c r="I84" s="47"/>
      <c r="J84" s="49"/>
      <c r="K84" s="48"/>
      <c r="L84" s="16"/>
    </row>
    <row r="85" spans="1:17">
      <c r="B85" s="37">
        <f ca="1">IF(B60=0,0,-MIN(B60,SUM(B83:B84)))</f>
        <v>-200</v>
      </c>
      <c r="C85" t="s">
        <v>76</v>
      </c>
      <c r="G85" s="29"/>
      <c r="H85" s="21"/>
      <c r="I85" s="53"/>
      <c r="J85" s="53"/>
      <c r="K85" s="52"/>
      <c r="L85" s="16"/>
    </row>
    <row r="86" spans="1:17">
      <c r="B86" s="37">
        <f ca="1">IF(AND((B5+B44+B14)&gt;=B28,(B5+B44+B14)&lt;=C28),(B5+B44)*D28,IF(AND((B5+B44+B14)&gt;B29,(B5+B44+B14)&lt;=C29),IF((B5+B44+B14-B29)&gt;(B5+B44),(B5+B44)*D29,((B5+B44+B14-B29)*D29)+((B5+B44-(B5+B44+B14-B29))*D28)),IF(AND((B5+B44+B14)&gt;B30,(B5+B44+B14)&lt;=C30),IF((B5+B44+B14-B30)&gt;(B5+B44),(B5+B44)*D30,IF((B5+B44+B14-B29)&gt;(B5+B44),(((B5+B44+B14-B30)*D30)+((B5+B44-(B5+B44+B14-B30))*D29)),((B5+B44+B14-B30)*D30)+((C29-B29)*D29)+((B5+B44-(B5+B44+B14-B29))*D28))),IF(AND((B5+B44+B14)&gt;B31,(B5+B44+B14)&lt;=C31),IF((B5+B44+B14-B31)&gt;(B5+B44),(B5+B44)*D31,IF((B5+B44+B14-B30)&gt;(B5+B44),(((B5+B44+B14-B31)*D31)+((B5+B44-(B5+B44+B14-B31))*D30)),IF((B5+B44+B14-B29)&gt;(B5+B44),(((B5+B44+B14-B31)*D31)+((C30-B30)*D30)+((B5+B44-(B5+B44+B14-B30))*D29)),((B5+B44+B14-B31)*D31)+((C30-B30)*D30)+((C29-B29)*D29)+((B5+B44-(B5+B44+B14-B29))*D28)))),IF((B5+B44+B14)&gt;B32,IF((B5+B44+B14-B32)&gt;(B5+B44),(B5+B44)*D32,IF((B5+B44+B14-B31)&gt;(B5+B44),(((B5+B44+B14-B32)*D32)+((B5+B44-(B5+B44+B14-B32))*D31)),IF((B5+B44+B14-B30)&gt;(B5+B44),(((B5+B44+B14-B32)*D32)+((C31-B31)*D31)+((B5+B44-(B5+B44+B14-B31))*D30)),IF((B5+B44+B14-B29)&gt;(B5+B44),(((B5+B44+B14-B32)*D32)+((C31-B31)*D31)+((C30-B30)*D30)+((B5+B44-(B5+B44+B14-B30))*D29)),((B5+B44+B14-B32)*D32)+((C31-B31)*D31)+((C30-B30)*D30)+((C29-B29)*D29)+((B5+B44-(B5+B44+B14-B29))*D28))))))))))</f>
        <v>240</v>
      </c>
      <c r="C86" t="s">
        <v>16</v>
      </c>
      <c r="G86" s="29"/>
      <c r="H86" s="21"/>
      <c r="I86" s="53"/>
      <c r="J86" s="53"/>
      <c r="K86" s="21"/>
    </row>
    <row r="87" spans="1:17">
      <c r="B87" s="37">
        <f>-IF(B14&gt;=B34,0,IF(B14&lt;B34,IF((B14+B5+B44)&gt;B34,(B34-B14)*D28,((B5+B44)*D28))))</f>
        <v>0</v>
      </c>
      <c r="C87" t="s">
        <v>33</v>
      </c>
      <c r="G87" s="29"/>
      <c r="H87"/>
      <c r="I87" s="21"/>
      <c r="J87" s="53"/>
      <c r="K87" s="52"/>
      <c r="L87" s="13"/>
    </row>
    <row r="88" spans="1:17">
      <c r="B88" s="38">
        <f ca="1">IF(B76=0,0,-MIN(B76,SUM(B86,B87)))</f>
        <v>0</v>
      </c>
      <c r="C88" t="s">
        <v>77</v>
      </c>
      <c r="G88" s="29"/>
      <c r="H88"/>
      <c r="I88" s="12"/>
      <c r="J88" s="53"/>
      <c r="K88" s="21"/>
      <c r="L88" s="13"/>
    </row>
    <row r="89" spans="1:17">
      <c r="A89" s="10" t="s">
        <v>21</v>
      </c>
      <c r="B89" s="79">
        <f ca="1">SUM(B83:B88)</f>
        <v>578.36</v>
      </c>
      <c r="F89" s="47"/>
      <c r="I89" s="21"/>
      <c r="J89" s="21"/>
      <c r="K89" s="49"/>
      <c r="L89" s="48"/>
      <c r="M89" s="47"/>
    </row>
    <row r="90" spans="1:17">
      <c r="E90" s="18"/>
      <c r="F90" s="49"/>
      <c r="K90" s="47"/>
      <c r="L90" s="47"/>
      <c r="M90" s="47"/>
      <c r="Q90" s="15"/>
    </row>
    <row r="91" spans="1:17">
      <c r="B91" s="13"/>
      <c r="F91" s="47"/>
      <c r="K91" s="47"/>
      <c r="L91" s="47"/>
      <c r="M91" s="47"/>
    </row>
    <row r="92" spans="1:17">
      <c r="A92" s="19" t="s">
        <v>36</v>
      </c>
      <c r="B92" s="13"/>
      <c r="F92" s="47"/>
      <c r="K92" s="47"/>
      <c r="L92" s="47"/>
      <c r="M92" s="47"/>
    </row>
    <row r="93" spans="1:17">
      <c r="A93" t="s">
        <v>105</v>
      </c>
      <c r="B93" s="37">
        <f ca="1">SUM(B83:B85)</f>
        <v>338.36</v>
      </c>
      <c r="F93" s="47"/>
      <c r="K93" s="47"/>
      <c r="L93" s="47"/>
      <c r="M93" s="47"/>
    </row>
    <row r="94" spans="1:17">
      <c r="A94" t="s">
        <v>106</v>
      </c>
      <c r="B94" s="38">
        <f ca="1">SUM(B86:B88)</f>
        <v>240</v>
      </c>
      <c r="F94" s="47"/>
      <c r="K94" s="47"/>
      <c r="L94" s="47"/>
      <c r="M94" s="47"/>
    </row>
    <row r="95" spans="1:17">
      <c r="B95" s="37">
        <f ca="1">SUM(B93:B94)</f>
        <v>578.36</v>
      </c>
      <c r="F95" s="47"/>
      <c r="K95" s="47"/>
      <c r="L95" s="47"/>
      <c r="M95" s="47"/>
    </row>
    <row r="96" spans="1:17">
      <c r="B96" s="13"/>
      <c r="F96" s="47"/>
      <c r="K96" s="47"/>
      <c r="L96" s="47"/>
      <c r="M96" s="47"/>
    </row>
    <row r="97" spans="2:14">
      <c r="B97" s="13"/>
      <c r="F97" s="47"/>
      <c r="K97" s="47"/>
      <c r="L97" s="47"/>
      <c r="M97" s="47"/>
    </row>
    <row r="98" spans="2:14">
      <c r="B98" s="13"/>
      <c r="F98" s="47"/>
      <c r="K98" s="47"/>
      <c r="L98" s="47"/>
      <c r="M98" s="47"/>
    </row>
    <row r="99" spans="2:14">
      <c r="B99" s="13"/>
      <c r="F99" s="47"/>
      <c r="K99" s="47"/>
      <c r="L99" s="47"/>
      <c r="M99" s="47"/>
    </row>
    <row r="100" spans="2:14">
      <c r="B100" s="15"/>
      <c r="F100" s="47"/>
      <c r="K100" s="49"/>
      <c r="L100" s="47"/>
      <c r="M100" s="49"/>
      <c r="N100" s="18"/>
    </row>
    <row r="101" spans="2:14">
      <c r="F101" s="47"/>
      <c r="K101" s="47"/>
      <c r="L101" s="47"/>
      <c r="M101" s="47"/>
    </row>
    <row r="102" spans="2:14">
      <c r="F102" s="47"/>
      <c r="K102" s="47"/>
      <c r="L102" s="47"/>
      <c r="M102" s="47"/>
    </row>
    <row r="103" spans="2:14">
      <c r="F103" s="47"/>
      <c r="G103" s="47"/>
      <c r="H103" s="46"/>
      <c r="I103" s="47"/>
      <c r="J103" s="47"/>
      <c r="K103" s="47"/>
      <c r="L103" s="47"/>
      <c r="M103" s="47"/>
    </row>
    <row r="104" spans="2:14">
      <c r="H104" s="12"/>
    </row>
    <row r="106" spans="2:14">
      <c r="H106" s="40"/>
      <c r="M106" s="22"/>
    </row>
  </sheetData>
  <dataValidations count="2">
    <dataValidation type="list" allowBlank="1" showInputMessage="1" showErrorMessage="1" sqref="B6">
      <formula1>$E$4:$E$5</formula1>
    </dataValidation>
    <dataValidation type="list" allowBlank="1" showInputMessage="1" showErrorMessage="1" sqref="B10">
      <formula1>$H$1:$H$18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zoomScale="85" zoomScaleNormal="85" zoomScalePageLayoutView="85" workbookViewId="0">
      <selection activeCell="A29" sqref="A29"/>
    </sheetView>
  </sheetViews>
  <sheetFormatPr baseColWidth="10" defaultColWidth="8.83203125" defaultRowHeight="14" x14ac:dyDescent="0"/>
  <cols>
    <col min="1" max="1" width="33.6640625" customWidth="1"/>
    <col min="2" max="2" width="16" customWidth="1"/>
    <col min="3" max="3" width="14.6640625" customWidth="1"/>
    <col min="4" max="4" width="11.33203125" customWidth="1"/>
    <col min="5" max="5" width="10.5" bestFit="1" customWidth="1"/>
    <col min="6" max="7" width="10.5" customWidth="1"/>
    <col min="8" max="8" width="16.83203125" style="13" customWidth="1"/>
    <col min="9" max="9" width="14" customWidth="1"/>
    <col min="10" max="10" width="12.83203125" bestFit="1" customWidth="1"/>
    <col min="11" max="11" width="12" bestFit="1" customWidth="1"/>
    <col min="12" max="12" width="10.1640625" bestFit="1" customWidth="1"/>
    <col min="13" max="13" width="12.33203125" bestFit="1" customWidth="1"/>
    <col min="17" max="17" width="9.5" bestFit="1" customWidth="1"/>
  </cols>
  <sheetData>
    <row r="1" spans="1:16">
      <c r="B1" s="1"/>
      <c r="C1" t="s">
        <v>0</v>
      </c>
    </row>
    <row r="2" spans="1:16">
      <c r="A2" s="2" t="s">
        <v>1</v>
      </c>
      <c r="E2" s="68"/>
      <c r="F2" s="21"/>
      <c r="G2" s="21"/>
      <c r="H2" s="12"/>
      <c r="I2" s="21"/>
      <c r="J2" s="21"/>
      <c r="K2" s="21"/>
      <c r="L2" s="21"/>
      <c r="M2" s="21"/>
      <c r="N2" s="21"/>
      <c r="O2" s="21"/>
      <c r="P2" s="21"/>
    </row>
    <row r="3" spans="1:16">
      <c r="A3" s="3" t="s">
        <v>95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>
      <c r="A4" t="s">
        <v>96</v>
      </c>
      <c r="B4" s="1">
        <v>1000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>
      <c r="E5" s="21"/>
      <c r="F5" s="21"/>
      <c r="G5" s="12"/>
      <c r="H5" s="21"/>
      <c r="I5" s="21"/>
      <c r="J5" s="21"/>
      <c r="K5" s="21"/>
      <c r="L5" s="21"/>
      <c r="M5" s="21"/>
      <c r="N5" s="21"/>
      <c r="O5" s="21"/>
      <c r="P5" s="21"/>
    </row>
    <row r="6" spans="1:16">
      <c r="E6" s="21"/>
      <c r="F6" s="21"/>
      <c r="G6" s="21"/>
      <c r="H6" s="12"/>
      <c r="I6" s="21"/>
      <c r="J6" s="21"/>
      <c r="K6" s="21"/>
      <c r="L6" s="21"/>
      <c r="M6" s="21"/>
      <c r="N6" s="21"/>
      <c r="O6" s="21"/>
      <c r="P6" s="21"/>
    </row>
    <row r="7" spans="1:16">
      <c r="A7" s="2" t="s">
        <v>4</v>
      </c>
      <c r="E7" s="21"/>
      <c r="F7" s="21"/>
      <c r="G7" s="21"/>
      <c r="H7" s="12"/>
      <c r="I7" s="31"/>
      <c r="J7" s="21"/>
      <c r="K7" s="21"/>
      <c r="L7" s="21"/>
      <c r="M7" s="21"/>
      <c r="N7" s="21"/>
      <c r="O7" s="21"/>
      <c r="P7" s="21"/>
    </row>
    <row r="8" spans="1:16">
      <c r="A8" t="s">
        <v>5</v>
      </c>
      <c r="B8" s="1" t="s">
        <v>90</v>
      </c>
      <c r="E8" s="21"/>
      <c r="F8" s="21"/>
      <c r="G8" s="21"/>
      <c r="H8" s="12"/>
      <c r="I8" s="21"/>
      <c r="J8" s="21"/>
      <c r="K8" s="21"/>
      <c r="L8" s="21"/>
      <c r="M8" s="21"/>
      <c r="N8" s="21"/>
      <c r="O8" s="21"/>
      <c r="P8" s="21"/>
    </row>
    <row r="9" spans="1:16">
      <c r="E9" s="21"/>
      <c r="F9" s="21"/>
      <c r="G9" s="21"/>
      <c r="H9" s="12"/>
      <c r="I9" s="21"/>
      <c r="J9" s="21"/>
      <c r="K9" s="21"/>
      <c r="L9" s="21"/>
      <c r="M9" s="21"/>
      <c r="N9" s="21"/>
      <c r="O9" s="21"/>
      <c r="P9" s="21"/>
    </row>
    <row r="10" spans="1:16">
      <c r="E10" s="21"/>
      <c r="F10" s="47"/>
      <c r="G10" s="47"/>
      <c r="H10" s="12"/>
      <c r="I10" s="21"/>
      <c r="J10" s="21"/>
      <c r="K10" s="21"/>
      <c r="L10" s="21"/>
      <c r="M10" s="21"/>
      <c r="N10" s="21"/>
      <c r="O10" s="21"/>
      <c r="P10" s="21"/>
    </row>
    <row r="11" spans="1:16">
      <c r="E11" s="21"/>
      <c r="F11" s="21"/>
      <c r="G11" s="21"/>
      <c r="H11" s="45"/>
      <c r="I11" s="21"/>
      <c r="J11" s="21"/>
      <c r="K11" s="21"/>
      <c r="L11" s="21"/>
      <c r="M11" s="21"/>
      <c r="N11" s="21"/>
      <c r="O11" s="21"/>
      <c r="P11" s="21"/>
    </row>
    <row r="12" spans="1:16">
      <c r="A12" t="s">
        <v>6</v>
      </c>
      <c r="B12" s="1">
        <v>139000</v>
      </c>
    </row>
    <row r="15" spans="1:16">
      <c r="A15" s="2" t="s">
        <v>7</v>
      </c>
    </row>
    <row r="16" spans="1:16">
      <c r="A16" s="3" t="s">
        <v>8</v>
      </c>
      <c r="E16" s="21"/>
      <c r="F16" s="21"/>
      <c r="G16" s="21"/>
      <c r="H16" s="12"/>
    </row>
    <row r="17" spans="1:14">
      <c r="B17" s="91" t="s">
        <v>20</v>
      </c>
      <c r="C17" s="21"/>
      <c r="D17" s="21"/>
      <c r="E17" s="21"/>
      <c r="F17" s="91"/>
      <c r="G17" s="21"/>
      <c r="H17" s="21"/>
    </row>
    <row r="18" spans="1:14" ht="15">
      <c r="A18" t="s">
        <v>9</v>
      </c>
      <c r="B18" s="52">
        <v>0</v>
      </c>
      <c r="C18" s="27">
        <v>45282</v>
      </c>
      <c r="D18" s="92">
        <v>0.15</v>
      </c>
      <c r="E18" s="21"/>
      <c r="F18" s="52"/>
      <c r="G18" s="27"/>
      <c r="H18" s="92"/>
      <c r="I18" s="5"/>
      <c r="J18" s="6"/>
      <c r="K18" s="6"/>
      <c r="L18" s="4"/>
      <c r="M18" s="5"/>
      <c r="N18" s="6"/>
    </row>
    <row r="19" spans="1:14" ht="15">
      <c r="A19" t="s">
        <v>10</v>
      </c>
      <c r="B19" s="27">
        <f>C18</f>
        <v>45282</v>
      </c>
      <c r="C19" s="27">
        <v>90563</v>
      </c>
      <c r="D19" s="66">
        <v>0.20499999999999999</v>
      </c>
      <c r="E19" s="21"/>
      <c r="F19" s="27"/>
      <c r="G19" s="27"/>
      <c r="H19" s="66"/>
      <c r="I19" s="5"/>
      <c r="J19" s="7"/>
      <c r="K19" s="7"/>
      <c r="L19" s="5"/>
      <c r="M19" s="5"/>
      <c r="N19" s="7"/>
    </row>
    <row r="20" spans="1:14" ht="15">
      <c r="A20" t="s">
        <v>10</v>
      </c>
      <c r="B20" s="27">
        <f>C19</f>
        <v>90563</v>
      </c>
      <c r="C20" s="27">
        <v>140388</v>
      </c>
      <c r="D20" s="66">
        <v>0.26</v>
      </c>
      <c r="E20" s="21"/>
      <c r="F20" s="27"/>
      <c r="G20" s="27"/>
      <c r="H20" s="66"/>
      <c r="I20" s="5"/>
      <c r="J20" s="7"/>
      <c r="K20" s="7"/>
      <c r="L20" s="5"/>
      <c r="M20" s="5"/>
      <c r="N20" s="7"/>
    </row>
    <row r="21" spans="1:14" ht="15">
      <c r="A21" t="s">
        <v>10</v>
      </c>
      <c r="B21" s="27">
        <f>C20</f>
        <v>140388</v>
      </c>
      <c r="C21" s="27">
        <v>200000</v>
      </c>
      <c r="D21" s="66">
        <v>0.28999999999999998</v>
      </c>
      <c r="E21" s="21"/>
      <c r="F21" s="27"/>
      <c r="G21" s="27"/>
      <c r="H21" s="66"/>
      <c r="I21" s="23"/>
      <c r="J21" s="7"/>
      <c r="K21" s="7"/>
      <c r="L21" s="5"/>
      <c r="M21" s="5"/>
      <c r="N21" s="7"/>
    </row>
    <row r="22" spans="1:14" ht="15">
      <c r="B22" s="27">
        <f>C21</f>
        <v>200000</v>
      </c>
      <c r="C22" s="21"/>
      <c r="D22" s="66">
        <v>0.33</v>
      </c>
      <c r="E22" s="21"/>
      <c r="F22" s="27"/>
      <c r="G22" s="21"/>
      <c r="H22" s="66"/>
      <c r="I22" s="4"/>
      <c r="J22" s="7"/>
      <c r="K22" s="7"/>
      <c r="L22" s="5"/>
      <c r="N22" s="7"/>
    </row>
    <row r="23" spans="1:14">
      <c r="B23" s="21"/>
      <c r="C23" s="91"/>
      <c r="D23" s="21"/>
      <c r="E23" s="21"/>
      <c r="F23" s="21"/>
      <c r="G23" s="21"/>
      <c r="H23" s="12"/>
    </row>
    <row r="24" spans="1:14" ht="15">
      <c r="A24" t="s">
        <v>35</v>
      </c>
      <c r="B24" s="27">
        <v>11474</v>
      </c>
      <c r="C24" s="27"/>
      <c r="D24" s="21"/>
      <c r="E24" s="21"/>
      <c r="F24" s="21"/>
      <c r="G24" s="52"/>
      <c r="H24" s="12"/>
    </row>
    <row r="25" spans="1:14">
      <c r="E25" s="21"/>
      <c r="F25" s="21"/>
      <c r="G25" s="21"/>
      <c r="H25" s="12"/>
      <c r="J25" s="9"/>
    </row>
    <row r="26" spans="1:14">
      <c r="A26" s="3" t="s">
        <v>11</v>
      </c>
      <c r="E26" s="21"/>
      <c r="F26" s="21"/>
      <c r="G26" s="21"/>
      <c r="H26" s="12"/>
    </row>
    <row r="27" spans="1:14">
      <c r="A27" s="10" t="s">
        <v>90</v>
      </c>
      <c r="B27" s="91" t="s">
        <v>20</v>
      </c>
      <c r="C27" s="21"/>
      <c r="D27" s="21"/>
      <c r="E27" s="21"/>
      <c r="F27" s="91"/>
      <c r="G27" s="21"/>
      <c r="H27" s="21"/>
      <c r="I27" s="25"/>
      <c r="J27" s="10"/>
      <c r="K27" s="25"/>
    </row>
    <row r="28" spans="1:14" ht="15">
      <c r="A28" t="s">
        <v>9</v>
      </c>
      <c r="B28" s="21"/>
      <c r="C28" s="27">
        <v>125000</v>
      </c>
      <c r="D28" s="66">
        <v>0.1</v>
      </c>
      <c r="E28" s="21"/>
      <c r="F28" s="21"/>
      <c r="G28" s="27"/>
      <c r="H28" s="66"/>
      <c r="I28" s="5"/>
      <c r="J28" s="7"/>
    </row>
    <row r="29" spans="1:14" ht="15">
      <c r="A29" t="s">
        <v>10</v>
      </c>
      <c r="B29" s="27">
        <f>C28</f>
        <v>125000</v>
      </c>
      <c r="C29" s="27">
        <v>150000</v>
      </c>
      <c r="D29" s="66">
        <v>0.12</v>
      </c>
      <c r="E29" s="21"/>
      <c r="F29" s="27"/>
      <c r="G29" s="27"/>
      <c r="H29" s="66"/>
      <c r="I29" s="5"/>
      <c r="J29" s="24"/>
      <c r="K29" s="18"/>
      <c r="L29" s="15"/>
    </row>
    <row r="30" spans="1:14" ht="15">
      <c r="A30" t="s">
        <v>10</v>
      </c>
      <c r="B30" s="27">
        <f>C29</f>
        <v>150000</v>
      </c>
      <c r="C30" s="27">
        <v>200000</v>
      </c>
      <c r="D30" s="66">
        <v>0.13</v>
      </c>
      <c r="E30" s="21"/>
      <c r="F30" s="27"/>
      <c r="G30" s="27"/>
      <c r="H30" s="66"/>
      <c r="I30" s="4"/>
      <c r="J30" s="24"/>
      <c r="K30" s="4"/>
      <c r="L30" s="13"/>
      <c r="N30" s="18"/>
    </row>
    <row r="31" spans="1:14" ht="15">
      <c r="A31" t="s">
        <v>10</v>
      </c>
      <c r="B31" s="27">
        <f>C30</f>
        <v>200000</v>
      </c>
      <c r="C31" s="27">
        <v>300000</v>
      </c>
      <c r="D31" s="66">
        <v>0.14000000000000001</v>
      </c>
      <c r="E31" s="21"/>
      <c r="F31" s="27"/>
      <c r="G31" s="27"/>
      <c r="H31" s="66"/>
      <c r="I31" s="4"/>
      <c r="J31" s="24"/>
      <c r="K31" s="4"/>
      <c r="L31" s="13"/>
      <c r="N31" s="4"/>
    </row>
    <row r="32" spans="1:14" ht="15">
      <c r="B32" s="27">
        <f>C31</f>
        <v>300000</v>
      </c>
      <c r="C32" s="21"/>
      <c r="D32" s="66">
        <v>0.15</v>
      </c>
      <c r="E32" s="21"/>
      <c r="F32" s="27"/>
      <c r="G32" s="21"/>
      <c r="H32" s="66"/>
      <c r="I32" s="4"/>
      <c r="J32" s="24"/>
      <c r="K32" s="4"/>
      <c r="L32" s="13"/>
    </row>
    <row r="33" spans="1:12">
      <c r="B33" s="21"/>
      <c r="C33" s="91"/>
      <c r="D33" s="21"/>
      <c r="E33" s="21"/>
      <c r="F33" s="21"/>
      <c r="G33" s="21"/>
      <c r="H33" s="45"/>
      <c r="I33" s="4"/>
      <c r="J33" s="26"/>
      <c r="K33" s="16"/>
      <c r="L33" s="26"/>
    </row>
    <row r="34" spans="1:12" ht="15">
      <c r="A34" t="s">
        <v>33</v>
      </c>
      <c r="B34" s="27">
        <v>18451</v>
      </c>
      <c r="C34" s="27"/>
      <c r="D34" s="21"/>
      <c r="H34" s="41"/>
      <c r="I34" s="4"/>
      <c r="J34" s="26"/>
      <c r="K34" s="16"/>
      <c r="L34" s="26"/>
    </row>
    <row r="35" spans="1:12">
      <c r="B35" s="4"/>
      <c r="C35" s="4"/>
      <c r="D35" t="s">
        <v>34</v>
      </c>
      <c r="E35" s="13"/>
      <c r="F35" s="44"/>
      <c r="H35" s="16"/>
    </row>
    <row r="36" spans="1:12">
      <c r="A36" s="3" t="s">
        <v>97</v>
      </c>
      <c r="B36" s="4"/>
      <c r="C36" s="4"/>
    </row>
    <row r="37" spans="1:12">
      <c r="A37" s="3"/>
      <c r="B37" s="4"/>
      <c r="C37" s="4"/>
    </row>
    <row r="38" spans="1:12">
      <c r="A38" s="28" t="s">
        <v>98</v>
      </c>
      <c r="B38" s="4">
        <v>72809</v>
      </c>
      <c r="C38" s="4"/>
    </row>
    <row r="39" spans="1:12">
      <c r="A39" s="28" t="s">
        <v>99</v>
      </c>
      <c r="B39" s="83">
        <v>0.15</v>
      </c>
      <c r="C39" s="4"/>
    </row>
    <row r="40" spans="1:12">
      <c r="A40" s="3"/>
      <c r="B40" s="4"/>
      <c r="C40" s="4"/>
    </row>
    <row r="41" spans="1:12" ht="28">
      <c r="A41" s="84" t="s">
        <v>100</v>
      </c>
      <c r="B41" s="4">
        <f>IF(B12&gt;B38,B4*B39,0)</f>
        <v>150</v>
      </c>
      <c r="C41" s="4"/>
    </row>
    <row r="42" spans="1:12" ht="28">
      <c r="A42" s="84" t="s">
        <v>101</v>
      </c>
      <c r="B42" s="85">
        <f>IF(AND(B12&lt;=B38,(B4+B12)&gt;=B38),(B4+B12-B38)*B39,0)</f>
        <v>0</v>
      </c>
      <c r="C42" s="4"/>
    </row>
    <row r="43" spans="1:12">
      <c r="A43" s="28" t="s">
        <v>102</v>
      </c>
      <c r="B43" s="4">
        <f>SUM(B41:B42)</f>
        <v>150</v>
      </c>
      <c r="C43" s="4"/>
    </row>
    <row r="44" spans="1:12">
      <c r="B44" s="4"/>
      <c r="C44" s="4"/>
      <c r="E44" s="13"/>
      <c r="F44" s="44"/>
      <c r="H44" s="16"/>
    </row>
    <row r="45" spans="1:12">
      <c r="A45" s="2" t="s">
        <v>12</v>
      </c>
      <c r="E45" s="36"/>
      <c r="F45" s="21"/>
      <c r="G45" s="4"/>
      <c r="H45" s="4"/>
      <c r="I45" s="16"/>
    </row>
    <row r="46" spans="1:12">
      <c r="B46" s="11"/>
      <c r="C46" t="s">
        <v>13</v>
      </c>
      <c r="H46" s="36"/>
      <c r="J46" s="4"/>
      <c r="K46" s="4"/>
      <c r="L46" s="16"/>
    </row>
    <row r="47" spans="1:12">
      <c r="H47" s="36"/>
      <c r="I47" s="18"/>
      <c r="J47" s="4"/>
      <c r="K47" s="4"/>
      <c r="L47" s="16"/>
    </row>
    <row r="48" spans="1:12">
      <c r="A48" t="s">
        <v>19</v>
      </c>
      <c r="B48" s="17">
        <f>IF(AND((B4-B43+B12)&gt;=B18,(B4-B43+B12)&lt;=C18),(B4-B43)*D18,IF(AND((B4-B43+B12)&gt;B19,(B4-B43+B12)&lt;=C19),IF((B4-B43+B12-B19)&gt;(B4-B43),(B4-B43)*D19,((B4-B43+B12-B19)*D19)+((B4-B43-(B4-B43+B12-B19))*D18)),IF(AND((B4-B43+B12)&gt;B20,(B4-B43+B12)&lt;=C20),IF((B4-B43+B12-B20)&gt;(B4-B43),(B4-B43)*D20,IF((B4-B43+B12-B19)&gt;(B4-B43),(((B4-B43+B12-B20)*D20)+((B4-B43-(B4-B43+B12-B20))*D19)),((B4-B43+B12-B20)*D20)+((C19-B19)*D19)+((B4-B43-(B4-B43+B12-B19))*D18))),IF(AND((B4-B43+B12)&gt;B21,(B4-B43+B12)&lt;=C21),IF((B4-B43+B12-B21)&gt;(B4-B43),(B4-B43)*D21,IF((B4-B43+B12-B20)&gt;(B4-B43),((B4-B43+B12-B21)*D21)+(((B4-B43-(B4-B43+B12-B21))*D20)),IF((B4-B43+B12-B19)&gt;(B4-B43),(((B4-B43+B12-B21)*D21)+((C20-B20)*D20)+((B4-B43-(B4-B43+B12-B20))*D19)),((B4-B43+B12-B21)*D21)+((C20-B20)*D20)+((C19-B19)*D19)+((B4-B43-(B4-B43+B12-B19))*D18)))),IF((B4-B43+B12)&gt;B22,IF((B4-B43+B12-B22)&gt;(B4-B43),(B4-B43)*D22,IF((B4-B43+B12-B21)&gt;(B4-B43),(((B4-B43+B12-B22)*D22)+((B4-B43-(B4-B43+B12-B22))*D21)),IF((B4-B43+B12-B20)&gt;(B4-B43),(((B4-B43+B12-B22)*D22)+((C21-B21)*D21)+((B4-B43-(B4-B43+B12-B21))*D20)),IF((B4-B43+B12-B19)&gt;(B4-B43),(((B4-B43+B12-B22)*D22)+((C21-B21)*D21)+((C20-B20)*D20)+((B4-B43-(B4-B43+B12-B20))*D19)),((B4-B43+B12-B22)*D22)+((C21-B21)*D21)+((C20-B20)*D20)+((C19-B19)*D19)+((B4-B43-(B4-B43+B12-B19))*D18))))))))))</f>
        <v>221</v>
      </c>
      <c r="C48" t="s">
        <v>15</v>
      </c>
      <c r="H48" s="43"/>
      <c r="K48" s="4"/>
      <c r="L48" s="16"/>
    </row>
    <row r="49" spans="1:17">
      <c r="B49" s="37">
        <f>-IF(B12&gt;=B24,0,IF(B12&lt;B24,IF((B12+B4-B43)&gt;B24,(B24-B12)*D18,(B4-B43)*D18)))</f>
        <v>0</v>
      </c>
      <c r="C49" t="s">
        <v>31</v>
      </c>
      <c r="H49" s="43"/>
      <c r="K49" s="4"/>
      <c r="L49" s="16"/>
    </row>
    <row r="50" spans="1:17">
      <c r="B50" s="12">
        <f>IF(AND((B4-B43+B12)&gt;=B28,(B4-B43+B12)&lt;=C28),(B4-B43)*D28,IF(AND((B4-B43+B12)&gt;B29,(B4-B43+B12)&lt;=C29),IF((B4-B43+B12-B29)&gt;(B4-B43),(B4-B43)*D29,((B4-B43+B12-B29)*D29)+((B4-B43-(B4-B43+B12-B29))*D28)),IF(AND((B4-B43+B12)&gt;B30,(B4-B43+B12)&lt;=C30),IF((B4-B43+B12-B30)&gt;(B4-B43),(B4-B43)*D30,IF((B4-B43+B12-B29)&gt;(B4-B43),(((B4-B43+B12-B30)*D30)+((B4-B43-(B4-B43+B12-B30))*D29)),((B4-B43+B12-B30)*D30)+((C29-B29)*D29)+((B4-B43-(B4-B43+B12-B29))*D28))),IF(AND((B4-B43+B12)&gt;B31,(B4-B43+B12)&lt;=C31),IF((B4-B43+B12-B31)&gt;(B4-B43),(B4-B43)*D31,IF((B4-B43+B12-B30)&gt;(B4-B43),(((B4-B43+B12-B31)*D31)+((B4-B43-(B4-B43+B12-B31))*D30)),IF((B4-B43+B12-B29)&gt;(B4-B43),(((B4-B43+B12-B31)*D31)+((C30-B30)*D30)+((B4-B43-(B4-B43+B12-B30))*D29)),((B4-B43+B12-B31)*D31)+((C30-B30)*D30)+((C29-B29)*D29)+((B4-B43-(B4-B43+B12-B29))*D28)))),IF((B4-B43+B12)&gt;B32,IF((B4-B43+B12-B32)&gt;(B4-B43),(B4-B43)*D32,IF((B4-B43+B12-B31)&gt;(B4-B43),(((B4-B43+B12-B32)*D32)+((B4-B43-(B4-B43+B12-B32))*D31)),IF((B4-B43+B12-B30)&gt;(B4-B43),(((B4-B43+B12-B32)*D32)+((C31-B31)*D31)+((B4-B43-(B4-B43+B12-B31))*D30)),IF((B4-B43+B12-B29)&gt;(B4-B43),(((B4-B43+B12-B32)*D32)+((C31-B31)*D31)+((C30-B30)*D30)+((B4-B43-(B4-B43+B12-B30))*D29)),((B4-B43+B12-B32)*D32)+((C31-B31)*D31)+((C30-B30)*D30)+((C29-B29)*D29)+((B4-B43-(B4-B43+B12-B29))*D28))))))))))</f>
        <v>102</v>
      </c>
      <c r="C50" t="s">
        <v>16</v>
      </c>
    </row>
    <row r="51" spans="1:17">
      <c r="B51" s="39">
        <f>-IF(B12&gt;=B34,0,IF(B12&lt;B34,IF((B12+B4-B43)&gt;B34,(B34-B12)*D28,(B4-B43)*D28)))</f>
        <v>0</v>
      </c>
      <c r="C51" t="s">
        <v>33</v>
      </c>
    </row>
    <row r="52" spans="1:17">
      <c r="B52" s="86">
        <f>B43</f>
        <v>150</v>
      </c>
      <c r="C52" s="87" t="s">
        <v>97</v>
      </c>
    </row>
    <row r="53" spans="1:17">
      <c r="A53" s="10" t="s">
        <v>21</v>
      </c>
      <c r="B53" s="45">
        <f>SUM(B48:B52)</f>
        <v>473</v>
      </c>
      <c r="F53" s="47"/>
      <c r="G53" s="47"/>
      <c r="H53" s="46"/>
      <c r="I53" s="47"/>
      <c r="J53" s="47"/>
      <c r="K53" s="49"/>
      <c r="L53" s="48"/>
      <c r="M53" s="47"/>
    </row>
    <row r="54" spans="1:17">
      <c r="E54" s="18"/>
      <c r="F54" s="49"/>
      <c r="G54" s="47"/>
      <c r="H54" s="46"/>
      <c r="I54" s="49"/>
      <c r="J54" s="49"/>
      <c r="K54" s="47"/>
      <c r="L54" s="47"/>
      <c r="M54" s="47"/>
      <c r="Q54" s="15"/>
    </row>
    <row r="55" spans="1:17">
      <c r="B55" s="13"/>
      <c r="F55" s="47"/>
      <c r="G55" s="47"/>
      <c r="H55" s="46"/>
      <c r="I55" s="47"/>
      <c r="J55" s="47"/>
      <c r="K55" s="47"/>
      <c r="L55" s="47"/>
      <c r="M55" s="47"/>
    </row>
    <row r="56" spans="1:17">
      <c r="A56" s="19" t="s">
        <v>36</v>
      </c>
      <c r="B56" s="13"/>
      <c r="F56" s="47"/>
      <c r="G56" s="47"/>
      <c r="H56" s="46"/>
      <c r="I56" s="46"/>
      <c r="J56" s="49"/>
      <c r="K56" s="47"/>
      <c r="L56" s="47"/>
      <c r="M56" s="47"/>
    </row>
    <row r="57" spans="1:17">
      <c r="A57" t="s">
        <v>105</v>
      </c>
      <c r="B57" s="13">
        <f>SUM(B48:B49)</f>
        <v>221</v>
      </c>
      <c r="F57" s="47"/>
      <c r="G57" s="47"/>
      <c r="H57" s="46"/>
      <c r="I57" s="47"/>
      <c r="J57" s="47"/>
      <c r="K57" s="47"/>
      <c r="L57" s="47"/>
      <c r="M57" s="47"/>
    </row>
    <row r="58" spans="1:17">
      <c r="A58" t="s">
        <v>106</v>
      </c>
      <c r="B58" s="88">
        <f>SUM(B50:B51)</f>
        <v>102</v>
      </c>
      <c r="F58" s="47"/>
      <c r="G58" s="47"/>
      <c r="H58" s="46"/>
      <c r="I58" s="49"/>
      <c r="J58" s="49"/>
      <c r="K58" s="47"/>
      <c r="L58" s="47"/>
      <c r="M58" s="47"/>
    </row>
    <row r="59" spans="1:17">
      <c r="A59" s="89" t="s">
        <v>97</v>
      </c>
      <c r="B59" s="90">
        <f>B52</f>
        <v>150</v>
      </c>
      <c r="F59" s="47"/>
      <c r="G59" s="47"/>
      <c r="H59" s="46"/>
      <c r="I59" s="49"/>
      <c r="J59" s="49"/>
      <c r="K59" s="47"/>
      <c r="L59" s="47"/>
      <c r="M59" s="47"/>
    </row>
    <row r="60" spans="1:17">
      <c r="B60" s="13">
        <f>SUM(B57:B59)</f>
        <v>473</v>
      </c>
      <c r="F60" s="47"/>
      <c r="G60" s="47"/>
      <c r="H60" s="46"/>
      <c r="I60" s="47"/>
      <c r="J60" s="47"/>
      <c r="K60" s="47"/>
      <c r="L60" s="47"/>
      <c r="M60" s="47"/>
    </row>
    <row r="61" spans="1:17">
      <c r="B61" s="13"/>
      <c r="F61" s="47"/>
      <c r="G61" s="47"/>
      <c r="H61" s="46"/>
      <c r="I61" s="46"/>
      <c r="J61" s="49"/>
      <c r="K61" s="47"/>
      <c r="L61" s="47"/>
      <c r="M61" s="47"/>
    </row>
    <row r="62" spans="1:17">
      <c r="B62" s="13"/>
      <c r="F62" s="47"/>
      <c r="G62" s="47"/>
      <c r="H62" s="46"/>
      <c r="I62" s="47"/>
      <c r="J62" s="47"/>
      <c r="K62" s="47"/>
      <c r="L62" s="47"/>
      <c r="M62" s="47"/>
    </row>
    <row r="63" spans="1:17">
      <c r="B63" s="13"/>
      <c r="F63" s="47"/>
      <c r="G63" s="47"/>
      <c r="H63" s="46"/>
      <c r="I63" s="49"/>
      <c r="J63" s="49"/>
      <c r="K63" s="47"/>
      <c r="L63" s="47"/>
      <c r="M63" s="47"/>
    </row>
    <row r="64" spans="1:17">
      <c r="B64" s="13"/>
      <c r="F64" s="47"/>
      <c r="G64" s="47"/>
      <c r="H64" s="46"/>
      <c r="I64" s="47"/>
      <c r="J64" s="47"/>
      <c r="K64" s="47"/>
      <c r="L64" s="47"/>
      <c r="M64" s="47"/>
    </row>
    <row r="65" spans="2:13">
      <c r="B65" s="15"/>
      <c r="F65" s="47"/>
      <c r="G65" s="47"/>
      <c r="H65" s="50"/>
      <c r="I65" s="47"/>
      <c r="J65" s="47"/>
      <c r="K65" s="47"/>
      <c r="L65" s="47"/>
      <c r="M65" s="47"/>
    </row>
    <row r="66" spans="2:13">
      <c r="F66" s="47"/>
      <c r="G66" s="47"/>
      <c r="H66" s="46"/>
      <c r="I66" s="47"/>
      <c r="J66" s="47"/>
      <c r="K66" s="47"/>
      <c r="L66" s="47"/>
      <c r="M66" s="47"/>
    </row>
    <row r="67" spans="2:13">
      <c r="F67" s="47"/>
      <c r="G67" s="47"/>
      <c r="H67" s="46"/>
      <c r="I67" s="48"/>
      <c r="J67" s="48"/>
      <c r="K67" s="47"/>
      <c r="L67" s="47"/>
      <c r="M67" s="47"/>
    </row>
    <row r="68" spans="2:13">
      <c r="F68" s="47"/>
      <c r="G68" s="47"/>
      <c r="H68" s="46"/>
      <c r="I68" s="47"/>
      <c r="J68" s="47"/>
      <c r="K68" s="47"/>
      <c r="L68" s="47"/>
      <c r="M68" s="47"/>
    </row>
    <row r="69" spans="2:13">
      <c r="H69" s="12"/>
    </row>
    <row r="71" spans="2:13">
      <c r="H71" s="40"/>
      <c r="M71" s="2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RRSP (Deduction)</vt:lpstr>
      <vt:lpstr>Interest Inc (Income)</vt:lpstr>
      <vt:lpstr>Dividend Inc</vt:lpstr>
      <vt:lpstr>Foreign Investment Inc</vt:lpstr>
      <vt:lpstr>Old Age Security Pension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8000 8000</cp:lastModifiedBy>
  <dcterms:created xsi:type="dcterms:W3CDTF">2016-07-05T04:18:43Z</dcterms:created>
  <dcterms:modified xsi:type="dcterms:W3CDTF">2017-01-25T04:36:38Z</dcterms:modified>
</cp:coreProperties>
</file>