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lliam.Chong\Desktop\Will\Letter\TaxPro\Base Formula - 2016 for 2017\British Columbia\"/>
    </mc:Choice>
  </mc:AlternateContent>
  <bookViews>
    <workbookView xWindow="0" yWindow="0" windowWidth="24000" windowHeight="9132" activeTab="4"/>
  </bookViews>
  <sheets>
    <sheet name="RRSP (Deduction)" sheetId="1" r:id="rId1"/>
    <sheet name="Interest Inc (Income)" sheetId="3" r:id="rId2"/>
    <sheet name="Dividend Inc" sheetId="19" r:id="rId3"/>
    <sheet name="Foreign Investment Inc" sheetId="24" r:id="rId4"/>
    <sheet name="Old Age Security Pension" sheetId="27" r:id="rId5"/>
  </sheet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27" l="1"/>
  <c r="B31" i="27"/>
  <c r="B30" i="27"/>
  <c r="B29" i="27"/>
  <c r="B22" i="27"/>
  <c r="B21" i="27"/>
  <c r="B20" i="27"/>
  <c r="B19" i="27"/>
  <c r="B32" i="24"/>
  <c r="B31" i="24"/>
  <c r="B30" i="24"/>
  <c r="B29" i="24"/>
  <c r="B22" i="24"/>
  <c r="B21" i="24"/>
  <c r="B20" i="24"/>
  <c r="B19" i="24"/>
  <c r="B36" i="19"/>
  <c r="B35" i="19"/>
  <c r="B34" i="19"/>
  <c r="B33" i="19"/>
  <c r="B26" i="19"/>
  <c r="B25" i="19"/>
  <c r="B24" i="19"/>
  <c r="B23" i="19"/>
  <c r="B32" i="3"/>
  <c r="B31" i="3"/>
  <c r="B30" i="3"/>
  <c r="B29" i="3"/>
  <c r="B22" i="3"/>
  <c r="B21" i="3"/>
  <c r="B20" i="3"/>
  <c r="B19" i="3"/>
  <c r="B100" i="27" l="1"/>
  <c r="B89" i="3"/>
  <c r="B91" i="1" l="1"/>
  <c r="B90" i="27" l="1"/>
  <c r="B88" i="27"/>
  <c r="B80" i="27"/>
  <c r="B81" i="27" s="1"/>
  <c r="B79" i="27"/>
  <c r="B62" i="27"/>
  <c r="B64" i="27" s="1"/>
  <c r="B66" i="27" s="1"/>
  <c r="B69" i="27" s="1"/>
  <c r="B70" i="27" s="1"/>
  <c r="J56" i="27"/>
  <c r="I56" i="27"/>
  <c r="K56" i="27" s="1"/>
  <c r="H54" i="27"/>
  <c r="H53" i="27"/>
  <c r="G53" i="27"/>
  <c r="F54" i="27" s="1"/>
  <c r="F53" i="27"/>
  <c r="H52" i="27"/>
  <c r="G52" i="27"/>
  <c r="H51" i="27"/>
  <c r="G51" i="27"/>
  <c r="F52" i="27" s="1"/>
  <c r="H50" i="27"/>
  <c r="G50" i="27"/>
  <c r="F51" i="27" s="1"/>
  <c r="J44" i="27"/>
  <c r="I44" i="27"/>
  <c r="H42" i="27"/>
  <c r="H41" i="27"/>
  <c r="G41" i="27"/>
  <c r="F42" i="27" s="1"/>
  <c r="J42" i="27" s="1"/>
  <c r="K42" i="27" s="1"/>
  <c r="F41" i="27"/>
  <c r="H40" i="27"/>
  <c r="G40" i="27"/>
  <c r="H39" i="27"/>
  <c r="G39" i="27"/>
  <c r="F40" i="27" s="1"/>
  <c r="B39" i="27"/>
  <c r="B41" i="27" s="1"/>
  <c r="B43" i="27" s="1"/>
  <c r="B46" i="27" s="1"/>
  <c r="B47" i="27" s="1"/>
  <c r="H38" i="27"/>
  <c r="G38" i="27"/>
  <c r="F39" i="27" s="1"/>
  <c r="J39" i="27" l="1"/>
  <c r="K44" i="27"/>
  <c r="J40" i="27"/>
  <c r="K40" i="27" s="1"/>
  <c r="J51" i="27"/>
  <c r="J50" i="27"/>
  <c r="K50" i="27" s="1"/>
  <c r="B87" i="27"/>
  <c r="C39" i="27"/>
  <c r="C41" i="27" s="1"/>
  <c r="C43" i="27" s="1"/>
  <c r="C46" i="27" s="1"/>
  <c r="C47" i="27" s="1"/>
  <c r="C62" i="27"/>
  <c r="C64" i="27" s="1"/>
  <c r="C66" i="27" s="1"/>
  <c r="C69" i="27" s="1"/>
  <c r="C70" i="27" s="1"/>
  <c r="B72" i="27" s="1"/>
  <c r="B92" i="27" s="1"/>
  <c r="J54" i="27"/>
  <c r="K54" i="27" s="1"/>
  <c r="J52" i="27"/>
  <c r="K52" i="27" s="1"/>
  <c r="B93" i="27"/>
  <c r="B101" i="27" s="1"/>
  <c r="B89" i="27"/>
  <c r="J53" i="27"/>
  <c r="K53" i="27" s="1"/>
  <c r="I52" i="27"/>
  <c r="I53" i="27" s="1"/>
  <c r="I54" i="27" s="1"/>
  <c r="J41" i="27"/>
  <c r="K41" i="27" s="1"/>
  <c r="I39" i="27"/>
  <c r="I40" i="27" s="1"/>
  <c r="I41" i="27" s="1"/>
  <c r="I42" i="27" s="1"/>
  <c r="I51" i="27"/>
  <c r="J38" i="27"/>
  <c r="K38" i="27" s="1"/>
  <c r="J57" i="1"/>
  <c r="J45" i="1"/>
  <c r="I85" i="24"/>
  <c r="I109" i="24"/>
  <c r="J56" i="24"/>
  <c r="J44" i="24"/>
  <c r="I107" i="19"/>
  <c r="I131" i="19"/>
  <c r="J60" i="19"/>
  <c r="J48" i="19"/>
  <c r="J56" i="3"/>
  <c r="J44" i="3"/>
  <c r="K51" i="27" l="1"/>
  <c r="K55" i="27"/>
  <c r="K57" i="27" s="1"/>
  <c r="C49" i="27" s="1"/>
  <c r="C51" i="27" s="1"/>
  <c r="K39" i="27"/>
  <c r="K43" i="27" s="1"/>
  <c r="K45" i="27" s="1"/>
  <c r="B49" i="27" s="1"/>
  <c r="B51" i="27" s="1"/>
  <c r="B98" i="27"/>
  <c r="B53" i="27" l="1"/>
  <c r="B91" i="27" s="1"/>
  <c r="C63" i="1"/>
  <c r="C65" i="1" s="1"/>
  <c r="C67" i="1" s="1"/>
  <c r="C70" i="1" s="1"/>
  <c r="C71" i="1" s="1"/>
  <c r="C40" i="1"/>
  <c r="C42" i="1" s="1"/>
  <c r="C44" i="1" s="1"/>
  <c r="C47" i="1" s="1"/>
  <c r="C48" i="1" s="1"/>
  <c r="B63" i="1"/>
  <c r="B65" i="1" s="1"/>
  <c r="B67" i="1" s="1"/>
  <c r="B70" i="1" s="1"/>
  <c r="B71" i="1" s="1"/>
  <c r="I57" i="1"/>
  <c r="K57" i="1" s="1"/>
  <c r="H55" i="1"/>
  <c r="H54" i="1"/>
  <c r="G54" i="1"/>
  <c r="F55" i="1" s="1"/>
  <c r="J55" i="1" s="1"/>
  <c r="H53" i="1"/>
  <c r="G53" i="1"/>
  <c r="F54" i="1" s="1"/>
  <c r="H52" i="1"/>
  <c r="G52" i="1"/>
  <c r="F53" i="1" s="1"/>
  <c r="H51" i="1"/>
  <c r="G51" i="1"/>
  <c r="F52" i="1" s="1"/>
  <c r="I45" i="1"/>
  <c r="K45" i="1" s="1"/>
  <c r="H43" i="1"/>
  <c r="H42" i="1"/>
  <c r="G42" i="1"/>
  <c r="F43" i="1" s="1"/>
  <c r="H41" i="1"/>
  <c r="G41" i="1"/>
  <c r="F42" i="1" s="1"/>
  <c r="H40" i="1"/>
  <c r="G40" i="1"/>
  <c r="F41" i="1" s="1"/>
  <c r="B40" i="1"/>
  <c r="B42" i="1" s="1"/>
  <c r="B44" i="1" s="1"/>
  <c r="B47" i="1" s="1"/>
  <c r="B48" i="1" s="1"/>
  <c r="H39" i="1"/>
  <c r="G39" i="1"/>
  <c r="J39" i="1" s="1"/>
  <c r="B33" i="1"/>
  <c r="B32" i="1"/>
  <c r="B31" i="1"/>
  <c r="B30" i="1"/>
  <c r="B23" i="1"/>
  <c r="B22" i="1"/>
  <c r="B21" i="1"/>
  <c r="B20" i="1"/>
  <c r="B94" i="27" l="1"/>
  <c r="B99" i="27"/>
  <c r="B102" i="27" s="1"/>
  <c r="J53" i="1"/>
  <c r="K53" i="1" s="1"/>
  <c r="J52" i="1"/>
  <c r="K52" i="1" s="1"/>
  <c r="J54" i="1"/>
  <c r="K54" i="1" s="1"/>
  <c r="J41" i="1"/>
  <c r="K41" i="1" s="1"/>
  <c r="J43" i="1"/>
  <c r="J42" i="1"/>
  <c r="K42" i="1" s="1"/>
  <c r="J51" i="1"/>
  <c r="K51" i="1" s="1"/>
  <c r="I40" i="1"/>
  <c r="I52" i="1"/>
  <c r="I53" i="1" s="1"/>
  <c r="I54" i="1" s="1"/>
  <c r="I55" i="1" s="1"/>
  <c r="K55" i="1" s="1"/>
  <c r="B73" i="1"/>
  <c r="B83" i="1" s="1"/>
  <c r="K39" i="1"/>
  <c r="F40" i="1"/>
  <c r="J40" i="1" s="1"/>
  <c r="K40" i="1" s="1"/>
  <c r="B96" i="24"/>
  <c r="B80" i="24"/>
  <c r="B125" i="24"/>
  <c r="B122" i="24"/>
  <c r="H109" i="24"/>
  <c r="G107" i="24"/>
  <c r="G106" i="24"/>
  <c r="F106" i="24"/>
  <c r="G105" i="24"/>
  <c r="F105" i="24"/>
  <c r="E106" i="24" s="1"/>
  <c r="E105" i="24"/>
  <c r="G104" i="24"/>
  <c r="F104" i="24"/>
  <c r="G103" i="24"/>
  <c r="F103" i="24"/>
  <c r="E104" i="24" s="1"/>
  <c r="B86" i="24"/>
  <c r="H85" i="24"/>
  <c r="B85" i="24"/>
  <c r="G83" i="24"/>
  <c r="G82" i="24"/>
  <c r="F82" i="24"/>
  <c r="E83" i="24" s="1"/>
  <c r="G81" i="24"/>
  <c r="F81" i="24"/>
  <c r="E82" i="24" s="1"/>
  <c r="G80" i="24"/>
  <c r="F80" i="24"/>
  <c r="E81" i="24" s="1"/>
  <c r="G79" i="24"/>
  <c r="F79" i="24"/>
  <c r="E80" i="24" s="1"/>
  <c r="B79" i="24"/>
  <c r="B78" i="24"/>
  <c r="B62" i="24"/>
  <c r="B64" i="24" s="1"/>
  <c r="B66" i="24" s="1"/>
  <c r="B69" i="24" s="1"/>
  <c r="B70" i="24" s="1"/>
  <c r="I56" i="24"/>
  <c r="H54" i="24"/>
  <c r="H53" i="24"/>
  <c r="G53" i="24"/>
  <c r="F54" i="24" s="1"/>
  <c r="H52" i="24"/>
  <c r="G52" i="24"/>
  <c r="F53" i="24" s="1"/>
  <c r="H51" i="24"/>
  <c r="G51" i="24"/>
  <c r="F52" i="24" s="1"/>
  <c r="H50" i="24"/>
  <c r="G50" i="24"/>
  <c r="I44" i="24"/>
  <c r="K44" i="24" s="1"/>
  <c r="H42" i="24"/>
  <c r="H41" i="24"/>
  <c r="G41" i="24"/>
  <c r="F42" i="24" s="1"/>
  <c r="H40" i="24"/>
  <c r="G40" i="24"/>
  <c r="F41" i="24" s="1"/>
  <c r="H39" i="24"/>
  <c r="G39" i="24"/>
  <c r="F40" i="24" s="1"/>
  <c r="B39" i="24"/>
  <c r="B41" i="24" s="1"/>
  <c r="B43" i="24" s="1"/>
  <c r="B46" i="24" s="1"/>
  <c r="B47" i="24" s="1"/>
  <c r="H38" i="24"/>
  <c r="G38" i="24"/>
  <c r="K56" i="1" l="1"/>
  <c r="I41" i="1"/>
  <c r="I42" i="1" s="1"/>
  <c r="I43" i="1" s="1"/>
  <c r="K43" i="1" s="1"/>
  <c r="K44" i="1" s="1"/>
  <c r="I39" i="24"/>
  <c r="J42" i="24"/>
  <c r="J38" i="24"/>
  <c r="K38" i="24" s="1"/>
  <c r="F39" i="24"/>
  <c r="J39" i="24" s="1"/>
  <c r="K39" i="24" s="1"/>
  <c r="J40" i="24"/>
  <c r="K40" i="24" s="1"/>
  <c r="F51" i="24"/>
  <c r="I51" i="24"/>
  <c r="E107" i="24"/>
  <c r="H104" i="24"/>
  <c r="H105" i="24" s="1"/>
  <c r="H106" i="24" s="1"/>
  <c r="H107" i="24" s="1"/>
  <c r="J41" i="24"/>
  <c r="K41" i="24" s="1"/>
  <c r="H80" i="24"/>
  <c r="H81" i="24" s="1"/>
  <c r="H82" i="24" s="1"/>
  <c r="H83" i="24" s="1"/>
  <c r="B110" i="24"/>
  <c r="K58" i="1" l="1"/>
  <c r="C50" i="1" s="1"/>
  <c r="C52" i="1" s="1"/>
  <c r="K46" i="1"/>
  <c r="B50" i="1" s="1"/>
  <c r="B52" i="1" s="1"/>
  <c r="I40" i="24"/>
  <c r="I41" i="24" s="1"/>
  <c r="I42" i="24" s="1"/>
  <c r="K42" i="24" s="1"/>
  <c r="K43" i="24"/>
  <c r="I52" i="24"/>
  <c r="I53" i="24" s="1"/>
  <c r="I54" i="24" s="1"/>
  <c r="K45" i="24" l="1"/>
  <c r="B49" i="24" s="1"/>
  <c r="B51" i="24" s="1"/>
  <c r="B54" i="1"/>
  <c r="B82" i="1" s="1"/>
  <c r="B66" i="19" l="1"/>
  <c r="B43" i="19"/>
  <c r="I60" i="19" l="1"/>
  <c r="I56" i="3"/>
  <c r="I44" i="3"/>
  <c r="I48" i="19"/>
  <c r="K48" i="19" s="1"/>
  <c r="H131" i="19" l="1"/>
  <c r="H107" i="19"/>
  <c r="B118" i="19"/>
  <c r="B102" i="19"/>
  <c r="B68" i="19" l="1"/>
  <c r="B70" i="19" s="1"/>
  <c r="B73" i="19" s="1"/>
  <c r="B74" i="19" s="1"/>
  <c r="H58" i="19"/>
  <c r="H57" i="19"/>
  <c r="G57" i="19"/>
  <c r="H56" i="19"/>
  <c r="G56" i="19"/>
  <c r="F57" i="19" s="1"/>
  <c r="H55" i="19"/>
  <c r="G55" i="19"/>
  <c r="F56" i="19" s="1"/>
  <c r="H54" i="19"/>
  <c r="G54" i="19"/>
  <c r="F55" i="19" s="1"/>
  <c r="H46" i="19"/>
  <c r="H45" i="19"/>
  <c r="G45" i="19"/>
  <c r="F46" i="19" s="1"/>
  <c r="H44" i="19"/>
  <c r="G44" i="19"/>
  <c r="F45" i="19" s="1"/>
  <c r="H43" i="19"/>
  <c r="G43" i="19"/>
  <c r="F44" i="19" s="1"/>
  <c r="B45" i="19"/>
  <c r="B47" i="19" s="1"/>
  <c r="B50" i="19" s="1"/>
  <c r="B51" i="19" s="1"/>
  <c r="H42" i="19"/>
  <c r="G42" i="19"/>
  <c r="J42" i="19" l="1"/>
  <c r="K42" i="19" s="1"/>
  <c r="J44" i="19"/>
  <c r="K44" i="19" s="1"/>
  <c r="J46" i="19"/>
  <c r="J45" i="19"/>
  <c r="I43" i="19"/>
  <c r="F43" i="19"/>
  <c r="I55" i="19"/>
  <c r="I56" i="19" s="1"/>
  <c r="I57" i="19" s="1"/>
  <c r="I58" i="19" s="1"/>
  <c r="F58" i="19"/>
  <c r="C62" i="3"/>
  <c r="C64" i="3" s="1"/>
  <c r="C66" i="3" s="1"/>
  <c r="C69" i="3" s="1"/>
  <c r="C70" i="3" s="1"/>
  <c r="B62" i="3"/>
  <c r="B64" i="3" s="1"/>
  <c r="B66" i="3" s="1"/>
  <c r="B69" i="3" s="1"/>
  <c r="B70" i="3" s="1"/>
  <c r="C39" i="3"/>
  <c r="C41" i="3" s="1"/>
  <c r="B39" i="3"/>
  <c r="B41" i="3" s="1"/>
  <c r="B77" i="3"/>
  <c r="H54" i="3"/>
  <c r="H53" i="3"/>
  <c r="H52" i="3"/>
  <c r="H51" i="3"/>
  <c r="H50" i="3"/>
  <c r="G53" i="3"/>
  <c r="F54" i="3" s="1"/>
  <c r="G52" i="3"/>
  <c r="F53" i="3" s="1"/>
  <c r="G51" i="3"/>
  <c r="F52" i="3" s="1"/>
  <c r="G50" i="3"/>
  <c r="J50" i="3" s="1"/>
  <c r="K50" i="3" s="1"/>
  <c r="H42" i="3"/>
  <c r="H41" i="3"/>
  <c r="H40" i="3"/>
  <c r="H39" i="3"/>
  <c r="H38" i="3"/>
  <c r="G41" i="3"/>
  <c r="F42" i="3" s="1"/>
  <c r="J42" i="3" s="1"/>
  <c r="G40" i="3"/>
  <c r="F41" i="3" s="1"/>
  <c r="G39" i="3"/>
  <c r="F40" i="3" s="1"/>
  <c r="G38" i="3"/>
  <c r="F39" i="3" s="1"/>
  <c r="K56" i="3"/>
  <c r="K44" i="3"/>
  <c r="J43" i="19" l="1"/>
  <c r="K43" i="19" s="1"/>
  <c r="I44" i="19"/>
  <c r="I45" i="19" s="1"/>
  <c r="I46" i="19" s="1"/>
  <c r="K46" i="19" s="1"/>
  <c r="J54" i="3"/>
  <c r="B72" i="3"/>
  <c r="B82" i="3" s="1"/>
  <c r="J41" i="3"/>
  <c r="K41" i="3" s="1"/>
  <c r="J39" i="3"/>
  <c r="K39" i="3" s="1"/>
  <c r="J38" i="3"/>
  <c r="K38" i="3" s="1"/>
  <c r="I39" i="3"/>
  <c r="I40" i="3" s="1"/>
  <c r="I41" i="3" s="1"/>
  <c r="I42" i="3" s="1"/>
  <c r="K42" i="3" s="1"/>
  <c r="J53" i="3"/>
  <c r="K53" i="3" s="1"/>
  <c r="J52" i="3"/>
  <c r="K52" i="3" s="1"/>
  <c r="F51" i="3"/>
  <c r="J51" i="3" s="1"/>
  <c r="I51" i="3"/>
  <c r="J40" i="3"/>
  <c r="K40" i="3" s="1"/>
  <c r="C43" i="3"/>
  <c r="C46" i="3" s="1"/>
  <c r="C47" i="3" s="1"/>
  <c r="B43" i="3"/>
  <c r="B46" i="3" s="1"/>
  <c r="B47" i="3" s="1"/>
  <c r="K45" i="19" l="1"/>
  <c r="K47" i="19" s="1"/>
  <c r="K54" i="3"/>
  <c r="K43" i="3"/>
  <c r="K51" i="3"/>
  <c r="I52" i="3"/>
  <c r="I53" i="3" s="1"/>
  <c r="I54" i="3" s="1"/>
  <c r="B53" i="19" l="1"/>
  <c r="B55" i="19" s="1"/>
  <c r="K49" i="19"/>
  <c r="K45" i="3"/>
  <c r="B49" i="3" s="1"/>
  <c r="B51" i="3" s="1"/>
  <c r="B79" i="3"/>
  <c r="K55" i="3"/>
  <c r="K57" i="3" l="1"/>
  <c r="C49" i="3" s="1"/>
  <c r="C51" i="3" s="1"/>
  <c r="B53" i="3" s="1"/>
  <c r="B81" i="3" s="1"/>
  <c r="G129" i="19"/>
  <c r="G128" i="19"/>
  <c r="G127" i="19"/>
  <c r="G126" i="19"/>
  <c r="G125" i="19"/>
  <c r="G105" i="19"/>
  <c r="G104" i="19"/>
  <c r="G103" i="19"/>
  <c r="G102" i="19"/>
  <c r="G101" i="19"/>
  <c r="F104" i="19"/>
  <c r="E105" i="19" s="1"/>
  <c r="F103" i="19"/>
  <c r="F102" i="19"/>
  <c r="F128" i="19"/>
  <c r="E129" i="19" s="1"/>
  <c r="F127" i="19"/>
  <c r="E128" i="19" s="1"/>
  <c r="F126" i="19"/>
  <c r="F125" i="19"/>
  <c r="F101" i="19"/>
  <c r="E127" i="19" l="1"/>
  <c r="E104" i="19"/>
  <c r="E102" i="19"/>
  <c r="H102" i="19"/>
  <c r="E126" i="19"/>
  <c r="H126" i="19"/>
  <c r="E103" i="19"/>
  <c r="B108" i="19"/>
  <c r="H127" i="19" l="1"/>
  <c r="H128" i="19" s="1"/>
  <c r="H129" i="19" s="1"/>
  <c r="H103" i="19"/>
  <c r="H104" i="19" s="1"/>
  <c r="H105" i="19" s="1"/>
  <c r="B132" i="19" l="1"/>
  <c r="B101" i="19"/>
  <c r="B100" i="19"/>
  <c r="B107" i="19" l="1"/>
  <c r="B84" i="19" l="1"/>
  <c r="B82" i="19"/>
  <c r="B83" i="19"/>
  <c r="B85" i="19" l="1"/>
  <c r="B81" i="1" l="1"/>
  <c r="B79" i="1"/>
  <c r="B78" i="1"/>
  <c r="B89" i="1" s="1"/>
  <c r="B80" i="1"/>
  <c r="B90" i="1" s="1"/>
  <c r="B92" i="1" l="1"/>
  <c r="B80" i="3"/>
  <c r="B88" i="3" s="1"/>
  <c r="B84" i="1" l="1"/>
  <c r="B78" i="3" l="1"/>
  <c r="B83" i="3" s="1"/>
  <c r="B87" i="3" l="1"/>
  <c r="B90" i="3" s="1"/>
  <c r="B144" i="19" l="1"/>
  <c r="B148" i="19"/>
  <c r="C43" i="19"/>
  <c r="C45" i="19"/>
  <c r="C47" i="19"/>
  <c r="C50" i="19"/>
  <c r="C51" i="19"/>
  <c r="C53" i="19"/>
  <c r="J54" i="19"/>
  <c r="K54" i="19"/>
  <c r="C55" i="19"/>
  <c r="J55" i="19"/>
  <c r="K55" i="19"/>
  <c r="J56" i="19"/>
  <c r="K56" i="19"/>
  <c r="B57" i="19"/>
  <c r="J57" i="19"/>
  <c r="K57" i="19"/>
  <c r="J58" i="19"/>
  <c r="K58" i="19"/>
  <c r="K59" i="19"/>
  <c r="K60" i="19"/>
  <c r="K61" i="19"/>
  <c r="K62" i="19"/>
  <c r="K63" i="19"/>
  <c r="K64" i="19"/>
  <c r="K65" i="19"/>
  <c r="C66" i="19"/>
  <c r="C68" i="19"/>
  <c r="C70" i="19"/>
  <c r="C73" i="19"/>
  <c r="C74" i="19"/>
  <c r="B76" i="19"/>
  <c r="B88" i="19"/>
  <c r="B89" i="19"/>
  <c r="B90" i="19"/>
  <c r="B93" i="19"/>
  <c r="B94" i="19"/>
  <c r="B95" i="19"/>
  <c r="I101" i="19"/>
  <c r="J101" i="19"/>
  <c r="I102" i="19"/>
  <c r="J102" i="19"/>
  <c r="B103" i="19"/>
  <c r="I103" i="19"/>
  <c r="J103" i="19"/>
  <c r="B104" i="19"/>
  <c r="I104" i="19"/>
  <c r="J104" i="19"/>
  <c r="B105" i="19"/>
  <c r="I105" i="19"/>
  <c r="J105" i="19"/>
  <c r="J106" i="19"/>
  <c r="J107" i="19"/>
  <c r="J108" i="19"/>
  <c r="B109" i="19"/>
  <c r="B110" i="19"/>
  <c r="B111" i="19"/>
  <c r="B113" i="19"/>
  <c r="B115" i="19"/>
  <c r="B117" i="19"/>
  <c r="B120" i="19"/>
  <c r="B124" i="19"/>
  <c r="B125" i="19"/>
  <c r="I125" i="19"/>
  <c r="J125" i="19"/>
  <c r="B126" i="19"/>
  <c r="I126" i="19"/>
  <c r="J126" i="19"/>
  <c r="I127" i="19"/>
  <c r="J127" i="19"/>
  <c r="B128" i="19"/>
  <c r="I128" i="19"/>
  <c r="J128" i="19"/>
  <c r="I129" i="19"/>
  <c r="J129" i="19"/>
  <c r="B130" i="19"/>
  <c r="J130" i="19"/>
  <c r="J131" i="19"/>
  <c r="J132" i="19"/>
  <c r="B133" i="19"/>
  <c r="B134" i="19"/>
  <c r="B136" i="19"/>
  <c r="B138" i="19"/>
  <c r="B143" i="19"/>
  <c r="B145" i="19"/>
  <c r="B146" i="19"/>
  <c r="B147" i="19"/>
  <c r="B149" i="19"/>
  <c r="B150" i="19"/>
  <c r="B151" i="19"/>
  <c r="B152" i="19"/>
  <c r="B153" i="19"/>
  <c r="B157" i="19"/>
  <c r="B158" i="19"/>
  <c r="B159" i="19"/>
  <c r="B160" i="19"/>
  <c r="C39" i="24"/>
  <c r="C41" i="24"/>
  <c r="C43" i="24"/>
  <c r="C46" i="24"/>
  <c r="C47" i="24"/>
  <c r="C49" i="24"/>
  <c r="J50" i="24"/>
  <c r="K50" i="24"/>
  <c r="C51" i="24"/>
  <c r="J51" i="24"/>
  <c r="K51" i="24"/>
  <c r="J52" i="24"/>
  <c r="K52" i="24"/>
  <c r="B53" i="24"/>
  <c r="J53" i="24"/>
  <c r="K53" i="24"/>
  <c r="J54" i="24"/>
  <c r="K54" i="24"/>
  <c r="K55" i="24"/>
  <c r="K56" i="24"/>
  <c r="K57" i="24"/>
  <c r="K58" i="24"/>
  <c r="K59" i="24"/>
  <c r="C62" i="24"/>
  <c r="C64" i="24"/>
  <c r="C66" i="24"/>
  <c r="C69" i="24"/>
  <c r="C70" i="24"/>
  <c r="B72" i="24"/>
  <c r="I79" i="24"/>
  <c r="J79" i="24"/>
  <c r="I80" i="24"/>
  <c r="J80" i="24"/>
  <c r="B81" i="24"/>
  <c r="I81" i="24"/>
  <c r="J81" i="24"/>
  <c r="B82" i="24"/>
  <c r="I82" i="24"/>
  <c r="J82" i="24"/>
  <c r="B83" i="24"/>
  <c r="I83" i="24"/>
  <c r="J83" i="24"/>
  <c r="J84" i="24"/>
  <c r="J85" i="24"/>
  <c r="J86" i="24"/>
  <c r="B87" i="24"/>
  <c r="B88" i="24"/>
  <c r="B89" i="24"/>
  <c r="B91" i="24"/>
  <c r="B93" i="24"/>
  <c r="B95" i="24"/>
  <c r="B98" i="24"/>
  <c r="B102" i="24"/>
  <c r="B103" i="24"/>
  <c r="I103" i="24"/>
  <c r="J103" i="24"/>
  <c r="B104" i="24"/>
  <c r="I104" i="24"/>
  <c r="J104" i="24"/>
  <c r="I105" i="24"/>
  <c r="J105" i="24"/>
  <c r="B106" i="24"/>
  <c r="I106" i="24"/>
  <c r="J106" i="24"/>
  <c r="I107" i="24"/>
  <c r="J107" i="24"/>
  <c r="B108" i="24"/>
  <c r="J108" i="24"/>
  <c r="J109" i="24"/>
  <c r="J110" i="24"/>
  <c r="B111" i="24"/>
  <c r="B112" i="24"/>
  <c r="B114" i="24"/>
  <c r="B116" i="24"/>
  <c r="B121" i="24"/>
  <c r="B123" i="24"/>
  <c r="B124" i="24"/>
  <c r="B126" i="24"/>
  <c r="B127" i="24"/>
  <c r="B128" i="24"/>
  <c r="B129" i="24"/>
  <c r="B133" i="24"/>
  <c r="B134" i="24"/>
  <c r="B135" i="24"/>
  <c r="B136" i="24"/>
</calcChain>
</file>

<file path=xl/sharedStrings.xml><?xml version="1.0" encoding="utf-8"?>
<sst xmlns="http://schemas.openxmlformats.org/spreadsheetml/2006/main" count="543" uniqueCount="127">
  <si>
    <t>Input cell</t>
  </si>
  <si>
    <t>#1</t>
  </si>
  <si>
    <t>RRSP</t>
  </si>
  <si>
    <t>Contribution</t>
  </si>
  <si>
    <t>#2</t>
  </si>
  <si>
    <t>Province</t>
  </si>
  <si>
    <t>Total Income</t>
  </si>
  <si>
    <t>Background</t>
  </si>
  <si>
    <t>Federal Bracket</t>
  </si>
  <si>
    <t>Income level</t>
  </si>
  <si>
    <t>over</t>
  </si>
  <si>
    <t>Provincial Bracket</t>
  </si>
  <si>
    <t>#4</t>
  </si>
  <si>
    <t>Output cell</t>
  </si>
  <si>
    <t>Tax savings</t>
  </si>
  <si>
    <t>Federal</t>
  </si>
  <si>
    <t>Provincial</t>
  </si>
  <si>
    <t>Threshold</t>
  </si>
  <si>
    <t>Total Tax Savings</t>
  </si>
  <si>
    <t>Interest income</t>
  </si>
  <si>
    <t>Taxes Payable</t>
  </si>
  <si>
    <t>2016 rates</t>
  </si>
  <si>
    <t>Additional Taxes Payable</t>
  </si>
  <si>
    <t>Net income</t>
  </si>
  <si>
    <t>Yes</t>
  </si>
  <si>
    <t>No</t>
  </si>
  <si>
    <t>Dividend Income</t>
  </si>
  <si>
    <t>Step #1</t>
  </si>
  <si>
    <t>Step #2</t>
  </si>
  <si>
    <t>Non-Canadian corporation</t>
  </si>
  <si>
    <t>Canadian Corporation</t>
  </si>
  <si>
    <t>A</t>
  </si>
  <si>
    <t>B</t>
  </si>
  <si>
    <t>Tax Tips:</t>
  </si>
  <si>
    <t>Basic personal amount (federal)</t>
  </si>
  <si>
    <t>Basic personal amount</t>
  </si>
  <si>
    <t>Basic personal amount (Provincial)</t>
  </si>
  <si>
    <t>`</t>
  </si>
  <si>
    <t>Basic personal amount (Federal)</t>
  </si>
  <si>
    <t>View Details Page</t>
  </si>
  <si>
    <t>Federal Dividend Tax Credit</t>
  </si>
  <si>
    <t>Is the company traded on the stock market?</t>
  </si>
  <si>
    <t>Type of corporation</t>
  </si>
  <si>
    <t>Eligible dividend</t>
  </si>
  <si>
    <t>Gross up (non-eligible dividend)</t>
  </si>
  <si>
    <t>Non-eligible dividend</t>
  </si>
  <si>
    <t>Foreign dividend</t>
  </si>
  <si>
    <t>Eligible dividend tax credit</t>
  </si>
  <si>
    <t>Non-eligible dividend tax credit</t>
  </si>
  <si>
    <t>Dividend tax credit (federal)</t>
  </si>
  <si>
    <t>Dividend Tax Credit</t>
  </si>
  <si>
    <t>Dividend tax credit (provincial)</t>
  </si>
  <si>
    <t>Foreign investment income</t>
  </si>
  <si>
    <t>Foreign Tax Credit</t>
  </si>
  <si>
    <t>Federal foreign tax credit</t>
  </si>
  <si>
    <t>Basic federal tax</t>
  </si>
  <si>
    <t>Net foreign business income</t>
  </si>
  <si>
    <t>Proportion of net foreign business income</t>
  </si>
  <si>
    <t>US</t>
  </si>
  <si>
    <t>Non-US</t>
  </si>
  <si>
    <t>Country of foreign income</t>
  </si>
  <si>
    <t>Taxes withheld/paid on foreign income</t>
  </si>
  <si>
    <t>Input fields will only appear if user selects "Non-Canadian corporation"</t>
  </si>
  <si>
    <t>Don't Know</t>
  </si>
  <si>
    <t>Marginal tax</t>
  </si>
  <si>
    <t>Lower bracket tax</t>
  </si>
  <si>
    <t>Total tax</t>
  </si>
  <si>
    <t>FTC limitation</t>
  </si>
  <si>
    <t>Foreign taxes paid</t>
  </si>
  <si>
    <t>Federal foreign tax credit (lesser of A or B)</t>
  </si>
  <si>
    <t>Provincial foreign tax credit</t>
  </si>
  <si>
    <t>Basic provincial tax</t>
  </si>
  <si>
    <t>Provincial foreign tax credit (lesser of A or B)</t>
  </si>
  <si>
    <t xml:space="preserve">US source investment income - limitation on 20(11) and 20(12) </t>
  </si>
  <si>
    <t>Foreign business income</t>
  </si>
  <si>
    <t>Not eligible for FTC</t>
  </si>
  <si>
    <t>20(11) deduction</t>
  </si>
  <si>
    <t>Net total income</t>
  </si>
  <si>
    <t>Less: Federal FTC claimed</t>
  </si>
  <si>
    <t>Foreign tax credit (federal)</t>
  </si>
  <si>
    <t>Foreign tax credit (provincial)</t>
  </si>
  <si>
    <t>20(12) deduction</t>
  </si>
  <si>
    <t>C</t>
  </si>
  <si>
    <t>Total 20(11)/(12) deduction</t>
  </si>
  <si>
    <t>A+B+C</t>
  </si>
  <si>
    <t>A+B</t>
  </si>
  <si>
    <t>Unused credit - 20(12) deduction</t>
  </si>
  <si>
    <t>min(A or B)</t>
  </si>
  <si>
    <t>Iterative calculation</t>
  </si>
  <si>
    <t>British Columbia</t>
  </si>
  <si>
    <t>BC basic reduction</t>
  </si>
  <si>
    <t>BC Basic Reduction</t>
  </si>
  <si>
    <t>Base amount</t>
  </si>
  <si>
    <t>2015 rates</t>
  </si>
  <si>
    <t>Total income only</t>
  </si>
  <si>
    <t>With interest</t>
  </si>
  <si>
    <t>Provincial tax</t>
  </si>
  <si>
    <t>Net</t>
  </si>
  <si>
    <t>2016 BC rates</t>
  </si>
  <si>
    <t>Tax reduction (+ve)</t>
  </si>
  <si>
    <t>BC Provincial Credit</t>
  </si>
  <si>
    <t>BC Dividend Tax Credit</t>
  </si>
  <si>
    <t>Gross up (eligible dividend)</t>
  </si>
  <si>
    <t>With interest and 20(11)/(12)</t>
  </si>
  <si>
    <t>BC dividend tax credit</t>
  </si>
  <si>
    <t>BC foreign tax credit</t>
  </si>
  <si>
    <t>Foreign Investment Income</t>
  </si>
  <si>
    <t>With RRSP deduction</t>
  </si>
  <si>
    <t>Old Age Security (OAS) Pension</t>
  </si>
  <si>
    <t>Definition</t>
  </si>
  <si>
    <t xml:space="preserve">Old Age Security (OAS) pension is a monthly social security payment available to most Canadians age 65 or older.
You would generally qualify for OAS if you are a Canadian who have lived in Canada for at least 10 years after age 18. For Canadian living outside Canada, OAS is still available for those who were Canadian citizens or legal residents at the time they left the country, as long as they lived at least 20 years in Canada after age 18. 
</t>
  </si>
  <si>
    <t>Tax Tips</t>
  </si>
  <si>
    <t xml:space="preserve">If your net income exceeds $74,789, you will be required to pay back all or a portion of their OAS. This is known as the “OAS clawback”. The repayment is considered taxes payable which is 15% of the excess over $74,789, to a maximum of the total amount of OAS received. 
You should note that capital gain can increase the amount of OAS clawback, even if you have capital loss carried forward that will eliminate capital gain. This is because OAS clawback is calculated without factoring in capital loss carried forward from prior years. Therefore, if you have current year capital loss and also have unrealized gains, you should realize some of these capital gains to offset the losses in the same year.
Government allows for the voluntary deferral of OAS pension for up to 5 years to receive a higher annual pension.  OAS pension will be increased by 0.6% for each month that it is deferred past the usual starting age of 65.  This is 7.2% for each full year that it is deferred.  If it is deferred for the maximum length of time, to age 70, it will be increased by 36%.
</t>
  </si>
  <si>
    <t>With interest and clawback</t>
  </si>
  <si>
    <t>OAS Clawback</t>
  </si>
  <si>
    <t>Threshold for 2017</t>
  </si>
  <si>
    <t>Clawback %</t>
  </si>
  <si>
    <t>If net income is equal or greater than threshold</t>
  </si>
  <si>
    <t>If net income is less than but sum is greater than threshold</t>
  </si>
  <si>
    <t>Total OAS Clawback</t>
  </si>
  <si>
    <t>OAS Pension</t>
  </si>
  <si>
    <t>Additional Federal Tax Savings</t>
  </si>
  <si>
    <t>Additional BC Tax Savings</t>
  </si>
  <si>
    <t>Additional BC Credit</t>
  </si>
  <si>
    <t>Additional Federal Taxes</t>
  </si>
  <si>
    <t>Additional BC Taxes</t>
  </si>
  <si>
    <t>Reduction in BC Credit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</si>
</sst>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_(* #,##0_);_(* \(#,##0\);_(* &quot;-&quot;??_);_(@_)"/>
    <numFmt numFmtId="166" formatCode="0.0000%"/>
    <numFmt numFmtId="167"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b/>
      <u/>
      <sz val="11"/>
      <color rgb="FF0070C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0" fontId="0" fillId="0" borderId="0" xfId="0" applyNumberFormat="1" applyFill="1"/>
    <xf numFmtId="0" fontId="0" fillId="0" borderId="0" xfId="0" applyFill="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3" fontId="5" fillId="0" borderId="0" xfId="0" applyNumberFormat="1" applyFont="1" applyFill="1"/>
    <xf numFmtId="0" fontId="0" fillId="0" borderId="0" xfId="0" applyFont="1"/>
    <xf numFmtId="0" fontId="0" fillId="0" borderId="0" xfId="0" applyAlignment="1">
      <alignment horizontal="left"/>
    </xf>
    <xf numFmtId="0" fontId="7" fillId="0" borderId="0" xfId="0" applyFont="1"/>
    <xf numFmtId="9" fontId="0" fillId="0" borderId="0" xfId="0" applyNumberFormat="1" applyFill="1"/>
    <xf numFmtId="0" fontId="2" fillId="0" borderId="0" xfId="0" applyFont="1" applyFill="1"/>
    <xf numFmtId="9" fontId="0" fillId="0" borderId="0" xfId="0" applyNumberFormat="1" applyFont="1"/>
    <xf numFmtId="0" fontId="0" fillId="2" borderId="0" xfId="0" applyFill="1" applyAlignment="1">
      <alignment wrapText="1"/>
    </xf>
    <xf numFmtId="0" fontId="8" fillId="0" borderId="0" xfId="0" applyFont="1"/>
    <xf numFmtId="164" fontId="0" fillId="0" borderId="1" xfId="0" applyNumberFormat="1" applyBorder="1"/>
    <xf numFmtId="3" fontId="0" fillId="0" borderId="0" xfId="0" applyNumberFormat="1" applyFont="1"/>
    <xf numFmtId="164" fontId="0" fillId="0" borderId="0" xfId="1" applyNumberFormat="1" applyFont="1" applyBorder="1"/>
    <xf numFmtId="165" fontId="0" fillId="0" borderId="0" xfId="1" applyNumberFormat="1" applyFont="1" applyFill="1"/>
    <xf numFmtId="165" fontId="0" fillId="0" borderId="1" xfId="1" applyNumberFormat="1" applyFont="1" applyFill="1" applyBorder="1"/>
    <xf numFmtId="165" fontId="0" fillId="0" borderId="0" xfId="1" applyNumberFormat="1" applyFont="1" applyFill="1" applyBorder="1"/>
    <xf numFmtId="164" fontId="4" fillId="0" borderId="0" xfId="1" applyNumberFormat="1" applyFont="1"/>
    <xf numFmtId="164" fontId="2" fillId="0" borderId="0" xfId="1" applyNumberFormat="1" applyFont="1"/>
    <xf numFmtId="164" fontId="0" fillId="0" borderId="1" xfId="1" applyNumberFormat="1" applyFont="1" applyBorder="1"/>
    <xf numFmtId="164" fontId="4" fillId="0" borderId="0" xfId="1" applyNumberFormat="1" applyFont="1" applyBorder="1"/>
    <xf numFmtId="164" fontId="7" fillId="0" borderId="0" xfId="0" applyNumberFormat="1" applyFont="1"/>
    <xf numFmtId="164" fontId="2" fillId="0" borderId="0" xfId="1" applyNumberFormat="1" applyFont="1" applyFill="1"/>
    <xf numFmtId="164" fontId="0" fillId="0" borderId="0" xfId="1" applyNumberFormat="1" applyFont="1" applyFill="1" applyBorder="1"/>
    <xf numFmtId="0" fontId="0" fillId="0" borderId="0" xfId="0" applyFill="1" applyBorder="1"/>
    <xf numFmtId="3" fontId="0" fillId="0" borderId="0" xfId="0" applyNumberFormat="1" applyFill="1" applyBorder="1"/>
    <xf numFmtId="164" fontId="0" fillId="0" borderId="0" xfId="0" applyNumberFormat="1" applyFill="1" applyBorder="1"/>
    <xf numFmtId="164" fontId="4" fillId="0" borderId="0" xfId="1" applyNumberFormat="1" applyFont="1" applyFill="1" applyBorder="1"/>
    <xf numFmtId="0" fontId="0" fillId="0" borderId="0" xfId="0" applyBorder="1"/>
    <xf numFmtId="3" fontId="0" fillId="0" borderId="0" xfId="0" applyNumberFormat="1" applyFill="1"/>
    <xf numFmtId="164" fontId="0" fillId="0" borderId="0" xfId="0" applyNumberFormat="1" applyFill="1"/>
    <xf numFmtId="164" fontId="0" fillId="0" borderId="1" xfId="1" applyNumberFormat="1" applyFont="1" applyFill="1" applyBorder="1"/>
    <xf numFmtId="166" fontId="0" fillId="0" borderId="0" xfId="2" applyNumberFormat="1" applyFont="1"/>
    <xf numFmtId="164" fontId="0" fillId="2" borderId="0" xfId="0" applyNumberFormat="1" applyFill="1"/>
    <xf numFmtId="0" fontId="0" fillId="0" borderId="0" xfId="0" applyFont="1" applyFill="1"/>
    <xf numFmtId="166" fontId="0" fillId="0" borderId="0" xfId="0" applyNumberFormat="1"/>
    <xf numFmtId="10" fontId="0" fillId="0" borderId="0" xfId="2" applyNumberFormat="1" applyFont="1" applyFill="1"/>
    <xf numFmtId="3" fontId="3" fillId="0" borderId="0" xfId="0" applyNumberFormat="1" applyFont="1"/>
    <xf numFmtId="10" fontId="0" fillId="0" borderId="0" xfId="0" applyNumberFormat="1" applyAlignment="1">
      <alignment horizontal="center"/>
    </xf>
    <xf numFmtId="0" fontId="0" fillId="0" borderId="0" xfId="0" applyAlignment="1">
      <alignment horizontal="center"/>
    </xf>
    <xf numFmtId="165" fontId="2" fillId="0" borderId="0" xfId="1" applyNumberFormat="1" applyFont="1" applyFill="1"/>
    <xf numFmtId="10" fontId="0" fillId="0" borderId="0" xfId="0" applyNumberFormat="1" applyAlignment="1">
      <alignment horizontal="right"/>
    </xf>
    <xf numFmtId="0" fontId="0" fillId="0" borderId="0" xfId="0" applyAlignment="1">
      <alignment horizontal="right"/>
    </xf>
    <xf numFmtId="164" fontId="0" fillId="0" borderId="0" xfId="1" applyNumberFormat="1" applyFont="1" applyAlignment="1">
      <alignment horizontal="right"/>
    </xf>
    <xf numFmtId="10" fontId="5" fillId="0" borderId="0" xfId="0" applyNumberFormat="1" applyFont="1" applyFill="1"/>
    <xf numFmtId="10" fontId="0" fillId="0" borderId="0" xfId="0" applyNumberFormat="1" applyFill="1" applyAlignment="1">
      <alignment horizontal="center"/>
    </xf>
    <xf numFmtId="167" fontId="0" fillId="0" borderId="1" xfId="2" applyNumberFormat="1" applyFont="1" applyBorder="1"/>
    <xf numFmtId="3" fontId="0" fillId="0" borderId="1" xfId="0" applyNumberFormat="1" applyBorder="1"/>
    <xf numFmtId="0" fontId="3" fillId="0" borderId="0" xfId="0" applyFont="1" applyFill="1"/>
    <xf numFmtId="3" fontId="4" fillId="0" borderId="0" xfId="0" applyNumberFormat="1" applyFont="1"/>
    <xf numFmtId="9" fontId="2" fillId="0" borderId="0" xfId="0" applyNumberFormat="1" applyFont="1" applyFill="1"/>
    <xf numFmtId="164" fontId="5" fillId="0" borderId="0" xfId="1" applyNumberFormat="1" applyFont="1" applyFill="1"/>
    <xf numFmtId="3" fontId="2" fillId="0" borderId="0" xfId="0" applyNumberFormat="1" applyFont="1" applyFill="1"/>
    <xf numFmtId="0" fontId="0" fillId="0" borderId="0" xfId="0" applyFill="1" applyAlignment="1">
      <alignment horizontal="center"/>
    </xf>
    <xf numFmtId="164" fontId="0" fillId="0" borderId="1" xfId="0" applyNumberFormat="1" applyFill="1" applyBorder="1"/>
    <xf numFmtId="165" fontId="0" fillId="0" borderId="1" xfId="0" applyNumberFormat="1" applyFill="1" applyBorder="1"/>
    <xf numFmtId="1" fontId="0" fillId="0" borderId="0" xfId="0" applyNumberFormat="1" applyFill="1" applyBorder="1"/>
    <xf numFmtId="0" fontId="0" fillId="0" borderId="0" xfId="0" applyFill="1" applyBorder="1" applyAlignment="1">
      <alignment horizontal="left"/>
    </xf>
    <xf numFmtId="10" fontId="0" fillId="0" borderId="0" xfId="2" applyNumberFormat="1" applyFont="1" applyFill="1" applyBorder="1"/>
    <xf numFmtId="165" fontId="0" fillId="3" borderId="0" xfId="1" applyNumberFormat="1" applyFont="1" applyFill="1"/>
    <xf numFmtId="0" fontId="9" fillId="0" borderId="0" xfId="0" applyFont="1" applyFill="1" applyBorder="1"/>
    <xf numFmtId="43" fontId="0" fillId="0" borderId="0" xfId="0" applyNumberFormat="1" applyFill="1" applyBorder="1"/>
    <xf numFmtId="1" fontId="0" fillId="0" borderId="0" xfId="0" applyNumberFormat="1"/>
    <xf numFmtId="0" fontId="10" fillId="0" borderId="0" xfId="0" applyFont="1" applyFill="1"/>
    <xf numFmtId="0" fontId="8" fillId="0" borderId="0" xfId="0" applyFont="1" applyFill="1"/>
    <xf numFmtId="0" fontId="0" fillId="0" borderId="0" xfId="0" applyFill="1" applyAlignment="1">
      <alignment wrapText="1"/>
    </xf>
    <xf numFmtId="0" fontId="8" fillId="0" borderId="0" xfId="0" applyFont="1" applyFill="1" applyAlignment="1">
      <alignment wrapText="1"/>
    </xf>
    <xf numFmtId="9" fontId="0" fillId="0" borderId="0" xfId="2" applyFont="1"/>
    <xf numFmtId="0" fontId="0" fillId="0" borderId="0" xfId="0" applyFont="1" applyAlignment="1">
      <alignment wrapText="1"/>
    </xf>
    <xf numFmtId="165" fontId="0" fillId="4" borderId="1" xfId="1" applyNumberFormat="1" applyFont="1" applyFill="1" applyBorder="1"/>
    <xf numFmtId="0" fontId="0" fillId="4" borderId="0" xfId="0" applyFont="1" applyFill="1"/>
    <xf numFmtId="164" fontId="0" fillId="0" borderId="0" xfId="0" applyNumberFormat="1" applyBorder="1"/>
    <xf numFmtId="0" fontId="0" fillId="4" borderId="0" xfId="0" applyFill="1"/>
    <xf numFmtId="164" fontId="0" fillId="4" borderId="1" xfId="0" applyNumberFormat="1" applyFill="1" applyBorder="1"/>
    <xf numFmtId="0" fontId="8" fillId="0" borderId="0" xfId="0" applyFont="1" applyFill="1" applyAlignment="1">
      <alignment horizontal="left" vertical="top" wrapText="1"/>
    </xf>
    <xf numFmtId="0" fontId="4" fillId="0" borderId="0" xfId="0" applyFont="1" applyFill="1"/>
    <xf numFmtId="10" fontId="5" fillId="0" borderId="0" xfId="2" applyNumberFormat="1" applyFont="1" applyFill="1"/>
    <xf numFmtId="164" fontId="7" fillId="0" borderId="0" xfId="0" applyNumberFormat="1" applyFont="1" applyFill="1"/>
    <xf numFmtId="9" fontId="0" fillId="0" borderId="0" xfId="0" applyNumberFormat="1" applyFont="1" applyFill="1"/>
    <xf numFmtId="166" fontId="0" fillId="0" borderId="0" xfId="2" applyNumberFormat="1" applyFont="1" applyFill="1"/>
    <xf numFmtId="166" fontId="0" fillId="0" borderId="0" xfId="0" applyNumberForma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opLeftCell="A7" zoomScale="85" zoomScaleNormal="85" workbookViewId="0">
      <selection activeCell="B18" sqref="B18:D35"/>
    </sheetView>
  </sheetViews>
  <sheetFormatPr defaultRowHeight="14.4" x14ac:dyDescent="0.3"/>
  <cols>
    <col min="1" max="1" width="29.6640625" customWidth="1"/>
    <col min="2" max="2" width="11.6640625" customWidth="1"/>
    <col min="3" max="3" width="9.5546875" bestFit="1" customWidth="1"/>
    <col min="4" max="4" width="9" bestFit="1" customWidth="1"/>
    <col min="5" max="5" width="10.5546875" bestFit="1" customWidth="1"/>
    <col min="6" max="6" width="9.33203125" bestFit="1" customWidth="1"/>
    <col min="7" max="7" width="11.6640625" bestFit="1" customWidth="1"/>
    <col min="8" max="8" width="9" bestFit="1" customWidth="1"/>
    <col min="11" max="11" width="12.33203125" bestFit="1" customWidth="1"/>
  </cols>
  <sheetData>
    <row r="1" spans="1:20" x14ac:dyDescent="0.3">
      <c r="B1" s="1"/>
      <c r="C1" t="s">
        <v>0</v>
      </c>
      <c r="E1" s="49"/>
      <c r="F1" s="49"/>
      <c r="G1" s="49"/>
      <c r="H1" s="49"/>
      <c r="I1" s="49"/>
      <c r="J1" s="49"/>
      <c r="K1" s="49"/>
      <c r="L1" s="49"/>
      <c r="M1" s="49"/>
      <c r="N1" s="49"/>
    </row>
    <row r="2" spans="1:20" x14ac:dyDescent="0.3">
      <c r="A2" s="2" t="s">
        <v>1</v>
      </c>
      <c r="E2" s="49"/>
      <c r="F2" s="49"/>
      <c r="G2" s="49"/>
      <c r="H2" s="49"/>
      <c r="I2" s="49"/>
      <c r="J2" s="49"/>
      <c r="K2" s="49"/>
      <c r="L2" s="49"/>
      <c r="M2" s="49"/>
      <c r="N2" s="49"/>
    </row>
    <row r="3" spans="1:20" x14ac:dyDescent="0.3">
      <c r="A3" s="3" t="s">
        <v>2</v>
      </c>
      <c r="E3" s="49"/>
      <c r="F3" s="49"/>
      <c r="G3" s="49"/>
      <c r="H3" s="49"/>
      <c r="I3" s="49"/>
      <c r="J3" s="49"/>
      <c r="K3" s="49"/>
      <c r="L3" s="49"/>
      <c r="M3" s="49"/>
      <c r="N3" s="49"/>
    </row>
    <row r="4" spans="1:20" x14ac:dyDescent="0.3">
      <c r="A4" t="s">
        <v>3</v>
      </c>
      <c r="B4" s="1">
        <v>1000</v>
      </c>
      <c r="E4" s="49"/>
      <c r="F4" s="49"/>
      <c r="G4" s="49"/>
      <c r="H4" s="49"/>
      <c r="I4" s="49"/>
      <c r="J4" s="49"/>
      <c r="K4" s="49"/>
      <c r="L4" s="49"/>
      <c r="M4" s="49"/>
      <c r="N4" s="49"/>
    </row>
    <row r="5" spans="1:20" x14ac:dyDescent="0.3">
      <c r="E5" s="49"/>
      <c r="F5" s="49"/>
      <c r="G5" s="49"/>
      <c r="H5" s="49"/>
      <c r="I5" s="49"/>
      <c r="J5" s="49"/>
      <c r="K5" s="49"/>
      <c r="L5" s="49"/>
      <c r="M5" s="49"/>
      <c r="N5" s="49"/>
    </row>
    <row r="6" spans="1:20" x14ac:dyDescent="0.3">
      <c r="E6" s="49"/>
      <c r="F6" s="49"/>
      <c r="G6" s="49"/>
      <c r="H6" s="49"/>
      <c r="I6" s="49"/>
      <c r="J6" s="49"/>
      <c r="K6" s="49"/>
      <c r="L6" s="49"/>
      <c r="M6" s="49"/>
      <c r="N6" s="49"/>
      <c r="O6" s="21"/>
      <c r="P6" s="55"/>
      <c r="Q6" s="21"/>
      <c r="R6" s="21"/>
      <c r="S6" s="21"/>
      <c r="T6" s="21"/>
    </row>
    <row r="7" spans="1:20" x14ac:dyDescent="0.3">
      <c r="A7" s="2" t="s">
        <v>4</v>
      </c>
      <c r="E7" s="49"/>
      <c r="F7" s="49"/>
      <c r="G7" s="49"/>
      <c r="H7" s="49"/>
      <c r="I7" s="49"/>
      <c r="J7" s="49"/>
      <c r="K7" s="49"/>
      <c r="L7" s="49"/>
      <c r="M7" s="49"/>
      <c r="N7" s="49"/>
      <c r="O7" s="21"/>
      <c r="P7" s="21"/>
      <c r="Q7" s="21"/>
      <c r="R7" s="21"/>
      <c r="S7" s="21"/>
      <c r="T7" s="21"/>
    </row>
    <row r="8" spans="1:20" x14ac:dyDescent="0.3">
      <c r="A8" t="s">
        <v>5</v>
      </c>
      <c r="B8" s="1" t="s">
        <v>89</v>
      </c>
      <c r="E8" s="49"/>
      <c r="F8" s="49"/>
      <c r="G8" s="49"/>
      <c r="H8" s="49"/>
      <c r="I8" s="49"/>
      <c r="J8" s="49"/>
      <c r="K8" s="49"/>
      <c r="L8" s="50"/>
      <c r="M8" s="50"/>
      <c r="N8" s="50"/>
      <c r="O8" s="54"/>
      <c r="P8" s="54"/>
      <c r="Q8" s="54"/>
      <c r="R8" s="54"/>
      <c r="S8" s="54"/>
      <c r="T8" s="54"/>
    </row>
    <row r="9" spans="1:20" x14ac:dyDescent="0.3">
      <c r="E9" s="49"/>
      <c r="F9" s="48"/>
      <c r="G9" s="48"/>
      <c r="H9" s="48"/>
      <c r="I9" s="49"/>
      <c r="J9" s="49"/>
      <c r="K9" s="49"/>
      <c r="L9" s="49"/>
      <c r="M9" s="49"/>
      <c r="N9" s="49"/>
      <c r="O9" s="21"/>
      <c r="P9" s="21"/>
      <c r="Q9" s="21"/>
      <c r="R9" s="21"/>
      <c r="S9" s="21"/>
      <c r="T9" s="21"/>
    </row>
    <row r="11" spans="1:20" x14ac:dyDescent="0.3">
      <c r="H11" s="8"/>
      <c r="L11" s="8"/>
    </row>
    <row r="12" spans="1:20" x14ac:dyDescent="0.3">
      <c r="A12" t="s">
        <v>6</v>
      </c>
      <c r="B12" s="1">
        <v>14000</v>
      </c>
      <c r="H12" s="13"/>
    </row>
    <row r="13" spans="1:20" x14ac:dyDescent="0.3">
      <c r="D13" s="4"/>
      <c r="H13" s="87"/>
    </row>
    <row r="14" spans="1:20" x14ac:dyDescent="0.3">
      <c r="D14" s="4"/>
    </row>
    <row r="15" spans="1:20" x14ac:dyDescent="0.3">
      <c r="B15" s="21"/>
      <c r="C15" s="21"/>
      <c r="D15" s="21"/>
      <c r="E15" s="21"/>
      <c r="F15" s="21"/>
      <c r="G15" s="21"/>
      <c r="H15" s="21"/>
      <c r="I15" s="21"/>
      <c r="J15" s="21"/>
    </row>
    <row r="16" spans="1:20" x14ac:dyDescent="0.3">
      <c r="A16" s="2" t="s">
        <v>7</v>
      </c>
      <c r="B16" s="21"/>
      <c r="C16" s="21"/>
      <c r="D16" s="21"/>
      <c r="E16" s="21"/>
      <c r="F16" s="21"/>
      <c r="G16" s="21"/>
      <c r="H16" s="21"/>
      <c r="I16" s="21"/>
      <c r="J16" s="21"/>
    </row>
    <row r="17" spans="1:10" x14ac:dyDescent="0.3">
      <c r="A17" s="3" t="s">
        <v>8</v>
      </c>
      <c r="B17" s="21"/>
      <c r="C17" s="21"/>
      <c r="D17" s="21"/>
      <c r="E17" s="21"/>
      <c r="F17" s="21"/>
      <c r="G17" s="21"/>
      <c r="H17" s="21"/>
      <c r="I17" s="21"/>
      <c r="J17" s="21"/>
    </row>
    <row r="18" spans="1:10" x14ac:dyDescent="0.3">
      <c r="B18" s="100" t="s">
        <v>21</v>
      </c>
      <c r="C18" s="21"/>
      <c r="D18" s="21"/>
      <c r="E18" s="21"/>
      <c r="F18" s="100"/>
      <c r="G18" s="21"/>
      <c r="H18" s="21"/>
      <c r="I18" s="21"/>
      <c r="J18" s="21"/>
    </row>
    <row r="19" spans="1:10" ht="15.6" x14ac:dyDescent="0.3">
      <c r="A19" t="s">
        <v>9</v>
      </c>
      <c r="B19" s="54">
        <v>0</v>
      </c>
      <c r="C19" s="27">
        <v>45282</v>
      </c>
      <c r="D19" s="101">
        <v>0.15</v>
      </c>
      <c r="E19" s="21"/>
      <c r="F19" s="54"/>
      <c r="G19" s="27"/>
      <c r="H19" s="101"/>
      <c r="I19" s="21"/>
      <c r="J19" s="21"/>
    </row>
    <row r="20" spans="1:10" ht="15.6" x14ac:dyDescent="0.3">
      <c r="A20" t="s">
        <v>10</v>
      </c>
      <c r="B20" s="27">
        <f>C19</f>
        <v>45282</v>
      </c>
      <c r="C20" s="27">
        <v>90563</v>
      </c>
      <c r="D20" s="69">
        <v>0.20499999999999999</v>
      </c>
      <c r="E20" s="21"/>
      <c r="F20" s="27"/>
      <c r="G20" s="27"/>
      <c r="H20" s="69"/>
      <c r="I20" s="21"/>
      <c r="J20" s="21"/>
    </row>
    <row r="21" spans="1:10" ht="15.6" x14ac:dyDescent="0.3">
      <c r="A21" t="s">
        <v>10</v>
      </c>
      <c r="B21" s="27">
        <f>C20</f>
        <v>90563</v>
      </c>
      <c r="C21" s="27">
        <v>140388</v>
      </c>
      <c r="D21" s="69">
        <v>0.26</v>
      </c>
      <c r="E21" s="21"/>
      <c r="F21" s="27"/>
      <c r="G21" s="27"/>
      <c r="H21" s="69"/>
      <c r="I21" s="21"/>
      <c r="J21" s="21"/>
    </row>
    <row r="22" spans="1:10" ht="15.6" x14ac:dyDescent="0.3">
      <c r="A22" t="s">
        <v>10</v>
      </c>
      <c r="B22" s="27">
        <f>C21</f>
        <v>140388</v>
      </c>
      <c r="C22" s="27">
        <v>200000</v>
      </c>
      <c r="D22" s="69">
        <v>0.28999999999999998</v>
      </c>
      <c r="E22" s="21"/>
      <c r="F22" s="27"/>
      <c r="G22" s="27"/>
      <c r="H22" s="69"/>
      <c r="I22" s="21"/>
      <c r="J22" s="21"/>
    </row>
    <row r="23" spans="1:10" ht="15.6" x14ac:dyDescent="0.3">
      <c r="B23" s="27">
        <f>C22</f>
        <v>200000</v>
      </c>
      <c r="C23" s="21"/>
      <c r="D23" s="69">
        <v>0.33</v>
      </c>
      <c r="E23" s="21"/>
      <c r="F23" s="27"/>
      <c r="G23" s="21"/>
      <c r="H23" s="69"/>
      <c r="I23" s="21"/>
      <c r="J23" s="21"/>
    </row>
    <row r="24" spans="1:10" x14ac:dyDescent="0.3">
      <c r="B24" s="21"/>
      <c r="C24" s="100"/>
      <c r="D24" s="21"/>
      <c r="E24" s="21"/>
      <c r="F24" s="54"/>
      <c r="G24" s="21"/>
      <c r="H24" s="21"/>
      <c r="I24" s="21"/>
      <c r="J24" s="21"/>
    </row>
    <row r="25" spans="1:10" ht="15.6" x14ac:dyDescent="0.3">
      <c r="A25" t="s">
        <v>38</v>
      </c>
      <c r="B25" s="27">
        <v>11474</v>
      </c>
      <c r="C25" s="27"/>
      <c r="D25" s="21"/>
      <c r="E25" s="21"/>
      <c r="F25" s="21"/>
      <c r="G25" s="54"/>
      <c r="H25" s="12"/>
      <c r="I25" s="21"/>
      <c r="J25" s="21"/>
    </row>
    <row r="26" spans="1:10" x14ac:dyDescent="0.3">
      <c r="B26" s="21"/>
      <c r="C26" s="21"/>
      <c r="D26" s="21"/>
      <c r="E26" s="21"/>
      <c r="F26" s="21"/>
      <c r="G26" s="21"/>
      <c r="H26" s="21"/>
      <c r="I26" s="21"/>
      <c r="J26" s="21"/>
    </row>
    <row r="27" spans="1:10" x14ac:dyDescent="0.3">
      <c r="A27" s="3" t="s">
        <v>11</v>
      </c>
      <c r="B27" s="21"/>
      <c r="C27" s="21"/>
      <c r="D27" s="21"/>
      <c r="E27" s="21"/>
      <c r="F27" s="21"/>
      <c r="G27" s="21"/>
      <c r="H27" s="21"/>
      <c r="I27" s="21"/>
      <c r="J27" s="21"/>
    </row>
    <row r="28" spans="1:10" x14ac:dyDescent="0.3">
      <c r="A28" s="10" t="s">
        <v>89</v>
      </c>
      <c r="B28" s="100" t="s">
        <v>21</v>
      </c>
      <c r="C28" s="21"/>
      <c r="D28" s="21"/>
      <c r="E28" s="21"/>
      <c r="F28" s="100"/>
      <c r="G28" s="21"/>
      <c r="H28" s="21"/>
      <c r="I28" s="21"/>
      <c r="J28" s="21"/>
    </row>
    <row r="29" spans="1:10" ht="15.6" x14ac:dyDescent="0.3">
      <c r="A29" t="s">
        <v>9</v>
      </c>
      <c r="B29" s="21">
        <v>0</v>
      </c>
      <c r="C29" s="27">
        <v>38210</v>
      </c>
      <c r="D29" s="69">
        <v>5.0599999999999999E-2</v>
      </c>
      <c r="E29" s="21"/>
      <c r="F29" s="21"/>
      <c r="G29" s="27"/>
      <c r="H29" s="69"/>
      <c r="I29" s="21"/>
      <c r="J29" s="21"/>
    </row>
    <row r="30" spans="1:10" ht="15.6" x14ac:dyDescent="0.3">
      <c r="A30" t="s">
        <v>10</v>
      </c>
      <c r="B30" s="27">
        <f>C29</f>
        <v>38210</v>
      </c>
      <c r="C30" s="27">
        <v>76421</v>
      </c>
      <c r="D30" s="69">
        <v>7.6999999999999999E-2</v>
      </c>
      <c r="E30" s="21"/>
      <c r="F30" s="27"/>
      <c r="G30" s="27"/>
      <c r="H30" s="69"/>
      <c r="I30" s="21"/>
      <c r="J30" s="21"/>
    </row>
    <row r="31" spans="1:10" ht="15.6" x14ac:dyDescent="0.3">
      <c r="A31" t="s">
        <v>10</v>
      </c>
      <c r="B31" s="27">
        <f>C30</f>
        <v>76421</v>
      </c>
      <c r="C31" s="27">
        <v>87741</v>
      </c>
      <c r="D31" s="69">
        <v>0.105</v>
      </c>
      <c r="E31" s="21"/>
      <c r="F31" s="27"/>
      <c r="G31" s="27"/>
      <c r="H31" s="69"/>
      <c r="I31" s="21"/>
      <c r="J31" s="21"/>
    </row>
    <row r="32" spans="1:10" ht="15.6" x14ac:dyDescent="0.3">
      <c r="A32" t="s">
        <v>10</v>
      </c>
      <c r="B32" s="27">
        <f>C31</f>
        <v>87741</v>
      </c>
      <c r="C32" s="27">
        <v>106543</v>
      </c>
      <c r="D32" s="69">
        <v>0.1229</v>
      </c>
      <c r="E32" s="21"/>
      <c r="F32" s="27"/>
      <c r="G32" s="27"/>
      <c r="H32" s="69"/>
      <c r="I32" s="21"/>
      <c r="J32" s="21"/>
    </row>
    <row r="33" spans="1:14" ht="15.6" x14ac:dyDescent="0.3">
      <c r="B33" s="27">
        <f>C32</f>
        <v>106543</v>
      </c>
      <c r="C33" s="21"/>
      <c r="D33" s="69">
        <v>0.14699999999999999</v>
      </c>
      <c r="E33" s="21"/>
      <c r="F33" s="27"/>
      <c r="G33" s="21"/>
      <c r="H33" s="69"/>
      <c r="I33" s="21"/>
      <c r="J33" s="21"/>
    </row>
    <row r="34" spans="1:14" x14ac:dyDescent="0.3">
      <c r="B34" s="21"/>
      <c r="C34" s="100"/>
      <c r="D34" s="21"/>
      <c r="E34" s="21"/>
      <c r="F34" s="21"/>
      <c r="G34" s="21"/>
      <c r="H34" s="21"/>
      <c r="I34" s="21"/>
      <c r="J34" s="21"/>
    </row>
    <row r="35" spans="1:14" ht="15.6" x14ac:dyDescent="0.3">
      <c r="A35" t="s">
        <v>35</v>
      </c>
      <c r="B35" s="27">
        <v>10027</v>
      </c>
      <c r="C35" s="27"/>
      <c r="D35" s="21"/>
      <c r="E35" s="21"/>
      <c r="F35" s="21"/>
      <c r="G35" s="21"/>
      <c r="H35" s="47"/>
      <c r="I35" s="54"/>
      <c r="J35" s="54"/>
      <c r="K35" s="4"/>
      <c r="L35" s="4"/>
      <c r="N35" s="4"/>
    </row>
    <row r="36" spans="1:14" x14ac:dyDescent="0.3">
      <c r="B36" s="54"/>
      <c r="C36" s="54"/>
      <c r="D36" s="21" t="s">
        <v>37</v>
      </c>
      <c r="E36" s="12"/>
      <c r="F36" s="102"/>
      <c r="G36" s="21"/>
      <c r="H36" s="20"/>
      <c r="I36" s="21"/>
      <c r="J36" s="21"/>
    </row>
    <row r="37" spans="1:14" x14ac:dyDescent="0.3">
      <c r="A37" s="3" t="s">
        <v>91</v>
      </c>
      <c r="B37" s="4"/>
      <c r="C37" s="4"/>
      <c r="F37" s="13"/>
      <c r="G37" s="46"/>
      <c r="I37" s="16"/>
      <c r="J37" s="10" t="s">
        <v>94</v>
      </c>
    </row>
    <row r="38" spans="1:14" x14ac:dyDescent="0.3">
      <c r="A38" s="3"/>
      <c r="B38" s="4" t="s">
        <v>94</v>
      </c>
      <c r="C38" s="4" t="s">
        <v>107</v>
      </c>
      <c r="F38" s="3" t="s">
        <v>98</v>
      </c>
      <c r="G38" s="46"/>
      <c r="I38" s="70" t="s">
        <v>65</v>
      </c>
      <c r="J38" s="64" t="s">
        <v>64</v>
      </c>
      <c r="K38" s="64" t="s">
        <v>66</v>
      </c>
    </row>
    <row r="39" spans="1:14" ht="15.6" x14ac:dyDescent="0.3">
      <c r="A39" s="3"/>
      <c r="B39" t="s">
        <v>27</v>
      </c>
      <c r="C39" t="s">
        <v>28</v>
      </c>
      <c r="F39">
        <v>0</v>
      </c>
      <c r="G39" s="5">
        <f t="shared" ref="G39:H42" si="0">C29</f>
        <v>38210</v>
      </c>
      <c r="H39" s="7">
        <f t="shared" si="0"/>
        <v>5.0599999999999999E-2</v>
      </c>
      <c r="I39" s="13">
        <v>0</v>
      </c>
      <c r="J39" s="13">
        <f>IF(AND($B$12&gt;=F39,$B$12&lt;G39),($B$12-F39)*H39,0)</f>
        <v>708.4</v>
      </c>
      <c r="K39" s="18">
        <f>(IF(J39=0,0,I39+J39))</f>
        <v>708.4</v>
      </c>
    </row>
    <row r="40" spans="1:14" ht="15.6" x14ac:dyDescent="0.3">
      <c r="A40" s="3"/>
      <c r="B40" s="4">
        <f>$B$12</f>
        <v>14000</v>
      </c>
      <c r="C40" s="4">
        <f>$B$12-$B$4</f>
        <v>13000</v>
      </c>
      <c r="F40" s="5">
        <f>G39</f>
        <v>38210</v>
      </c>
      <c r="G40" s="5">
        <f t="shared" si="0"/>
        <v>76421</v>
      </c>
      <c r="H40" s="7">
        <f t="shared" si="0"/>
        <v>7.6999999999999999E-2</v>
      </c>
      <c r="I40" s="12">
        <f>(G39-F39)*H39</f>
        <v>1933.4259999999999</v>
      </c>
      <c r="J40" s="13">
        <f t="shared" ref="J40:J42" si="1">IF(AND($B$12&gt;=F40,$B$12&lt;G40),($B$12-F40)*H40,0)</f>
        <v>0</v>
      </c>
      <c r="K40" s="18">
        <f>(IF(J40=0,0,I40+J40))</f>
        <v>0</v>
      </c>
    </row>
    <row r="41" spans="1:14" ht="15.6" x14ac:dyDescent="0.3">
      <c r="A41" s="28" t="s">
        <v>92</v>
      </c>
      <c r="B41" s="40">
        <v>-19000</v>
      </c>
      <c r="C41" s="40">
        <v>-19000</v>
      </c>
      <c r="F41" s="27">
        <f>G40</f>
        <v>76421</v>
      </c>
      <c r="G41" s="5">
        <f t="shared" si="0"/>
        <v>87741</v>
      </c>
      <c r="H41" s="7">
        <f t="shared" si="0"/>
        <v>0.105</v>
      </c>
      <c r="I41" s="12">
        <f>((G40-F40)*H40)+I40</f>
        <v>4875.6729999999998</v>
      </c>
      <c r="J41" s="13">
        <f t="shared" si="1"/>
        <v>0</v>
      </c>
      <c r="K41" s="18">
        <f>(IF(J41=0,0,I41+J41))</f>
        <v>0</v>
      </c>
    </row>
    <row r="42" spans="1:14" ht="15.6" x14ac:dyDescent="0.3">
      <c r="A42" s="3"/>
      <c r="B42" s="4">
        <f>IF((B40+B41)&lt;=0,0,SUM(B40:B41))</f>
        <v>0</v>
      </c>
      <c r="C42" s="4">
        <f>IF((C40+C41)&lt;=0,0,SUM(C40:C41))</f>
        <v>0</v>
      </c>
      <c r="F42" s="5">
        <f>G41</f>
        <v>87741</v>
      </c>
      <c r="G42" s="5">
        <f t="shared" si="0"/>
        <v>106543</v>
      </c>
      <c r="H42" s="7">
        <f t="shared" si="0"/>
        <v>0.1229</v>
      </c>
      <c r="I42" s="12">
        <f t="shared" ref="I42:I43" si="2">((G41-F41)*H41)+I41</f>
        <v>6064.2729999999992</v>
      </c>
      <c r="J42" s="13">
        <f t="shared" si="1"/>
        <v>0</v>
      </c>
      <c r="K42" s="18">
        <f>(IF(J42=0,0,I42+J42))</f>
        <v>0</v>
      </c>
    </row>
    <row r="43" spans="1:14" ht="15.6" x14ac:dyDescent="0.3">
      <c r="A43" s="3"/>
      <c r="B43" s="71">
        <v>3.5000000000000003E-2</v>
      </c>
      <c r="C43" s="71">
        <v>3.5000000000000003E-2</v>
      </c>
      <c r="F43" s="5">
        <f>G42</f>
        <v>106543</v>
      </c>
      <c r="H43" s="7">
        <f>D33</f>
        <v>0.14699999999999999</v>
      </c>
      <c r="I43" s="12">
        <f t="shared" si="2"/>
        <v>8375.0387999999984</v>
      </c>
      <c r="J43" s="13">
        <f>IF($B$12&gt;=F43,($B$12-F43)*H43,0)</f>
        <v>0</v>
      </c>
      <c r="K43" s="36">
        <f>(IF(J43=0,0,I43+J43))</f>
        <v>0</v>
      </c>
    </row>
    <row r="44" spans="1:14" x14ac:dyDescent="0.3">
      <c r="A44" s="3"/>
      <c r="B44" s="4">
        <f>B42*B43</f>
        <v>0</v>
      </c>
      <c r="C44" s="4">
        <f>C42*C43</f>
        <v>0</v>
      </c>
      <c r="F44" s="13"/>
      <c r="G44" s="46"/>
      <c r="I44" s="13"/>
      <c r="J44" s="13"/>
      <c r="K44" s="13">
        <f>SUM(K39:K43)</f>
        <v>708.4</v>
      </c>
    </row>
    <row r="45" spans="1:14" x14ac:dyDescent="0.3">
      <c r="A45" s="3"/>
      <c r="B45" s="4"/>
      <c r="C45" s="4"/>
      <c r="F45" s="13"/>
      <c r="G45" s="46"/>
      <c r="H45" s="66" t="s">
        <v>35</v>
      </c>
      <c r="I45" s="13">
        <f>B35</f>
        <v>10027</v>
      </c>
      <c r="J45" s="16">
        <f>D29</f>
        <v>5.0599999999999999E-2</v>
      </c>
      <c r="K45" s="44">
        <f>IF($B$12&lt;I45,$B$12*J45,I45*J45)</f>
        <v>507.36619999999999</v>
      </c>
    </row>
    <row r="46" spans="1:14" x14ac:dyDescent="0.3">
      <c r="A46" s="28" t="s">
        <v>17</v>
      </c>
      <c r="B46" s="4">
        <v>432</v>
      </c>
      <c r="C46" s="4">
        <v>432</v>
      </c>
      <c r="F46" s="13"/>
      <c r="G46" s="46"/>
      <c r="H46" s="4"/>
      <c r="I46" s="4"/>
      <c r="J46" s="16"/>
      <c r="K46" s="13">
        <f>IF((K44-K45)&lt;=0,0,K44-K45)</f>
        <v>201.03379999999999</v>
      </c>
    </row>
    <row r="47" spans="1:14" x14ac:dyDescent="0.3">
      <c r="A47" s="3"/>
      <c r="B47" s="72">
        <f>B44</f>
        <v>0</v>
      </c>
      <c r="C47" s="72">
        <f>C44</f>
        <v>0</v>
      </c>
      <c r="F47" s="13"/>
      <c r="G47" s="46"/>
      <c r="I47" s="13"/>
      <c r="J47" s="13"/>
      <c r="K47" s="13"/>
    </row>
    <row r="48" spans="1:14" x14ac:dyDescent="0.3">
      <c r="A48" s="28" t="s">
        <v>99</v>
      </c>
      <c r="B48" s="4">
        <f>IF((B46-B47)&lt;=0,0,B46-B47)</f>
        <v>432</v>
      </c>
      <c r="C48" s="4">
        <f>IF((C46-C47)&lt;=0,0,C46-C47)</f>
        <v>432</v>
      </c>
      <c r="D48" s="4"/>
      <c r="F48" s="13"/>
      <c r="G48" s="46"/>
      <c r="I48" s="13"/>
      <c r="J48" s="13"/>
      <c r="K48" s="13"/>
    </row>
    <row r="49" spans="1:11" x14ac:dyDescent="0.3">
      <c r="A49" s="3"/>
      <c r="B49" s="4"/>
      <c r="C49" s="4"/>
      <c r="F49" s="13"/>
      <c r="G49" s="46"/>
      <c r="I49" s="16"/>
      <c r="J49" s="10" t="s">
        <v>107</v>
      </c>
    </row>
    <row r="50" spans="1:11" x14ac:dyDescent="0.3">
      <c r="A50" t="s">
        <v>96</v>
      </c>
      <c r="B50" s="4">
        <f>K46</f>
        <v>201.03379999999999</v>
      </c>
      <c r="C50" s="4">
        <f>K58</f>
        <v>150.43379999999996</v>
      </c>
      <c r="F50" s="3" t="s">
        <v>98</v>
      </c>
      <c r="G50" s="46"/>
      <c r="I50" s="70" t="s">
        <v>65</v>
      </c>
      <c r="J50" s="64" t="s">
        <v>64</v>
      </c>
      <c r="K50" s="64" t="s">
        <v>66</v>
      </c>
    </row>
    <row r="51" spans="1:11" ht="15.6" x14ac:dyDescent="0.3">
      <c r="B51" s="4"/>
      <c r="C51" s="4"/>
      <c r="F51">
        <v>0</v>
      </c>
      <c r="G51" s="5">
        <f t="shared" ref="G51:H54" si="3">C29</f>
        <v>38210</v>
      </c>
      <c r="H51" s="7">
        <f t="shared" si="3"/>
        <v>5.0599999999999999E-2</v>
      </c>
      <c r="I51" s="13">
        <v>0</v>
      </c>
      <c r="J51" s="13">
        <f>IF(AND(($B$12-$B$4)&gt;=F51,($B$12-$B$4)&lt;G51),($B$12-$B$4-F51)*H51,0)</f>
        <v>657.8</v>
      </c>
      <c r="K51" s="18">
        <f t="shared" ref="K51:K55" si="4">(IF(J51=0,0,I51+J51))</f>
        <v>657.8</v>
      </c>
    </row>
    <row r="52" spans="1:11" ht="15.6" x14ac:dyDescent="0.3">
      <c r="A52" s="28" t="s">
        <v>97</v>
      </c>
      <c r="B52" s="4">
        <f>MIN(B48,B50)</f>
        <v>201.03379999999999</v>
      </c>
      <c r="C52" s="4">
        <f>MIN(C48,C50)</f>
        <v>150.43379999999996</v>
      </c>
      <c r="D52" s="26"/>
      <c r="F52" s="5">
        <f>G51</f>
        <v>38210</v>
      </c>
      <c r="G52" s="5">
        <f t="shared" si="3"/>
        <v>76421</v>
      </c>
      <c r="H52" s="7">
        <f t="shared" si="3"/>
        <v>7.6999999999999999E-2</v>
      </c>
      <c r="I52" s="12">
        <f>(G51-F51)*H51</f>
        <v>1933.4259999999999</v>
      </c>
      <c r="J52" s="13">
        <f>IF(AND(($B$12-$B$4)&gt;=F52,($B$12-$B$4)&lt;G52),($B$12-$B$4-F52)*H52,0)</f>
        <v>0</v>
      </c>
      <c r="K52" s="18">
        <f t="shared" si="4"/>
        <v>0</v>
      </c>
    </row>
    <row r="53" spans="1:11" ht="15.6" x14ac:dyDescent="0.3">
      <c r="A53" s="3"/>
      <c r="B53" s="4"/>
      <c r="C53" s="4"/>
      <c r="F53" s="27">
        <f>G52</f>
        <v>76421</v>
      </c>
      <c r="G53" s="5">
        <f t="shared" si="3"/>
        <v>87741</v>
      </c>
      <c r="H53" s="7">
        <f t="shared" si="3"/>
        <v>0.105</v>
      </c>
      <c r="I53" s="12">
        <f>((G52-F52)*H52)+I52</f>
        <v>4875.6729999999998</v>
      </c>
      <c r="J53" s="13">
        <f>IF(AND(($B$12-$B$4)&gt;=F53,($B$12-$B$4)&lt;G53),($B$12-$B$4-F53)*H53,0)</f>
        <v>0</v>
      </c>
      <c r="K53" s="18">
        <f t="shared" si="4"/>
        <v>0</v>
      </c>
    </row>
    <row r="54" spans="1:11" ht="15.6" x14ac:dyDescent="0.3">
      <c r="A54" s="28" t="s">
        <v>91</v>
      </c>
      <c r="B54" s="37">
        <f>C52-B52</f>
        <v>-50.600000000000023</v>
      </c>
      <c r="C54" s="4"/>
      <c r="F54" s="5">
        <f>G53</f>
        <v>87741</v>
      </c>
      <c r="G54" s="5">
        <f t="shared" si="3"/>
        <v>106543</v>
      </c>
      <c r="H54" s="7">
        <f t="shared" si="3"/>
        <v>0.1229</v>
      </c>
      <c r="I54" s="12">
        <f t="shared" ref="I54:I55" si="5">((G53-F53)*H53)+I53</f>
        <v>6064.2729999999992</v>
      </c>
      <c r="J54" s="13">
        <f>IF(AND(($B$12-$B$4)&gt;=F54,($B$12-$B$4)&lt;G54),($B$12-$B$4-F54)*H54,0)</f>
        <v>0</v>
      </c>
      <c r="K54" s="18">
        <f t="shared" si="4"/>
        <v>0</v>
      </c>
    </row>
    <row r="55" spans="1:11" ht="15.6" x14ac:dyDescent="0.3">
      <c r="A55" s="3"/>
      <c r="B55" s="4"/>
      <c r="C55" s="4"/>
      <c r="F55" s="5">
        <f>G54</f>
        <v>106543</v>
      </c>
      <c r="H55" s="7">
        <f>D33</f>
        <v>0.14699999999999999</v>
      </c>
      <c r="I55" s="12">
        <f t="shared" si="5"/>
        <v>8375.0387999999984</v>
      </c>
      <c r="J55" s="13">
        <f>IF(($B$12-$B$4)&gt;=F55,($B$12-$B$4-F55)*H55,0)</f>
        <v>0</v>
      </c>
      <c r="K55" s="36">
        <f t="shared" si="4"/>
        <v>0</v>
      </c>
    </row>
    <row r="56" spans="1:11" x14ac:dyDescent="0.3">
      <c r="A56" s="3"/>
      <c r="B56" s="4"/>
      <c r="C56" s="4"/>
      <c r="F56" s="13"/>
      <c r="G56" s="46"/>
      <c r="I56" s="16"/>
      <c r="K56" s="18">
        <f>SUM(K51:K55)</f>
        <v>657.8</v>
      </c>
    </row>
    <row r="57" spans="1:11" x14ac:dyDescent="0.3">
      <c r="A57" s="3"/>
      <c r="B57" s="4"/>
      <c r="C57" s="4"/>
      <c r="F57" s="13"/>
      <c r="G57" s="46"/>
      <c r="H57" s="66" t="s">
        <v>35</v>
      </c>
      <c r="I57" s="13">
        <f>B35</f>
        <v>10027</v>
      </c>
      <c r="J57" s="16">
        <f>D29</f>
        <v>5.0599999999999999E-2</v>
      </c>
      <c r="K57" s="44">
        <f>IF(($B$12+$B$4)&lt;I57,($B$12+$B$4)*J57,I57*J57)</f>
        <v>507.36619999999999</v>
      </c>
    </row>
    <row r="58" spans="1:11" x14ac:dyDescent="0.3">
      <c r="A58" s="3"/>
      <c r="B58" s="4"/>
      <c r="C58" s="4"/>
      <c r="F58" s="13"/>
      <c r="G58" s="46"/>
      <c r="I58" s="16"/>
      <c r="K58" s="13">
        <f>IF((K56-K57)&lt;=0,0,K56-K57)</f>
        <v>150.43379999999996</v>
      </c>
    </row>
    <row r="59" spans="1:11" x14ac:dyDescent="0.3">
      <c r="A59" s="3"/>
      <c r="B59" s="4"/>
      <c r="C59" s="4"/>
      <c r="H59" s="13"/>
    </row>
    <row r="60" spans="1:11" x14ac:dyDescent="0.3">
      <c r="A60" s="3" t="s">
        <v>100</v>
      </c>
      <c r="B60" s="4"/>
      <c r="C60" s="4"/>
      <c r="H60" s="13"/>
    </row>
    <row r="61" spans="1:11" x14ac:dyDescent="0.3">
      <c r="A61" s="3"/>
      <c r="B61" s="4" t="s">
        <v>94</v>
      </c>
      <c r="C61" s="4" t="s">
        <v>107</v>
      </c>
      <c r="H61" s="13"/>
    </row>
    <row r="62" spans="1:11" x14ac:dyDescent="0.3">
      <c r="A62" s="3"/>
      <c r="B62" t="s">
        <v>27</v>
      </c>
      <c r="C62" t="s">
        <v>28</v>
      </c>
      <c r="H62" s="13"/>
    </row>
    <row r="63" spans="1:11" x14ac:dyDescent="0.3">
      <c r="A63" s="3"/>
      <c r="B63" s="4">
        <f>$B$12</f>
        <v>14000</v>
      </c>
      <c r="C63" s="4">
        <f>$B$12-$B$4</f>
        <v>13000</v>
      </c>
      <c r="H63" s="13"/>
    </row>
    <row r="64" spans="1:11" x14ac:dyDescent="0.3">
      <c r="A64" s="28" t="s">
        <v>92</v>
      </c>
      <c r="B64" s="40">
        <v>-15000</v>
      </c>
      <c r="C64" s="40">
        <v>-15000</v>
      </c>
      <c r="H64" s="13"/>
    </row>
    <row r="65" spans="1:12" x14ac:dyDescent="0.3">
      <c r="A65" s="3"/>
      <c r="B65" s="4">
        <f>IF((B63+B64)&lt;=0,0,SUM(B63:B64))</f>
        <v>0</v>
      </c>
      <c r="C65" s="4">
        <f>IF((C63+C64)&lt;=0,0,SUM(C63:C64))</f>
        <v>0</v>
      </c>
      <c r="H65" s="13"/>
    </row>
    <row r="66" spans="1:12" x14ac:dyDescent="0.3">
      <c r="A66" s="3"/>
      <c r="B66" s="71">
        <v>0.02</v>
      </c>
      <c r="C66" s="71">
        <v>0.02</v>
      </c>
      <c r="H66" s="13"/>
    </row>
    <row r="67" spans="1:12" x14ac:dyDescent="0.3">
      <c r="A67" s="3"/>
      <c r="B67" s="4">
        <f>B65*B66</f>
        <v>0</v>
      </c>
      <c r="C67" s="4">
        <f>C65*C66</f>
        <v>0</v>
      </c>
      <c r="H67" s="13"/>
    </row>
    <row r="68" spans="1:12" x14ac:dyDescent="0.3">
      <c r="A68" s="3"/>
      <c r="B68" s="4"/>
      <c r="C68" s="4"/>
      <c r="H68" s="13"/>
    </row>
    <row r="69" spans="1:12" x14ac:dyDescent="0.3">
      <c r="A69" s="28" t="s">
        <v>17</v>
      </c>
      <c r="B69" s="4">
        <v>75</v>
      </c>
      <c r="C69" s="4">
        <v>75</v>
      </c>
      <c r="H69" s="13"/>
    </row>
    <row r="70" spans="1:12" x14ac:dyDescent="0.3">
      <c r="A70" s="3"/>
      <c r="B70" s="72">
        <f>B67</f>
        <v>0</v>
      </c>
      <c r="C70" s="72">
        <f>C67</f>
        <v>0</v>
      </c>
      <c r="H70" s="13"/>
    </row>
    <row r="71" spans="1:12" x14ac:dyDescent="0.3">
      <c r="A71" s="28" t="s">
        <v>99</v>
      </c>
      <c r="B71" s="4">
        <f>IF((B69-B70)&lt;=0,0,B69-B70)</f>
        <v>75</v>
      </c>
      <c r="C71" s="4">
        <f>IF((C69-C70)&lt;=0,0,C69-C70)</f>
        <v>75</v>
      </c>
      <c r="H71" s="13"/>
    </row>
    <row r="72" spans="1:12" x14ac:dyDescent="0.3">
      <c r="A72" s="3"/>
      <c r="B72" s="4"/>
      <c r="C72" s="4"/>
      <c r="H72" s="13"/>
    </row>
    <row r="73" spans="1:12" x14ac:dyDescent="0.3">
      <c r="A73" s="28" t="s">
        <v>100</v>
      </c>
      <c r="B73" s="37">
        <f>B71-C71</f>
        <v>0</v>
      </c>
      <c r="C73" s="4"/>
      <c r="H73" s="13"/>
    </row>
    <row r="74" spans="1:12" x14ac:dyDescent="0.3">
      <c r="B74" s="4"/>
      <c r="C74" s="4"/>
      <c r="E74" s="13"/>
      <c r="F74" s="46"/>
      <c r="H74" s="16"/>
    </row>
    <row r="75" spans="1:12" x14ac:dyDescent="0.3">
      <c r="A75" s="2" t="s">
        <v>12</v>
      </c>
      <c r="H75" s="18"/>
    </row>
    <row r="76" spans="1:12" x14ac:dyDescent="0.3">
      <c r="B76" s="11"/>
      <c r="C76" t="s">
        <v>13</v>
      </c>
      <c r="I76" s="18"/>
      <c r="J76" s="4"/>
      <c r="K76" s="13"/>
    </row>
    <row r="78" spans="1:12" x14ac:dyDescent="0.3">
      <c r="A78" t="s">
        <v>14</v>
      </c>
      <c r="B78"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150</v>
      </c>
      <c r="C78" t="s">
        <v>15</v>
      </c>
      <c r="H78" s="53"/>
      <c r="I78" s="53"/>
      <c r="J78" s="53"/>
      <c r="K78" s="53"/>
      <c r="L78" s="53"/>
    </row>
    <row r="79" spans="1:12" x14ac:dyDescent="0.3">
      <c r="B79" s="39">
        <f>-IF((B12&gt;=B25),IF((B12-B4)&gt;=B25,0,IF(((B12-B4)&lt;B25),((B25-(B12-B4))*D19))),IF(B12&lt;B25,B4*D19))</f>
        <v>0</v>
      </c>
      <c r="C79" t="s">
        <v>34</v>
      </c>
      <c r="H79" s="53"/>
      <c r="I79" s="4"/>
      <c r="J79" s="53"/>
      <c r="K79" s="53"/>
      <c r="L79" s="53"/>
    </row>
    <row r="80" spans="1:12" x14ac:dyDescent="0.3">
      <c r="B80" s="12">
        <f>IF(AND(B12&gt;=B29,B12&lt;=C29),B4*D29,IF(AND(B12&gt;B30,B12&lt;=C30),IF((B12-B30)&gt;B4,B4*D30,((B12-B30)*D30)+((B4-(B12-B30))*D29)),IF(AND(B12&gt;B31,B12&lt;=C31),IF((B12-B31)&gt;B4,B4*D31,IF((B12-B30)&gt;B4,(((B12-B31)*D31)+((B4-(B12-B31))*D30)),(((B12-B31)*D31))+((B31-B30)*D30)+((B4-(B12-B30))*D29))),IF(AND(B12&gt;B32,B12&lt;=C32),IF((B12-B32)&gt;B4,B4*D32,IF((B12-B31)&gt;B4,((B12-B32)*D32)+((B4-(B12-B32))*D31),IF((B12-B30)&gt;B4,((B12-B32)*D32)+((B32-B31)*D31)+((B4-(B12-B31))*D30),((B12-B32)*D32)+((B32-B31)*D31)+((B31-B30)*D30)+((B4-(B12-B30))*D29)))),IF(B12&gt;B33,IF((B12-B33)&gt;B4,B4*D33,IF((B12-B32)&gt;B4,((B12-B33)*D33)+((B4-(B12-B33))*D32),IF((B12-B31)&gt;B4,((B12-B33)*D33)+((B33-B32)*D32)+((B4-(B12-B32))*D31),IF((B12-B30)&gt;B4,((B12-B33)*D33)+((B33-B32)*D32)+((B32-B31)*D31)+((B4-(B12-B31))*D30),((B12-B33)*D33)+((B33-B32)*D32)+((B32-B31)*D31)+((B31-B30)*D30)+((B4-(B12-B30))*D29))))))))))</f>
        <v>50.6</v>
      </c>
      <c r="C80" t="s">
        <v>16</v>
      </c>
      <c r="H80" s="53"/>
      <c r="I80" s="18"/>
      <c r="J80" s="53"/>
      <c r="K80" s="53"/>
      <c r="L80" s="53"/>
    </row>
    <row r="81" spans="1:12" x14ac:dyDescent="0.3">
      <c r="B81" s="39">
        <f>-IF((B12&gt;=B35),IF((B12-B4)&gt;=B35,0,IF(((B12-B4)&lt;B35),((B35-(B12-B4))*D29))),IF(B12&lt;B35,B4*D29))</f>
        <v>0</v>
      </c>
      <c r="C81" t="s">
        <v>36</v>
      </c>
      <c r="H81" s="53"/>
      <c r="I81" s="53"/>
      <c r="J81" s="53"/>
      <c r="K81" s="53"/>
      <c r="L81" s="53"/>
    </row>
    <row r="82" spans="1:12" x14ac:dyDescent="0.3">
      <c r="B82" s="39">
        <f>B54</f>
        <v>-50.600000000000023</v>
      </c>
      <c r="C82" t="s">
        <v>90</v>
      </c>
      <c r="H82" s="53"/>
      <c r="I82" s="53"/>
      <c r="J82" s="53"/>
      <c r="K82" s="53"/>
      <c r="L82" s="53"/>
    </row>
    <row r="83" spans="1:12" x14ac:dyDescent="0.3">
      <c r="B83" s="40">
        <f>-B73</f>
        <v>0</v>
      </c>
      <c r="C83" s="28" t="s">
        <v>100</v>
      </c>
      <c r="H83" s="53"/>
      <c r="I83" s="53"/>
      <c r="J83" s="53"/>
      <c r="K83" s="53"/>
      <c r="L83" s="53"/>
    </row>
    <row r="84" spans="1:12" x14ac:dyDescent="0.3">
      <c r="A84" t="s">
        <v>18</v>
      </c>
      <c r="B84" s="14">
        <f>SUM(B78:B83)</f>
        <v>149.99999999999997</v>
      </c>
      <c r="G84" s="53"/>
      <c r="H84" s="53"/>
      <c r="I84" s="53"/>
      <c r="J84" s="53"/>
      <c r="K84" s="53"/>
      <c r="L84" s="53"/>
    </row>
    <row r="85" spans="1:12" x14ac:dyDescent="0.3">
      <c r="G85" s="53"/>
      <c r="H85" s="53"/>
      <c r="I85" s="53"/>
      <c r="J85" s="53"/>
      <c r="K85" s="53"/>
      <c r="L85" s="53"/>
    </row>
    <row r="86" spans="1:12" x14ac:dyDescent="0.3">
      <c r="G86" s="53"/>
      <c r="H86" s="53"/>
      <c r="I86" s="53"/>
      <c r="J86" s="53"/>
      <c r="K86" s="53"/>
      <c r="L86" s="53"/>
    </row>
    <row r="87" spans="1:12" x14ac:dyDescent="0.3">
      <c r="G87" s="53"/>
      <c r="H87" s="53"/>
      <c r="I87" s="53"/>
      <c r="J87" s="53"/>
      <c r="K87" s="53"/>
      <c r="L87" s="53"/>
    </row>
    <row r="88" spans="1:12" x14ac:dyDescent="0.3">
      <c r="A88" s="19" t="s">
        <v>39</v>
      </c>
      <c r="B88" s="13"/>
      <c r="G88" s="53"/>
      <c r="H88" s="53"/>
      <c r="I88" s="53"/>
      <c r="J88" s="53"/>
      <c r="K88" s="53"/>
      <c r="L88" s="53"/>
    </row>
    <row r="89" spans="1:12" x14ac:dyDescent="0.3">
      <c r="A89" t="s">
        <v>121</v>
      </c>
      <c r="B89" s="13">
        <f>SUM(B78:B79)</f>
        <v>150</v>
      </c>
    </row>
    <row r="90" spans="1:12" x14ac:dyDescent="0.3">
      <c r="A90" t="s">
        <v>122</v>
      </c>
      <c r="B90" s="96">
        <f>SUM(B80:B82)</f>
        <v>0</v>
      </c>
    </row>
    <row r="91" spans="1:12" x14ac:dyDescent="0.3">
      <c r="A91" t="s">
        <v>123</v>
      </c>
      <c r="B91" s="79">
        <f>B83</f>
        <v>0</v>
      </c>
    </row>
    <row r="92" spans="1:12" x14ac:dyDescent="0.3">
      <c r="B92" s="13">
        <f>SUM(B89:B91)</f>
        <v>150</v>
      </c>
    </row>
    <row r="93" spans="1:12" x14ac:dyDescent="0.3">
      <c r="B93" s="15"/>
    </row>
    <row r="104" spans="1:1" x14ac:dyDescent="0.3">
      <c r="A104" s="3"/>
    </row>
  </sheetData>
  <dataValidations disablePrompts="1" count="1">
    <dataValidation type="list" allowBlank="1" showInputMessage="1" showErrorMessage="1" sqref="B8">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opLeftCell="A7" zoomScale="85" zoomScaleNormal="85" workbookViewId="0">
      <selection activeCell="B17" sqref="B17:D34"/>
    </sheetView>
  </sheetViews>
  <sheetFormatPr defaultRowHeight="14.4" x14ac:dyDescent="0.3"/>
  <cols>
    <col min="1" max="1" width="33.6640625" customWidth="1"/>
    <col min="2" max="2" width="16" customWidth="1"/>
    <col min="3" max="3" width="14.6640625" customWidth="1"/>
    <col min="4" max="4" width="11.33203125" customWidth="1"/>
    <col min="5" max="5" width="10.5546875" bestFit="1" customWidth="1"/>
    <col min="6" max="7" width="10.5546875" customWidth="1"/>
    <col min="8" max="8" width="16.88671875" style="13" customWidth="1"/>
    <col min="9" max="9" width="14" customWidth="1"/>
    <col min="10" max="10" width="12.88671875" bestFit="1" customWidth="1"/>
    <col min="11" max="11" width="12" bestFit="1" customWidth="1"/>
    <col min="12" max="12" width="10.109375" bestFit="1" customWidth="1"/>
    <col min="13" max="13" width="12.33203125" bestFit="1" customWidth="1"/>
    <col min="17" max="17" width="9.5546875" bestFit="1" customWidth="1"/>
  </cols>
  <sheetData>
    <row r="1" spans="1:16" x14ac:dyDescent="0.3">
      <c r="B1" s="1"/>
      <c r="C1" t="s">
        <v>0</v>
      </c>
    </row>
    <row r="2" spans="1:16" x14ac:dyDescent="0.3">
      <c r="A2" s="2" t="s">
        <v>1</v>
      </c>
      <c r="E2" s="73"/>
      <c r="F2" s="21"/>
      <c r="G2" s="21"/>
      <c r="H2" s="12"/>
      <c r="I2" s="21"/>
      <c r="J2" s="21"/>
      <c r="K2" s="21"/>
      <c r="L2" s="21"/>
      <c r="M2" s="21"/>
      <c r="N2" s="21"/>
      <c r="O2" s="21"/>
      <c r="P2" s="21"/>
    </row>
    <row r="3" spans="1:16" x14ac:dyDescent="0.3">
      <c r="A3" s="3" t="s">
        <v>19</v>
      </c>
      <c r="E3" s="21"/>
      <c r="F3" s="21"/>
      <c r="G3" s="21"/>
      <c r="H3" s="21"/>
      <c r="I3" s="21"/>
      <c r="J3" s="21"/>
      <c r="K3" s="21"/>
      <c r="L3" s="21"/>
      <c r="M3" s="21"/>
      <c r="N3" s="21"/>
      <c r="O3" s="21"/>
      <c r="P3" s="21"/>
    </row>
    <row r="4" spans="1:16" x14ac:dyDescent="0.3">
      <c r="A4" t="s">
        <v>19</v>
      </c>
      <c r="B4" s="1">
        <v>1000</v>
      </c>
      <c r="E4" s="21"/>
      <c r="F4" s="21"/>
      <c r="G4" s="21"/>
      <c r="H4" s="21"/>
      <c r="I4" s="21"/>
      <c r="J4" s="21"/>
      <c r="K4" s="21"/>
      <c r="L4" s="21"/>
      <c r="M4" s="21"/>
      <c r="N4" s="21"/>
      <c r="O4" s="21"/>
      <c r="P4" s="21"/>
    </row>
    <row r="5" spans="1:16" x14ac:dyDescent="0.3">
      <c r="E5" s="21"/>
      <c r="F5" s="21"/>
      <c r="G5" s="12"/>
      <c r="H5" s="21"/>
      <c r="I5" s="21"/>
      <c r="J5" s="21"/>
      <c r="K5" s="21"/>
      <c r="L5" s="21"/>
      <c r="M5" s="21"/>
      <c r="N5" s="21"/>
      <c r="O5" s="21"/>
      <c r="P5" s="21"/>
    </row>
    <row r="6" spans="1:16" x14ac:dyDescent="0.3">
      <c r="E6" s="21"/>
      <c r="F6" s="21"/>
      <c r="G6" s="21"/>
      <c r="H6" s="12"/>
      <c r="I6" s="21"/>
      <c r="J6" s="21"/>
      <c r="K6" s="21"/>
      <c r="L6" s="21"/>
      <c r="M6" s="21"/>
      <c r="N6" s="21"/>
      <c r="O6" s="21"/>
      <c r="P6" s="21"/>
    </row>
    <row r="7" spans="1:16" x14ac:dyDescent="0.3">
      <c r="A7" s="2" t="s">
        <v>4</v>
      </c>
      <c r="E7" s="21"/>
      <c r="F7" s="21"/>
      <c r="G7" s="21"/>
      <c r="H7" s="12"/>
      <c r="I7" s="31"/>
      <c r="J7" s="21"/>
      <c r="K7" s="21"/>
      <c r="L7" s="21"/>
      <c r="M7" s="21"/>
      <c r="N7" s="21"/>
      <c r="O7" s="21"/>
      <c r="P7" s="21"/>
    </row>
    <row r="8" spans="1:16" x14ac:dyDescent="0.3">
      <c r="A8" t="s">
        <v>5</v>
      </c>
      <c r="B8" s="1" t="s">
        <v>89</v>
      </c>
      <c r="E8" s="21"/>
      <c r="F8" s="21"/>
      <c r="G8" s="21"/>
      <c r="H8" s="12"/>
      <c r="I8" s="21"/>
      <c r="J8" s="21"/>
      <c r="K8" s="21"/>
      <c r="L8" s="21"/>
      <c r="M8" s="21"/>
      <c r="N8" s="21"/>
      <c r="O8" s="21"/>
      <c r="P8" s="21"/>
    </row>
    <row r="9" spans="1:16" x14ac:dyDescent="0.3">
      <c r="E9" s="21"/>
      <c r="F9" s="21"/>
      <c r="G9" s="21"/>
      <c r="H9" s="12"/>
      <c r="I9" s="21"/>
      <c r="J9" s="21"/>
      <c r="K9" s="21"/>
      <c r="L9" s="21"/>
      <c r="M9" s="21"/>
      <c r="N9" s="21"/>
      <c r="O9" s="21"/>
      <c r="P9" s="21"/>
    </row>
    <row r="10" spans="1:16" x14ac:dyDescent="0.3">
      <c r="E10" s="21"/>
      <c r="F10" s="49"/>
      <c r="G10" s="49"/>
      <c r="H10" s="12"/>
      <c r="I10" s="21"/>
      <c r="J10" s="21"/>
      <c r="K10" s="21"/>
      <c r="L10" s="21"/>
      <c r="M10" s="21"/>
      <c r="N10" s="21"/>
      <c r="O10" s="21"/>
      <c r="P10" s="21"/>
    </row>
    <row r="11" spans="1:16" x14ac:dyDescent="0.3">
      <c r="E11" s="21"/>
      <c r="F11" s="21"/>
      <c r="G11" s="21"/>
      <c r="H11" s="47"/>
      <c r="I11" s="21"/>
      <c r="J11" s="21"/>
      <c r="K11" s="21"/>
      <c r="L11" s="21"/>
      <c r="M11" s="21"/>
      <c r="N11" s="21"/>
      <c r="O11" s="21"/>
      <c r="P11" s="21"/>
    </row>
    <row r="12" spans="1:16" x14ac:dyDescent="0.3">
      <c r="A12" t="s">
        <v>6</v>
      </c>
      <c r="B12" s="1">
        <v>139000</v>
      </c>
    </row>
    <row r="15" spans="1:16" x14ac:dyDescent="0.3">
      <c r="A15" s="2" t="s">
        <v>7</v>
      </c>
    </row>
    <row r="16" spans="1:16" x14ac:dyDescent="0.3">
      <c r="A16" s="3" t="s">
        <v>8</v>
      </c>
      <c r="E16" s="21"/>
      <c r="F16" s="21"/>
      <c r="G16" s="21"/>
      <c r="H16" s="12"/>
    </row>
    <row r="17" spans="1:14" x14ac:dyDescent="0.3">
      <c r="B17" s="100" t="s">
        <v>21</v>
      </c>
      <c r="C17" s="21"/>
      <c r="D17" s="21"/>
      <c r="E17" s="21"/>
      <c r="F17" s="100"/>
      <c r="G17" s="21"/>
      <c r="H17" s="21"/>
    </row>
    <row r="18" spans="1:14" ht="15.6" x14ac:dyDescent="0.3">
      <c r="A18" t="s">
        <v>9</v>
      </c>
      <c r="B18" s="54">
        <v>0</v>
      </c>
      <c r="C18" s="27">
        <v>45282</v>
      </c>
      <c r="D18" s="101">
        <v>0.15</v>
      </c>
      <c r="E18" s="21"/>
      <c r="F18" s="54"/>
      <c r="G18" s="27"/>
      <c r="H18" s="101"/>
      <c r="I18" s="5"/>
      <c r="J18" s="6"/>
      <c r="K18" s="6"/>
      <c r="L18" s="4"/>
      <c r="M18" s="5"/>
      <c r="N18" s="6"/>
    </row>
    <row r="19" spans="1:14" ht="15.6" x14ac:dyDescent="0.3">
      <c r="A19" t="s">
        <v>10</v>
      </c>
      <c r="B19" s="27">
        <f>C18</f>
        <v>45282</v>
      </c>
      <c r="C19" s="27">
        <v>90563</v>
      </c>
      <c r="D19" s="69">
        <v>0.20499999999999999</v>
      </c>
      <c r="E19" s="21"/>
      <c r="F19" s="27"/>
      <c r="G19" s="27"/>
      <c r="H19" s="69"/>
      <c r="I19" s="5"/>
      <c r="J19" s="7"/>
      <c r="K19" s="7"/>
      <c r="L19" s="5"/>
      <c r="M19" s="5"/>
      <c r="N19" s="7"/>
    </row>
    <row r="20" spans="1:14" ht="15.6" x14ac:dyDescent="0.3">
      <c r="A20" t="s">
        <v>10</v>
      </c>
      <c r="B20" s="27">
        <f>C19</f>
        <v>90563</v>
      </c>
      <c r="C20" s="27">
        <v>140388</v>
      </c>
      <c r="D20" s="69">
        <v>0.26</v>
      </c>
      <c r="E20" s="21"/>
      <c r="F20" s="27"/>
      <c r="G20" s="27"/>
      <c r="H20" s="69"/>
      <c r="I20" s="5"/>
      <c r="J20" s="7"/>
      <c r="K20" s="7"/>
      <c r="L20" s="5"/>
      <c r="M20" s="5"/>
      <c r="N20" s="7"/>
    </row>
    <row r="21" spans="1:14" ht="15.6" x14ac:dyDescent="0.3">
      <c r="A21" t="s">
        <v>10</v>
      </c>
      <c r="B21" s="27">
        <f>C20</f>
        <v>140388</v>
      </c>
      <c r="C21" s="27">
        <v>200000</v>
      </c>
      <c r="D21" s="69">
        <v>0.28999999999999998</v>
      </c>
      <c r="E21" s="21"/>
      <c r="F21" s="27"/>
      <c r="G21" s="27"/>
      <c r="H21" s="69"/>
      <c r="I21" s="23"/>
      <c r="J21" s="7"/>
      <c r="K21" s="7"/>
      <c r="L21" s="5"/>
      <c r="M21" s="5"/>
      <c r="N21" s="7"/>
    </row>
    <row r="22" spans="1:14" ht="15.6" x14ac:dyDescent="0.3">
      <c r="B22" s="27">
        <f>C21</f>
        <v>200000</v>
      </c>
      <c r="C22" s="21"/>
      <c r="D22" s="69">
        <v>0.33</v>
      </c>
      <c r="E22" s="21"/>
      <c r="F22" s="27"/>
      <c r="G22" s="21"/>
      <c r="H22" s="69"/>
      <c r="I22" s="4"/>
      <c r="J22" s="7"/>
      <c r="K22" s="7"/>
      <c r="L22" s="5"/>
      <c r="N22" s="7"/>
    </row>
    <row r="23" spans="1:14" x14ac:dyDescent="0.3">
      <c r="B23" s="21"/>
      <c r="C23" s="100"/>
      <c r="D23" s="21"/>
      <c r="E23" s="21"/>
      <c r="F23" s="21"/>
      <c r="G23" s="21"/>
      <c r="H23" s="12"/>
    </row>
    <row r="24" spans="1:14" ht="15.6" x14ac:dyDescent="0.3">
      <c r="A24" t="s">
        <v>38</v>
      </c>
      <c r="B24" s="27">
        <v>11474</v>
      </c>
      <c r="C24" s="27"/>
      <c r="D24" s="21"/>
      <c r="E24" s="21"/>
      <c r="F24" s="21"/>
      <c r="G24" s="54"/>
      <c r="H24" s="12"/>
    </row>
    <row r="25" spans="1:14" x14ac:dyDescent="0.3">
      <c r="B25" s="21"/>
      <c r="C25" s="21"/>
      <c r="D25" s="21"/>
      <c r="E25" s="21"/>
      <c r="F25" s="21"/>
      <c r="G25" s="21"/>
      <c r="H25" s="12"/>
      <c r="J25" s="9"/>
    </row>
    <row r="26" spans="1:14" x14ac:dyDescent="0.3">
      <c r="A26" s="3" t="s">
        <v>11</v>
      </c>
      <c r="B26" s="21"/>
      <c r="C26" s="21"/>
      <c r="D26" s="21"/>
      <c r="E26" s="21"/>
      <c r="F26" s="21"/>
      <c r="G26" s="21"/>
      <c r="H26" s="12"/>
    </row>
    <row r="27" spans="1:14" x14ac:dyDescent="0.3">
      <c r="A27" s="10" t="s">
        <v>89</v>
      </c>
      <c r="B27" s="100" t="s">
        <v>21</v>
      </c>
      <c r="C27" s="21"/>
      <c r="D27" s="21"/>
      <c r="E27" s="21"/>
      <c r="F27" s="100"/>
      <c r="G27" s="21"/>
      <c r="H27" s="21"/>
      <c r="I27" s="25"/>
      <c r="J27" s="10"/>
      <c r="K27" s="25"/>
    </row>
    <row r="28" spans="1:14" ht="15.6" x14ac:dyDescent="0.3">
      <c r="A28" t="s">
        <v>9</v>
      </c>
      <c r="B28" s="21">
        <v>0</v>
      </c>
      <c r="C28" s="27">
        <v>38210</v>
      </c>
      <c r="D28" s="69">
        <v>5.0599999999999999E-2</v>
      </c>
      <c r="E28" s="21"/>
      <c r="F28" s="21"/>
      <c r="G28" s="27"/>
      <c r="H28" s="69"/>
      <c r="I28" s="5"/>
      <c r="J28" s="7"/>
    </row>
    <row r="29" spans="1:14" ht="15.6" x14ac:dyDescent="0.3">
      <c r="A29" t="s">
        <v>10</v>
      </c>
      <c r="B29" s="27">
        <f>C28</f>
        <v>38210</v>
      </c>
      <c r="C29" s="27">
        <v>76421</v>
      </c>
      <c r="D29" s="69">
        <v>7.6999999999999999E-2</v>
      </c>
      <c r="E29" s="21"/>
      <c r="F29" s="27"/>
      <c r="G29" s="27"/>
      <c r="H29" s="69"/>
      <c r="I29" s="5"/>
      <c r="J29" s="24"/>
      <c r="K29" s="18"/>
      <c r="L29" s="15"/>
    </row>
    <row r="30" spans="1:14" ht="15.6" x14ac:dyDescent="0.3">
      <c r="A30" t="s">
        <v>10</v>
      </c>
      <c r="B30" s="27">
        <f>C29</f>
        <v>76421</v>
      </c>
      <c r="C30" s="27">
        <v>87741</v>
      </c>
      <c r="D30" s="69">
        <v>0.105</v>
      </c>
      <c r="E30" s="21"/>
      <c r="F30" s="27"/>
      <c r="G30" s="27"/>
      <c r="H30" s="69"/>
      <c r="I30" s="4"/>
      <c r="J30" s="24"/>
      <c r="K30" s="4"/>
      <c r="L30" s="13"/>
      <c r="N30" s="18"/>
    </row>
    <row r="31" spans="1:14" ht="15.6" x14ac:dyDescent="0.3">
      <c r="A31" t="s">
        <v>10</v>
      </c>
      <c r="B31" s="27">
        <f>C30</f>
        <v>87741</v>
      </c>
      <c r="C31" s="27">
        <v>106543</v>
      </c>
      <c r="D31" s="69">
        <v>0.1229</v>
      </c>
      <c r="E31" s="21"/>
      <c r="F31" s="27"/>
      <c r="G31" s="27"/>
      <c r="H31" s="69"/>
      <c r="I31" s="4"/>
      <c r="J31" s="24"/>
      <c r="K31" s="4"/>
      <c r="L31" s="13"/>
      <c r="N31" s="4"/>
    </row>
    <row r="32" spans="1:14" ht="15.6" x14ac:dyDescent="0.3">
      <c r="B32" s="27">
        <f>C31</f>
        <v>106543</v>
      </c>
      <c r="C32" s="21"/>
      <c r="D32" s="69">
        <v>0.14699999999999999</v>
      </c>
      <c r="E32" s="21"/>
      <c r="F32" s="27"/>
      <c r="G32" s="21"/>
      <c r="H32" s="69"/>
      <c r="I32" s="4"/>
      <c r="J32" s="24"/>
      <c r="K32" s="4"/>
      <c r="L32" s="13"/>
    </row>
    <row r="33" spans="1:12" x14ac:dyDescent="0.3">
      <c r="B33" s="21"/>
      <c r="C33" s="100"/>
      <c r="D33" s="21"/>
      <c r="E33" s="21"/>
      <c r="F33" s="21"/>
      <c r="G33" s="21"/>
      <c r="H33" s="47"/>
      <c r="I33" s="4"/>
      <c r="J33" s="26"/>
      <c r="K33" s="16"/>
      <c r="L33" s="26"/>
    </row>
    <row r="34" spans="1:12" ht="15.6" x14ac:dyDescent="0.3">
      <c r="A34" t="s">
        <v>36</v>
      </c>
      <c r="B34" s="27">
        <v>10027</v>
      </c>
      <c r="C34" s="27"/>
      <c r="D34" s="21"/>
      <c r="H34" s="43"/>
      <c r="I34" s="4"/>
      <c r="J34" s="26"/>
      <c r="K34" s="16"/>
      <c r="L34" s="26"/>
    </row>
    <row r="35" spans="1:12" x14ac:dyDescent="0.3">
      <c r="B35" s="4"/>
      <c r="C35" s="4"/>
      <c r="D35" t="s">
        <v>37</v>
      </c>
      <c r="E35" s="13"/>
      <c r="F35" s="46"/>
      <c r="H35" s="16"/>
    </row>
    <row r="36" spans="1:12" x14ac:dyDescent="0.3">
      <c r="A36" s="3" t="s">
        <v>91</v>
      </c>
      <c r="B36" s="4"/>
      <c r="C36" s="4"/>
      <c r="F36" s="13"/>
      <c r="G36" s="46"/>
      <c r="H36"/>
      <c r="I36" s="16"/>
      <c r="J36" s="10" t="s">
        <v>94</v>
      </c>
    </row>
    <row r="37" spans="1:12" x14ac:dyDescent="0.3">
      <c r="A37" s="3"/>
      <c r="B37" s="4" t="s">
        <v>94</v>
      </c>
      <c r="C37" s="4" t="s">
        <v>95</v>
      </c>
      <c r="F37" s="3" t="s">
        <v>98</v>
      </c>
      <c r="G37" s="46"/>
      <c r="H37"/>
      <c r="I37" s="70" t="s">
        <v>65</v>
      </c>
      <c r="J37" s="64" t="s">
        <v>64</v>
      </c>
      <c r="K37" s="64" t="s">
        <v>66</v>
      </c>
    </row>
    <row r="38" spans="1:12" ht="15.6" x14ac:dyDescent="0.3">
      <c r="A38" s="3"/>
      <c r="B38" t="s">
        <v>27</v>
      </c>
      <c r="C38" t="s">
        <v>28</v>
      </c>
      <c r="F38">
        <v>0</v>
      </c>
      <c r="G38" s="5">
        <f t="shared" ref="G38:H41" si="0">C28</f>
        <v>38210</v>
      </c>
      <c r="H38" s="7">
        <f t="shared" si="0"/>
        <v>5.0599999999999999E-2</v>
      </c>
      <c r="I38" s="13">
        <v>0</v>
      </c>
      <c r="J38" s="13">
        <f>IF(AND($B$12&gt;=F38,$B$12&lt;G38),($B$12-F38)*H38,0)</f>
        <v>0</v>
      </c>
      <c r="K38" s="18">
        <f>(IF(J38=0,0,I38+J38))</f>
        <v>0</v>
      </c>
    </row>
    <row r="39" spans="1:12" ht="15.6" x14ac:dyDescent="0.3">
      <c r="A39" s="3"/>
      <c r="B39" s="4">
        <f>$B$12</f>
        <v>139000</v>
      </c>
      <c r="C39" s="4">
        <f>$B$12+$B$4</f>
        <v>140000</v>
      </c>
      <c r="F39" s="5">
        <f>G38</f>
        <v>38210</v>
      </c>
      <c r="G39" s="5">
        <f t="shared" si="0"/>
        <v>76421</v>
      </c>
      <c r="H39" s="7">
        <f t="shared" si="0"/>
        <v>7.6999999999999999E-2</v>
      </c>
      <c r="I39" s="12">
        <f>(G38-F38)*H38</f>
        <v>1933.4259999999999</v>
      </c>
      <c r="J39" s="13">
        <f t="shared" ref="J39:J41" si="1">IF(AND($B$12&gt;=F39,$B$12&lt;G39),($B$12-F39)*H39,0)</f>
        <v>0</v>
      </c>
      <c r="K39" s="18">
        <f>(IF(J39=0,0,I39+J39))</f>
        <v>0</v>
      </c>
    </row>
    <row r="40" spans="1:12" ht="15.6" x14ac:dyDescent="0.3">
      <c r="A40" s="28" t="s">
        <v>92</v>
      </c>
      <c r="B40" s="40">
        <v>-19000</v>
      </c>
      <c r="C40" s="40">
        <v>-19000</v>
      </c>
      <c r="F40" s="27">
        <f>G39</f>
        <v>76421</v>
      </c>
      <c r="G40" s="5">
        <f t="shared" si="0"/>
        <v>87741</v>
      </c>
      <c r="H40" s="7">
        <f t="shared" si="0"/>
        <v>0.105</v>
      </c>
      <c r="I40" s="12">
        <f>((G39-F39)*H39)+I39</f>
        <v>4875.6729999999998</v>
      </c>
      <c r="J40" s="13">
        <f t="shared" si="1"/>
        <v>0</v>
      </c>
      <c r="K40" s="18">
        <f>(IF(J40=0,0,I40+J40))</f>
        <v>0</v>
      </c>
    </row>
    <row r="41" spans="1:12" ht="15.6" x14ac:dyDescent="0.3">
      <c r="A41" s="3"/>
      <c r="B41" s="4">
        <f>IF((B39+B40)&lt;=0,0,SUM(B39:B40))</f>
        <v>120000</v>
      </c>
      <c r="C41" s="4">
        <f>IF((C39+C40)&lt;=0,0,SUM(C39:C40))</f>
        <v>121000</v>
      </c>
      <c r="F41" s="5">
        <f>G40</f>
        <v>87741</v>
      </c>
      <c r="G41" s="5">
        <f t="shared" si="0"/>
        <v>106543</v>
      </c>
      <c r="H41" s="7">
        <f t="shared" si="0"/>
        <v>0.1229</v>
      </c>
      <c r="I41" s="12">
        <f t="shared" ref="I41:I42" si="2">((G40-F40)*H40)+I40</f>
        <v>6064.2729999999992</v>
      </c>
      <c r="J41" s="13">
        <f t="shared" si="1"/>
        <v>0</v>
      </c>
      <c r="K41" s="18">
        <f>(IF(J41=0,0,I41+J41))</f>
        <v>0</v>
      </c>
    </row>
    <row r="42" spans="1:12" ht="15.6" x14ac:dyDescent="0.3">
      <c r="A42" s="3"/>
      <c r="B42" s="71">
        <v>3.5000000000000003E-2</v>
      </c>
      <c r="C42" s="71">
        <v>3.5000000000000003E-2</v>
      </c>
      <c r="F42" s="5">
        <f>G41</f>
        <v>106543</v>
      </c>
      <c r="H42" s="7">
        <f>D32</f>
        <v>0.14699999999999999</v>
      </c>
      <c r="I42" s="12">
        <f t="shared" si="2"/>
        <v>8375.0387999999984</v>
      </c>
      <c r="J42" s="13">
        <f>IF($B$12&gt;=F42,($B$12-F42)*H42,0)</f>
        <v>4771.1790000000001</v>
      </c>
      <c r="K42" s="36">
        <f>(IF(J42=0,0,I42+J42))</f>
        <v>13146.217799999999</v>
      </c>
    </row>
    <row r="43" spans="1:12" x14ac:dyDescent="0.3">
      <c r="A43" s="3"/>
      <c r="B43" s="4">
        <f>B41*B42</f>
        <v>4200</v>
      </c>
      <c r="C43" s="4">
        <f>C41*C42</f>
        <v>4235</v>
      </c>
      <c r="F43" s="13"/>
      <c r="G43" s="46"/>
      <c r="H43"/>
      <c r="I43" s="13"/>
      <c r="J43" s="13"/>
      <c r="K43" s="13">
        <f>SUM(K38:K42)</f>
        <v>13146.217799999999</v>
      </c>
    </row>
    <row r="44" spans="1:12" x14ac:dyDescent="0.3">
      <c r="A44" s="3"/>
      <c r="B44" s="4"/>
      <c r="C44" s="4"/>
      <c r="F44" s="13"/>
      <c r="G44" s="46"/>
      <c r="H44" s="66" t="s">
        <v>35</v>
      </c>
      <c r="I44" s="13">
        <f>B34</f>
        <v>10027</v>
      </c>
      <c r="J44" s="16">
        <f>D28</f>
        <v>5.0599999999999999E-2</v>
      </c>
      <c r="K44" s="44">
        <f>IF($B$12&lt;I44,$B$12*J44,I44*J44)</f>
        <v>507.36619999999999</v>
      </c>
    </row>
    <row r="45" spans="1:12" x14ac:dyDescent="0.3">
      <c r="A45" s="28" t="s">
        <v>17</v>
      </c>
      <c r="B45" s="4">
        <v>432</v>
      </c>
      <c r="C45" s="4">
        <v>432</v>
      </c>
      <c r="F45" s="13"/>
      <c r="G45" s="46"/>
      <c r="H45" s="4"/>
      <c r="I45" s="4"/>
      <c r="J45" s="16"/>
      <c r="K45" s="13">
        <f>IF((K43-K44)&lt;=0,0,K43-K44)</f>
        <v>12638.851599999998</v>
      </c>
    </row>
    <row r="46" spans="1:12" x14ac:dyDescent="0.3">
      <c r="A46" s="3"/>
      <c r="B46" s="72">
        <f>B43</f>
        <v>4200</v>
      </c>
      <c r="C46" s="72">
        <f>C43</f>
        <v>4235</v>
      </c>
      <c r="F46" s="13"/>
      <c r="G46" s="46"/>
      <c r="H46"/>
      <c r="I46" s="13"/>
      <c r="J46" s="13"/>
      <c r="K46" s="13"/>
    </row>
    <row r="47" spans="1:12" x14ac:dyDescent="0.3">
      <c r="A47" s="28" t="s">
        <v>99</v>
      </c>
      <c r="B47" s="4">
        <f>IF((B45-B46)&lt;=0,0,B45-B46)</f>
        <v>0</v>
      </c>
      <c r="C47" s="4">
        <f>IF((C45-C46)&lt;=0,0,C45-C46)</f>
        <v>0</v>
      </c>
      <c r="D47" s="4"/>
      <c r="F47" s="13"/>
      <c r="G47" s="46"/>
      <c r="H47"/>
      <c r="I47" s="13"/>
      <c r="J47" s="13"/>
      <c r="K47" s="13"/>
    </row>
    <row r="48" spans="1:12" x14ac:dyDescent="0.3">
      <c r="A48" s="3"/>
      <c r="B48" s="4"/>
      <c r="C48" s="4"/>
      <c r="F48" s="13"/>
      <c r="G48" s="46"/>
      <c r="H48"/>
      <c r="I48" s="16"/>
      <c r="J48" s="10" t="s">
        <v>95</v>
      </c>
    </row>
    <row r="49" spans="1:11" x14ac:dyDescent="0.3">
      <c r="A49" t="s">
        <v>96</v>
      </c>
      <c r="B49" s="4">
        <f>K45</f>
        <v>12638.851599999998</v>
      </c>
      <c r="C49" s="4">
        <f>K57</f>
        <v>12785.851599999998</v>
      </c>
      <c r="F49" s="3" t="s">
        <v>98</v>
      </c>
      <c r="G49" s="46"/>
      <c r="H49"/>
      <c r="I49" s="70" t="s">
        <v>65</v>
      </c>
      <c r="J49" s="64" t="s">
        <v>64</v>
      </c>
      <c r="K49" s="64" t="s">
        <v>66</v>
      </c>
    </row>
    <row r="50" spans="1:11" ht="15.6" x14ac:dyDescent="0.3">
      <c r="B50" s="4"/>
      <c r="C50" s="4"/>
      <c r="F50">
        <v>0</v>
      </c>
      <c r="G50" s="5">
        <f t="shared" ref="G50:H53" si="3">C28</f>
        <v>38210</v>
      </c>
      <c r="H50" s="7">
        <f t="shared" si="3"/>
        <v>5.0599999999999999E-2</v>
      </c>
      <c r="I50" s="13">
        <v>0</v>
      </c>
      <c r="J50" s="13">
        <f>IF(AND(($B$12+$B$4)&gt;=F50,($B$12+$B$4)&lt;G50),($B$12+$B$4-F50)*H50,0)</f>
        <v>0</v>
      </c>
      <c r="K50" s="18">
        <f t="shared" ref="K50:K54" si="4">(IF(J50=0,0,I50+J50))</f>
        <v>0</v>
      </c>
    </row>
    <row r="51" spans="1:11" ht="15.6" x14ac:dyDescent="0.3">
      <c r="A51" s="28" t="s">
        <v>97</v>
      </c>
      <c r="B51" s="4">
        <f>MIN(B47,B49)</f>
        <v>0</v>
      </c>
      <c r="C51" s="4">
        <f>MIN(C47,C49)</f>
        <v>0</v>
      </c>
      <c r="D51" s="26"/>
      <c r="F51" s="5">
        <f>G50</f>
        <v>38210</v>
      </c>
      <c r="G51" s="5">
        <f t="shared" si="3"/>
        <v>76421</v>
      </c>
      <c r="H51" s="7">
        <f t="shared" si="3"/>
        <v>7.6999999999999999E-2</v>
      </c>
      <c r="I51" s="12">
        <f>(G50-F50)*H50</f>
        <v>1933.4259999999999</v>
      </c>
      <c r="J51" s="13">
        <f t="shared" ref="J51:J53" si="5">IF(AND(($B$12+$B$4)&gt;=F51,($B$12+$B$4)&lt;G51),($B$12+$B$4-F51)*H51,0)</f>
        <v>0</v>
      </c>
      <c r="K51" s="18">
        <f t="shared" si="4"/>
        <v>0</v>
      </c>
    </row>
    <row r="52" spans="1:11" ht="15.6" x14ac:dyDescent="0.3">
      <c r="A52" s="3"/>
      <c r="B52" s="4"/>
      <c r="C52" s="4"/>
      <c r="F52" s="27">
        <f>G51</f>
        <v>76421</v>
      </c>
      <c r="G52" s="5">
        <f t="shared" si="3"/>
        <v>87741</v>
      </c>
      <c r="H52" s="7">
        <f t="shared" si="3"/>
        <v>0.105</v>
      </c>
      <c r="I52" s="12">
        <f>((G51-F51)*H51)+I51</f>
        <v>4875.6729999999998</v>
      </c>
      <c r="J52" s="13">
        <f t="shared" si="5"/>
        <v>0</v>
      </c>
      <c r="K52" s="18">
        <f t="shared" si="4"/>
        <v>0</v>
      </c>
    </row>
    <row r="53" spans="1:11" ht="15.6" x14ac:dyDescent="0.3">
      <c r="A53" s="28" t="s">
        <v>91</v>
      </c>
      <c r="B53" s="37">
        <f>C51-B51</f>
        <v>0</v>
      </c>
      <c r="C53" s="4"/>
      <c r="F53" s="5">
        <f>G52</f>
        <v>87741</v>
      </c>
      <c r="G53" s="5">
        <f t="shared" si="3"/>
        <v>106543</v>
      </c>
      <c r="H53" s="7">
        <f t="shared" si="3"/>
        <v>0.1229</v>
      </c>
      <c r="I53" s="12">
        <f t="shared" ref="I53:I54" si="6">((G52-F52)*H52)+I52</f>
        <v>6064.2729999999992</v>
      </c>
      <c r="J53" s="13">
        <f t="shared" si="5"/>
        <v>0</v>
      </c>
      <c r="K53" s="18">
        <f t="shared" si="4"/>
        <v>0</v>
      </c>
    </row>
    <row r="54" spans="1:11" ht="15.6" x14ac:dyDescent="0.3">
      <c r="A54" s="3"/>
      <c r="B54" s="4"/>
      <c r="C54" s="4"/>
      <c r="F54" s="5">
        <f>G53</f>
        <v>106543</v>
      </c>
      <c r="H54" s="7">
        <f>D32</f>
        <v>0.14699999999999999</v>
      </c>
      <c r="I54" s="12">
        <f t="shared" si="6"/>
        <v>8375.0387999999984</v>
      </c>
      <c r="J54" s="13">
        <f>IF(($B$12+$B$4)&gt;=F54,($B$12+$B$4-F54)*H54,0)</f>
        <v>4918.1790000000001</v>
      </c>
      <c r="K54" s="36">
        <f t="shared" si="4"/>
        <v>13293.217799999999</v>
      </c>
    </row>
    <row r="55" spans="1:11" x14ac:dyDescent="0.3">
      <c r="A55" s="3"/>
      <c r="B55" s="4"/>
      <c r="C55" s="4"/>
      <c r="F55" s="13"/>
      <c r="G55" s="46"/>
      <c r="H55"/>
      <c r="I55" s="16"/>
      <c r="K55" s="18">
        <f>SUM(K50:K54)</f>
        <v>13293.217799999999</v>
      </c>
    </row>
    <row r="56" spans="1:11" x14ac:dyDescent="0.3">
      <c r="A56" s="3"/>
      <c r="B56" s="4"/>
      <c r="C56" s="4"/>
      <c r="F56" s="13"/>
      <c r="G56" s="46"/>
      <c r="H56" s="66" t="s">
        <v>35</v>
      </c>
      <c r="I56" s="13">
        <f>B34</f>
        <v>10027</v>
      </c>
      <c r="J56" s="16">
        <f>D28</f>
        <v>5.0599999999999999E-2</v>
      </c>
      <c r="K56" s="44">
        <f>IF(($B$12+$B$4)&lt;I56,($B$12+$B$4)*J56,I56*J56)</f>
        <v>507.36619999999999</v>
      </c>
    </row>
    <row r="57" spans="1:11" x14ac:dyDescent="0.3">
      <c r="A57" s="3"/>
      <c r="B57" s="4"/>
      <c r="C57" s="4"/>
      <c r="F57" s="13"/>
      <c r="G57" s="46"/>
      <c r="H57"/>
      <c r="I57" s="16"/>
      <c r="K57" s="13">
        <f>IF((K55-K56)&lt;=0,0,K55-K56)</f>
        <v>12785.851599999998</v>
      </c>
    </row>
    <row r="58" spans="1:11" x14ac:dyDescent="0.3">
      <c r="A58" s="3"/>
      <c r="B58" s="4"/>
      <c r="C58" s="4"/>
    </row>
    <row r="59" spans="1:11" x14ac:dyDescent="0.3">
      <c r="A59" s="3" t="s">
        <v>100</v>
      </c>
      <c r="B59" s="4"/>
      <c r="C59" s="4"/>
    </row>
    <row r="60" spans="1:11" x14ac:dyDescent="0.3">
      <c r="A60" s="3"/>
      <c r="B60" s="4" t="s">
        <v>94</v>
      </c>
      <c r="C60" s="4" t="s">
        <v>95</v>
      </c>
    </row>
    <row r="61" spans="1:11" x14ac:dyDescent="0.3">
      <c r="A61" s="3"/>
      <c r="B61" t="s">
        <v>27</v>
      </c>
      <c r="C61" t="s">
        <v>28</v>
      </c>
    </row>
    <row r="62" spans="1:11" x14ac:dyDescent="0.3">
      <c r="A62" s="3"/>
      <c r="B62" s="4">
        <f>$B$12</f>
        <v>139000</v>
      </c>
      <c r="C62" s="4">
        <f>$B$12+$B$4</f>
        <v>140000</v>
      </c>
    </row>
    <row r="63" spans="1:11" x14ac:dyDescent="0.3">
      <c r="A63" s="28" t="s">
        <v>92</v>
      </c>
      <c r="B63" s="40">
        <v>-15000</v>
      </c>
      <c r="C63" s="40">
        <v>-15000</v>
      </c>
    </row>
    <row r="64" spans="1:11" x14ac:dyDescent="0.3">
      <c r="A64" s="3"/>
      <c r="B64" s="4">
        <f>IF((B62+B63)&lt;=0,0,SUM(B62:B63))</f>
        <v>124000</v>
      </c>
      <c r="C64" s="4">
        <f>IF((C62+C63)&lt;=0,0,SUM(C62:C63))</f>
        <v>125000</v>
      </c>
    </row>
    <row r="65" spans="1:12" x14ac:dyDescent="0.3">
      <c r="A65" s="3"/>
      <c r="B65" s="71">
        <v>0.02</v>
      </c>
      <c r="C65" s="71">
        <v>0.02</v>
      </c>
    </row>
    <row r="66" spans="1:12" x14ac:dyDescent="0.3">
      <c r="A66" s="3"/>
      <c r="B66" s="4">
        <f>B64*B65</f>
        <v>2480</v>
      </c>
      <c r="C66" s="4">
        <f>C64*C65</f>
        <v>2500</v>
      </c>
    </row>
    <row r="67" spans="1:12" x14ac:dyDescent="0.3">
      <c r="A67" s="3"/>
      <c r="B67" s="4"/>
      <c r="C67" s="4"/>
    </row>
    <row r="68" spans="1:12" x14ac:dyDescent="0.3">
      <c r="A68" s="28" t="s">
        <v>17</v>
      </c>
      <c r="B68" s="4">
        <v>75</v>
      </c>
      <c r="C68" s="4">
        <v>75</v>
      </c>
    </row>
    <row r="69" spans="1:12" x14ac:dyDescent="0.3">
      <c r="A69" s="3"/>
      <c r="B69" s="72">
        <f>B66</f>
        <v>2480</v>
      </c>
      <c r="C69" s="72">
        <f>C66</f>
        <v>2500</v>
      </c>
    </row>
    <row r="70" spans="1:12" x14ac:dyDescent="0.3">
      <c r="A70" s="28" t="s">
        <v>99</v>
      </c>
      <c r="B70" s="4">
        <f>IF((B68-B69)&lt;=0,0,B68-B69)</f>
        <v>0</v>
      </c>
      <c r="C70" s="4">
        <f>IF((C68-C69)&lt;=0,0,C68-C69)</f>
        <v>0</v>
      </c>
    </row>
    <row r="71" spans="1:12" x14ac:dyDescent="0.3">
      <c r="A71" s="3"/>
      <c r="B71" s="4"/>
      <c r="C71" s="4"/>
    </row>
    <row r="72" spans="1:12" x14ac:dyDescent="0.3">
      <c r="A72" s="28" t="s">
        <v>100</v>
      </c>
      <c r="B72" s="37">
        <f>B70-C70</f>
        <v>0</v>
      </c>
      <c r="C72" s="4"/>
    </row>
    <row r="73" spans="1:12" x14ac:dyDescent="0.3">
      <c r="A73" s="3"/>
      <c r="B73" s="4"/>
      <c r="C73" s="4"/>
    </row>
    <row r="74" spans="1:12" x14ac:dyDescent="0.3">
      <c r="A74" s="2" t="s">
        <v>12</v>
      </c>
      <c r="E74" s="38"/>
      <c r="F74" s="21"/>
      <c r="G74" s="4"/>
      <c r="H74" s="4"/>
      <c r="I74" s="16"/>
    </row>
    <row r="75" spans="1:12" x14ac:dyDescent="0.3">
      <c r="B75" s="11"/>
      <c r="C75" t="s">
        <v>13</v>
      </c>
      <c r="H75" s="38"/>
      <c r="J75" s="4"/>
      <c r="K75" s="4"/>
      <c r="L75" s="16"/>
    </row>
    <row r="76" spans="1:12" x14ac:dyDescent="0.3">
      <c r="H76" s="38"/>
      <c r="I76" s="18"/>
      <c r="J76" s="4"/>
      <c r="K76" s="4"/>
      <c r="L76" s="16"/>
    </row>
    <row r="77" spans="1:12" x14ac:dyDescent="0.3">
      <c r="A77" t="s">
        <v>20</v>
      </c>
      <c r="B7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260</v>
      </c>
      <c r="C77" t="s">
        <v>15</v>
      </c>
      <c r="H77" s="45"/>
      <c r="K77" s="4"/>
      <c r="L77" s="16"/>
    </row>
    <row r="78" spans="1:12" x14ac:dyDescent="0.3">
      <c r="B78" s="39">
        <f>-IF(B12&gt;=B24,0,IF(B12&lt;B24,IF((B12+B4)&gt;B24,(B24-B12)*D18,B4*D18)))</f>
        <v>0</v>
      </c>
      <c r="C78" t="s">
        <v>34</v>
      </c>
      <c r="H78" s="45"/>
      <c r="K78" s="4"/>
      <c r="L78" s="16"/>
    </row>
    <row r="79" spans="1:12" x14ac:dyDescent="0.3">
      <c r="B79" s="12">
        <f>IF(AND((B4+B12)&gt;=B28,(B4+B12)&lt;=C28),B4*D28,IF(AND((B4+B12)&gt;B29,(B4+B12)&lt;=C29),IF((B4+B12-B29)&gt;B4,B4*D29,((B4+B12-B29)*D29)+((B4-(B4+B12-B29))*D28)),IF(AND((B4+B12)&gt;B30,(B4+B12)&lt;=C30),IF((B4+B12-B30)&gt;B4,B4*D30,IF((B4+B12-B29)&gt;B4,(((B4+B12-B30)*D30)+((B4-(B4+B12-B30))*D29)),((B4+B12-B30)*D30)+((C29-B29)*D29)+((B4-(B4+B12-B29))*D28))),IF(AND((B4+B12)&gt;B31,(B4+B12)&lt;=C31),IF((B4+B12-B31)&gt;B4,B4*D31,IF((B4+B12-B30)&gt;B4,(((B4+B12-B31)*D31)+((B4-(B4+B12-B31))*D30)),IF((B4+B12-B29)&gt;B4,(((B4+B12-B31)*D31)+((C30-B30)*D30)+((B4-(B4+B12-B30))*D29)),((B4+B12-B31)*D31)+((C30-B30)*D30)+((C29-B29)*D29)+((B4-(B4+B12-B29))*D28)))),IF((B4+B12)&gt;B32,IF((B4+B12-B32)&gt;B4,B4*D32,IF((B4+B12-B31)&gt;B4,(((B4+B12-B32)*D32)+((B4-(B4+B12-B32))*D31)),IF((B4+B12-B30)&gt;B4,(((B4+B12-B32)*D32)+((C31-B31)*D31)+((B4-(B4+B12-B31))*D30)),IF((B4+B12-B29)&gt;B4,(((B4+B12-B32)*D32)+((C31-B31)*D31)+((C30-B30)*D30)+((B4-(B4+B12-B30))*D29)),((B4+B12-B32)*D32)+((C31-B31)*D31)+((C30-B30)*D30)+((C29-B29)*D29)+((B4-(B4+B12-B29))*D28))))))))))</f>
        <v>147</v>
      </c>
      <c r="C79" t="s">
        <v>16</v>
      </c>
    </row>
    <row r="80" spans="1:12" x14ac:dyDescent="0.3">
      <c r="B80" s="39">
        <f>-IF(B12&gt;=B34,0,IF(B12&lt;B34,IF((B12+B4)&gt;B34,(B34-B12)*D28,B4*D28)))</f>
        <v>0</v>
      </c>
      <c r="C80" t="s">
        <v>36</v>
      </c>
    </row>
    <row r="81" spans="1:17" x14ac:dyDescent="0.3">
      <c r="B81" s="41">
        <f>-B53</f>
        <v>0</v>
      </c>
      <c r="C81" t="s">
        <v>90</v>
      </c>
      <c r="D81" s="8"/>
      <c r="E81" s="13"/>
      <c r="F81" s="48"/>
      <c r="G81" s="48"/>
      <c r="H81" s="48"/>
      <c r="I81" s="49"/>
      <c r="J81" s="49"/>
      <c r="K81" s="50"/>
      <c r="L81" s="50"/>
      <c r="M81" s="49"/>
    </row>
    <row r="82" spans="1:17" x14ac:dyDescent="0.3">
      <c r="B82" s="40">
        <f>B72</f>
        <v>0</v>
      </c>
      <c r="C82" s="28" t="s">
        <v>100</v>
      </c>
      <c r="D82" s="8"/>
      <c r="E82" s="13"/>
      <c r="F82" s="48"/>
      <c r="G82" s="48"/>
      <c r="H82" s="48"/>
      <c r="I82" s="49"/>
      <c r="J82" s="49"/>
      <c r="K82" s="50"/>
      <c r="L82" s="50"/>
      <c r="M82" s="49"/>
    </row>
    <row r="83" spans="1:17" x14ac:dyDescent="0.3">
      <c r="A83" s="10" t="s">
        <v>22</v>
      </c>
      <c r="B83" s="47">
        <f>SUM(B77:B82)</f>
        <v>407</v>
      </c>
      <c r="F83" s="49"/>
      <c r="G83" s="49"/>
      <c r="H83" s="48"/>
      <c r="I83" s="49"/>
      <c r="J83" s="49"/>
      <c r="K83" s="51"/>
      <c r="L83" s="50"/>
      <c r="M83" s="49"/>
    </row>
    <row r="84" spans="1:17" x14ac:dyDescent="0.3">
      <c r="E84" s="18"/>
      <c r="F84" s="51"/>
      <c r="G84" s="49"/>
      <c r="H84" s="48"/>
      <c r="I84" s="51"/>
      <c r="J84" s="51"/>
      <c r="K84" s="49"/>
      <c r="L84" s="49"/>
      <c r="M84" s="49"/>
      <c r="Q84" s="15"/>
    </row>
    <row r="85" spans="1:17" x14ac:dyDescent="0.3">
      <c r="B85" s="13"/>
      <c r="F85" s="49"/>
      <c r="G85" s="49"/>
      <c r="H85" s="48"/>
      <c r="I85" s="49"/>
      <c r="J85" s="49"/>
      <c r="K85" s="49"/>
      <c r="L85" s="49"/>
      <c r="M85" s="49"/>
    </row>
    <row r="86" spans="1:17" x14ac:dyDescent="0.3">
      <c r="A86" s="19" t="s">
        <v>39</v>
      </c>
      <c r="B86" s="13"/>
      <c r="F86" s="49"/>
      <c r="G86" s="49"/>
      <c r="H86" s="48"/>
      <c r="I86" s="48"/>
      <c r="J86" s="51"/>
      <c r="K86" s="49"/>
      <c r="L86" s="49"/>
      <c r="M86" s="49"/>
    </row>
    <row r="87" spans="1:17" x14ac:dyDescent="0.3">
      <c r="A87" t="s">
        <v>124</v>
      </c>
      <c r="B87" s="13">
        <f>SUM(B77:B78)</f>
        <v>260</v>
      </c>
      <c r="F87" s="49"/>
      <c r="G87" s="49"/>
      <c r="H87" s="48"/>
      <c r="I87" s="49"/>
      <c r="J87" s="49"/>
      <c r="K87" s="49"/>
      <c r="L87" s="49"/>
      <c r="M87" s="49"/>
    </row>
    <row r="88" spans="1:17" x14ac:dyDescent="0.3">
      <c r="A88" t="s">
        <v>125</v>
      </c>
      <c r="B88" s="96">
        <f>SUM(B79:B81)</f>
        <v>147</v>
      </c>
      <c r="F88" s="49"/>
      <c r="G88" s="49"/>
      <c r="H88" s="48"/>
      <c r="I88" s="51"/>
      <c r="J88" s="51"/>
      <c r="K88" s="49"/>
      <c r="L88" s="49"/>
      <c r="M88" s="49"/>
    </row>
    <row r="89" spans="1:17" x14ac:dyDescent="0.3">
      <c r="A89" t="s">
        <v>126</v>
      </c>
      <c r="B89" s="36">
        <f>B82</f>
        <v>0</v>
      </c>
      <c r="F89" s="49"/>
      <c r="G89" s="49"/>
      <c r="H89" s="48"/>
      <c r="I89" s="51"/>
      <c r="J89" s="51"/>
      <c r="K89" s="49"/>
      <c r="L89" s="49"/>
      <c r="M89" s="49"/>
    </row>
    <row r="90" spans="1:17" x14ac:dyDescent="0.3">
      <c r="B90" s="13">
        <f>SUM(B87:B89)</f>
        <v>407</v>
      </c>
      <c r="F90" s="49"/>
      <c r="G90" s="49"/>
      <c r="H90" s="48"/>
      <c r="I90" s="49"/>
      <c r="J90" s="49"/>
      <c r="K90" s="49"/>
      <c r="L90" s="49"/>
      <c r="M90" s="49"/>
    </row>
    <row r="91" spans="1:17" x14ac:dyDescent="0.3">
      <c r="B91" s="13"/>
      <c r="F91" s="49"/>
      <c r="G91" s="49"/>
      <c r="H91" s="48"/>
      <c r="I91" s="48"/>
      <c r="J91" s="51"/>
      <c r="K91" s="49"/>
      <c r="L91" s="49"/>
      <c r="M91" s="49"/>
    </row>
    <row r="92" spans="1:17" x14ac:dyDescent="0.3">
      <c r="B92" s="13"/>
      <c r="F92" s="49"/>
      <c r="G92" s="49"/>
      <c r="H92" s="48"/>
      <c r="I92" s="49"/>
      <c r="J92" s="49"/>
      <c r="K92" s="49"/>
      <c r="L92" s="49"/>
      <c r="M92" s="49"/>
    </row>
    <row r="93" spans="1:17" x14ac:dyDescent="0.3">
      <c r="B93" s="13"/>
      <c r="F93" s="49"/>
      <c r="G93" s="49"/>
      <c r="H93" s="48"/>
      <c r="I93" s="51"/>
      <c r="J93" s="51"/>
      <c r="K93" s="49"/>
      <c r="L93" s="49"/>
      <c r="M93" s="49"/>
    </row>
    <row r="94" spans="1:17" x14ac:dyDescent="0.3">
      <c r="B94" s="13"/>
      <c r="F94" s="49"/>
      <c r="G94" s="49"/>
      <c r="H94" s="48"/>
      <c r="I94" s="49"/>
      <c r="J94" s="49"/>
      <c r="K94" s="49"/>
      <c r="L94" s="49"/>
      <c r="M94" s="49"/>
    </row>
    <row r="95" spans="1:17" x14ac:dyDescent="0.3">
      <c r="B95" s="15"/>
      <c r="F95" s="49"/>
      <c r="G95" s="49"/>
      <c r="H95" s="52"/>
      <c r="I95" s="49"/>
      <c r="J95" s="49"/>
      <c r="K95" s="49"/>
      <c r="L95" s="49"/>
      <c r="M95" s="49"/>
    </row>
    <row r="96" spans="1:17" x14ac:dyDescent="0.3">
      <c r="F96" s="49"/>
      <c r="G96" s="49"/>
      <c r="H96" s="48"/>
      <c r="I96" s="49"/>
      <c r="J96" s="49"/>
      <c r="K96" s="49"/>
      <c r="L96" s="49"/>
      <c r="M96" s="49"/>
    </row>
    <row r="97" spans="6:13" x14ac:dyDescent="0.3">
      <c r="F97" s="49"/>
      <c r="G97" s="49"/>
      <c r="H97" s="48"/>
      <c r="I97" s="50"/>
      <c r="J97" s="50"/>
      <c r="K97" s="49"/>
      <c r="L97" s="49"/>
      <c r="M97" s="49"/>
    </row>
    <row r="98" spans="6:13" x14ac:dyDescent="0.3">
      <c r="F98" s="49"/>
      <c r="G98" s="49"/>
      <c r="H98" s="48"/>
      <c r="I98" s="49"/>
      <c r="J98" s="49"/>
      <c r="K98" s="49"/>
      <c r="L98" s="49"/>
      <c r="M98" s="49"/>
    </row>
    <row r="99" spans="6:13" x14ac:dyDescent="0.3">
      <c r="H99" s="12"/>
    </row>
    <row r="101" spans="6:13" x14ac:dyDescent="0.3">
      <c r="H101" s="42"/>
      <c r="M101"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1"/>
  <sheetViews>
    <sheetView topLeftCell="A10" zoomScale="85" zoomScaleNormal="85" workbookViewId="0">
      <selection activeCell="B21" sqref="B21:D38"/>
    </sheetView>
  </sheetViews>
  <sheetFormatPr defaultRowHeight="14.4" x14ac:dyDescent="0.3"/>
  <cols>
    <col min="1" max="1" width="39" customWidth="1"/>
    <col min="2" max="2" width="14.109375" customWidth="1"/>
    <col min="3" max="3" width="11.6640625" customWidth="1"/>
    <col min="4" max="4" width="11.88671875" customWidth="1"/>
    <col min="5" max="5" width="10.5546875" bestFit="1" customWidth="1"/>
    <col min="6" max="7" width="10.5546875" customWidth="1"/>
    <col min="8" max="8" width="16.88671875" style="13" customWidth="1"/>
    <col min="9" max="9" width="11.6640625" bestFit="1" customWidth="1"/>
    <col min="10" max="10" width="13.5546875" bestFit="1" customWidth="1"/>
    <col min="11" max="11" width="12" bestFit="1" customWidth="1"/>
    <col min="12" max="12" width="11.33203125" bestFit="1" customWidth="1"/>
    <col min="13" max="13" width="12.33203125" bestFit="1" customWidth="1"/>
    <col min="17" max="17" width="9.5546875" bestFit="1" customWidth="1"/>
  </cols>
  <sheetData>
    <row r="1" spans="1:14" x14ac:dyDescent="0.3">
      <c r="B1" s="1"/>
      <c r="C1" t="s">
        <v>0</v>
      </c>
      <c r="E1" t="s">
        <v>24</v>
      </c>
      <c r="F1" t="s">
        <v>30</v>
      </c>
      <c r="I1" s="30" t="s">
        <v>33</v>
      </c>
    </row>
    <row r="2" spans="1:14" x14ac:dyDescent="0.3">
      <c r="A2" s="2" t="s">
        <v>1</v>
      </c>
      <c r="E2" t="s">
        <v>25</v>
      </c>
      <c r="F2" t="s">
        <v>29</v>
      </c>
      <c r="I2" s="30" t="s">
        <v>73</v>
      </c>
    </row>
    <row r="3" spans="1:14" x14ac:dyDescent="0.3">
      <c r="A3" s="3" t="s">
        <v>26</v>
      </c>
      <c r="H3" s="48"/>
      <c r="I3" s="48"/>
      <c r="J3" s="51"/>
      <c r="K3" s="49"/>
      <c r="L3" s="21"/>
      <c r="M3" s="21"/>
      <c r="N3" s="21"/>
    </row>
    <row r="4" spans="1:14" x14ac:dyDescent="0.3">
      <c r="E4" t="s">
        <v>58</v>
      </c>
      <c r="F4" t="s">
        <v>24</v>
      </c>
      <c r="H4" s="49"/>
      <c r="I4" s="48"/>
      <c r="J4" s="48"/>
      <c r="K4" s="51"/>
      <c r="L4" s="21"/>
      <c r="M4" s="21"/>
      <c r="N4" s="21"/>
    </row>
    <row r="5" spans="1:14" x14ac:dyDescent="0.3">
      <c r="A5" t="s">
        <v>26</v>
      </c>
      <c r="B5" s="58">
        <v>2000</v>
      </c>
      <c r="E5" t="s">
        <v>59</v>
      </c>
      <c r="F5" t="s">
        <v>25</v>
      </c>
      <c r="H5" s="21"/>
      <c r="I5" s="39"/>
      <c r="J5" s="39"/>
      <c r="K5" s="39"/>
      <c r="L5" s="21"/>
      <c r="M5" s="21"/>
      <c r="N5" s="21"/>
    </row>
    <row r="6" spans="1:14" ht="28.8" x14ac:dyDescent="0.3">
      <c r="A6" s="28" t="s">
        <v>42</v>
      </c>
      <c r="B6" s="34" t="s">
        <v>29</v>
      </c>
      <c r="E6" s="30"/>
      <c r="F6" t="s">
        <v>63</v>
      </c>
      <c r="H6" s="21"/>
      <c r="I6" s="12"/>
      <c r="J6" s="39"/>
      <c r="K6" s="39"/>
      <c r="L6" s="21"/>
      <c r="M6" s="21"/>
      <c r="N6" s="21"/>
    </row>
    <row r="7" spans="1:14" x14ac:dyDescent="0.3">
      <c r="A7" s="28" t="s">
        <v>41</v>
      </c>
      <c r="B7" s="34" t="s">
        <v>25</v>
      </c>
      <c r="E7" s="30"/>
      <c r="F7" s="30"/>
      <c r="H7" s="21"/>
      <c r="I7" s="48"/>
      <c r="J7" s="49"/>
      <c r="K7" s="41"/>
      <c r="L7" s="21"/>
      <c r="M7" s="21"/>
      <c r="N7" s="21"/>
    </row>
    <row r="8" spans="1:14" x14ac:dyDescent="0.3">
      <c r="A8" s="28"/>
      <c r="E8" s="49"/>
      <c r="F8" s="49"/>
      <c r="G8" s="49"/>
      <c r="H8" s="49"/>
      <c r="I8" s="51"/>
      <c r="J8" s="48"/>
      <c r="K8" s="48"/>
      <c r="L8" s="21"/>
      <c r="M8" s="21"/>
      <c r="N8" s="21"/>
    </row>
    <row r="9" spans="1:14" x14ac:dyDescent="0.3">
      <c r="A9" s="30" t="s">
        <v>62</v>
      </c>
      <c r="D9" s="49"/>
      <c r="E9" s="49"/>
      <c r="F9" s="48"/>
      <c r="G9" s="49"/>
      <c r="H9" s="81"/>
      <c r="I9" s="81"/>
      <c r="J9" s="49"/>
      <c r="K9" s="49"/>
      <c r="L9" s="49"/>
      <c r="M9" s="49"/>
      <c r="N9" s="21"/>
    </row>
    <row r="10" spans="1:14" x14ac:dyDescent="0.3">
      <c r="A10" s="28" t="s">
        <v>60</v>
      </c>
      <c r="B10" s="1" t="s">
        <v>58</v>
      </c>
      <c r="D10" s="49"/>
      <c r="E10" s="49"/>
      <c r="F10" s="48"/>
      <c r="G10" s="49"/>
      <c r="H10" s="81"/>
      <c r="I10" s="81"/>
      <c r="J10" s="85"/>
      <c r="K10" s="85"/>
      <c r="L10" s="85"/>
      <c r="M10" s="85"/>
      <c r="N10" s="21"/>
    </row>
    <row r="11" spans="1:14" x14ac:dyDescent="0.3">
      <c r="A11" s="28" t="s">
        <v>61</v>
      </c>
      <c r="B11" s="1">
        <v>200</v>
      </c>
      <c r="D11" s="49"/>
      <c r="E11" s="49"/>
      <c r="F11" s="48"/>
      <c r="G11" s="49"/>
      <c r="H11" s="81"/>
      <c r="I11" s="81"/>
      <c r="J11" s="85"/>
      <c r="K11" s="85"/>
      <c r="L11" s="85"/>
      <c r="M11" s="85"/>
      <c r="N11" s="21"/>
    </row>
    <row r="12" spans="1:14" s="21" customFormat="1" x14ac:dyDescent="0.3">
      <c r="A12" s="59"/>
      <c r="B12"/>
      <c r="D12" s="49"/>
      <c r="E12" s="49"/>
      <c r="F12" s="48"/>
      <c r="G12" s="49"/>
      <c r="H12" s="81"/>
      <c r="I12" s="81"/>
      <c r="J12" s="85"/>
      <c r="K12" s="85"/>
      <c r="L12" s="85"/>
      <c r="M12" s="85"/>
    </row>
    <row r="13" spans="1:14" x14ac:dyDescent="0.3">
      <c r="A13" s="2" t="s">
        <v>4</v>
      </c>
      <c r="D13" s="49"/>
      <c r="E13" s="49"/>
      <c r="F13" s="48"/>
      <c r="G13" s="81"/>
      <c r="H13" s="81"/>
      <c r="I13" s="81"/>
      <c r="J13" s="41"/>
      <c r="K13" s="41"/>
      <c r="L13" s="49"/>
      <c r="M13" s="49"/>
      <c r="N13" s="21"/>
    </row>
    <row r="14" spans="1:14" x14ac:dyDescent="0.3">
      <c r="A14" t="s">
        <v>5</v>
      </c>
      <c r="B14" s="1" t="s">
        <v>89</v>
      </c>
      <c r="D14" s="49"/>
      <c r="E14" s="49"/>
      <c r="F14" s="48"/>
      <c r="G14" s="49"/>
      <c r="H14" s="81"/>
      <c r="I14" s="81"/>
      <c r="J14" s="49"/>
      <c r="K14" s="49"/>
      <c r="L14" s="49"/>
      <c r="M14" s="49"/>
      <c r="N14" s="21"/>
    </row>
    <row r="15" spans="1:14" x14ac:dyDescent="0.3">
      <c r="D15" s="49"/>
      <c r="E15" s="49"/>
      <c r="F15" s="49"/>
      <c r="G15" s="49"/>
      <c r="H15" s="81"/>
      <c r="I15" s="81"/>
      <c r="J15" s="49"/>
      <c r="K15" s="49"/>
      <c r="L15" s="49"/>
      <c r="M15" s="49"/>
      <c r="N15" s="21"/>
    </row>
    <row r="16" spans="1:14" x14ac:dyDescent="0.3">
      <c r="D16" s="49"/>
      <c r="E16" s="49"/>
      <c r="F16" s="83"/>
      <c r="G16" s="49"/>
      <c r="H16" s="81"/>
      <c r="I16" s="81"/>
      <c r="J16" s="49"/>
      <c r="K16" s="49"/>
      <c r="L16" s="49"/>
      <c r="M16" s="49"/>
      <c r="N16" s="21"/>
    </row>
    <row r="17" spans="1:14" x14ac:dyDescent="0.3">
      <c r="D17" s="49"/>
      <c r="E17" s="49"/>
      <c r="F17" s="49"/>
      <c r="G17" s="81"/>
      <c r="H17" s="81"/>
      <c r="I17" s="81"/>
      <c r="J17" s="49"/>
      <c r="K17" s="49"/>
      <c r="L17" s="49"/>
      <c r="M17" s="49"/>
      <c r="N17" s="21"/>
    </row>
    <row r="18" spans="1:14" x14ac:dyDescent="0.3">
      <c r="A18" t="s">
        <v>6</v>
      </c>
      <c r="B18" s="1">
        <v>139000</v>
      </c>
      <c r="L18" s="21"/>
      <c r="M18" s="21"/>
      <c r="N18" s="21"/>
    </row>
    <row r="19" spans="1:14" x14ac:dyDescent="0.3">
      <c r="A19" s="2" t="s">
        <v>7</v>
      </c>
    </row>
    <row r="20" spans="1:14" x14ac:dyDescent="0.3">
      <c r="A20" s="3" t="s">
        <v>8</v>
      </c>
    </row>
    <row r="21" spans="1:14" x14ac:dyDescent="0.3">
      <c r="B21" s="100" t="s">
        <v>21</v>
      </c>
      <c r="C21" s="21"/>
      <c r="D21" s="21"/>
      <c r="E21" s="21"/>
      <c r="F21" s="100"/>
      <c r="G21" s="21"/>
      <c r="H21" s="21"/>
      <c r="I21" s="21"/>
    </row>
    <row r="22" spans="1:14" ht="15.6" x14ac:dyDescent="0.3">
      <c r="A22" t="s">
        <v>9</v>
      </c>
      <c r="B22" s="54">
        <v>0</v>
      </c>
      <c r="C22" s="27">
        <v>45282</v>
      </c>
      <c r="D22" s="101">
        <v>0.15</v>
      </c>
      <c r="E22" s="21"/>
      <c r="F22" s="54"/>
      <c r="G22" s="27"/>
      <c r="H22" s="101"/>
      <c r="I22" s="21"/>
      <c r="N22" s="6"/>
    </row>
    <row r="23" spans="1:14" ht="15.6" x14ac:dyDescent="0.3">
      <c r="A23" t="s">
        <v>10</v>
      </c>
      <c r="B23" s="27">
        <f>C22</f>
        <v>45282</v>
      </c>
      <c r="C23" s="27">
        <v>90563</v>
      </c>
      <c r="D23" s="69">
        <v>0.20499999999999999</v>
      </c>
      <c r="E23" s="21"/>
      <c r="F23" s="27"/>
      <c r="G23" s="27"/>
      <c r="H23" s="69"/>
      <c r="I23" s="21"/>
      <c r="N23" s="7"/>
    </row>
    <row r="24" spans="1:14" ht="15.6" x14ac:dyDescent="0.3">
      <c r="A24" t="s">
        <v>10</v>
      </c>
      <c r="B24" s="27">
        <f>C23</f>
        <v>90563</v>
      </c>
      <c r="C24" s="27">
        <v>140388</v>
      </c>
      <c r="D24" s="69">
        <v>0.26</v>
      </c>
      <c r="E24" s="21"/>
      <c r="F24" s="27"/>
      <c r="G24" s="27"/>
      <c r="H24" s="69"/>
      <c r="I24" s="21"/>
      <c r="N24" s="7"/>
    </row>
    <row r="25" spans="1:14" ht="15.6" x14ac:dyDescent="0.3">
      <c r="A25" t="s">
        <v>10</v>
      </c>
      <c r="B25" s="27">
        <f>C24</f>
        <v>140388</v>
      </c>
      <c r="C25" s="27">
        <v>200000</v>
      </c>
      <c r="D25" s="69">
        <v>0.28999999999999998</v>
      </c>
      <c r="E25" s="21"/>
      <c r="F25" s="27"/>
      <c r="G25" s="27"/>
      <c r="H25" s="69"/>
      <c r="I25" s="21"/>
      <c r="N25" s="7"/>
    </row>
    <row r="26" spans="1:14" ht="15.6" x14ac:dyDescent="0.3">
      <c r="B26" s="27">
        <f>C25</f>
        <v>200000</v>
      </c>
      <c r="C26" s="21"/>
      <c r="D26" s="69">
        <v>0.33</v>
      </c>
      <c r="E26" s="21"/>
      <c r="F26" s="27"/>
      <c r="G26" s="21"/>
      <c r="H26" s="69"/>
      <c r="I26" s="21"/>
      <c r="N26" s="7"/>
    </row>
    <row r="27" spans="1:14" x14ac:dyDescent="0.3">
      <c r="B27" s="21"/>
      <c r="C27" s="100"/>
      <c r="D27" s="21"/>
      <c r="E27" s="21"/>
      <c r="F27" s="21"/>
      <c r="G27" s="21"/>
      <c r="H27" s="12"/>
      <c r="I27" s="21"/>
    </row>
    <row r="28" spans="1:14" ht="15.6" x14ac:dyDescent="0.3">
      <c r="A28" t="s">
        <v>38</v>
      </c>
      <c r="B28" s="27">
        <v>11474</v>
      </c>
      <c r="C28" s="27"/>
      <c r="D28" s="21"/>
      <c r="E28" s="21"/>
      <c r="F28" s="21"/>
      <c r="G28" s="54"/>
      <c r="H28" s="12"/>
      <c r="I28" s="21"/>
    </row>
    <row r="29" spans="1:14" x14ac:dyDescent="0.3">
      <c r="B29" s="21"/>
      <c r="C29" s="21"/>
      <c r="D29" s="21"/>
      <c r="E29" s="21"/>
      <c r="F29" s="21"/>
      <c r="G29" s="21"/>
      <c r="H29" s="12"/>
      <c r="I29" s="21"/>
    </row>
    <row r="30" spans="1:14" x14ac:dyDescent="0.3">
      <c r="A30" s="3" t="s">
        <v>11</v>
      </c>
      <c r="B30" s="21"/>
      <c r="C30" s="21"/>
      <c r="D30" s="21"/>
      <c r="E30" s="21"/>
      <c r="F30" s="21"/>
      <c r="G30" s="21"/>
      <c r="H30" s="12"/>
      <c r="I30" s="21"/>
    </row>
    <row r="31" spans="1:14" x14ac:dyDescent="0.3">
      <c r="A31" s="10" t="s">
        <v>89</v>
      </c>
      <c r="B31" s="100" t="s">
        <v>21</v>
      </c>
      <c r="C31" s="21"/>
      <c r="D31" s="21"/>
      <c r="E31" s="21"/>
      <c r="F31" s="100"/>
      <c r="G31" s="21"/>
      <c r="H31" s="21"/>
      <c r="I31" s="49"/>
      <c r="J31" s="32"/>
      <c r="K31" s="75"/>
    </row>
    <row r="32" spans="1:14" ht="15.6" x14ac:dyDescent="0.3">
      <c r="A32" t="s">
        <v>9</v>
      </c>
      <c r="B32" s="21">
        <v>0</v>
      </c>
      <c r="C32" s="27">
        <v>38210</v>
      </c>
      <c r="D32" s="69">
        <v>5.0599999999999999E-2</v>
      </c>
      <c r="E32" s="21"/>
      <c r="F32" s="21"/>
      <c r="G32" s="27"/>
      <c r="H32" s="69"/>
      <c r="I32" s="49"/>
      <c r="J32" s="69"/>
      <c r="K32" s="21"/>
    </row>
    <row r="33" spans="1:14" ht="15.6" x14ac:dyDescent="0.3">
      <c r="A33" t="s">
        <v>10</v>
      </c>
      <c r="B33" s="27">
        <f>C32</f>
        <v>38210</v>
      </c>
      <c r="C33" s="27">
        <v>76421</v>
      </c>
      <c r="D33" s="69">
        <v>7.6999999999999999E-2</v>
      </c>
      <c r="E33" s="21"/>
      <c r="F33" s="27"/>
      <c r="G33" s="27"/>
      <c r="H33" s="69"/>
      <c r="I33" s="49"/>
      <c r="J33" s="76"/>
      <c r="K33" s="55"/>
      <c r="L33" s="15"/>
    </row>
    <row r="34" spans="1:14" ht="15.6" x14ac:dyDescent="0.3">
      <c r="A34" t="s">
        <v>10</v>
      </c>
      <c r="B34" s="27">
        <f>C33</f>
        <v>76421</v>
      </c>
      <c r="C34" s="27">
        <v>87741</v>
      </c>
      <c r="D34" s="69">
        <v>0.105</v>
      </c>
      <c r="E34" s="21"/>
      <c r="F34" s="27"/>
      <c r="G34" s="27"/>
      <c r="H34" s="69"/>
      <c r="I34" s="49"/>
      <c r="J34" s="76"/>
      <c r="K34" s="54"/>
      <c r="L34" s="13"/>
      <c r="N34" s="18"/>
    </row>
    <row r="35" spans="1:14" ht="15.6" x14ac:dyDescent="0.3">
      <c r="A35" t="s">
        <v>10</v>
      </c>
      <c r="B35" s="27">
        <f>C34</f>
        <v>87741</v>
      </c>
      <c r="C35" s="27">
        <v>106543</v>
      </c>
      <c r="D35" s="69">
        <v>0.1229</v>
      </c>
      <c r="E35" s="21"/>
      <c r="F35" s="27"/>
      <c r="G35" s="27"/>
      <c r="H35" s="69"/>
      <c r="I35" s="49"/>
      <c r="J35" s="76"/>
      <c r="K35" s="54"/>
      <c r="L35" s="13"/>
      <c r="N35" s="4"/>
    </row>
    <row r="36" spans="1:14" ht="15.6" x14ac:dyDescent="0.3">
      <c r="B36" s="27">
        <f>C35</f>
        <v>106543</v>
      </c>
      <c r="C36" s="21"/>
      <c r="D36" s="69">
        <v>0.14699999999999999</v>
      </c>
      <c r="E36" s="21"/>
      <c r="F36" s="27"/>
      <c r="G36" s="21"/>
      <c r="H36" s="69"/>
      <c r="I36" s="49"/>
      <c r="J36" s="76"/>
      <c r="K36" s="54"/>
      <c r="L36" s="13"/>
    </row>
    <row r="37" spans="1:14" x14ac:dyDescent="0.3">
      <c r="B37" s="21"/>
      <c r="C37" s="100"/>
      <c r="D37" s="21"/>
      <c r="H37" s="43"/>
      <c r="I37" s="49"/>
      <c r="J37" s="77"/>
      <c r="K37" s="20"/>
      <c r="L37" s="26"/>
    </row>
    <row r="38" spans="1:14" ht="15.6" x14ac:dyDescent="0.3">
      <c r="A38" t="s">
        <v>36</v>
      </c>
      <c r="B38" s="27">
        <v>10027</v>
      </c>
      <c r="C38" s="27"/>
      <c r="D38" s="21"/>
      <c r="H38" s="43"/>
      <c r="I38" s="49"/>
      <c r="J38" s="77"/>
      <c r="K38" s="20"/>
      <c r="L38" s="26"/>
    </row>
    <row r="39" spans="1:14" x14ac:dyDescent="0.3">
      <c r="B39" s="4"/>
      <c r="C39" s="4"/>
      <c r="D39" t="s">
        <v>37</v>
      </c>
      <c r="E39" s="13"/>
      <c r="F39" s="46"/>
      <c r="H39" s="16"/>
      <c r="I39" s="49"/>
      <c r="J39" s="21"/>
      <c r="K39" s="21"/>
    </row>
    <row r="40" spans="1:14" x14ac:dyDescent="0.3">
      <c r="A40" s="3" t="s">
        <v>91</v>
      </c>
      <c r="B40" s="4"/>
      <c r="C40" s="4"/>
      <c r="F40" s="13"/>
      <c r="G40" s="46"/>
      <c r="H40"/>
      <c r="I40" s="49"/>
      <c r="J40" s="32" t="s">
        <v>94</v>
      </c>
      <c r="K40" s="21"/>
    </row>
    <row r="41" spans="1:14" x14ac:dyDescent="0.3">
      <c r="A41" s="3"/>
      <c r="B41" s="4" t="s">
        <v>94</v>
      </c>
      <c r="C41" s="4" t="s">
        <v>103</v>
      </c>
      <c r="F41" s="3" t="s">
        <v>98</v>
      </c>
      <c r="G41" s="46"/>
      <c r="H41"/>
      <c r="I41" s="49" t="s">
        <v>65</v>
      </c>
      <c r="J41" s="78" t="s">
        <v>64</v>
      </c>
      <c r="K41" s="78" t="s">
        <v>66</v>
      </c>
    </row>
    <row r="42" spans="1:14" ht="15.6" x14ac:dyDescent="0.3">
      <c r="A42" s="3"/>
      <c r="B42" t="s">
        <v>27</v>
      </c>
      <c r="C42" t="s">
        <v>28</v>
      </c>
      <c r="F42">
        <v>0</v>
      </c>
      <c r="G42" s="5">
        <f t="shared" ref="G42:H45" si="0">C32</f>
        <v>38210</v>
      </c>
      <c r="H42" s="7">
        <f t="shared" si="0"/>
        <v>5.0599999999999999E-2</v>
      </c>
      <c r="I42" s="12">
        <v>0</v>
      </c>
      <c r="J42" s="12">
        <f>IF(AND($B$18&gt;=F42,$B$18&lt;G42),($B$18-F42)*H42,0)</f>
        <v>0</v>
      </c>
      <c r="K42" s="55">
        <f>(IF(J42=0,0,I42+J42))</f>
        <v>0</v>
      </c>
    </row>
    <row r="43" spans="1:14" ht="15.6" x14ac:dyDescent="0.3">
      <c r="A43" s="3"/>
      <c r="B43" s="4">
        <f>$B$18</f>
        <v>139000</v>
      </c>
      <c r="C43" s="4">
        <f ca="1">$B$18+$B$5+$B$104</f>
        <v>141000</v>
      </c>
      <c r="F43" s="5">
        <f>G42</f>
        <v>38210</v>
      </c>
      <c r="G43" s="5">
        <f t="shared" si="0"/>
        <v>76421</v>
      </c>
      <c r="H43" s="7">
        <f t="shared" si="0"/>
        <v>7.6999999999999999E-2</v>
      </c>
      <c r="I43" s="12">
        <f>(G42-F42)*H42</f>
        <v>1933.4259999999999</v>
      </c>
      <c r="J43" s="12">
        <f>IF(AND($B$18&gt;=F43,$B$18&lt;G43),($B$18-F43)*H43,0)</f>
        <v>0</v>
      </c>
      <c r="K43" s="55">
        <f>(IF(J43=0,0,I43+J43))</f>
        <v>0</v>
      </c>
    </row>
    <row r="44" spans="1:14" ht="15.6" x14ac:dyDescent="0.3">
      <c r="A44" s="28" t="s">
        <v>92</v>
      </c>
      <c r="B44" s="40">
        <v>-19000</v>
      </c>
      <c r="C44" s="40">
        <v>-19000</v>
      </c>
      <c r="F44" s="27">
        <f>G43</f>
        <v>76421</v>
      </c>
      <c r="G44" s="5">
        <f t="shared" si="0"/>
        <v>87741</v>
      </c>
      <c r="H44" s="7">
        <f t="shared" si="0"/>
        <v>0.105</v>
      </c>
      <c r="I44" s="12">
        <f>((G43-F43)*H43)+I43</f>
        <v>4875.6729999999998</v>
      </c>
      <c r="J44" s="12">
        <f>IF(AND($B$18&gt;=F44,$B$18&lt;G44),($B$18-F44)*H44,0)</f>
        <v>0</v>
      </c>
      <c r="K44" s="55">
        <f>(IF(J44=0,0,I44+J44))</f>
        <v>0</v>
      </c>
    </row>
    <row r="45" spans="1:14" ht="15.6" x14ac:dyDescent="0.3">
      <c r="A45" s="3"/>
      <c r="B45" s="4">
        <f>IF((B43+B44)&lt;=0,0,SUM(B43:B44))</f>
        <v>120000</v>
      </c>
      <c r="C45" s="4">
        <f ca="1">IF((C43+C44)&lt;=0,0,SUM(C43:C44))</f>
        <v>122000</v>
      </c>
      <c r="F45" s="5">
        <f>G44</f>
        <v>87741</v>
      </c>
      <c r="G45" s="5">
        <f t="shared" si="0"/>
        <v>106543</v>
      </c>
      <c r="H45" s="7">
        <f t="shared" si="0"/>
        <v>0.1229</v>
      </c>
      <c r="I45" s="12">
        <f t="shared" ref="I45:I46" si="1">((G44-F44)*H44)+I44</f>
        <v>6064.2729999999992</v>
      </c>
      <c r="J45" s="12">
        <f>IF(AND($B$18&gt;=F45,$B$18&lt;G45),($B$18-F45)*H45,0)</f>
        <v>0</v>
      </c>
      <c r="K45" s="55">
        <f>(IF(J45=0,0,I45+J45))</f>
        <v>0</v>
      </c>
    </row>
    <row r="46" spans="1:14" ht="15.6" x14ac:dyDescent="0.3">
      <c r="A46" s="3"/>
      <c r="B46" s="71">
        <v>3.5000000000000003E-2</v>
      </c>
      <c r="C46" s="71">
        <v>3.5000000000000003E-2</v>
      </c>
      <c r="F46" s="5">
        <f>G45</f>
        <v>106543</v>
      </c>
      <c r="H46" s="7">
        <f>D36</f>
        <v>0.14699999999999999</v>
      </c>
      <c r="I46" s="12">
        <f t="shared" si="1"/>
        <v>8375.0387999999984</v>
      </c>
      <c r="J46" s="12">
        <f>IF($B$18&gt;=F46,($B$18-F46)*H46,0)</f>
        <v>4771.1790000000001</v>
      </c>
      <c r="K46" s="79">
        <f>(IF(J46=0,0,I46+J46))</f>
        <v>13146.217799999999</v>
      </c>
    </row>
    <row r="47" spans="1:14" x14ac:dyDescent="0.3">
      <c r="A47" s="3"/>
      <c r="B47" s="4">
        <f>B45*B46</f>
        <v>4200</v>
      </c>
      <c r="C47" s="4">
        <f ca="1">C45*C46</f>
        <v>4270</v>
      </c>
      <c r="F47" s="13"/>
      <c r="G47" s="46"/>
      <c r="H47"/>
      <c r="I47" s="12"/>
      <c r="J47" s="12"/>
      <c r="K47" s="12">
        <f>SUM(K42:K46)</f>
        <v>13146.217799999999</v>
      </c>
    </row>
    <row r="48" spans="1:14" x14ac:dyDescent="0.3">
      <c r="A48" s="3"/>
      <c r="B48" s="4"/>
      <c r="C48" s="4"/>
      <c r="F48" s="13"/>
      <c r="G48" s="46"/>
      <c r="H48" s="66" t="s">
        <v>35</v>
      </c>
      <c r="I48" s="12">
        <f>B38</f>
        <v>10027</v>
      </c>
      <c r="J48" s="20">
        <f>D32</f>
        <v>5.0599999999999999E-2</v>
      </c>
      <c r="K48" s="56">
        <f>IF($B$18&lt;I48,$B$18*J48,I48*J48)</f>
        <v>507.36619999999999</v>
      </c>
    </row>
    <row r="49" spans="1:11" x14ac:dyDescent="0.3">
      <c r="A49" s="28" t="s">
        <v>17</v>
      </c>
      <c r="B49" s="4">
        <v>432</v>
      </c>
      <c r="C49" s="4">
        <v>432</v>
      </c>
      <c r="F49" s="13"/>
      <c r="G49" s="46"/>
      <c r="H49" s="4"/>
      <c r="I49" s="49"/>
      <c r="J49" s="20"/>
      <c r="K49" s="13">
        <f>IF((K47-K48)&lt;=0,0,K47-K48)</f>
        <v>12638.851599999998</v>
      </c>
    </row>
    <row r="50" spans="1:11" x14ac:dyDescent="0.3">
      <c r="A50" s="3"/>
      <c r="B50" s="72">
        <f>B47</f>
        <v>4200</v>
      </c>
      <c r="C50" s="72">
        <f ca="1">C47</f>
        <v>4270</v>
      </c>
      <c r="F50" s="13"/>
      <c r="G50" s="46"/>
      <c r="H50"/>
      <c r="I50" s="49"/>
      <c r="J50" s="12"/>
      <c r="K50" s="12"/>
    </row>
    <row r="51" spans="1:11" x14ac:dyDescent="0.3">
      <c r="A51" s="28" t="s">
        <v>99</v>
      </c>
      <c r="B51" s="4">
        <f>IF((B49-B50)&lt;=0,0,B49-B50)</f>
        <v>0</v>
      </c>
      <c r="C51" s="4">
        <f ca="1">IF((C49-C50)&lt;=0,0,C49-C50)</f>
        <v>0</v>
      </c>
      <c r="D51" s="4"/>
      <c r="F51" s="13"/>
      <c r="G51" s="46"/>
      <c r="H51"/>
      <c r="I51" s="49"/>
      <c r="J51" s="12"/>
      <c r="K51" s="12"/>
    </row>
    <row r="52" spans="1:11" x14ac:dyDescent="0.3">
      <c r="A52" s="3"/>
      <c r="B52" s="4"/>
      <c r="C52" s="4"/>
      <c r="F52" s="13"/>
      <c r="G52" s="46"/>
      <c r="H52"/>
      <c r="I52" s="49"/>
      <c r="J52" s="32" t="s">
        <v>103</v>
      </c>
      <c r="K52" s="21"/>
    </row>
    <row r="53" spans="1:11" x14ac:dyDescent="0.3">
      <c r="A53" t="s">
        <v>96</v>
      </c>
      <c r="B53" s="4">
        <f>K49</f>
        <v>12638.851599999998</v>
      </c>
      <c r="C53" s="4">
        <f ca="1">K65</f>
        <v>12932.851599999998</v>
      </c>
      <c r="F53" s="3" t="s">
        <v>98</v>
      </c>
      <c r="G53" s="46"/>
      <c r="H53"/>
      <c r="I53" s="49" t="s">
        <v>65</v>
      </c>
      <c r="J53" s="78" t="s">
        <v>64</v>
      </c>
      <c r="K53" s="78" t="s">
        <v>66</v>
      </c>
    </row>
    <row r="54" spans="1:11" ht="15.6" x14ac:dyDescent="0.3">
      <c r="B54" s="4"/>
      <c r="C54" s="4"/>
      <c r="F54">
        <v>0</v>
      </c>
      <c r="G54" s="5">
        <f t="shared" ref="G54:H57" si="2">C32</f>
        <v>38210</v>
      </c>
      <c r="H54" s="7">
        <f t="shared" si="2"/>
        <v>5.0599999999999999E-2</v>
      </c>
      <c r="I54" s="12">
        <v>0</v>
      </c>
      <c r="J54" s="12">
        <f ca="1">IF(AND(($B$18+$B$5+$B$104)&gt;=F54,($B$18+$B$5+$B$104)&lt;G54),($B$18+$B$5+$B$104-F54)*H54,0)</f>
        <v>0</v>
      </c>
      <c r="K54" s="55">
        <f t="shared" ref="K54:K58" ca="1" si="3">(IF(J54=0,0,I54+J54))</f>
        <v>0</v>
      </c>
    </row>
    <row r="55" spans="1:11" ht="15.6" x14ac:dyDescent="0.3">
      <c r="A55" s="28" t="s">
        <v>97</v>
      </c>
      <c r="B55" s="4">
        <f>MIN(B51,B53)</f>
        <v>0</v>
      </c>
      <c r="C55" s="4">
        <f ca="1">MIN(C51,C53)</f>
        <v>0</v>
      </c>
      <c r="D55" s="26"/>
      <c r="F55" s="5">
        <f>G54</f>
        <v>38210</v>
      </c>
      <c r="G55" s="5">
        <f t="shared" si="2"/>
        <v>76421</v>
      </c>
      <c r="H55" s="7">
        <f t="shared" si="2"/>
        <v>7.6999999999999999E-2</v>
      </c>
      <c r="I55" s="12">
        <f>(G54-F54)*H54</f>
        <v>1933.4259999999999</v>
      </c>
      <c r="J55" s="12">
        <f ca="1">IF(AND(($B$18+$B$5+$B$104)&gt;=F55,($B$18+$B$5+$B$104)&lt;G55),($B$18+$B$5+$B$104-F55)*H55,0)</f>
        <v>0</v>
      </c>
      <c r="K55" s="55">
        <f t="shared" ca="1" si="3"/>
        <v>0</v>
      </c>
    </row>
    <row r="56" spans="1:11" ht="15.6" x14ac:dyDescent="0.3">
      <c r="A56" s="3"/>
      <c r="B56" s="4"/>
      <c r="C56" s="4"/>
      <c r="F56" s="27">
        <f>G55</f>
        <v>76421</v>
      </c>
      <c r="G56" s="5">
        <f t="shared" si="2"/>
        <v>87741</v>
      </c>
      <c r="H56" s="7">
        <f t="shared" si="2"/>
        <v>0.105</v>
      </c>
      <c r="I56" s="12">
        <f>((G55-F55)*H55)+I55</f>
        <v>4875.6729999999998</v>
      </c>
      <c r="J56" s="12">
        <f ca="1">IF(AND(($B$18+$B$5+$B$104)&gt;=F56,($B$18+$B$5+$B$104)&lt;G56),($B$18+$B$5+$B$104-F56)*H56,0)</f>
        <v>0</v>
      </c>
      <c r="K56" s="55">
        <f t="shared" ca="1" si="3"/>
        <v>0</v>
      </c>
    </row>
    <row r="57" spans="1:11" ht="15.6" x14ac:dyDescent="0.3">
      <c r="A57" s="28" t="s">
        <v>91</v>
      </c>
      <c r="B57" s="37">
        <f ca="1">C55-B55</f>
        <v>0</v>
      </c>
      <c r="C57" s="4"/>
      <c r="F57" s="5">
        <f>G56</f>
        <v>87741</v>
      </c>
      <c r="G57" s="5">
        <f t="shared" si="2"/>
        <v>106543</v>
      </c>
      <c r="H57" s="7">
        <f t="shared" si="2"/>
        <v>0.1229</v>
      </c>
      <c r="I57" s="12">
        <f t="shared" ref="I57:I58" si="4">((G56-F56)*H56)+I56</f>
        <v>6064.2729999999992</v>
      </c>
      <c r="J57" s="12">
        <f ca="1">IF(AND(($B$18+$B$5+$B$104)&gt;=F57,($B$18+$B$5+$B$104)&lt;G57),($B$18+$B$5+$B$104-F57)*H57,0)</f>
        <v>0</v>
      </c>
      <c r="K57" s="55">
        <f t="shared" ca="1" si="3"/>
        <v>0</v>
      </c>
    </row>
    <row r="58" spans="1:11" ht="15.6" x14ac:dyDescent="0.3">
      <c r="A58" s="3"/>
      <c r="B58" s="4"/>
      <c r="C58" s="4"/>
      <c r="F58" s="5">
        <f>G57</f>
        <v>106543</v>
      </c>
      <c r="H58" s="7">
        <f>D36</f>
        <v>0.14699999999999999</v>
      </c>
      <c r="I58" s="12">
        <f t="shared" si="4"/>
        <v>8375.0387999999984</v>
      </c>
      <c r="J58" s="12">
        <f ca="1">IF(($B$18+$B$5+$B$104)&gt;=F58,($B$18+$B$5+$B$104-F58)*H58,0)</f>
        <v>5065.1790000000001</v>
      </c>
      <c r="K58" s="79">
        <f t="shared" ca="1" si="3"/>
        <v>13440.217799999999</v>
      </c>
    </row>
    <row r="59" spans="1:11" x14ac:dyDescent="0.3">
      <c r="A59" s="3"/>
      <c r="B59" s="4"/>
      <c r="C59" s="4"/>
      <c r="F59" s="13"/>
      <c r="G59" s="46"/>
      <c r="H59"/>
      <c r="I59" s="49"/>
      <c r="J59" s="21"/>
      <c r="K59" s="55">
        <f ca="1">SUM(K54:K58)</f>
        <v>13440.217799999999</v>
      </c>
    </row>
    <row r="60" spans="1:11" x14ac:dyDescent="0.3">
      <c r="A60" s="3"/>
      <c r="B60" s="4"/>
      <c r="C60" s="4"/>
      <c r="F60" s="13"/>
      <c r="G60" s="46"/>
      <c r="H60" s="66" t="s">
        <v>35</v>
      </c>
      <c r="I60" s="12">
        <f>B38</f>
        <v>10027</v>
      </c>
      <c r="J60" s="20">
        <f>D32</f>
        <v>5.0599999999999999E-2</v>
      </c>
      <c r="K60" s="56">
        <f ca="1">IF(($B$18+$B$5+$B$104)&lt;I60,($B$18+$B$5+$B$104)*J60,I60*J60)</f>
        <v>507.36619999999999</v>
      </c>
    </row>
    <row r="61" spans="1:11" x14ac:dyDescent="0.3">
      <c r="A61" s="3"/>
      <c r="B61" s="4"/>
      <c r="C61" s="4"/>
      <c r="F61" s="13"/>
      <c r="G61" s="46"/>
      <c r="H61"/>
      <c r="I61" s="49"/>
      <c r="J61" s="21"/>
      <c r="K61" s="13">
        <f ca="1">IF((K59-K60)&lt;=0,0,K59-K60)</f>
        <v>12932.851599999998</v>
      </c>
    </row>
    <row r="62" spans="1:11" x14ac:dyDescent="0.3">
      <c r="B62" s="4"/>
      <c r="C62" s="4"/>
      <c r="E62" s="13"/>
      <c r="F62" s="46"/>
      <c r="H62" s="66" t="s">
        <v>104</v>
      </c>
      <c r="I62" s="49"/>
      <c r="J62" s="21"/>
      <c r="K62" s="80">
        <f ca="1">MIN(B95,K61)</f>
        <v>0</v>
      </c>
    </row>
    <row r="63" spans="1:11" x14ac:dyDescent="0.3">
      <c r="A63" s="3" t="s">
        <v>100</v>
      </c>
      <c r="B63" s="4"/>
      <c r="C63" s="4"/>
      <c r="I63" s="49"/>
      <c r="J63" s="21"/>
      <c r="K63" s="12">
        <f ca="1">K61-K62</f>
        <v>12932.851599999998</v>
      </c>
    </row>
    <row r="64" spans="1:11" x14ac:dyDescent="0.3">
      <c r="A64" s="3"/>
      <c r="B64" s="4" t="s">
        <v>94</v>
      </c>
      <c r="C64" s="4" t="s">
        <v>103</v>
      </c>
      <c r="H64" s="66" t="s">
        <v>105</v>
      </c>
      <c r="I64" s="49"/>
      <c r="J64" s="21"/>
      <c r="K64" s="80">
        <f ca="1">MIN(B136,K63)</f>
        <v>0</v>
      </c>
    </row>
    <row r="65" spans="1:17" x14ac:dyDescent="0.3">
      <c r="A65" s="3"/>
      <c r="B65" t="s">
        <v>27</v>
      </c>
      <c r="C65" t="s">
        <v>28</v>
      </c>
      <c r="I65" s="49"/>
      <c r="J65" s="21"/>
      <c r="K65" s="12">
        <f ca="1">K63-K64</f>
        <v>12932.851599999998</v>
      </c>
    </row>
    <row r="66" spans="1:17" x14ac:dyDescent="0.3">
      <c r="A66" s="3"/>
      <c r="B66" s="4">
        <f>$B$18</f>
        <v>139000</v>
      </c>
      <c r="C66" s="4">
        <f ca="1">$B$18+$B$5+$B$104</f>
        <v>141000</v>
      </c>
      <c r="I66" s="49"/>
      <c r="J66" s="21"/>
      <c r="K66" s="21"/>
    </row>
    <row r="67" spans="1:17" x14ac:dyDescent="0.3">
      <c r="A67" s="28" t="s">
        <v>92</v>
      </c>
      <c r="B67" s="40">
        <v>-15000</v>
      </c>
      <c r="C67" s="40">
        <v>-15000</v>
      </c>
      <c r="I67" s="49"/>
      <c r="J67" s="21"/>
      <c r="K67" s="21"/>
    </row>
    <row r="68" spans="1:17" x14ac:dyDescent="0.3">
      <c r="A68" s="3"/>
      <c r="B68" s="4">
        <f>IF((B66+B67)&lt;=0,0,SUM(B66:B67))</f>
        <v>124000</v>
      </c>
      <c r="C68" s="4">
        <f ca="1">IF((C66+C67)&lt;=0,0,SUM(C66:C67))</f>
        <v>126000</v>
      </c>
      <c r="I68" s="49"/>
      <c r="J68" s="21"/>
      <c r="K68" s="21"/>
    </row>
    <row r="69" spans="1:17" x14ac:dyDescent="0.3">
      <c r="A69" s="3"/>
      <c r="B69" s="71">
        <v>0.02</v>
      </c>
      <c r="C69" s="71">
        <v>0.02</v>
      </c>
      <c r="I69" s="49"/>
      <c r="J69" s="21"/>
      <c r="K69" s="21"/>
    </row>
    <row r="70" spans="1:17" x14ac:dyDescent="0.3">
      <c r="A70" s="3"/>
      <c r="B70" s="4">
        <f>B68*B69</f>
        <v>2480</v>
      </c>
      <c r="C70" s="4">
        <f ca="1">C68*C69</f>
        <v>2520</v>
      </c>
      <c r="I70" s="49"/>
      <c r="J70" s="21"/>
      <c r="K70" s="21"/>
    </row>
    <row r="71" spans="1:17" x14ac:dyDescent="0.3">
      <c r="A71" s="3"/>
      <c r="B71" s="4"/>
      <c r="C71" s="4"/>
      <c r="I71" s="49"/>
      <c r="J71" s="21"/>
      <c r="K71" s="21"/>
    </row>
    <row r="72" spans="1:17" x14ac:dyDescent="0.3">
      <c r="A72" s="28" t="s">
        <v>17</v>
      </c>
      <c r="B72" s="4">
        <v>75</v>
      </c>
      <c r="C72" s="4">
        <v>75</v>
      </c>
      <c r="I72" s="49"/>
      <c r="J72" s="21"/>
      <c r="K72" s="21"/>
    </row>
    <row r="73" spans="1:17" x14ac:dyDescent="0.3">
      <c r="A73" s="3"/>
      <c r="B73" s="72">
        <f>B70</f>
        <v>2480</v>
      </c>
      <c r="C73" s="72">
        <f ca="1">C70</f>
        <v>2520</v>
      </c>
      <c r="I73" s="49"/>
      <c r="J73" s="21"/>
      <c r="K73" s="21"/>
    </row>
    <row r="74" spans="1:17" x14ac:dyDescent="0.3">
      <c r="A74" s="28" t="s">
        <v>99</v>
      </c>
      <c r="B74" s="4">
        <f>IF((B72-B73)&lt;=0,0,B72-B73)</f>
        <v>0</v>
      </c>
      <c r="C74" s="4">
        <f ca="1">IF((C72-C73)&lt;=0,0,C72-C73)</f>
        <v>0</v>
      </c>
      <c r="I74" s="49"/>
      <c r="J74" s="21"/>
      <c r="K74" s="21"/>
    </row>
    <row r="75" spans="1:17" x14ac:dyDescent="0.3">
      <c r="A75" s="3"/>
      <c r="B75" s="4"/>
      <c r="C75" s="4"/>
      <c r="I75" s="49"/>
      <c r="J75" s="21"/>
      <c r="K75" s="21"/>
    </row>
    <row r="76" spans="1:17" x14ac:dyDescent="0.3">
      <c r="A76" s="28" t="s">
        <v>100</v>
      </c>
      <c r="B76" s="37">
        <f ca="1">B74-C74</f>
        <v>0</v>
      </c>
      <c r="C76" s="4"/>
      <c r="D76" s="21"/>
      <c r="I76" s="49"/>
      <c r="J76" s="21"/>
      <c r="K76" s="21"/>
    </row>
    <row r="77" spans="1:17" x14ac:dyDescent="0.3">
      <c r="B77" s="4"/>
      <c r="C77" s="4"/>
      <c r="D77" s="21"/>
      <c r="E77" s="13"/>
      <c r="F77" s="46"/>
      <c r="H77" s="16"/>
      <c r="I77" s="49"/>
      <c r="J77" s="21"/>
      <c r="K77" s="21"/>
    </row>
    <row r="78" spans="1:17" x14ac:dyDescent="0.3">
      <c r="A78" s="3" t="s">
        <v>50</v>
      </c>
      <c r="B78" s="39"/>
      <c r="C78" s="4"/>
      <c r="D78" s="21"/>
      <c r="E78" s="13"/>
      <c r="F78" s="18"/>
      <c r="G78" s="4"/>
      <c r="I78" s="49"/>
      <c r="J78" s="21"/>
      <c r="K78" s="21"/>
      <c r="Q78" s="18"/>
    </row>
    <row r="79" spans="1:17" x14ac:dyDescent="0.3">
      <c r="B79" s="39"/>
      <c r="C79" s="74" t="s">
        <v>93</v>
      </c>
      <c r="D79" s="100"/>
      <c r="E79" s="13"/>
      <c r="F79" s="18"/>
      <c r="G79" s="4"/>
      <c r="I79" s="49"/>
      <c r="J79" s="21"/>
      <c r="K79" s="21"/>
      <c r="Q79" s="18"/>
    </row>
    <row r="80" spans="1:17" x14ac:dyDescent="0.3">
      <c r="A80" s="28" t="s">
        <v>102</v>
      </c>
      <c r="B80" s="33">
        <v>0.38</v>
      </c>
      <c r="D80" s="103"/>
      <c r="E80" s="30"/>
      <c r="F80" s="30"/>
      <c r="H80"/>
      <c r="I80" s="49"/>
      <c r="J80" s="21"/>
      <c r="K80" s="21"/>
    </row>
    <row r="81" spans="1:17" x14ac:dyDescent="0.3">
      <c r="A81" s="28" t="s">
        <v>44</v>
      </c>
      <c r="B81" s="33">
        <v>0.17</v>
      </c>
      <c r="D81" s="103"/>
      <c r="E81" s="30"/>
      <c r="F81" s="30"/>
      <c r="H81"/>
      <c r="I81" s="49"/>
      <c r="J81" s="21"/>
      <c r="K81" s="21"/>
    </row>
    <row r="82" spans="1:17" x14ac:dyDescent="0.3">
      <c r="A82" s="28" t="s">
        <v>43</v>
      </c>
      <c r="B82" s="13">
        <f>IF(AND(B6="canadian corporation",B7="yes"),B5*B80,0)</f>
        <v>0</v>
      </c>
      <c r="D82" s="21"/>
      <c r="E82" s="30"/>
      <c r="F82" s="30"/>
      <c r="H82"/>
      <c r="I82" s="49"/>
      <c r="J82" s="21"/>
      <c r="K82" s="21"/>
    </row>
    <row r="83" spans="1:17" x14ac:dyDescent="0.3">
      <c r="A83" s="28" t="s">
        <v>45</v>
      </c>
      <c r="B83" s="13">
        <f>IF(AND(B6="canadian corporation",B7="no"),B5*B81,0)</f>
        <v>0</v>
      </c>
      <c r="D83" s="21"/>
      <c r="E83" s="30"/>
      <c r="F83" s="30"/>
      <c r="H83"/>
      <c r="I83" s="49"/>
      <c r="J83" s="21"/>
      <c r="K83" s="21"/>
    </row>
    <row r="84" spans="1:17" x14ac:dyDescent="0.3">
      <c r="A84" s="28" t="s">
        <v>46</v>
      </c>
      <c r="B84" s="44">
        <f>IF(B6="non-canadian corporation",B5,0)</f>
        <v>2000</v>
      </c>
      <c r="D84" s="21"/>
      <c r="E84" s="30"/>
      <c r="F84" s="30"/>
      <c r="H84"/>
      <c r="I84" s="49"/>
      <c r="J84" s="21"/>
      <c r="K84" s="21"/>
    </row>
    <row r="85" spans="1:17" x14ac:dyDescent="0.3">
      <c r="B85" s="18">
        <f>SUM(B82:B84)</f>
        <v>2000</v>
      </c>
      <c r="D85" s="21"/>
      <c r="I85" s="49"/>
      <c r="J85" s="21"/>
      <c r="K85" s="21"/>
    </row>
    <row r="86" spans="1:17" x14ac:dyDescent="0.3">
      <c r="B86" s="18"/>
      <c r="D86" s="21"/>
      <c r="I86" s="49"/>
      <c r="J86" s="21"/>
      <c r="K86" s="21"/>
    </row>
    <row r="87" spans="1:17" x14ac:dyDescent="0.3">
      <c r="A87" s="19" t="s">
        <v>40</v>
      </c>
      <c r="B87" s="39"/>
      <c r="C87" s="4"/>
      <c r="D87" s="21"/>
      <c r="E87" s="13"/>
      <c r="F87" s="18"/>
      <c r="G87" s="4"/>
      <c r="H87" s="16"/>
      <c r="I87" s="49"/>
      <c r="J87" s="21"/>
      <c r="K87" s="21"/>
      <c r="Q87" s="18"/>
    </row>
    <row r="88" spans="1:17" x14ac:dyDescent="0.3">
      <c r="A88" t="s">
        <v>47</v>
      </c>
      <c r="B88" s="39">
        <f ca="1">MIN(J108,IF(B82&gt;0,B5*C88,0))</f>
        <v>0</v>
      </c>
      <c r="C88" s="57">
        <v>0.1502</v>
      </c>
      <c r="D88" s="104"/>
      <c r="E88" s="13"/>
      <c r="F88" s="18"/>
      <c r="G88" s="4"/>
      <c r="H88" s="16"/>
      <c r="I88" s="49"/>
      <c r="J88" s="21"/>
      <c r="K88" s="21"/>
      <c r="Q88" s="18"/>
    </row>
    <row r="89" spans="1:17" x14ac:dyDescent="0.3">
      <c r="A89" t="s">
        <v>48</v>
      </c>
      <c r="B89" s="40">
        <f ca="1">MIN(J108,IF(B83&gt;0,B5*C89,0))</f>
        <v>0</v>
      </c>
      <c r="C89" s="57">
        <v>0.105217</v>
      </c>
      <c r="D89" s="104"/>
      <c r="E89" s="13"/>
      <c r="F89" s="18"/>
      <c r="G89" s="4"/>
      <c r="H89" s="16"/>
      <c r="I89" s="49"/>
      <c r="J89" s="21"/>
      <c r="K89" s="21"/>
      <c r="Q89" s="18"/>
    </row>
    <row r="90" spans="1:17" x14ac:dyDescent="0.3">
      <c r="B90" s="39">
        <f ca="1">SUM(B88:B89)</f>
        <v>0</v>
      </c>
      <c r="C90" s="4"/>
      <c r="D90" s="21"/>
      <c r="E90" s="13"/>
      <c r="F90" s="18"/>
      <c r="G90" s="4"/>
      <c r="H90" s="16"/>
      <c r="I90" s="49"/>
      <c r="J90" s="21"/>
      <c r="K90" s="21"/>
      <c r="Q90" s="18"/>
    </row>
    <row r="91" spans="1:17" x14ac:dyDescent="0.3">
      <c r="B91" s="39"/>
      <c r="C91" s="4"/>
      <c r="D91" s="21"/>
      <c r="E91" s="13"/>
      <c r="F91" s="18"/>
      <c r="G91" s="4"/>
      <c r="H91" s="16"/>
      <c r="I91" s="49"/>
      <c r="J91" s="21"/>
      <c r="K91" s="21"/>
      <c r="Q91" s="18"/>
    </row>
    <row r="92" spans="1:17" x14ac:dyDescent="0.3">
      <c r="A92" s="19" t="s">
        <v>101</v>
      </c>
      <c r="B92" s="39"/>
      <c r="C92" s="4"/>
      <c r="D92" s="21"/>
      <c r="E92" s="13"/>
      <c r="F92" s="18"/>
      <c r="G92" s="4"/>
      <c r="H92" s="16"/>
      <c r="I92" s="49"/>
      <c r="J92" s="21"/>
      <c r="K92" s="21"/>
      <c r="Q92" s="18"/>
    </row>
    <row r="93" spans="1:17" x14ac:dyDescent="0.3">
      <c r="A93" t="s">
        <v>47</v>
      </c>
      <c r="B93" s="39">
        <f ca="1">MIN(K61,IF(B82&gt;0,B5*C93,0))</f>
        <v>0</v>
      </c>
      <c r="C93" s="57">
        <v>0.1</v>
      </c>
      <c r="D93" s="104"/>
      <c r="I93" s="49"/>
      <c r="J93" s="21"/>
      <c r="K93" s="21"/>
      <c r="Q93" s="18"/>
    </row>
    <row r="94" spans="1:17" x14ac:dyDescent="0.3">
      <c r="A94" t="s">
        <v>48</v>
      </c>
      <c r="B94" s="40">
        <f ca="1">MIN(K61,IF(B83&gt;0,B5*C94,0))</f>
        <v>0</v>
      </c>
      <c r="C94" s="60">
        <v>2.47E-2</v>
      </c>
      <c r="D94" s="105"/>
      <c r="I94" s="49"/>
      <c r="J94" s="21"/>
      <c r="K94" s="21"/>
      <c r="Q94" s="18"/>
    </row>
    <row r="95" spans="1:17" x14ac:dyDescent="0.3">
      <c r="B95" s="39">
        <f ca="1">SUM(B93:B94)</f>
        <v>0</v>
      </c>
      <c r="C95" s="4"/>
      <c r="D95" s="21"/>
      <c r="I95" s="49"/>
      <c r="J95" s="21"/>
      <c r="K95" s="21"/>
      <c r="Q95" s="18"/>
    </row>
    <row r="96" spans="1:17" x14ac:dyDescent="0.3">
      <c r="B96" s="39"/>
      <c r="C96" s="4"/>
      <c r="D96" s="21"/>
      <c r="I96" s="49"/>
      <c r="J96" s="21"/>
      <c r="K96" s="21"/>
      <c r="Q96" s="18"/>
    </row>
    <row r="97" spans="1:17" x14ac:dyDescent="0.3">
      <c r="A97" s="3" t="s">
        <v>53</v>
      </c>
      <c r="B97" s="39"/>
      <c r="C97" s="4"/>
      <c r="I97" s="49"/>
      <c r="J97" s="21"/>
      <c r="K97" s="21"/>
      <c r="Q97" s="18"/>
    </row>
    <row r="98" spans="1:17" x14ac:dyDescent="0.3">
      <c r="B98" s="39"/>
      <c r="C98" s="4"/>
      <c r="I98" s="49"/>
      <c r="J98" s="21"/>
      <c r="K98" s="21"/>
      <c r="Q98" s="18"/>
    </row>
    <row r="99" spans="1:17" x14ac:dyDescent="0.3">
      <c r="A99" s="19" t="s">
        <v>54</v>
      </c>
      <c r="B99" s="39"/>
      <c r="C99" s="4"/>
      <c r="H99" s="12"/>
      <c r="I99" s="49"/>
      <c r="J99" s="21"/>
      <c r="K99" s="21"/>
      <c r="Q99" s="18"/>
    </row>
    <row r="100" spans="1:17" x14ac:dyDescent="0.3">
      <c r="A100" t="s">
        <v>74</v>
      </c>
      <c r="B100" s="39">
        <f>$B$5</f>
        <v>2000</v>
      </c>
      <c r="C100" s="62" t="s">
        <v>31</v>
      </c>
      <c r="D100" s="19" t="s">
        <v>55</v>
      </c>
      <c r="E100" s="13"/>
      <c r="F100" s="18"/>
      <c r="G100" s="4"/>
      <c r="H100" s="70" t="s">
        <v>65</v>
      </c>
      <c r="I100" s="49" t="s">
        <v>64</v>
      </c>
      <c r="J100" s="78" t="s">
        <v>66</v>
      </c>
      <c r="K100" s="21"/>
      <c r="Q100" s="18"/>
    </row>
    <row r="101" spans="1:17" ht="15.6" x14ac:dyDescent="0.3">
      <c r="A101" t="s">
        <v>75</v>
      </c>
      <c r="B101" s="39">
        <f>IF($B$10="US",-IF(($B$11/$B$5)&gt;15%,$B$11-($B$5*15%),0),0)</f>
        <v>0</v>
      </c>
      <c r="C101" s="62" t="s">
        <v>32</v>
      </c>
      <c r="D101" t="s">
        <v>9</v>
      </c>
      <c r="E101" s="4">
        <v>0</v>
      </c>
      <c r="F101" s="5">
        <f t="shared" ref="F101:G104" si="5">C22</f>
        <v>45282</v>
      </c>
      <c r="G101" s="6">
        <f t="shared" si="5"/>
        <v>0.15</v>
      </c>
      <c r="H101" s="12">
        <v>0</v>
      </c>
      <c r="I101" s="12">
        <f ca="1">IF(AND(($B$18+$B$5+$B$104)&gt;=E101,($B$18+$B$5+$B$104)&lt;F101),($B$18+$B$5+$B$104-E101)*G101,0)</f>
        <v>0</v>
      </c>
      <c r="J101" s="12">
        <f ca="1">(IF(I101=0,0,H101+I101))</f>
        <v>0</v>
      </c>
      <c r="K101" s="21"/>
      <c r="Q101" s="18"/>
    </row>
    <row r="102" spans="1:17" ht="15.6" x14ac:dyDescent="0.3">
      <c r="A102" t="s">
        <v>76</v>
      </c>
      <c r="B102" s="39">
        <f>IF(B6="Canadian Corporation",0,IF($B$10="non-US",-IF(($B$11/$B$5)&gt;15%,$B$11-($B$5*15%),0),0))</f>
        <v>0</v>
      </c>
      <c r="C102" s="4"/>
      <c r="D102" t="s">
        <v>10</v>
      </c>
      <c r="E102" s="5">
        <f>F101</f>
        <v>45282</v>
      </c>
      <c r="F102" s="5">
        <f t="shared" si="5"/>
        <v>90563</v>
      </c>
      <c r="G102" s="6">
        <f t="shared" si="5"/>
        <v>0.20499999999999999</v>
      </c>
      <c r="H102" s="12">
        <f>(F101-E101)*G101</f>
        <v>6792.3</v>
      </c>
      <c r="I102" s="12">
        <f ca="1">IF(AND(($B$18+$B$5+$B$104)&gt;=E102,($B$18+$B$5+$B$104)&lt;F102),($B$18+$B$5+$B$104-E102)*G102,0)</f>
        <v>0</v>
      </c>
      <c r="J102" s="12">
        <f t="shared" ref="J102:J105" ca="1" si="6">(IF(I102=0,0,H102+I102))</f>
        <v>0</v>
      </c>
      <c r="K102" s="21"/>
      <c r="Q102" s="18"/>
    </row>
    <row r="103" spans="1:17" ht="15.6" x14ac:dyDescent="0.3">
      <c r="A103" t="s">
        <v>81</v>
      </c>
      <c r="B103" s="40">
        <f ca="1">-B138</f>
        <v>0</v>
      </c>
      <c r="C103" s="4"/>
      <c r="D103" t="s">
        <v>10</v>
      </c>
      <c r="E103" s="5">
        <f>F102</f>
        <v>90563</v>
      </c>
      <c r="F103" s="5">
        <f t="shared" si="5"/>
        <v>140388</v>
      </c>
      <c r="G103" s="6">
        <f t="shared" si="5"/>
        <v>0.26</v>
      </c>
      <c r="H103" s="12">
        <f>((F102-E102)*G102)+H102</f>
        <v>16074.904999999999</v>
      </c>
      <c r="I103" s="12">
        <f ca="1">IF(AND(($B$18+$B$5+$B$104)&gt;=E103,($B$18+$B$5+$B$104)&lt;F103),($B$18+$B$5+$B$104-E103)*G103,0)</f>
        <v>0</v>
      </c>
      <c r="J103" s="12">
        <f t="shared" ca="1" si="6"/>
        <v>0</v>
      </c>
      <c r="K103" s="21"/>
      <c r="Q103" s="18"/>
    </row>
    <row r="104" spans="1:17" ht="15.6" x14ac:dyDescent="0.3">
      <c r="A104" t="s">
        <v>83</v>
      </c>
      <c r="B104" s="40">
        <f ca="1">SUM(B102:B103)</f>
        <v>0</v>
      </c>
      <c r="C104" s="62" t="s">
        <v>82</v>
      </c>
      <c r="D104" t="s">
        <v>10</v>
      </c>
      <c r="E104" s="5">
        <f>F103</f>
        <v>140388</v>
      </c>
      <c r="F104" s="5">
        <f t="shared" si="5"/>
        <v>200000</v>
      </c>
      <c r="G104" s="6">
        <f t="shared" si="5"/>
        <v>0.28999999999999998</v>
      </c>
      <c r="H104" s="12">
        <f>((F103-E103)*G103)+H103</f>
        <v>29029.404999999999</v>
      </c>
      <c r="I104" s="12">
        <f ca="1">IF(AND(($B$18+$B$5+$B$104)&gt;=E104,($B$18+$B$5+$B$104)&lt;F104),($B$18+$B$5+$B$104-E104)*G104,0)</f>
        <v>177.48</v>
      </c>
      <c r="J104" s="12">
        <f t="shared" ca="1" si="6"/>
        <v>29206.884999999998</v>
      </c>
      <c r="K104" s="21"/>
      <c r="Q104" s="18"/>
    </row>
    <row r="105" spans="1:17" ht="15.6" x14ac:dyDescent="0.3">
      <c r="A105" t="s">
        <v>56</v>
      </c>
      <c r="B105" s="39">
        <f ca="1">B100+B101+B104</f>
        <v>2000</v>
      </c>
      <c r="C105" s="62" t="s">
        <v>84</v>
      </c>
      <c r="E105" s="5">
        <f>F104</f>
        <v>200000</v>
      </c>
      <c r="G105" s="6">
        <f>D26</f>
        <v>0.33</v>
      </c>
      <c r="H105" s="12">
        <f>((F104-E104)*G104)+H104</f>
        <v>46316.884999999995</v>
      </c>
      <c r="I105" s="12">
        <f ca="1">IF(($B$18+$B$5+$B$104)&gt;=E105,($B$18+$B$5+$B$104-E105)*G105,0)</f>
        <v>0</v>
      </c>
      <c r="J105" s="56">
        <f t="shared" ca="1" si="6"/>
        <v>0</v>
      </c>
      <c r="K105" s="21"/>
      <c r="Q105" s="18"/>
    </row>
    <row r="106" spans="1:17" x14ac:dyDescent="0.3">
      <c r="B106" s="39"/>
      <c r="C106" s="4"/>
      <c r="E106" s="13"/>
      <c r="F106" s="18"/>
      <c r="G106" s="4"/>
      <c r="H106" s="16"/>
      <c r="I106" s="49"/>
      <c r="J106" s="12">
        <f ca="1">SUM(J101:J105)</f>
        <v>29206.884999999998</v>
      </c>
      <c r="K106" s="21"/>
      <c r="Q106" s="18"/>
    </row>
    <row r="107" spans="1:17" x14ac:dyDescent="0.3">
      <c r="A107" t="s">
        <v>6</v>
      </c>
      <c r="B107" s="41">
        <f>$B$5+$B$18</f>
        <v>141000</v>
      </c>
      <c r="C107" s="62" t="s">
        <v>31</v>
      </c>
      <c r="G107" s="66" t="s">
        <v>35</v>
      </c>
      <c r="H107" s="13">
        <f>B28</f>
        <v>11474</v>
      </c>
      <c r="I107" s="83">
        <f>D22</f>
        <v>0.15</v>
      </c>
      <c r="J107" s="56">
        <f ca="1">IF(($B$5+$B$18+B104)&lt;H107,($B$5+$B$18+B104)*I107,H107*I107)</f>
        <v>1721.1</v>
      </c>
      <c r="K107" s="21"/>
      <c r="Q107" s="18"/>
    </row>
    <row r="108" spans="1:17" x14ac:dyDescent="0.3">
      <c r="A108" t="s">
        <v>76</v>
      </c>
      <c r="B108" s="41">
        <f>IF($B$10="non-US",-IF(($B$11/$B$5)&gt;15%,$B$11-($B$5*15%),0),0)</f>
        <v>0</v>
      </c>
      <c r="C108" s="4"/>
      <c r="G108" s="66"/>
      <c r="I108" s="49"/>
      <c r="J108" s="13">
        <f ca="1">IF((J106-J107)&lt;=0,0,J106-J107)</f>
        <v>27485.785</v>
      </c>
      <c r="K108" s="21"/>
      <c r="Q108" s="18"/>
    </row>
    <row r="109" spans="1:17" x14ac:dyDescent="0.3">
      <c r="A109" t="s">
        <v>81</v>
      </c>
      <c r="B109" s="40">
        <f ca="1">B103</f>
        <v>0</v>
      </c>
      <c r="C109" s="4"/>
      <c r="G109" s="66"/>
      <c r="I109" s="49"/>
      <c r="J109" s="48"/>
      <c r="K109" s="21"/>
      <c r="Q109" s="18"/>
    </row>
    <row r="110" spans="1:17" x14ac:dyDescent="0.3">
      <c r="A110" t="s">
        <v>83</v>
      </c>
      <c r="B110" s="40">
        <f ca="1">SUM(B108:B109)</f>
        <v>0</v>
      </c>
      <c r="C110" s="62" t="s">
        <v>32</v>
      </c>
      <c r="E110" s="13"/>
      <c r="F110" s="18"/>
      <c r="I110" s="49"/>
      <c r="J110" s="21"/>
      <c r="K110" s="21"/>
      <c r="Q110" s="18"/>
    </row>
    <row r="111" spans="1:17" x14ac:dyDescent="0.3">
      <c r="A111" t="s">
        <v>77</v>
      </c>
      <c r="B111" s="39">
        <f ca="1">B107+B110</f>
        <v>141000</v>
      </c>
      <c r="C111" s="62" t="s">
        <v>85</v>
      </c>
      <c r="I111" s="49"/>
      <c r="J111" s="21"/>
      <c r="K111" s="21"/>
      <c r="Q111" s="18"/>
    </row>
    <row r="112" spans="1:17" x14ac:dyDescent="0.3">
      <c r="B112" s="39"/>
      <c r="C112" s="4"/>
      <c r="I112" s="49"/>
      <c r="J112" s="21"/>
      <c r="K112" s="21"/>
      <c r="Q112" s="18"/>
    </row>
    <row r="113" spans="1:17" x14ac:dyDescent="0.3">
      <c r="A113" t="s">
        <v>57</v>
      </c>
      <c r="B113" s="61">
        <f ca="1">B105/B111</f>
        <v>1.4184397163120567E-2</v>
      </c>
      <c r="C113" s="4"/>
      <c r="I113" s="49"/>
      <c r="J113" s="21"/>
      <c r="K113" s="21"/>
      <c r="Q113" s="18"/>
    </row>
    <row r="114" spans="1:17" x14ac:dyDescent="0.3">
      <c r="B114" s="39"/>
      <c r="C114" s="4"/>
      <c r="I114" s="49"/>
      <c r="J114" s="21"/>
      <c r="K114" s="21"/>
      <c r="Q114" s="18"/>
    </row>
    <row r="115" spans="1:17" x14ac:dyDescent="0.3">
      <c r="A115" t="s">
        <v>55</v>
      </c>
      <c r="B115" s="39">
        <f ca="1">J108</f>
        <v>27485.785</v>
      </c>
      <c r="C115" s="4"/>
      <c r="I115" s="49"/>
      <c r="J115" s="21"/>
      <c r="K115" s="21"/>
      <c r="Q115" s="18"/>
    </row>
    <row r="116" spans="1:17" x14ac:dyDescent="0.3">
      <c r="B116" s="39"/>
      <c r="C116" s="4"/>
      <c r="E116" s="68"/>
      <c r="F116" s="41"/>
      <c r="G116" s="4"/>
      <c r="H116" s="63"/>
      <c r="I116" s="49"/>
      <c r="J116" s="78"/>
      <c r="K116" s="21"/>
      <c r="Q116" s="18"/>
    </row>
    <row r="117" spans="1:17" ht="15.6" x14ac:dyDescent="0.3">
      <c r="A117" t="s">
        <v>67</v>
      </c>
      <c r="B117" s="39">
        <f ca="1">B115*B113</f>
        <v>389.86929078014185</v>
      </c>
      <c r="C117" s="62" t="s">
        <v>31</v>
      </c>
      <c r="E117" s="4"/>
      <c r="G117" s="6"/>
      <c r="H117" s="41"/>
      <c r="I117" s="49"/>
      <c r="J117" s="41"/>
      <c r="K117" s="21"/>
      <c r="Q117" s="18"/>
    </row>
    <row r="118" spans="1:17" ht="15.6" x14ac:dyDescent="0.3">
      <c r="A118" t="s">
        <v>68</v>
      </c>
      <c r="B118" s="39">
        <f>IF(B6="Canadian Corporation",0,MIN($B$11,$B$5*15%))</f>
        <v>200</v>
      </c>
      <c r="C118" s="62" t="s">
        <v>32</v>
      </c>
      <c r="E118" s="5"/>
      <c r="G118" s="7"/>
      <c r="H118" s="41"/>
      <c r="I118" s="49"/>
      <c r="J118" s="41"/>
      <c r="K118" s="21"/>
      <c r="Q118" s="18"/>
    </row>
    <row r="119" spans="1:17" ht="15.6" x14ac:dyDescent="0.3">
      <c r="B119" s="39"/>
      <c r="C119" s="4"/>
      <c r="E119" s="5"/>
      <c r="G119" s="7"/>
      <c r="H119" s="41"/>
      <c r="I119" s="49"/>
      <c r="J119" s="41"/>
      <c r="K119" s="21"/>
      <c r="Q119" s="18"/>
    </row>
    <row r="120" spans="1:17" ht="15.6" x14ac:dyDescent="0.3">
      <c r="A120" t="s">
        <v>69</v>
      </c>
      <c r="B120" s="65">
        <f ca="1">MIN(B117,B118)</f>
        <v>200</v>
      </c>
      <c r="C120" s="62" t="s">
        <v>87</v>
      </c>
      <c r="E120" s="5"/>
      <c r="G120" s="7"/>
      <c r="H120" s="41"/>
      <c r="I120" s="49"/>
      <c r="J120" s="41"/>
      <c r="K120" s="21"/>
      <c r="Q120" s="18"/>
    </row>
    <row r="121" spans="1:17" ht="15.6" x14ac:dyDescent="0.3">
      <c r="B121" s="65"/>
      <c r="C121" s="4"/>
      <c r="E121" s="5"/>
      <c r="F121" s="5"/>
      <c r="G121" s="7"/>
      <c r="H121" s="41"/>
      <c r="I121" s="49"/>
      <c r="J121" s="41"/>
      <c r="K121" s="21"/>
      <c r="Q121" s="18"/>
    </row>
    <row r="122" spans="1:17" ht="15.6" x14ac:dyDescent="0.3">
      <c r="B122" s="65"/>
      <c r="C122" s="4"/>
      <c r="E122" s="13"/>
      <c r="F122" s="5"/>
      <c r="G122" s="4"/>
      <c r="H122" s="16"/>
      <c r="I122" s="49"/>
      <c r="J122" s="41"/>
      <c r="K122" s="21"/>
      <c r="Q122" s="18"/>
    </row>
    <row r="123" spans="1:17" x14ac:dyDescent="0.3">
      <c r="A123" s="19" t="s">
        <v>70</v>
      </c>
      <c r="B123" s="39"/>
      <c r="C123" s="4"/>
      <c r="H123" s="12"/>
      <c r="I123" s="49"/>
      <c r="J123" s="21"/>
      <c r="K123" s="21"/>
      <c r="L123" s="19"/>
      <c r="Q123" s="18"/>
    </row>
    <row r="124" spans="1:17" x14ac:dyDescent="0.3">
      <c r="A124" t="s">
        <v>56</v>
      </c>
      <c r="B124" s="39">
        <f ca="1">B105</f>
        <v>2000</v>
      </c>
      <c r="C124" s="4"/>
      <c r="D124" s="19" t="s">
        <v>71</v>
      </c>
      <c r="E124" s="13"/>
      <c r="F124" s="18"/>
      <c r="G124" s="4"/>
      <c r="H124" s="70" t="s">
        <v>65</v>
      </c>
      <c r="I124" s="49" t="s">
        <v>64</v>
      </c>
      <c r="J124" s="78" t="s">
        <v>66</v>
      </c>
      <c r="K124" s="55"/>
      <c r="Q124" s="18"/>
    </row>
    <row r="125" spans="1:17" ht="15.6" x14ac:dyDescent="0.3">
      <c r="A125" t="s">
        <v>23</v>
      </c>
      <c r="B125" s="41">
        <f ca="1">B111</f>
        <v>141000</v>
      </c>
      <c r="C125" s="4"/>
      <c r="D125" t="s">
        <v>9</v>
      </c>
      <c r="E125">
        <v>0</v>
      </c>
      <c r="F125" s="5">
        <f t="shared" ref="F125:G128" si="7">C32</f>
        <v>38210</v>
      </c>
      <c r="G125" s="7">
        <f t="shared" si="7"/>
        <v>5.0599999999999999E-2</v>
      </c>
      <c r="H125" s="12">
        <v>0</v>
      </c>
      <c r="I125" s="48">
        <f ca="1">IF(AND(($B$18+$B$5+$B$104)&gt;=E125,($B$18+$B$5+$B$104)&lt;F125),($B$18+$B$5+$B$104-E125)*G125,0)</f>
        <v>0</v>
      </c>
      <c r="J125" s="12">
        <f ca="1">(IF(I125=0,0,H125+I125))</f>
        <v>0</v>
      </c>
      <c r="K125" s="21"/>
      <c r="Q125" s="18"/>
    </row>
    <row r="126" spans="1:17" ht="15.6" x14ac:dyDescent="0.3">
      <c r="A126" t="s">
        <v>57</v>
      </c>
      <c r="B126" s="61">
        <f ca="1">B124/B125</f>
        <v>1.4184397163120567E-2</v>
      </c>
      <c r="C126" s="4"/>
      <c r="D126" t="s">
        <v>10</v>
      </c>
      <c r="E126" s="5">
        <f>F125</f>
        <v>38210</v>
      </c>
      <c r="F126" s="5">
        <f t="shared" si="7"/>
        <v>76421</v>
      </c>
      <c r="G126" s="7">
        <f t="shared" si="7"/>
        <v>7.6999999999999999E-2</v>
      </c>
      <c r="H126" s="12">
        <f>(F125-E125)*G125</f>
        <v>1933.4259999999999</v>
      </c>
      <c r="I126" s="48">
        <f ca="1">IF(AND(($B$18+$B$5+$B$104)&gt;=E126,($B$18+$B$5+$B$104)&lt;F126),($B$18+$B$5+$B$104-E126)*G126,0)</f>
        <v>0</v>
      </c>
      <c r="J126" s="12">
        <f t="shared" ref="J126:J129" ca="1" si="8">(IF(I126=0,0,H126+I126))</f>
        <v>0</v>
      </c>
      <c r="K126" s="21"/>
      <c r="Q126" s="18"/>
    </row>
    <row r="127" spans="1:17" ht="15.6" x14ac:dyDescent="0.3">
      <c r="B127" s="39"/>
      <c r="C127" s="4"/>
      <c r="D127" t="s">
        <v>10</v>
      </c>
      <c r="E127" s="27">
        <f>F126</f>
        <v>76421</v>
      </c>
      <c r="F127" s="5">
        <f t="shared" si="7"/>
        <v>87741</v>
      </c>
      <c r="G127" s="7">
        <f t="shared" si="7"/>
        <v>0.105</v>
      </c>
      <c r="H127" s="12">
        <f>((F126-E126)*G126)+H126</f>
        <v>4875.6729999999998</v>
      </c>
      <c r="I127" s="48">
        <f ca="1">IF(AND(($B$18+$B$5+$B$104)&gt;=E127,($B$18+$B$5+$B$104)&lt;F127),($B$18+$B$5+$B$104-E127)*G127,0)</f>
        <v>0</v>
      </c>
      <c r="J127" s="12">
        <f t="shared" ca="1" si="8"/>
        <v>0</v>
      </c>
      <c r="K127" s="21"/>
      <c r="Q127" s="18"/>
    </row>
    <row r="128" spans="1:17" ht="15.6" x14ac:dyDescent="0.3">
      <c r="A128" t="s">
        <v>71</v>
      </c>
      <c r="B128" s="39">
        <f ca="1">J132</f>
        <v>12932.851599999998</v>
      </c>
      <c r="C128" s="4"/>
      <c r="D128" t="s">
        <v>10</v>
      </c>
      <c r="E128" s="5">
        <f>F127</f>
        <v>87741</v>
      </c>
      <c r="F128" s="5">
        <f t="shared" si="7"/>
        <v>106543</v>
      </c>
      <c r="G128" s="7">
        <f t="shared" si="7"/>
        <v>0.1229</v>
      </c>
      <c r="H128" s="12">
        <f>((F127-E127)*G127)+H127</f>
        <v>6064.2729999999992</v>
      </c>
      <c r="I128" s="48">
        <f ca="1">IF(AND(($B$18+$B$5+$B$104)&gt;=E128,($B$18+$B$5+$B$104)&lt;F128),($B$18+$B$5+$B$104-E128)*G128,0)</f>
        <v>0</v>
      </c>
      <c r="J128" s="12">
        <f ca="1">(IF(I128=0,0,H128+I128))</f>
        <v>0</v>
      </c>
      <c r="K128" s="21"/>
      <c r="Q128" s="18"/>
    </row>
    <row r="129" spans="1:17" ht="15.6" x14ac:dyDescent="0.3">
      <c r="B129" s="39"/>
      <c r="C129" s="4"/>
      <c r="E129" s="5">
        <f>F128</f>
        <v>106543</v>
      </c>
      <c r="G129" s="7">
        <f>D36</f>
        <v>0.14699999999999999</v>
      </c>
      <c r="H129" s="12">
        <f>((F128-E128)*G128)+H128</f>
        <v>8375.0387999999984</v>
      </c>
      <c r="I129" s="48">
        <f ca="1">IF(($B$18+$B$5+$B$104)&gt;=E129,($B$18+$B$5+$B$104-E129)*G129,0)</f>
        <v>5065.1790000000001</v>
      </c>
      <c r="J129" s="56">
        <f t="shared" ca="1" si="8"/>
        <v>13440.217799999999</v>
      </c>
      <c r="K129" s="21"/>
      <c r="Q129" s="18"/>
    </row>
    <row r="130" spans="1:17" x14ac:dyDescent="0.3">
      <c r="A130" t="s">
        <v>67</v>
      </c>
      <c r="B130" s="39">
        <f ca="1">B128*B126</f>
        <v>183.44470354609925</v>
      </c>
      <c r="C130" s="62" t="s">
        <v>31</v>
      </c>
      <c r="E130" s="13"/>
      <c r="F130" s="18"/>
      <c r="G130" s="4"/>
      <c r="H130" s="20"/>
      <c r="I130" s="49"/>
      <c r="J130" s="55">
        <f ca="1">SUM(J125:J129)</f>
        <v>13440.217799999999</v>
      </c>
      <c r="K130" s="21"/>
      <c r="Q130" s="18"/>
    </row>
    <row r="131" spans="1:17" x14ac:dyDescent="0.3">
      <c r="B131" s="39"/>
      <c r="C131" s="62"/>
      <c r="E131" s="13"/>
      <c r="F131" s="18"/>
      <c r="G131" s="66" t="s">
        <v>35</v>
      </c>
      <c r="H131" s="13">
        <f>B38</f>
        <v>10027</v>
      </c>
      <c r="I131" s="83">
        <f>D32</f>
        <v>5.0599999999999999E-2</v>
      </c>
      <c r="J131" s="56">
        <f ca="1">IF(($B$5+$B$18+$B$104)&lt;H131,($B$5+$B$18+$B$104)*I131,H131*I131)</f>
        <v>507.36619999999999</v>
      </c>
      <c r="K131" s="21"/>
      <c r="Q131" s="18"/>
    </row>
    <row r="132" spans="1:17" x14ac:dyDescent="0.3">
      <c r="A132" t="s">
        <v>68</v>
      </c>
      <c r="B132" s="39">
        <f>B118</f>
        <v>200</v>
      </c>
      <c r="E132" s="38"/>
      <c r="F132" s="21"/>
      <c r="G132" s="4"/>
      <c r="H132" s="4"/>
      <c r="I132" s="49"/>
      <c r="J132" s="13">
        <f ca="1">IF((J130-J131)&lt;=0,0,J130-J131)</f>
        <v>12932.851599999998</v>
      </c>
      <c r="K132" s="21"/>
    </row>
    <row r="133" spans="1:17" x14ac:dyDescent="0.3">
      <c r="A133" t="s">
        <v>78</v>
      </c>
      <c r="B133" s="40">
        <f ca="1">-B120</f>
        <v>-200</v>
      </c>
      <c r="C133" s="62"/>
      <c r="F133" s="41"/>
      <c r="G133" s="67"/>
      <c r="H133" s="18"/>
      <c r="I133" s="49"/>
      <c r="J133" s="51"/>
      <c r="K133" s="21"/>
    </row>
    <row r="134" spans="1:17" x14ac:dyDescent="0.3">
      <c r="B134" s="39">
        <f ca="1">SUM(B132:B133)</f>
        <v>0</v>
      </c>
      <c r="C134" s="62" t="s">
        <v>32</v>
      </c>
      <c r="G134" s="18"/>
      <c r="H134" s="18"/>
      <c r="I134" s="49"/>
      <c r="J134" s="12"/>
      <c r="K134" s="21"/>
    </row>
    <row r="135" spans="1:17" x14ac:dyDescent="0.3">
      <c r="B135" s="39"/>
      <c r="C135" s="4"/>
      <c r="H135" s="18"/>
      <c r="I135" s="49"/>
      <c r="J135" s="55"/>
      <c r="K135" s="54"/>
      <c r="L135" s="16"/>
    </row>
    <row r="136" spans="1:17" x14ac:dyDescent="0.3">
      <c r="A136" t="s">
        <v>72</v>
      </c>
      <c r="B136" s="65">
        <f ca="1">MIN(B130,B134)</f>
        <v>0</v>
      </c>
      <c r="C136" s="62" t="s">
        <v>87</v>
      </c>
      <c r="I136" s="49"/>
      <c r="J136" s="21"/>
      <c r="K136" s="54"/>
      <c r="L136" s="16"/>
    </row>
    <row r="137" spans="1:17" x14ac:dyDescent="0.3">
      <c r="B137" s="39"/>
      <c r="C137" s="4"/>
      <c r="I137" s="49"/>
      <c r="J137" s="21"/>
      <c r="K137" s="54"/>
      <c r="L137" s="16"/>
    </row>
    <row r="138" spans="1:17" x14ac:dyDescent="0.3">
      <c r="A138" t="s">
        <v>86</v>
      </c>
      <c r="B138" s="65">
        <f ca="1">B118-B120-B136</f>
        <v>0</v>
      </c>
      <c r="C138" s="62" t="s">
        <v>88</v>
      </c>
      <c r="G138" s="18"/>
      <c r="H138" s="18"/>
      <c r="I138" s="49"/>
      <c r="J138" s="55"/>
      <c r="K138" s="54"/>
      <c r="L138" s="16"/>
    </row>
    <row r="139" spans="1:17" x14ac:dyDescent="0.3">
      <c r="B139" s="39"/>
      <c r="C139" s="4"/>
      <c r="G139" s="18"/>
      <c r="H139" s="18"/>
      <c r="I139" s="49"/>
      <c r="J139" s="55"/>
      <c r="K139" s="54"/>
      <c r="L139" s="16"/>
    </row>
    <row r="140" spans="1:17" x14ac:dyDescent="0.3">
      <c r="A140" s="2" t="s">
        <v>12</v>
      </c>
      <c r="G140" s="18"/>
      <c r="H140" s="51"/>
      <c r="I140" s="81"/>
      <c r="J140" s="51"/>
      <c r="K140" s="50"/>
      <c r="L140" s="16"/>
    </row>
    <row r="141" spans="1:17" x14ac:dyDescent="0.3">
      <c r="B141" s="11"/>
      <c r="C141" t="s">
        <v>13</v>
      </c>
      <c r="G141" s="18"/>
      <c r="H141" s="51"/>
      <c r="I141" s="86"/>
      <c r="J141" s="51"/>
      <c r="K141" s="50"/>
      <c r="L141" s="16"/>
    </row>
    <row r="142" spans="1:17" x14ac:dyDescent="0.3">
      <c r="B142" s="39"/>
      <c r="C142" s="4"/>
      <c r="H142" s="48"/>
      <c r="I142" s="49"/>
      <c r="J142" s="49"/>
      <c r="K142" s="49"/>
      <c r="L142" s="16"/>
    </row>
    <row r="143" spans="1:17" x14ac:dyDescent="0.3">
      <c r="A143" t="s">
        <v>20</v>
      </c>
      <c r="B143" s="39">
        <f ca="1">IF(AND((B5+B104+B18)&gt;=B22,(B5+B104+B18)&lt;=C22),(B5+B104)*D22,IF(AND((B5+B104+B18)&gt;B23,(B5+B104+B18)&lt;=C23),IF((B5+B104+B18-B23)&gt;(B5+B104),(B5+B104)*D23,((B5+B104+B18-B23)*D23)+((B5+B104-(B5+B104+B18-B23))*D22)),IF(AND((B5+B104+B18)&gt;B24,(B5+B104+B18)&lt;=C24),IF((B5+B104+B18-B24)&gt;(B5+B104),(B5+B104)*D24,IF((B5+B104+B18-B23)&gt;(B5+B104),(((B5+B104+B18-B24)*D24)+((B5+B104-(B5+B104+B18-B24))*D23)),((B5+B104+B18-B24)*D24)+((C23-B23)*D23)+((B5+B104-(B5+B104+B18-B23))*D22))),IF(AND((B5+B104+B18)&gt;B25,(B5+B104+B18)&lt;=C25),IF((B5+B104+B18-B25)&gt;(B5+B104),(B5+B104)*D25,IF((B5+B104+B18-B24)&gt;(B5+B104),((B5+B104+B18-B25)*D25)+(((B5+B104-(B5+B104+B18-B25))*D24)),IF((B5+B104+B18-B23)&gt;(B5+B104),(((B5+B104+B18-B25)*D25)+((C24-B24)*D24)+((B5+B104-(B5+B104+B18-B24))*D23)),((B5+B104+B18-B25)*D25)+((C24-B24)*D24)+((C23-B23)*D23)+((B5+B104-(B5+B104+B18-B23))*D22)))),IF((B5+B104+B18)&gt;B26,IF((B5+B104+B18-B26)&gt;(B5+B104),(B5+B104)*D26,IF((B5+B104+B18-B25)&gt;(B5+B104),(((B5+B104+B18-B26)*D26)+((B5+B104-(B5+B104+B18-B26))*D25)),IF((B5+B104+B18-B24)&gt;(B5+B104),(((B5+B104+B18-B26)*D26)+((C25-B25)*D25)+((B5+B104-(B5+B104+B18-B25))*D24)),IF((B5+B104+B18-B23)&gt;(B5+B104),(((B5+B104+B18-B26)*D26)+((C25-B25)*D25)+((C24-B24)*D24)+((B5+B104-(B5+B104+B18-B24))*D23)),((B5+B104+B18-B26)*D26)+((C25-B25)*D25)+((C24-B24)*D24)+((C23-B23)*D23)+((B5+B104-(B5+B104+B18-B23))*D22))))))))))</f>
        <v>538.36</v>
      </c>
      <c r="C143" t="s">
        <v>15</v>
      </c>
      <c r="G143" s="29"/>
      <c r="H143" s="49"/>
      <c r="I143" s="49"/>
      <c r="J143" s="49"/>
      <c r="K143" s="49"/>
      <c r="L143" s="13"/>
    </row>
    <row r="144" spans="1:17" x14ac:dyDescent="0.3">
      <c r="B144" s="39">
        <f>-IF(B18&gt;=B28,0,IF(B18&lt;B28,IF((B18+B5+B104)&gt;B28,(B28-B18)*D22,((B5+B104)*D22))))</f>
        <v>0</v>
      </c>
      <c r="C144" t="s">
        <v>34</v>
      </c>
      <c r="G144" s="29"/>
      <c r="H144" s="82"/>
      <c r="I144" s="49"/>
      <c r="J144" s="51"/>
      <c r="K144" s="50"/>
      <c r="L144" s="16"/>
    </row>
    <row r="145" spans="1:17" x14ac:dyDescent="0.3">
      <c r="B145" s="39">
        <f ca="1">-B90</f>
        <v>0</v>
      </c>
      <c r="C145" t="s">
        <v>49</v>
      </c>
      <c r="G145" s="29"/>
      <c r="H145" s="21"/>
      <c r="I145" s="55"/>
      <c r="J145" s="55"/>
      <c r="K145" s="54"/>
      <c r="L145" s="16"/>
    </row>
    <row r="146" spans="1:17" x14ac:dyDescent="0.3">
      <c r="B146" s="39">
        <f ca="1">IF(B120=0,0,-MIN(B120,SUM(B143:B145)))</f>
        <v>-200</v>
      </c>
      <c r="C146" t="s">
        <v>79</v>
      </c>
      <c r="G146" s="29"/>
      <c r="H146" s="21"/>
      <c r="I146" s="55"/>
      <c r="J146" s="55"/>
      <c r="K146" s="54"/>
      <c r="L146" s="16"/>
    </row>
    <row r="147" spans="1:17" x14ac:dyDescent="0.3">
      <c r="B147" s="39">
        <f ca="1">IF(AND((B5+B104+B18)&gt;=B32,(B5+B104+B18)&lt;=C32),(B5+B104)*D32,IF(AND((B5+B104+B18)&gt;B33,(B5+B104+B18)&lt;=C33),IF((B5+B104+B18-B33)&gt;(B5+B104),(B5+B104)*D33,((B5+B104+B18-B33)*D33)+((B5+B104-(B5+B104+B18-B33))*D32)),IF(AND((B5+B104+B18)&gt;B34,(B5+B104+B18)&lt;=C34),IF((B5+B104+B18-B34)&gt;(B5+B104),(B5+B104)*D34,IF((B5+B104+B18-B33)&gt;(B5+B104),(((B5+B104+B18-B34)*D34)+((B5+B104-(B5+B104+B18-B34))*D33)),((B5+B104+B18-B34)*D34)+((C33-B33)*D33)+((B5+B104-(B5+B104+B18-B33))*D32))),IF(AND((B5+B104+B18)&gt;B35,(B5+B104+B18)&lt;=C35),IF((B5+B104+B18-B35)&gt;(B5+B104),(B5+B104)*D35,IF((B5+B104+B18-B34)&gt;(B5+B104),(((B5+B104+B18-B35)*D35)+((B5+B104-(B5+B104+B18-B35))*D34)),IF((B5+B104+B18-B33)&gt;(B5+B104),(((B5+B104+B18-B35)*D35)+((C34-B34)*D34)+((B5+B104-(B5+B104+B18-B34))*D33)),((B5+B104+B18-B35)*D35)+((C34-B34)*D34)+((C33-B33)*D33)+((B5+B104-(B5+B104+B18-B33))*D32)))),IF((B5+B104+B18)&gt;B36,IF((B5+B104+B18-B36)&gt;(B5+B104),(B5+B104)*D36,IF((B5+B104+B18-B35)&gt;(B5+B104),(((B5+B104+B18-B36)*D36)+((B5+B104-(B5+B104+B18-B36))*D35)),IF((B5+B104+B18-B34)&gt;(B5+B104),(((B5+B104+B18-B36)*D36)+((C35-B35)*D35)+((B5+B104-(B5+B104+B18-B35))*D34)),IF((B5+B104+B18-B33)&gt;(B5+B104),(((B5+B104+B18-B36)*D36)+((C35-B35)*D35)+((C34-B34)*D34)+((B5+B104-(B5+B104+B18-B34))*D33)),((B5+B104+B18-B36)*D36)+((C35-B35)*D35)+((C34-B34)*D34)+((C33-B33)*D33)+((B5+B104-(B5+B104+B18-B33))*D32))))))))))</f>
        <v>294</v>
      </c>
      <c r="C147" t="s">
        <v>16</v>
      </c>
      <c r="G147" s="29"/>
      <c r="H147" s="21"/>
      <c r="I147" s="55"/>
      <c r="J147" s="55"/>
      <c r="K147" s="21"/>
    </row>
    <row r="148" spans="1:17" x14ac:dyDescent="0.3">
      <c r="B148" s="39">
        <f>-IF(B18&gt;=B38,0,IF(B18&lt;B38,IF((B18+B5+B104)&gt;B38,(B38-B18)*D32,((B5+B104)*D32))))</f>
        <v>0</v>
      </c>
      <c r="C148" t="s">
        <v>36</v>
      </c>
      <c r="G148" s="29"/>
      <c r="H148"/>
      <c r="I148" s="21"/>
      <c r="J148" s="55"/>
      <c r="K148" s="54"/>
      <c r="L148" s="13"/>
    </row>
    <row r="149" spans="1:17" x14ac:dyDescent="0.3">
      <c r="B149" s="39">
        <f ca="1">-B95</f>
        <v>0</v>
      </c>
      <c r="C149" t="s">
        <v>51</v>
      </c>
      <c r="G149" s="29"/>
      <c r="H149"/>
      <c r="I149" s="21"/>
      <c r="J149" s="21"/>
      <c r="K149" s="21"/>
    </row>
    <row r="150" spans="1:17" x14ac:dyDescent="0.3">
      <c r="B150" s="39">
        <f ca="1">IF(B136=0,0,-MIN(B136,SUM(B147,B148,B149)))</f>
        <v>0</v>
      </c>
      <c r="C150" t="s">
        <v>80</v>
      </c>
      <c r="G150" s="29"/>
      <c r="H150"/>
      <c r="I150" s="12"/>
      <c r="J150" s="55"/>
      <c r="K150" s="21"/>
      <c r="L150" s="13"/>
    </row>
    <row r="151" spans="1:17" x14ac:dyDescent="0.3">
      <c r="B151" s="41">
        <f ca="1">-B57</f>
        <v>0</v>
      </c>
      <c r="C151" t="s">
        <v>90</v>
      </c>
      <c r="D151" s="8"/>
      <c r="E151" s="13"/>
      <c r="F151" s="48"/>
      <c r="I151" s="21"/>
      <c r="J151" s="21"/>
      <c r="K151" s="50"/>
      <c r="L151" s="50"/>
      <c r="M151" s="49"/>
    </row>
    <row r="152" spans="1:17" x14ac:dyDescent="0.3">
      <c r="B152" s="40">
        <f ca="1">B76</f>
        <v>0</v>
      </c>
      <c r="C152" s="28" t="s">
        <v>100</v>
      </c>
      <c r="D152" s="8"/>
      <c r="E152" s="13"/>
      <c r="F152" s="48"/>
      <c r="I152" s="21"/>
      <c r="J152" s="21"/>
      <c r="K152" s="50"/>
      <c r="L152" s="50"/>
      <c r="M152" s="49"/>
    </row>
    <row r="153" spans="1:17" x14ac:dyDescent="0.3">
      <c r="A153" s="10" t="s">
        <v>22</v>
      </c>
      <c r="B153" s="84">
        <f ca="1">SUM(B143:B152)</f>
        <v>632.36</v>
      </c>
      <c r="F153" s="49"/>
      <c r="I153" s="21"/>
      <c r="J153" s="21"/>
      <c r="K153" s="51"/>
      <c r="L153" s="50"/>
      <c r="M153" s="49"/>
    </row>
    <row r="154" spans="1:17" x14ac:dyDescent="0.3">
      <c r="E154" s="18"/>
      <c r="F154" s="51"/>
      <c r="K154" s="49"/>
      <c r="L154" s="49"/>
      <c r="M154" s="49"/>
      <c r="Q154" s="15"/>
    </row>
    <row r="155" spans="1:17" x14ac:dyDescent="0.3">
      <c r="B155" s="13"/>
      <c r="F155" s="49"/>
      <c r="K155" s="49"/>
      <c r="L155" s="49"/>
      <c r="M155" s="49"/>
    </row>
    <row r="156" spans="1:17" x14ac:dyDescent="0.3">
      <c r="A156" s="19" t="s">
        <v>39</v>
      </c>
      <c r="B156" s="13"/>
      <c r="F156" s="49"/>
      <c r="K156" s="49"/>
      <c r="L156" s="49"/>
      <c r="M156" s="49"/>
    </row>
    <row r="157" spans="1:17" x14ac:dyDescent="0.3">
      <c r="A157" t="s">
        <v>124</v>
      </c>
      <c r="B157" s="39">
        <f ca="1">SUM(B143:B146)</f>
        <v>338.36</v>
      </c>
      <c r="F157" s="49"/>
      <c r="K157" s="49"/>
      <c r="L157" s="49"/>
      <c r="M157" s="49"/>
    </row>
    <row r="158" spans="1:17" x14ac:dyDescent="0.3">
      <c r="A158" t="s">
        <v>125</v>
      </c>
      <c r="B158" s="41">
        <f ca="1">SUM(B147:B151)</f>
        <v>294</v>
      </c>
      <c r="F158" s="49"/>
      <c r="K158" s="49"/>
      <c r="L158" s="49"/>
      <c r="M158" s="49"/>
    </row>
    <row r="159" spans="1:17" x14ac:dyDescent="0.3">
      <c r="A159" t="s">
        <v>126</v>
      </c>
      <c r="B159" s="40">
        <f ca="1">B152</f>
        <v>0</v>
      </c>
      <c r="F159" s="49"/>
      <c r="K159" s="49"/>
      <c r="L159" s="49"/>
      <c r="M159" s="49"/>
    </row>
    <row r="160" spans="1:17" x14ac:dyDescent="0.3">
      <c r="B160" s="39">
        <f ca="1">SUM(B157:B159)</f>
        <v>632.36</v>
      </c>
      <c r="F160" s="49"/>
      <c r="K160" s="49"/>
      <c r="L160" s="49"/>
      <c r="M160" s="49"/>
    </row>
    <row r="161" spans="2:14" x14ac:dyDescent="0.3">
      <c r="B161" s="13"/>
      <c r="F161" s="49"/>
      <c r="K161" s="49"/>
      <c r="L161" s="49"/>
      <c r="M161" s="49"/>
    </row>
    <row r="162" spans="2:14" x14ac:dyDescent="0.3">
      <c r="B162" s="13"/>
      <c r="F162" s="49"/>
      <c r="K162" s="49"/>
      <c r="L162" s="49"/>
      <c r="M162" s="49"/>
    </row>
    <row r="163" spans="2:14" x14ac:dyDescent="0.3">
      <c r="B163" s="13"/>
      <c r="F163" s="49"/>
      <c r="K163" s="49"/>
      <c r="L163" s="49"/>
      <c r="M163" s="49"/>
    </row>
    <row r="164" spans="2:14" x14ac:dyDescent="0.3">
      <c r="B164" s="13"/>
      <c r="F164" s="49"/>
      <c r="K164" s="49"/>
      <c r="L164" s="49"/>
      <c r="M164" s="49"/>
    </row>
    <row r="165" spans="2:14" x14ac:dyDescent="0.3">
      <c r="B165" s="15"/>
      <c r="F165" s="49"/>
      <c r="K165" s="51"/>
      <c r="L165" s="49"/>
      <c r="M165" s="51"/>
      <c r="N165" s="18"/>
    </row>
    <row r="166" spans="2:14" x14ac:dyDescent="0.3">
      <c r="F166" s="49"/>
      <c r="K166" s="49"/>
      <c r="L166" s="49"/>
      <c r="M166" s="49"/>
    </row>
    <row r="167" spans="2:14" x14ac:dyDescent="0.3">
      <c r="F167" s="49"/>
      <c r="K167" s="49"/>
      <c r="L167" s="49"/>
      <c r="M167" s="49"/>
    </row>
    <row r="168" spans="2:14" x14ac:dyDescent="0.3">
      <c r="F168" s="49"/>
      <c r="G168" s="49"/>
      <c r="H168" s="48"/>
      <c r="I168" s="49"/>
      <c r="J168" s="49"/>
      <c r="K168" s="49"/>
      <c r="L168" s="49"/>
      <c r="M168" s="49"/>
    </row>
    <row r="169" spans="2:14" x14ac:dyDescent="0.3">
      <c r="H169" s="12"/>
    </row>
    <row r="171" spans="2:14" x14ac:dyDescent="0.3">
      <c r="H171" s="42"/>
      <c r="M171" s="22"/>
    </row>
  </sheetData>
  <dataValidations disablePrompts="1" count="4">
    <dataValidation type="list" allowBlank="1" showInputMessage="1" showErrorMessage="1" sqref="B7">
      <formula1>$E$1:$E$2</formula1>
    </dataValidation>
    <dataValidation type="list" allowBlank="1" showInputMessage="1" showErrorMessage="1" sqref="B6">
      <formula1>$F$1:$F$2</formula1>
    </dataValidation>
    <dataValidation type="list" allowBlank="1" showInputMessage="1" showErrorMessage="1" sqref="B10">
      <formula1>$E$4:$E$5</formula1>
    </dataValidation>
    <dataValidation type="list" allowBlank="1" showInputMessage="1" showErrorMessage="1" sqref="B14">
      <formula1>$H$1:$H$18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topLeftCell="A10" zoomScale="85" zoomScaleNormal="85" workbookViewId="0">
      <selection activeCell="B17" sqref="B17:D34"/>
    </sheetView>
  </sheetViews>
  <sheetFormatPr defaultRowHeight="14.4" x14ac:dyDescent="0.3"/>
  <cols>
    <col min="1" max="1" width="39" customWidth="1"/>
    <col min="2" max="2" width="14.109375" customWidth="1"/>
    <col min="3" max="3" width="11.6640625" customWidth="1"/>
    <col min="4" max="4" width="11.88671875" customWidth="1"/>
    <col min="5" max="5" width="10.5546875" bestFit="1" customWidth="1"/>
    <col min="6" max="7" width="10.5546875" customWidth="1"/>
    <col min="8" max="8" width="16.88671875" style="13" customWidth="1"/>
    <col min="9" max="9" width="11.6640625" bestFit="1" customWidth="1"/>
    <col min="10" max="10" width="13.5546875" bestFit="1" customWidth="1"/>
    <col min="11" max="11" width="12" bestFit="1" customWidth="1"/>
    <col min="12" max="12" width="11.33203125" bestFit="1" customWidth="1"/>
    <col min="13" max="13" width="12.33203125" bestFit="1" customWidth="1"/>
    <col min="17" max="17" width="9.5546875" bestFit="1" customWidth="1"/>
  </cols>
  <sheetData>
    <row r="1" spans="1:14" x14ac:dyDescent="0.3">
      <c r="B1" s="1"/>
      <c r="C1" t="s">
        <v>0</v>
      </c>
      <c r="E1" t="s">
        <v>24</v>
      </c>
      <c r="F1" t="s">
        <v>30</v>
      </c>
      <c r="I1" s="30" t="s">
        <v>33</v>
      </c>
    </row>
    <row r="2" spans="1:14" x14ac:dyDescent="0.3">
      <c r="A2" s="2" t="s">
        <v>1</v>
      </c>
      <c r="E2" t="s">
        <v>25</v>
      </c>
      <c r="F2" t="s">
        <v>29</v>
      </c>
      <c r="I2" s="30" t="s">
        <v>73</v>
      </c>
    </row>
    <row r="3" spans="1:14" x14ac:dyDescent="0.3">
      <c r="A3" s="3" t="s">
        <v>106</v>
      </c>
      <c r="H3" s="48"/>
      <c r="I3" s="48"/>
      <c r="J3" s="51"/>
      <c r="K3" s="49"/>
      <c r="L3" s="21"/>
      <c r="M3" s="21"/>
      <c r="N3" s="21"/>
    </row>
    <row r="4" spans="1:14" x14ac:dyDescent="0.3">
      <c r="E4" t="s">
        <v>58</v>
      </c>
      <c r="F4" t="s">
        <v>24</v>
      </c>
      <c r="H4" s="49"/>
      <c r="I4" s="48"/>
      <c r="J4" s="48"/>
      <c r="K4" s="51"/>
      <c r="L4" s="21"/>
      <c r="M4" s="21"/>
      <c r="N4" s="21"/>
    </row>
    <row r="5" spans="1:14" x14ac:dyDescent="0.3">
      <c r="A5" t="s">
        <v>52</v>
      </c>
      <c r="B5" s="58">
        <v>2000</v>
      </c>
      <c r="E5" t="s">
        <v>59</v>
      </c>
      <c r="F5" t="s">
        <v>25</v>
      </c>
      <c r="H5" s="21"/>
      <c r="I5" s="39"/>
      <c r="J5" s="39"/>
      <c r="K5" s="39"/>
      <c r="L5" s="21"/>
      <c r="M5" s="21"/>
      <c r="N5" s="21"/>
    </row>
    <row r="6" spans="1:14" x14ac:dyDescent="0.3">
      <c r="A6" s="28" t="s">
        <v>60</v>
      </c>
      <c r="B6" s="1" t="s">
        <v>58</v>
      </c>
      <c r="D6" s="49"/>
      <c r="E6" s="49"/>
      <c r="F6" s="48"/>
      <c r="G6" s="49"/>
      <c r="H6" s="81"/>
      <c r="I6" s="81"/>
      <c r="J6" s="85"/>
      <c r="K6" s="85"/>
      <c r="L6" s="85"/>
      <c r="M6" s="85"/>
      <c r="N6" s="21"/>
    </row>
    <row r="7" spans="1:14" x14ac:dyDescent="0.3">
      <c r="A7" s="28" t="s">
        <v>61</v>
      </c>
      <c r="B7" s="1">
        <v>200</v>
      </c>
      <c r="D7" s="49"/>
      <c r="E7" s="49"/>
      <c r="F7" s="48"/>
      <c r="G7" s="49"/>
      <c r="H7" s="81"/>
      <c r="I7" s="81"/>
      <c r="J7" s="85"/>
      <c r="K7" s="85"/>
      <c r="L7" s="85"/>
      <c r="M7" s="85"/>
      <c r="N7" s="21"/>
    </row>
    <row r="8" spans="1:14" s="21" customFormat="1" x14ac:dyDescent="0.3">
      <c r="A8" s="59"/>
      <c r="B8"/>
      <c r="D8" s="49"/>
      <c r="E8" s="49"/>
      <c r="F8" s="48"/>
      <c r="G8" s="49"/>
      <c r="H8" s="81"/>
      <c r="I8" s="81"/>
      <c r="J8" s="85"/>
      <c r="K8" s="85"/>
      <c r="L8" s="85"/>
      <c r="M8" s="85"/>
    </row>
    <row r="9" spans="1:14" x14ac:dyDescent="0.3">
      <c r="A9" s="2" t="s">
        <v>4</v>
      </c>
      <c r="D9" s="49"/>
      <c r="E9" s="49"/>
      <c r="F9" s="48"/>
      <c r="G9" s="81"/>
      <c r="H9" s="81"/>
      <c r="I9" s="81"/>
      <c r="J9" s="41"/>
      <c r="K9" s="41"/>
      <c r="L9" s="49"/>
      <c r="M9" s="49"/>
      <c r="N9" s="21"/>
    </row>
    <row r="10" spans="1:14" x14ac:dyDescent="0.3">
      <c r="A10" t="s">
        <v>5</v>
      </c>
      <c r="B10" s="1" t="s">
        <v>89</v>
      </c>
      <c r="D10" s="49"/>
      <c r="E10" s="49"/>
      <c r="F10" s="48"/>
      <c r="G10" s="49"/>
      <c r="H10" s="81"/>
      <c r="I10" s="81"/>
      <c r="J10" s="49"/>
      <c r="K10" s="49"/>
      <c r="L10" s="49"/>
      <c r="M10" s="49"/>
      <c r="N10" s="21"/>
    </row>
    <row r="11" spans="1:14" x14ac:dyDescent="0.3">
      <c r="D11" s="49"/>
      <c r="E11" s="49"/>
      <c r="F11" s="49"/>
      <c r="G11" s="49"/>
      <c r="H11" s="81"/>
      <c r="I11" s="81"/>
      <c r="J11" s="49"/>
      <c r="K11" s="49"/>
      <c r="L11" s="49"/>
      <c r="M11" s="49"/>
      <c r="N11" s="21"/>
    </row>
    <row r="12" spans="1:14" x14ac:dyDescent="0.3">
      <c r="D12" s="49"/>
      <c r="E12" s="49"/>
      <c r="F12" s="83"/>
      <c r="G12" s="49"/>
      <c r="H12" s="81"/>
      <c r="I12" s="81"/>
      <c r="J12" s="49"/>
      <c r="K12" s="49"/>
      <c r="L12" s="49"/>
      <c r="M12" s="49"/>
      <c r="N12" s="21"/>
    </row>
    <row r="13" spans="1:14" x14ac:dyDescent="0.3">
      <c r="D13" s="49"/>
      <c r="E13" s="49"/>
      <c r="F13" s="49"/>
      <c r="G13" s="81"/>
      <c r="H13" s="81"/>
      <c r="I13" s="81"/>
      <c r="J13" s="49"/>
      <c r="K13" s="49"/>
      <c r="L13" s="49"/>
      <c r="M13" s="49"/>
      <c r="N13" s="21"/>
    </row>
    <row r="14" spans="1:14" x14ac:dyDescent="0.3">
      <c r="A14" t="s">
        <v>6</v>
      </c>
      <c r="B14" s="1">
        <v>139000</v>
      </c>
      <c r="L14" s="21"/>
      <c r="M14" s="21"/>
      <c r="N14" s="21"/>
    </row>
    <row r="15" spans="1:14" x14ac:dyDescent="0.3">
      <c r="A15" s="2" t="s">
        <v>7</v>
      </c>
    </row>
    <row r="16" spans="1:14" x14ac:dyDescent="0.3">
      <c r="A16" s="3" t="s">
        <v>8</v>
      </c>
      <c r="E16" s="21"/>
      <c r="F16" s="21"/>
      <c r="G16" s="21"/>
      <c r="H16" s="12"/>
    </row>
    <row r="17" spans="1:14" x14ac:dyDescent="0.3">
      <c r="B17" s="100" t="s">
        <v>21</v>
      </c>
      <c r="C17" s="21"/>
      <c r="D17" s="21"/>
      <c r="E17" s="21"/>
      <c r="F17" s="100"/>
      <c r="G17" s="21"/>
      <c r="H17" s="21"/>
    </row>
    <row r="18" spans="1:14" ht="15.6" x14ac:dyDescent="0.3">
      <c r="A18" t="s">
        <v>9</v>
      </c>
      <c r="B18" s="54">
        <v>0</v>
      </c>
      <c r="C18" s="27">
        <v>45282</v>
      </c>
      <c r="D18" s="101">
        <v>0.15</v>
      </c>
      <c r="E18" s="21"/>
      <c r="F18" s="54"/>
      <c r="G18" s="27"/>
      <c r="H18" s="101"/>
      <c r="N18" s="6"/>
    </row>
    <row r="19" spans="1:14" ht="15.6" x14ac:dyDescent="0.3">
      <c r="A19" t="s">
        <v>10</v>
      </c>
      <c r="B19" s="27">
        <f>C18</f>
        <v>45282</v>
      </c>
      <c r="C19" s="27">
        <v>90563</v>
      </c>
      <c r="D19" s="69">
        <v>0.20499999999999999</v>
      </c>
      <c r="E19" s="21"/>
      <c r="F19" s="27"/>
      <c r="G19" s="27"/>
      <c r="H19" s="69"/>
      <c r="N19" s="7"/>
    </row>
    <row r="20" spans="1:14" ht="15.6" x14ac:dyDescent="0.3">
      <c r="A20" t="s">
        <v>10</v>
      </c>
      <c r="B20" s="27">
        <f>C19</f>
        <v>90563</v>
      </c>
      <c r="C20" s="27">
        <v>140388</v>
      </c>
      <c r="D20" s="69">
        <v>0.26</v>
      </c>
      <c r="E20" s="21"/>
      <c r="F20" s="27"/>
      <c r="G20" s="27"/>
      <c r="H20" s="69"/>
      <c r="N20" s="7"/>
    </row>
    <row r="21" spans="1:14" ht="15.6" x14ac:dyDescent="0.3">
      <c r="A21" t="s">
        <v>10</v>
      </c>
      <c r="B21" s="27">
        <f>C20</f>
        <v>140388</v>
      </c>
      <c r="C21" s="27">
        <v>200000</v>
      </c>
      <c r="D21" s="69">
        <v>0.28999999999999998</v>
      </c>
      <c r="E21" s="21"/>
      <c r="F21" s="27"/>
      <c r="G21" s="27"/>
      <c r="H21" s="69"/>
      <c r="N21" s="7"/>
    </row>
    <row r="22" spans="1:14" ht="15.6" x14ac:dyDescent="0.3">
      <c r="B22" s="27">
        <f>C21</f>
        <v>200000</v>
      </c>
      <c r="C22" s="21"/>
      <c r="D22" s="69">
        <v>0.33</v>
      </c>
      <c r="E22" s="21"/>
      <c r="F22" s="27"/>
      <c r="G22" s="21"/>
      <c r="H22" s="69"/>
      <c r="N22" s="7"/>
    </row>
    <row r="23" spans="1:14" x14ac:dyDescent="0.3">
      <c r="B23" s="21"/>
      <c r="C23" s="100"/>
      <c r="D23" s="21"/>
      <c r="E23" s="21"/>
      <c r="F23" s="21"/>
      <c r="G23" s="21"/>
      <c r="H23" s="12"/>
    </row>
    <row r="24" spans="1:14" ht="15.6" x14ac:dyDescent="0.3">
      <c r="A24" t="s">
        <v>38</v>
      </c>
      <c r="B24" s="27">
        <v>11474</v>
      </c>
      <c r="C24" s="27"/>
      <c r="D24" s="21"/>
      <c r="E24" s="21"/>
      <c r="F24" s="21"/>
      <c r="G24" s="54"/>
      <c r="H24" s="12"/>
    </row>
    <row r="25" spans="1:14" x14ac:dyDescent="0.3">
      <c r="B25" s="21"/>
      <c r="C25" s="21"/>
      <c r="D25" s="21"/>
      <c r="E25" s="21"/>
      <c r="F25" s="21"/>
      <c r="G25" s="21"/>
      <c r="H25" s="12"/>
    </row>
    <row r="26" spans="1:14" x14ac:dyDescent="0.3">
      <c r="A26" s="3" t="s">
        <v>11</v>
      </c>
      <c r="B26" s="21"/>
      <c r="C26" s="21"/>
      <c r="D26" s="21"/>
      <c r="E26" s="21"/>
      <c r="F26" s="21"/>
      <c r="G26" s="21"/>
      <c r="H26" s="12"/>
    </row>
    <row r="27" spans="1:14" x14ac:dyDescent="0.3">
      <c r="A27" s="10" t="s">
        <v>89</v>
      </c>
      <c r="B27" s="100" t="s">
        <v>21</v>
      </c>
      <c r="C27" s="21"/>
      <c r="D27" s="21"/>
      <c r="E27" s="21"/>
      <c r="F27" s="100"/>
      <c r="G27" s="21"/>
      <c r="H27" s="21"/>
      <c r="I27" s="49"/>
      <c r="J27" s="32"/>
      <c r="K27" s="75"/>
    </row>
    <row r="28" spans="1:14" ht="15.6" x14ac:dyDescent="0.3">
      <c r="A28" t="s">
        <v>9</v>
      </c>
      <c r="B28" s="21">
        <v>0</v>
      </c>
      <c r="C28" s="27">
        <v>38210</v>
      </c>
      <c r="D28" s="69">
        <v>5.0599999999999999E-2</v>
      </c>
      <c r="E28" s="21"/>
      <c r="F28" s="21"/>
      <c r="G28" s="27"/>
      <c r="H28" s="69"/>
      <c r="I28" s="49"/>
      <c r="J28" s="69"/>
      <c r="K28" s="21"/>
    </row>
    <row r="29" spans="1:14" ht="15.6" x14ac:dyDescent="0.3">
      <c r="A29" t="s">
        <v>10</v>
      </c>
      <c r="B29" s="27">
        <f>C28</f>
        <v>38210</v>
      </c>
      <c r="C29" s="27">
        <v>76421</v>
      </c>
      <c r="D29" s="69">
        <v>7.6999999999999999E-2</v>
      </c>
      <c r="E29" s="21"/>
      <c r="F29" s="27"/>
      <c r="G29" s="27"/>
      <c r="H29" s="69"/>
      <c r="I29" s="49"/>
      <c r="J29" s="76"/>
      <c r="K29" s="55"/>
      <c r="L29" s="15"/>
    </row>
    <row r="30" spans="1:14" ht="15.6" x14ac:dyDescent="0.3">
      <c r="A30" t="s">
        <v>10</v>
      </c>
      <c r="B30" s="27">
        <f>C29</f>
        <v>76421</v>
      </c>
      <c r="C30" s="27">
        <v>87741</v>
      </c>
      <c r="D30" s="69">
        <v>0.105</v>
      </c>
      <c r="E30" s="21"/>
      <c r="F30" s="27"/>
      <c r="G30" s="27"/>
      <c r="H30" s="69"/>
      <c r="I30" s="49"/>
      <c r="J30" s="76"/>
      <c r="K30" s="54"/>
      <c r="L30" s="13"/>
      <c r="N30" s="18"/>
    </row>
    <row r="31" spans="1:14" ht="15.6" x14ac:dyDescent="0.3">
      <c r="A31" t="s">
        <v>10</v>
      </c>
      <c r="B31" s="27">
        <f>C30</f>
        <v>87741</v>
      </c>
      <c r="C31" s="27">
        <v>106543</v>
      </c>
      <c r="D31" s="69">
        <v>0.1229</v>
      </c>
      <c r="E31" s="21"/>
      <c r="F31" s="27"/>
      <c r="G31" s="27"/>
      <c r="H31" s="69"/>
      <c r="I31" s="49"/>
      <c r="J31" s="76"/>
      <c r="K31" s="54"/>
      <c r="L31" s="13"/>
      <c r="N31" s="4"/>
    </row>
    <row r="32" spans="1:14" ht="15.6" x14ac:dyDescent="0.3">
      <c r="B32" s="27">
        <f>C31</f>
        <v>106543</v>
      </c>
      <c r="C32" s="21"/>
      <c r="D32" s="69">
        <v>0.14699999999999999</v>
      </c>
      <c r="E32" s="21"/>
      <c r="F32" s="27"/>
      <c r="G32" s="21"/>
      <c r="H32" s="69"/>
      <c r="I32" s="49"/>
      <c r="J32" s="76"/>
      <c r="K32" s="54"/>
      <c r="L32" s="13"/>
    </row>
    <row r="33" spans="1:12" x14ac:dyDescent="0.3">
      <c r="B33" s="21"/>
      <c r="C33" s="100"/>
      <c r="D33" s="21"/>
      <c r="H33" s="43"/>
      <c r="I33" s="49"/>
      <c r="J33" s="77"/>
      <c r="K33" s="20"/>
      <c r="L33" s="26"/>
    </row>
    <row r="34" spans="1:12" ht="15.6" x14ac:dyDescent="0.3">
      <c r="A34" t="s">
        <v>36</v>
      </c>
      <c r="B34" s="27">
        <v>10027</v>
      </c>
      <c r="C34" s="27"/>
      <c r="D34" s="21"/>
      <c r="H34" s="43"/>
      <c r="I34" s="49"/>
      <c r="J34" s="77"/>
      <c r="K34" s="20"/>
      <c r="L34" s="26"/>
    </row>
    <row r="35" spans="1:12" x14ac:dyDescent="0.3">
      <c r="B35" s="4"/>
      <c r="C35" s="4"/>
      <c r="D35" t="s">
        <v>37</v>
      </c>
      <c r="E35" s="13"/>
      <c r="F35" s="46"/>
      <c r="H35" s="16"/>
      <c r="I35" s="49"/>
      <c r="J35" s="21"/>
      <c r="K35" s="21"/>
    </row>
    <row r="36" spans="1:12" x14ac:dyDescent="0.3">
      <c r="A36" s="3" t="s">
        <v>91</v>
      </c>
      <c r="B36" s="4"/>
      <c r="C36" s="4"/>
      <c r="F36" s="13"/>
      <c r="G36" s="46"/>
      <c r="H36"/>
      <c r="I36" s="49"/>
      <c r="J36" s="32" t="s">
        <v>94</v>
      </c>
      <c r="K36" s="21"/>
    </row>
    <row r="37" spans="1:12" x14ac:dyDescent="0.3">
      <c r="A37" s="3"/>
      <c r="B37" s="4" t="s">
        <v>94</v>
      </c>
      <c r="C37" s="4" t="s">
        <v>103</v>
      </c>
      <c r="F37" s="3" t="s">
        <v>98</v>
      </c>
      <c r="G37" s="46"/>
      <c r="H37"/>
      <c r="I37" s="49" t="s">
        <v>65</v>
      </c>
      <c r="J37" s="78" t="s">
        <v>64</v>
      </c>
      <c r="K37" s="78" t="s">
        <v>66</v>
      </c>
    </row>
    <row r="38" spans="1:12" ht="15.6" x14ac:dyDescent="0.3">
      <c r="A38" s="3"/>
      <c r="B38" t="s">
        <v>27</v>
      </c>
      <c r="C38" t="s">
        <v>28</v>
      </c>
      <c r="F38">
        <v>0</v>
      </c>
      <c r="G38" s="5">
        <f t="shared" ref="G38:H41" si="0">C28</f>
        <v>38210</v>
      </c>
      <c r="H38" s="7">
        <f t="shared" si="0"/>
        <v>5.0599999999999999E-2</v>
      </c>
      <c r="I38" s="12">
        <v>0</v>
      </c>
      <c r="J38" s="12">
        <f>IF(AND($B$14&gt;=F38,$B$14&lt;G38),($B$14-F38)*H38,0)</f>
        <v>0</v>
      </c>
      <c r="K38" s="55">
        <f>(IF(J38=0,0,I38+J38))</f>
        <v>0</v>
      </c>
    </row>
    <row r="39" spans="1:12" ht="15.6" x14ac:dyDescent="0.3">
      <c r="A39" s="3"/>
      <c r="B39" s="4">
        <f>$B$14</f>
        <v>139000</v>
      </c>
      <c r="C39" s="4">
        <f ca="1">$B$14+$B$5+$B$82</f>
        <v>141000</v>
      </c>
      <c r="F39" s="5">
        <f>G38</f>
        <v>38210</v>
      </c>
      <c r="G39" s="5">
        <f t="shared" si="0"/>
        <v>76421</v>
      </c>
      <c r="H39" s="7">
        <f t="shared" si="0"/>
        <v>7.6999999999999999E-2</v>
      </c>
      <c r="I39" s="12">
        <f>(G38-F38)*H38</f>
        <v>1933.4259999999999</v>
      </c>
      <c r="J39" s="12">
        <f>IF(AND($B$14&gt;=F39,$B$14&lt;G39),($B$14-F39)*H39,0)</f>
        <v>0</v>
      </c>
      <c r="K39" s="55">
        <f>(IF(J39=0,0,I39+J39))</f>
        <v>0</v>
      </c>
    </row>
    <row r="40" spans="1:12" ht="15.6" x14ac:dyDescent="0.3">
      <c r="A40" s="28" t="s">
        <v>92</v>
      </c>
      <c r="B40" s="40">
        <v>-19000</v>
      </c>
      <c r="C40" s="40">
        <v>-19000</v>
      </c>
      <c r="F40" s="27">
        <f>G39</f>
        <v>76421</v>
      </c>
      <c r="G40" s="5">
        <f t="shared" si="0"/>
        <v>87741</v>
      </c>
      <c r="H40" s="7">
        <f t="shared" si="0"/>
        <v>0.105</v>
      </c>
      <c r="I40" s="12">
        <f>((G39-F39)*H39)+I39</f>
        <v>4875.6729999999998</v>
      </c>
      <c r="J40" s="12">
        <f>IF(AND($B$14&gt;=F40,$B$14&lt;G40),($B$14-F40)*H40,0)</f>
        <v>0</v>
      </c>
      <c r="K40" s="55">
        <f>(IF(J40=0,0,I40+J40))</f>
        <v>0</v>
      </c>
    </row>
    <row r="41" spans="1:12" ht="15.6" x14ac:dyDescent="0.3">
      <c r="A41" s="3"/>
      <c r="B41" s="4">
        <f>IF((B39+B40)&lt;=0,0,SUM(B39:B40))</f>
        <v>120000</v>
      </c>
      <c r="C41" s="4">
        <f ca="1">IF((C39+C40)&lt;=0,0,SUM(C39:C40))</f>
        <v>122000</v>
      </c>
      <c r="F41" s="5">
        <f>G40</f>
        <v>87741</v>
      </c>
      <c r="G41" s="5">
        <f t="shared" si="0"/>
        <v>106543</v>
      </c>
      <c r="H41" s="7">
        <f t="shared" si="0"/>
        <v>0.1229</v>
      </c>
      <c r="I41" s="12">
        <f t="shared" ref="I41:I42" si="1">((G40-F40)*H40)+I40</f>
        <v>6064.2729999999992</v>
      </c>
      <c r="J41" s="12">
        <f>IF(AND($B$14&gt;=F41,$B$14&lt;G41),($B$14-F41)*H41,0)</f>
        <v>0</v>
      </c>
      <c r="K41" s="55">
        <f>(IF(J41=0,0,I41+J41))</f>
        <v>0</v>
      </c>
    </row>
    <row r="42" spans="1:12" ht="15.6" x14ac:dyDescent="0.3">
      <c r="A42" s="3"/>
      <c r="B42" s="71">
        <v>3.5000000000000003E-2</v>
      </c>
      <c r="C42" s="71">
        <v>3.5000000000000003E-2</v>
      </c>
      <c r="F42" s="5">
        <f>G41</f>
        <v>106543</v>
      </c>
      <c r="H42" s="7">
        <f>D32</f>
        <v>0.14699999999999999</v>
      </c>
      <c r="I42" s="12">
        <f t="shared" si="1"/>
        <v>8375.0387999999984</v>
      </c>
      <c r="J42" s="12">
        <f>IF($B$14&gt;=F42,($B$14-F42)*H42,0)</f>
        <v>4771.1790000000001</v>
      </c>
      <c r="K42" s="79">
        <f>(IF(J42=0,0,I42+J42))</f>
        <v>13146.217799999999</v>
      </c>
    </row>
    <row r="43" spans="1:12" x14ac:dyDescent="0.3">
      <c r="A43" s="3"/>
      <c r="B43" s="4">
        <f>B41*B42</f>
        <v>4200</v>
      </c>
      <c r="C43" s="4">
        <f ca="1">C41*C42</f>
        <v>4270</v>
      </c>
      <c r="F43" s="13"/>
      <c r="G43" s="46"/>
      <c r="H43"/>
      <c r="I43" s="12"/>
      <c r="J43" s="12"/>
      <c r="K43" s="12">
        <f>SUM(K38:K42)</f>
        <v>13146.217799999999</v>
      </c>
    </row>
    <row r="44" spans="1:12" x14ac:dyDescent="0.3">
      <c r="A44" s="3"/>
      <c r="B44" s="4"/>
      <c r="C44" s="4"/>
      <c r="F44" s="13"/>
      <c r="G44" s="46"/>
      <c r="H44" s="66" t="s">
        <v>35</v>
      </c>
      <c r="I44" s="12">
        <f>B34</f>
        <v>10027</v>
      </c>
      <c r="J44" s="20">
        <f>D28</f>
        <v>5.0599999999999999E-2</v>
      </c>
      <c r="K44" s="56">
        <f>IF($B$14&lt;I44,$B$14*J44,I44*J44)</f>
        <v>507.36619999999999</v>
      </c>
    </row>
    <row r="45" spans="1:12" x14ac:dyDescent="0.3">
      <c r="A45" s="28" t="s">
        <v>17</v>
      </c>
      <c r="B45" s="4">
        <v>432</v>
      </c>
      <c r="C45" s="4">
        <v>432</v>
      </c>
      <c r="F45" s="13"/>
      <c r="G45" s="46"/>
      <c r="H45" s="4"/>
      <c r="I45" s="49"/>
      <c r="J45" s="20"/>
      <c r="K45" s="13">
        <f>IF((K43-K44)&lt;=0,0,K43-K44)</f>
        <v>12638.851599999998</v>
      </c>
    </row>
    <row r="46" spans="1:12" x14ac:dyDescent="0.3">
      <c r="A46" s="3"/>
      <c r="B46" s="72">
        <f>B43</f>
        <v>4200</v>
      </c>
      <c r="C46" s="72">
        <f ca="1">C43</f>
        <v>4270</v>
      </c>
      <c r="F46" s="13"/>
      <c r="G46" s="46"/>
      <c r="H46"/>
      <c r="I46" s="49"/>
      <c r="J46" s="12"/>
      <c r="K46" s="12"/>
    </row>
    <row r="47" spans="1:12" x14ac:dyDescent="0.3">
      <c r="A47" s="28" t="s">
        <v>99</v>
      </c>
      <c r="B47" s="4">
        <f>IF((B45-B46)&lt;=0,0,B45-B46)</f>
        <v>0</v>
      </c>
      <c r="C47" s="4">
        <f ca="1">IF((C45-C46)&lt;=0,0,C45-C46)</f>
        <v>0</v>
      </c>
      <c r="D47" s="4"/>
      <c r="F47" s="13"/>
      <c r="G47" s="46"/>
      <c r="H47"/>
      <c r="I47" s="49"/>
      <c r="J47" s="12"/>
      <c r="K47" s="12"/>
    </row>
    <row r="48" spans="1:12" x14ac:dyDescent="0.3">
      <c r="A48" s="3"/>
      <c r="B48" s="4"/>
      <c r="C48" s="4"/>
      <c r="F48" s="13"/>
      <c r="G48" s="46"/>
      <c r="H48"/>
      <c r="I48" s="49"/>
      <c r="J48" s="32" t="s">
        <v>103</v>
      </c>
      <c r="K48" s="21"/>
    </row>
    <row r="49" spans="1:11" x14ac:dyDescent="0.3">
      <c r="A49" t="s">
        <v>96</v>
      </c>
      <c r="B49" s="4">
        <f>K45</f>
        <v>12638.851599999998</v>
      </c>
      <c r="C49" s="4">
        <f ca="1">K59</f>
        <v>12932.851599999998</v>
      </c>
      <c r="F49" s="3" t="s">
        <v>98</v>
      </c>
      <c r="G49" s="46"/>
      <c r="H49"/>
      <c r="I49" s="49" t="s">
        <v>65</v>
      </c>
      <c r="J49" s="78" t="s">
        <v>64</v>
      </c>
      <c r="K49" s="78" t="s">
        <v>66</v>
      </c>
    </row>
    <row r="50" spans="1:11" ht="15.6" x14ac:dyDescent="0.3">
      <c r="B50" s="4"/>
      <c r="C50" s="4"/>
      <c r="F50">
        <v>0</v>
      </c>
      <c r="G50" s="5">
        <f t="shared" ref="G50:H53" si="2">C28</f>
        <v>38210</v>
      </c>
      <c r="H50" s="7">
        <f t="shared" si="2"/>
        <v>5.0599999999999999E-2</v>
      </c>
      <c r="I50" s="12">
        <v>0</v>
      </c>
      <c r="J50" s="12">
        <f ca="1">IF(AND(($B$14+$B$5+$B$82)&gt;=F50,($B$14+$B$5+$B$82)&lt;G50),($B$14+$B$5+$B$82-F50)*H50,0)</f>
        <v>0</v>
      </c>
      <c r="K50" s="55">
        <f t="shared" ref="K50:K54" ca="1" si="3">(IF(J50=0,0,I50+J50))</f>
        <v>0</v>
      </c>
    </row>
    <row r="51" spans="1:11" ht="15.6" x14ac:dyDescent="0.3">
      <c r="A51" s="28" t="s">
        <v>97</v>
      </c>
      <c r="B51" s="4">
        <f>MIN(B47,B49)</f>
        <v>0</v>
      </c>
      <c r="C51" s="4">
        <f ca="1">MIN(C47,C49)</f>
        <v>0</v>
      </c>
      <c r="D51" s="26"/>
      <c r="F51" s="5">
        <f>G50</f>
        <v>38210</v>
      </c>
      <c r="G51" s="5">
        <f t="shared" si="2"/>
        <v>76421</v>
      </c>
      <c r="H51" s="7">
        <f t="shared" si="2"/>
        <v>7.6999999999999999E-2</v>
      </c>
      <c r="I51" s="12">
        <f>(G50-F50)*H50</f>
        <v>1933.4259999999999</v>
      </c>
      <c r="J51" s="12">
        <f ca="1">IF(AND(($B$14+$B$5+$B$82)&gt;=F51,($B$14+$B$5+$B$82)&lt;G51),($B$14+$B$5+$B$82-F51)*H51,0)</f>
        <v>0</v>
      </c>
      <c r="K51" s="55">
        <f t="shared" ca="1" si="3"/>
        <v>0</v>
      </c>
    </row>
    <row r="52" spans="1:11" ht="15.6" x14ac:dyDescent="0.3">
      <c r="A52" s="3"/>
      <c r="B52" s="4"/>
      <c r="C52" s="4"/>
      <c r="F52" s="27">
        <f>G51</f>
        <v>76421</v>
      </c>
      <c r="G52" s="5">
        <f t="shared" si="2"/>
        <v>87741</v>
      </c>
      <c r="H52" s="7">
        <f t="shared" si="2"/>
        <v>0.105</v>
      </c>
      <c r="I52" s="12">
        <f>((G51-F51)*H51)+I51</f>
        <v>4875.6729999999998</v>
      </c>
      <c r="J52" s="12">
        <f ca="1">IF(AND(($B$14+$B$5+$B$82)&gt;=F52,($B$14+$B$5+$B$82)&lt;G52),($B$14+$B$5+$B$82-F52)*H52,0)</f>
        <v>0</v>
      </c>
      <c r="K52" s="55">
        <f t="shared" ca="1" si="3"/>
        <v>0</v>
      </c>
    </row>
    <row r="53" spans="1:11" ht="15.6" x14ac:dyDescent="0.3">
      <c r="A53" s="28" t="s">
        <v>91</v>
      </c>
      <c r="B53" s="37">
        <f ca="1">C51-B51</f>
        <v>0</v>
      </c>
      <c r="C53" s="4"/>
      <c r="F53" s="5">
        <f>G52</f>
        <v>87741</v>
      </c>
      <c r="G53" s="5">
        <f t="shared" si="2"/>
        <v>106543</v>
      </c>
      <c r="H53" s="7">
        <f t="shared" si="2"/>
        <v>0.1229</v>
      </c>
      <c r="I53" s="12">
        <f t="shared" ref="I53:I54" si="4">((G52-F52)*H52)+I52</f>
        <v>6064.2729999999992</v>
      </c>
      <c r="J53" s="12">
        <f ca="1">IF(AND(($B$14+$B$5+$B$82)&gt;=F53,($B$14+$B$5+$B$82)&lt;G53),($B$14+$B$5+$B$82-F53)*H53,0)</f>
        <v>0</v>
      </c>
      <c r="K53" s="55">
        <f t="shared" ca="1" si="3"/>
        <v>0</v>
      </c>
    </row>
    <row r="54" spans="1:11" ht="15.6" x14ac:dyDescent="0.3">
      <c r="A54" s="3"/>
      <c r="B54" s="4"/>
      <c r="C54" s="4"/>
      <c r="F54" s="5">
        <f>G53</f>
        <v>106543</v>
      </c>
      <c r="H54" s="7">
        <f>D32</f>
        <v>0.14699999999999999</v>
      </c>
      <c r="I54" s="12">
        <f t="shared" si="4"/>
        <v>8375.0387999999984</v>
      </c>
      <c r="J54" s="12">
        <f ca="1">IF(($B$14+$B$5+$B$82)&gt;=F54,($B$14+$B$5+$B$82-F54)*H54,0)</f>
        <v>5065.1790000000001</v>
      </c>
      <c r="K54" s="79">
        <f t="shared" ca="1" si="3"/>
        <v>13440.217799999999</v>
      </c>
    </row>
    <row r="55" spans="1:11" x14ac:dyDescent="0.3">
      <c r="A55" s="3"/>
      <c r="B55" s="4"/>
      <c r="C55" s="4"/>
      <c r="F55" s="13"/>
      <c r="G55" s="46"/>
      <c r="H55"/>
      <c r="I55" s="49"/>
      <c r="J55" s="21"/>
      <c r="K55" s="55">
        <f ca="1">SUM(K50:K54)</f>
        <v>13440.217799999999</v>
      </c>
    </row>
    <row r="56" spans="1:11" x14ac:dyDescent="0.3">
      <c r="A56" s="3"/>
      <c r="B56" s="4"/>
      <c r="C56" s="4"/>
      <c r="F56" s="13"/>
      <c r="G56" s="46"/>
      <c r="H56" s="66" t="s">
        <v>35</v>
      </c>
      <c r="I56" s="12">
        <f>B34</f>
        <v>10027</v>
      </c>
      <c r="J56" s="20">
        <f>D28</f>
        <v>5.0599999999999999E-2</v>
      </c>
      <c r="K56" s="56">
        <f ca="1">IF(($B$14+$B$5+$B$82)&lt;I56,($B$14+$B$5+$B$82)*J56,I56*J56)</f>
        <v>507.36619999999999</v>
      </c>
    </row>
    <row r="57" spans="1:11" x14ac:dyDescent="0.3">
      <c r="A57" s="3"/>
      <c r="B57" s="4"/>
      <c r="C57" s="4"/>
      <c r="F57" s="13"/>
      <c r="G57" s="46"/>
      <c r="H57"/>
      <c r="I57" s="49"/>
      <c r="J57" s="21"/>
      <c r="K57" s="13">
        <f ca="1">IF((K55-K56)&lt;=0,0,K55-K56)</f>
        <v>12932.851599999998</v>
      </c>
    </row>
    <row r="58" spans="1:11" x14ac:dyDescent="0.3">
      <c r="B58" s="4"/>
      <c r="C58" s="4"/>
      <c r="E58" s="13"/>
      <c r="F58" s="46"/>
      <c r="H58" s="66" t="s">
        <v>105</v>
      </c>
      <c r="I58" s="49"/>
      <c r="J58" s="21"/>
      <c r="K58" s="80">
        <f ca="1">MIN(B114,K57)</f>
        <v>0</v>
      </c>
    </row>
    <row r="59" spans="1:11" x14ac:dyDescent="0.3">
      <c r="A59" s="3" t="s">
        <v>100</v>
      </c>
      <c r="B59" s="4"/>
      <c r="C59" s="4"/>
      <c r="I59" s="49"/>
      <c r="J59" s="21"/>
      <c r="K59" s="12">
        <f ca="1">K57-K58</f>
        <v>12932.851599999998</v>
      </c>
    </row>
    <row r="60" spans="1:11" x14ac:dyDescent="0.3">
      <c r="A60" s="3"/>
      <c r="B60" s="4" t="s">
        <v>94</v>
      </c>
      <c r="C60" s="4" t="s">
        <v>103</v>
      </c>
    </row>
    <row r="61" spans="1:11" x14ac:dyDescent="0.3">
      <c r="A61" s="3"/>
      <c r="B61" t="s">
        <v>27</v>
      </c>
      <c r="C61" t="s">
        <v>28</v>
      </c>
    </row>
    <row r="62" spans="1:11" x14ac:dyDescent="0.3">
      <c r="A62" s="3"/>
      <c r="B62" s="4">
        <f>$B$14</f>
        <v>139000</v>
      </c>
      <c r="C62" s="4">
        <f ca="1">$B$14+$B$5+$B$82</f>
        <v>141000</v>
      </c>
      <c r="I62" s="49"/>
      <c r="J62" s="21"/>
      <c r="K62" s="21"/>
    </row>
    <row r="63" spans="1:11" x14ac:dyDescent="0.3">
      <c r="A63" s="28" t="s">
        <v>92</v>
      </c>
      <c r="B63" s="40">
        <v>-15000</v>
      </c>
      <c r="C63" s="40">
        <v>-15000</v>
      </c>
      <c r="I63" s="49"/>
      <c r="J63" s="21"/>
      <c r="K63" s="21"/>
    </row>
    <row r="64" spans="1:11" x14ac:dyDescent="0.3">
      <c r="A64" s="3"/>
      <c r="B64" s="4">
        <f>IF((B62+B63)&lt;=0,0,SUM(B62:B63))</f>
        <v>124000</v>
      </c>
      <c r="C64" s="4">
        <f ca="1">IF((C62+C63)&lt;=0,0,SUM(C62:C63))</f>
        <v>126000</v>
      </c>
      <c r="I64" s="49"/>
      <c r="J64" s="21"/>
      <c r="K64" s="21"/>
    </row>
    <row r="65" spans="1:17" x14ac:dyDescent="0.3">
      <c r="A65" s="3"/>
      <c r="B65" s="71">
        <v>0.02</v>
      </c>
      <c r="C65" s="71">
        <v>0.02</v>
      </c>
      <c r="I65" s="49"/>
      <c r="J65" s="21"/>
      <c r="K65" s="21"/>
    </row>
    <row r="66" spans="1:17" x14ac:dyDescent="0.3">
      <c r="A66" s="3"/>
      <c r="B66" s="4">
        <f>B64*B65</f>
        <v>2480</v>
      </c>
      <c r="C66" s="4">
        <f ca="1">C64*C65</f>
        <v>2520</v>
      </c>
      <c r="I66" s="49"/>
      <c r="J66" s="21"/>
      <c r="K66" s="21"/>
    </row>
    <row r="67" spans="1:17" x14ac:dyDescent="0.3">
      <c r="A67" s="3"/>
      <c r="B67" s="4"/>
      <c r="C67" s="4"/>
      <c r="I67" s="49"/>
      <c r="J67" s="21"/>
      <c r="K67" s="21"/>
    </row>
    <row r="68" spans="1:17" x14ac:dyDescent="0.3">
      <c r="A68" s="28" t="s">
        <v>17</v>
      </c>
      <c r="B68" s="4">
        <v>75</v>
      </c>
      <c r="C68" s="4">
        <v>75</v>
      </c>
      <c r="I68" s="49"/>
      <c r="J68" s="21"/>
      <c r="K68" s="21"/>
    </row>
    <row r="69" spans="1:17" x14ac:dyDescent="0.3">
      <c r="A69" s="3"/>
      <c r="B69" s="72">
        <f>B66</f>
        <v>2480</v>
      </c>
      <c r="C69" s="72">
        <f ca="1">C66</f>
        <v>2520</v>
      </c>
      <c r="I69" s="49"/>
      <c r="J69" s="21"/>
      <c r="K69" s="21"/>
    </row>
    <row r="70" spans="1:17" x14ac:dyDescent="0.3">
      <c r="A70" s="28" t="s">
        <v>99</v>
      </c>
      <c r="B70" s="4">
        <f>IF((B68-B69)&lt;=0,0,B68-B69)</f>
        <v>0</v>
      </c>
      <c r="C70" s="4">
        <f ca="1">IF((C68-C69)&lt;=0,0,C68-C69)</f>
        <v>0</v>
      </c>
      <c r="I70" s="49"/>
      <c r="J70" s="21"/>
      <c r="K70" s="21"/>
    </row>
    <row r="71" spans="1:17" x14ac:dyDescent="0.3">
      <c r="A71" s="3"/>
      <c r="B71" s="4"/>
      <c r="C71" s="4"/>
      <c r="I71" s="49"/>
      <c r="J71" s="21"/>
      <c r="K71" s="21"/>
    </row>
    <row r="72" spans="1:17" x14ac:dyDescent="0.3">
      <c r="A72" s="28" t="s">
        <v>100</v>
      </c>
      <c r="B72" s="37">
        <f ca="1">B70-C70</f>
        <v>0</v>
      </c>
      <c r="C72" s="4"/>
      <c r="I72" s="49"/>
      <c r="J72" s="21"/>
      <c r="K72" s="21"/>
    </row>
    <row r="73" spans="1:17" x14ac:dyDescent="0.3">
      <c r="B73" s="4"/>
      <c r="C73" s="4"/>
      <c r="E73" s="13"/>
      <c r="F73" s="46"/>
      <c r="H73" s="16"/>
      <c r="I73" s="49"/>
      <c r="J73" s="21"/>
      <c r="K73" s="21"/>
    </row>
    <row r="74" spans="1:17" x14ac:dyDescent="0.3">
      <c r="B74" s="39"/>
      <c r="C74" s="4"/>
      <c r="I74" s="49"/>
      <c r="J74" s="21"/>
      <c r="K74" s="21"/>
      <c r="Q74" s="18"/>
    </row>
    <row r="75" spans="1:17" x14ac:dyDescent="0.3">
      <c r="A75" s="3" t="s">
        <v>53</v>
      </c>
      <c r="B75" s="39"/>
      <c r="C75" s="4"/>
      <c r="I75" s="49"/>
      <c r="J75" s="21"/>
      <c r="K75" s="21"/>
      <c r="Q75" s="18"/>
    </row>
    <row r="76" spans="1:17" x14ac:dyDescent="0.3">
      <c r="B76" s="39"/>
      <c r="C76" s="4"/>
      <c r="I76" s="49"/>
      <c r="J76" s="21"/>
      <c r="K76" s="21"/>
      <c r="Q76" s="18"/>
    </row>
    <row r="77" spans="1:17" x14ac:dyDescent="0.3">
      <c r="A77" s="19" t="s">
        <v>54</v>
      </c>
      <c r="B77" s="39"/>
      <c r="C77" s="4"/>
      <c r="H77" s="12"/>
      <c r="I77" s="49"/>
      <c r="J77" s="21"/>
      <c r="K77" s="21"/>
      <c r="Q77" s="18"/>
    </row>
    <row r="78" spans="1:17" x14ac:dyDescent="0.3">
      <c r="A78" t="s">
        <v>74</v>
      </c>
      <c r="B78" s="39">
        <f>$B$5</f>
        <v>2000</v>
      </c>
      <c r="C78" s="62" t="s">
        <v>31</v>
      </c>
      <c r="D78" s="19" t="s">
        <v>55</v>
      </c>
      <c r="E78" s="13"/>
      <c r="F78" s="18"/>
      <c r="G78" s="4"/>
      <c r="H78" s="70" t="s">
        <v>65</v>
      </c>
      <c r="I78" s="49" t="s">
        <v>64</v>
      </c>
      <c r="J78" s="78" t="s">
        <v>66</v>
      </c>
      <c r="K78" s="21"/>
      <c r="Q78" s="18"/>
    </row>
    <row r="79" spans="1:17" ht="15.6" x14ac:dyDescent="0.3">
      <c r="A79" t="s">
        <v>75</v>
      </c>
      <c r="B79" s="39">
        <f>IF($B$6="US",-IF(($B$7/$B$5)&gt;15%,$B$7-($B$5*15%),0),0)</f>
        <v>0</v>
      </c>
      <c r="C79" s="62" t="s">
        <v>32</v>
      </c>
      <c r="D79" t="s">
        <v>9</v>
      </c>
      <c r="E79" s="4">
        <v>0</v>
      </c>
      <c r="F79" s="5">
        <f t="shared" ref="F79:G82" si="5">C18</f>
        <v>45282</v>
      </c>
      <c r="G79" s="6">
        <f t="shared" si="5"/>
        <v>0.15</v>
      </c>
      <c r="H79" s="12">
        <v>0</v>
      </c>
      <c r="I79" s="12">
        <f ca="1">IF(AND(($B$14+$B$5+$B$82)&gt;=E79,($B$14+$B$5+$B$82)&lt;F79),($B$14+$B$5+$B$82-E79)*G79,0)</f>
        <v>0</v>
      </c>
      <c r="J79" s="12">
        <f ca="1">(IF(I79=0,0,H79+I79))</f>
        <v>0</v>
      </c>
      <c r="K79" s="21"/>
      <c r="Q79" s="18"/>
    </row>
    <row r="80" spans="1:17" ht="15.6" x14ac:dyDescent="0.3">
      <c r="A80" t="s">
        <v>76</v>
      </c>
      <c r="B80" s="39">
        <f>IF($B$6="non-US",-IF(($B$7/$B$5)&gt;15%,$B$7-($B$5*15%),0),0)</f>
        <v>0</v>
      </c>
      <c r="C80" s="4"/>
      <c r="D80" t="s">
        <v>10</v>
      </c>
      <c r="E80" s="5">
        <f>F79</f>
        <v>45282</v>
      </c>
      <c r="F80" s="5">
        <f t="shared" si="5"/>
        <v>90563</v>
      </c>
      <c r="G80" s="6">
        <f t="shared" si="5"/>
        <v>0.20499999999999999</v>
      </c>
      <c r="H80" s="12">
        <f>(F79-E79)*G79</f>
        <v>6792.3</v>
      </c>
      <c r="I80" s="12">
        <f ca="1">IF(AND(($B$14+$B$5+$B$82)&gt;=E80,($B$14+$B$5+$B$82)&lt;F80),($B$14+$B$5+$B$82-E80)*G80,0)</f>
        <v>0</v>
      </c>
      <c r="J80" s="12">
        <f t="shared" ref="J80:J83" ca="1" si="6">(IF(I80=0,0,H80+I80))</f>
        <v>0</v>
      </c>
      <c r="K80" s="21"/>
      <c r="Q80" s="18"/>
    </row>
    <row r="81" spans="1:17" ht="15.6" x14ac:dyDescent="0.3">
      <c r="A81" t="s">
        <v>81</v>
      </c>
      <c r="B81" s="40">
        <f ca="1">-B116</f>
        <v>0</v>
      </c>
      <c r="C81" s="4"/>
      <c r="D81" t="s">
        <v>10</v>
      </c>
      <c r="E81" s="5">
        <f>F80</f>
        <v>90563</v>
      </c>
      <c r="F81" s="5">
        <f t="shared" si="5"/>
        <v>140388</v>
      </c>
      <c r="G81" s="6">
        <f t="shared" si="5"/>
        <v>0.26</v>
      </c>
      <c r="H81" s="12">
        <f>((F80-E80)*G80)+H80</f>
        <v>16074.904999999999</v>
      </c>
      <c r="I81" s="12">
        <f ca="1">IF(AND(($B$14+$B$5+$B$82)&gt;=E81,($B$14+$B$5+$B$82)&lt;F81),($B$14+$B$5+$B$82-E81)*G81,0)</f>
        <v>0</v>
      </c>
      <c r="J81" s="12">
        <f t="shared" ca="1" si="6"/>
        <v>0</v>
      </c>
      <c r="K81" s="21"/>
      <c r="Q81" s="18"/>
    </row>
    <row r="82" spans="1:17" ht="15.6" x14ac:dyDescent="0.3">
      <c r="A82" t="s">
        <v>83</v>
      </c>
      <c r="B82" s="40">
        <f ca="1">SUM(B80:B81)</f>
        <v>0</v>
      </c>
      <c r="C82" s="62" t="s">
        <v>82</v>
      </c>
      <c r="D82" t="s">
        <v>10</v>
      </c>
      <c r="E82" s="5">
        <f>F81</f>
        <v>140388</v>
      </c>
      <c r="F82" s="5">
        <f t="shared" si="5"/>
        <v>200000</v>
      </c>
      <c r="G82" s="6">
        <f t="shared" si="5"/>
        <v>0.28999999999999998</v>
      </c>
      <c r="H82" s="12">
        <f>((F81-E81)*G81)+H81</f>
        <v>29029.404999999999</v>
      </c>
      <c r="I82" s="12">
        <f ca="1">IF(AND(($B$14+$B$5+$B$82)&gt;=E82,($B$14+$B$5+$B$82)&lt;F82),($B$14+$B$5+$B$82-E82)*G82,0)</f>
        <v>177.48</v>
      </c>
      <c r="J82" s="12">
        <f t="shared" ca="1" si="6"/>
        <v>29206.884999999998</v>
      </c>
      <c r="K82" s="21"/>
      <c r="Q82" s="18"/>
    </row>
    <row r="83" spans="1:17" ht="15.6" x14ac:dyDescent="0.3">
      <c r="A83" t="s">
        <v>56</v>
      </c>
      <c r="B83" s="39">
        <f ca="1">B78+B79+B82</f>
        <v>2000</v>
      </c>
      <c r="C83" s="62" t="s">
        <v>84</v>
      </c>
      <c r="E83" s="5">
        <f>F82</f>
        <v>200000</v>
      </c>
      <c r="G83" s="6">
        <f>D22</f>
        <v>0.33</v>
      </c>
      <c r="H83" s="12">
        <f>((F82-E82)*G82)+H82</f>
        <v>46316.884999999995</v>
      </c>
      <c r="I83" s="12">
        <f ca="1">IF(($B$14+$B$5+$B$82)&gt;=E83,($B$14+$B$5+$B$82-E83)*G83,0)</f>
        <v>0</v>
      </c>
      <c r="J83" s="56">
        <f t="shared" ca="1" si="6"/>
        <v>0</v>
      </c>
      <c r="K83" s="21"/>
      <c r="Q83" s="18"/>
    </row>
    <row r="84" spans="1:17" x14ac:dyDescent="0.3">
      <c r="B84" s="39"/>
      <c r="C84" s="4"/>
      <c r="E84" s="13"/>
      <c r="F84" s="18"/>
      <c r="G84" s="4"/>
      <c r="H84" s="16"/>
      <c r="I84" s="49"/>
      <c r="J84" s="12">
        <f ca="1">SUM(J79:J83)</f>
        <v>29206.884999999998</v>
      </c>
      <c r="K84" s="21"/>
      <c r="Q84" s="18"/>
    </row>
    <row r="85" spans="1:17" x14ac:dyDescent="0.3">
      <c r="A85" t="s">
        <v>6</v>
      </c>
      <c r="B85" s="41">
        <f>$B$5+$B$14</f>
        <v>141000</v>
      </c>
      <c r="C85" s="62" t="s">
        <v>31</v>
      </c>
      <c r="G85" s="66" t="s">
        <v>35</v>
      </c>
      <c r="H85" s="13">
        <f>B24</f>
        <v>11474</v>
      </c>
      <c r="I85" s="83">
        <f>D18</f>
        <v>0.15</v>
      </c>
      <c r="J85" s="56">
        <f ca="1">IF(($B$5+$B$14+B82)&lt;H85,($B$5+$B$14+B82)*I85,H85*I85)</f>
        <v>1721.1</v>
      </c>
      <c r="K85" s="21"/>
      <c r="Q85" s="18"/>
    </row>
    <row r="86" spans="1:17" x14ac:dyDescent="0.3">
      <c r="A86" t="s">
        <v>76</v>
      </c>
      <c r="B86" s="41">
        <f>IF($B$6="non-US",-IF(($B$7/$B$5)&gt;15%,$B$7-($B$5*15%),0),0)</f>
        <v>0</v>
      </c>
      <c r="C86" s="4"/>
      <c r="G86" s="66"/>
      <c r="I86" s="49"/>
      <c r="J86" s="13">
        <f ca="1">IF((J84-J85)&lt;=0,0,J84-J85)</f>
        <v>27485.785</v>
      </c>
      <c r="K86" s="21"/>
      <c r="Q86" s="18"/>
    </row>
    <row r="87" spans="1:17" x14ac:dyDescent="0.3">
      <c r="A87" t="s">
        <v>81</v>
      </c>
      <c r="B87" s="40">
        <f ca="1">B81</f>
        <v>0</v>
      </c>
      <c r="C87" s="4"/>
      <c r="G87" s="66"/>
      <c r="I87" s="49"/>
      <c r="J87" s="48"/>
      <c r="K87" s="21"/>
      <c r="Q87" s="18"/>
    </row>
    <row r="88" spans="1:17" x14ac:dyDescent="0.3">
      <c r="A88" t="s">
        <v>83</v>
      </c>
      <c r="B88" s="40">
        <f ca="1">SUM(B86:B87)</f>
        <v>0</v>
      </c>
      <c r="C88" s="62" t="s">
        <v>32</v>
      </c>
      <c r="E88" s="13"/>
      <c r="F88" s="18"/>
      <c r="I88" s="49"/>
      <c r="J88" s="21"/>
      <c r="K88" s="21"/>
      <c r="Q88" s="18"/>
    </row>
    <row r="89" spans="1:17" x14ac:dyDescent="0.3">
      <c r="A89" t="s">
        <v>77</v>
      </c>
      <c r="B89" s="39">
        <f ca="1">B85+B88</f>
        <v>141000</v>
      </c>
      <c r="C89" s="62" t="s">
        <v>85</v>
      </c>
      <c r="I89" s="49"/>
      <c r="J89" s="21"/>
      <c r="K89" s="21"/>
      <c r="Q89" s="18"/>
    </row>
    <row r="90" spans="1:17" x14ac:dyDescent="0.3">
      <c r="B90" s="39"/>
      <c r="C90" s="4"/>
      <c r="I90" s="49"/>
      <c r="J90" s="21"/>
      <c r="K90" s="21"/>
      <c r="Q90" s="18"/>
    </row>
    <row r="91" spans="1:17" x14ac:dyDescent="0.3">
      <c r="A91" t="s">
        <v>57</v>
      </c>
      <c r="B91" s="61">
        <f ca="1">B83/B89</f>
        <v>1.4184397163120567E-2</v>
      </c>
      <c r="C91" s="4"/>
      <c r="I91" s="49"/>
      <c r="J91" s="21"/>
      <c r="K91" s="21"/>
      <c r="Q91" s="18"/>
    </row>
    <row r="92" spans="1:17" x14ac:dyDescent="0.3">
      <c r="B92" s="39"/>
      <c r="C92" s="4"/>
      <c r="I92" s="49"/>
      <c r="J92" s="21"/>
      <c r="K92" s="21"/>
      <c r="Q92" s="18"/>
    </row>
    <row r="93" spans="1:17" x14ac:dyDescent="0.3">
      <c r="A93" t="s">
        <v>55</v>
      </c>
      <c r="B93" s="39">
        <f ca="1">J86</f>
        <v>27485.785</v>
      </c>
      <c r="C93" s="4"/>
      <c r="I93" s="49"/>
      <c r="J93" s="21"/>
      <c r="K93" s="21"/>
      <c r="Q93" s="18"/>
    </row>
    <row r="94" spans="1:17" x14ac:dyDescent="0.3">
      <c r="B94" s="39"/>
      <c r="C94" s="4"/>
      <c r="E94" s="68"/>
      <c r="F94" s="41"/>
      <c r="G94" s="4"/>
      <c r="H94" s="63"/>
      <c r="I94" s="49"/>
      <c r="J94" s="78"/>
      <c r="K94" s="21"/>
      <c r="Q94" s="18"/>
    </row>
    <row r="95" spans="1:17" ht="15.6" x14ac:dyDescent="0.3">
      <c r="A95" t="s">
        <v>67</v>
      </c>
      <c r="B95" s="39">
        <f ca="1">B93*B91</f>
        <v>389.86929078014185</v>
      </c>
      <c r="C95" s="62" t="s">
        <v>31</v>
      </c>
      <c r="E95" s="4"/>
      <c r="G95" s="6"/>
      <c r="H95" s="41"/>
      <c r="I95" s="49"/>
      <c r="J95" s="41"/>
      <c r="K95" s="21"/>
      <c r="Q95" s="18"/>
    </row>
    <row r="96" spans="1:17" ht="15.6" x14ac:dyDescent="0.3">
      <c r="A96" t="s">
        <v>68</v>
      </c>
      <c r="B96" s="39">
        <f>MIN($B$7,$B$5*15%)</f>
        <v>200</v>
      </c>
      <c r="C96" s="62" t="s">
        <v>32</v>
      </c>
      <c r="E96" s="5"/>
      <c r="G96" s="7"/>
      <c r="H96" s="41"/>
      <c r="I96" s="49"/>
      <c r="J96" s="41"/>
      <c r="K96" s="21"/>
      <c r="Q96" s="18"/>
    </row>
    <row r="97" spans="1:17" ht="15.6" x14ac:dyDescent="0.3">
      <c r="B97" s="39"/>
      <c r="C97" s="4"/>
      <c r="E97" s="5"/>
      <c r="G97" s="7"/>
      <c r="H97" s="41"/>
      <c r="I97" s="49"/>
      <c r="J97" s="41"/>
      <c r="K97" s="21"/>
      <c r="Q97" s="18"/>
    </row>
    <row r="98" spans="1:17" ht="15.6" x14ac:dyDescent="0.3">
      <c r="A98" t="s">
        <v>69</v>
      </c>
      <c r="B98" s="65">
        <f ca="1">MIN(B95,B96)</f>
        <v>200</v>
      </c>
      <c r="C98" s="62" t="s">
        <v>87</v>
      </c>
      <c r="E98" s="5"/>
      <c r="G98" s="7"/>
      <c r="H98" s="41"/>
      <c r="I98" s="49"/>
      <c r="J98" s="41"/>
      <c r="K98" s="21"/>
      <c r="Q98" s="18"/>
    </row>
    <row r="99" spans="1:17" ht="15.6" x14ac:dyDescent="0.3">
      <c r="B99" s="65"/>
      <c r="C99" s="4"/>
      <c r="E99" s="5"/>
      <c r="F99" s="5"/>
      <c r="G99" s="7"/>
      <c r="H99" s="41"/>
      <c r="I99" s="49"/>
      <c r="J99" s="41"/>
      <c r="K99" s="21"/>
      <c r="Q99" s="18"/>
    </row>
    <row r="100" spans="1:17" ht="15.6" x14ac:dyDescent="0.3">
      <c r="B100" s="65"/>
      <c r="C100" s="4"/>
      <c r="E100" s="13"/>
      <c r="F100" s="5"/>
      <c r="G100" s="4"/>
      <c r="H100" s="16"/>
      <c r="I100" s="49"/>
      <c r="J100" s="41"/>
      <c r="K100" s="21"/>
      <c r="Q100" s="18"/>
    </row>
    <row r="101" spans="1:17" x14ac:dyDescent="0.3">
      <c r="A101" s="19" t="s">
        <v>70</v>
      </c>
      <c r="B101" s="39"/>
      <c r="C101" s="4"/>
      <c r="H101" s="12"/>
      <c r="I101" s="49"/>
      <c r="J101" s="21"/>
      <c r="K101" s="21"/>
      <c r="L101" s="19"/>
      <c r="Q101" s="18"/>
    </row>
    <row r="102" spans="1:17" x14ac:dyDescent="0.3">
      <c r="A102" t="s">
        <v>56</v>
      </c>
      <c r="B102" s="39">
        <f ca="1">B83</f>
        <v>2000</v>
      </c>
      <c r="C102" s="4"/>
      <c r="D102" s="19" t="s">
        <v>71</v>
      </c>
      <c r="E102" s="13"/>
      <c r="F102" s="18"/>
      <c r="G102" s="4"/>
      <c r="H102" s="70" t="s">
        <v>65</v>
      </c>
      <c r="I102" s="49" t="s">
        <v>64</v>
      </c>
      <c r="J102" s="78" t="s">
        <v>66</v>
      </c>
      <c r="K102" s="55"/>
      <c r="Q102" s="18"/>
    </row>
    <row r="103" spans="1:17" ht="15.6" x14ac:dyDescent="0.3">
      <c r="A103" t="s">
        <v>23</v>
      </c>
      <c r="B103" s="41">
        <f ca="1">B89</f>
        <v>141000</v>
      </c>
      <c r="C103" s="4"/>
      <c r="D103" t="s">
        <v>9</v>
      </c>
      <c r="E103">
        <v>0</v>
      </c>
      <c r="F103" s="5">
        <f t="shared" ref="F103:G106" si="7">C28</f>
        <v>38210</v>
      </c>
      <c r="G103" s="7">
        <f t="shared" si="7"/>
        <v>5.0599999999999999E-2</v>
      </c>
      <c r="H103" s="12">
        <v>0</v>
      </c>
      <c r="I103" s="48">
        <f ca="1">IF(AND(($B$14+$B$5+$B$82)&gt;=E103,($B$14+$B$5+$B$82)&lt;F103),($B$14+$B$5+$B$82-E103)*G103,0)</f>
        <v>0</v>
      </c>
      <c r="J103" s="12">
        <f ca="1">(IF(I103=0,0,H103+I103))</f>
        <v>0</v>
      </c>
      <c r="K103" s="21"/>
      <c r="Q103" s="18"/>
    </row>
    <row r="104" spans="1:17" ht="15.6" x14ac:dyDescent="0.3">
      <c r="A104" t="s">
        <v>57</v>
      </c>
      <c r="B104" s="61">
        <f ca="1">B102/B103</f>
        <v>1.4184397163120567E-2</v>
      </c>
      <c r="C104" s="4"/>
      <c r="D104" t="s">
        <v>10</v>
      </c>
      <c r="E104" s="5">
        <f>F103</f>
        <v>38210</v>
      </c>
      <c r="F104" s="5">
        <f t="shared" si="7"/>
        <v>76421</v>
      </c>
      <c r="G104" s="7">
        <f t="shared" si="7"/>
        <v>7.6999999999999999E-2</v>
      </c>
      <c r="H104" s="12">
        <f>(F103-E103)*G103</f>
        <v>1933.4259999999999</v>
      </c>
      <c r="I104" s="48">
        <f ca="1">IF(AND(($B$14+$B$5+$B$82)&gt;=E104,($B$14+$B$5+$B$82)&lt;F104),($B$14+$B$5+$B$82-E104)*G104,0)</f>
        <v>0</v>
      </c>
      <c r="J104" s="12">
        <f t="shared" ref="J104:J107" ca="1" si="8">(IF(I104=0,0,H104+I104))</f>
        <v>0</v>
      </c>
      <c r="K104" s="21"/>
      <c r="Q104" s="18"/>
    </row>
    <row r="105" spans="1:17" ht="15.6" x14ac:dyDescent="0.3">
      <c r="B105" s="39"/>
      <c r="C105" s="4"/>
      <c r="D105" t="s">
        <v>10</v>
      </c>
      <c r="E105" s="27">
        <f>F104</f>
        <v>76421</v>
      </c>
      <c r="F105" s="5">
        <f t="shared" si="7"/>
        <v>87741</v>
      </c>
      <c r="G105" s="7">
        <f t="shared" si="7"/>
        <v>0.105</v>
      </c>
      <c r="H105" s="12">
        <f>((F104-E104)*G104)+H104</f>
        <v>4875.6729999999998</v>
      </c>
      <c r="I105" s="48">
        <f ca="1">IF(AND(($B$14+$B$5+$B$82)&gt;=E105,($B$14+$B$5+$B$82)&lt;F105),($B$14+$B$5+$B$82-E105)*G105,0)</f>
        <v>0</v>
      </c>
      <c r="J105" s="12">
        <f t="shared" ca="1" si="8"/>
        <v>0</v>
      </c>
      <c r="K105" s="21"/>
      <c r="Q105" s="18"/>
    </row>
    <row r="106" spans="1:17" ht="15.6" x14ac:dyDescent="0.3">
      <c r="A106" t="s">
        <v>71</v>
      </c>
      <c r="B106" s="39">
        <f ca="1">J110</f>
        <v>12932.851599999998</v>
      </c>
      <c r="C106" s="4"/>
      <c r="D106" t="s">
        <v>10</v>
      </c>
      <c r="E106" s="5">
        <f>F105</f>
        <v>87741</v>
      </c>
      <c r="F106" s="5">
        <f t="shared" si="7"/>
        <v>106543</v>
      </c>
      <c r="G106" s="7">
        <f t="shared" si="7"/>
        <v>0.1229</v>
      </c>
      <c r="H106" s="12">
        <f>((F105-E105)*G105)+H105</f>
        <v>6064.2729999999992</v>
      </c>
      <c r="I106" s="48">
        <f ca="1">IF(AND(($B$14+$B$5+$B$82)&gt;=E106,($B$14+$B$5+$B$82)&lt;F106),($B$14+$B$5+$B$82-E106)*G106,0)</f>
        <v>0</v>
      </c>
      <c r="J106" s="12">
        <f ca="1">(IF(I106=0,0,H106+I106))</f>
        <v>0</v>
      </c>
      <c r="K106" s="21"/>
      <c r="Q106" s="18"/>
    </row>
    <row r="107" spans="1:17" ht="15.6" x14ac:dyDescent="0.3">
      <c r="B107" s="39"/>
      <c r="C107" s="4"/>
      <c r="E107" s="5">
        <f>F106</f>
        <v>106543</v>
      </c>
      <c r="G107" s="7">
        <f>D32</f>
        <v>0.14699999999999999</v>
      </c>
      <c r="H107" s="12">
        <f>((F106-E106)*G106)+H106</f>
        <v>8375.0387999999984</v>
      </c>
      <c r="I107" s="48">
        <f ca="1">IF(($B$14+$B$5+$B$82)&gt;=E107,($B$14+$B$5+$B$82-E107)*G107,0)</f>
        <v>5065.1790000000001</v>
      </c>
      <c r="J107" s="56">
        <f t="shared" ca="1" si="8"/>
        <v>13440.217799999999</v>
      </c>
      <c r="K107" s="21"/>
      <c r="Q107" s="18"/>
    </row>
    <row r="108" spans="1:17" x14ac:dyDescent="0.3">
      <c r="A108" t="s">
        <v>67</v>
      </c>
      <c r="B108" s="39">
        <f ca="1">B106*B104</f>
        <v>183.44470354609925</v>
      </c>
      <c r="C108" s="62" t="s">
        <v>31</v>
      </c>
      <c r="E108" s="13"/>
      <c r="F108" s="18"/>
      <c r="G108" s="4"/>
      <c r="H108" s="20"/>
      <c r="I108" s="49"/>
      <c r="J108" s="55">
        <f ca="1">SUM(J103:J107)</f>
        <v>13440.217799999999</v>
      </c>
      <c r="K108" s="21"/>
      <c r="Q108" s="18"/>
    </row>
    <row r="109" spans="1:17" x14ac:dyDescent="0.3">
      <c r="B109" s="39"/>
      <c r="C109" s="62"/>
      <c r="E109" s="13"/>
      <c r="F109" s="18"/>
      <c r="G109" s="66" t="s">
        <v>35</v>
      </c>
      <c r="H109" s="13">
        <f>B34</f>
        <v>10027</v>
      </c>
      <c r="I109" s="83">
        <f>D28</f>
        <v>5.0599999999999999E-2</v>
      </c>
      <c r="J109" s="56">
        <f ca="1">IF(($B$5+$B$14+$B$82)&lt;H109,($B$5+$B$14+$B$82)*I109,H109*I109)</f>
        <v>507.36619999999999</v>
      </c>
      <c r="K109" s="21"/>
      <c r="Q109" s="18"/>
    </row>
    <row r="110" spans="1:17" x14ac:dyDescent="0.3">
      <c r="A110" t="s">
        <v>68</v>
      </c>
      <c r="B110" s="39">
        <f>B96</f>
        <v>200</v>
      </c>
      <c r="E110" s="38"/>
      <c r="F110" s="21"/>
      <c r="G110" s="4"/>
      <c r="H110" s="4"/>
      <c r="I110" s="49"/>
      <c r="J110" s="13">
        <f ca="1">IF((J108-J109)&lt;=0,0,J108-J109)</f>
        <v>12932.851599999998</v>
      </c>
      <c r="K110" s="21"/>
    </row>
    <row r="111" spans="1:17" x14ac:dyDescent="0.3">
      <c r="A111" t="s">
        <v>78</v>
      </c>
      <c r="B111" s="40">
        <f ca="1">-B98</f>
        <v>-200</v>
      </c>
      <c r="C111" s="62"/>
      <c r="F111" s="41"/>
      <c r="G111" s="67"/>
      <c r="H111" s="18"/>
      <c r="I111" s="49"/>
      <c r="J111" s="51"/>
      <c r="K111" s="21"/>
    </row>
    <row r="112" spans="1:17" x14ac:dyDescent="0.3">
      <c r="B112" s="39">
        <f ca="1">SUM(B110:B111)</f>
        <v>0</v>
      </c>
      <c r="C112" s="62" t="s">
        <v>32</v>
      </c>
      <c r="G112" s="18"/>
      <c r="H112" s="18"/>
      <c r="I112" s="49"/>
      <c r="J112" s="12"/>
      <c r="K112" s="21"/>
    </row>
    <row r="113" spans="1:13" x14ac:dyDescent="0.3">
      <c r="B113" s="39"/>
      <c r="C113" s="4"/>
      <c r="H113" s="18"/>
      <c r="I113" s="49"/>
      <c r="J113" s="55"/>
      <c r="K113" s="54"/>
      <c r="L113" s="16"/>
    </row>
    <row r="114" spans="1:13" x14ac:dyDescent="0.3">
      <c r="A114" t="s">
        <v>72</v>
      </c>
      <c r="B114" s="65">
        <f ca="1">MIN(B108,B112)</f>
        <v>0</v>
      </c>
      <c r="C114" s="62" t="s">
        <v>87</v>
      </c>
      <c r="I114" s="49"/>
      <c r="J114" s="21"/>
      <c r="K114" s="54"/>
      <c r="L114" s="16"/>
    </row>
    <row r="115" spans="1:13" x14ac:dyDescent="0.3">
      <c r="B115" s="39"/>
      <c r="C115" s="4"/>
      <c r="I115" s="49"/>
      <c r="J115" s="21"/>
      <c r="K115" s="54"/>
      <c r="L115" s="16"/>
    </row>
    <row r="116" spans="1:13" x14ac:dyDescent="0.3">
      <c r="A116" t="s">
        <v>86</v>
      </c>
      <c r="B116" s="65">
        <f ca="1">B96-B98-B114</f>
        <v>0</v>
      </c>
      <c r="C116" s="62" t="s">
        <v>88</v>
      </c>
      <c r="G116" s="18"/>
      <c r="H116" s="18"/>
      <c r="I116" s="49"/>
      <c r="J116" s="55"/>
      <c r="K116" s="54"/>
      <c r="L116" s="16"/>
    </row>
    <row r="117" spans="1:13" x14ac:dyDescent="0.3">
      <c r="B117" s="39"/>
      <c r="C117" s="4"/>
      <c r="G117" s="18"/>
      <c r="H117" s="18"/>
      <c r="I117" s="49"/>
      <c r="J117" s="55"/>
      <c r="K117" s="54"/>
      <c r="L117" s="16"/>
    </row>
    <row r="118" spans="1:13" x14ac:dyDescent="0.3">
      <c r="A118" s="2" t="s">
        <v>12</v>
      </c>
      <c r="G118" s="18"/>
      <c r="H118" s="51"/>
      <c r="I118" s="81"/>
      <c r="J118" s="51"/>
      <c r="K118" s="50"/>
      <c r="L118" s="16"/>
    </row>
    <row r="119" spans="1:13" x14ac:dyDescent="0.3">
      <c r="B119" s="11"/>
      <c r="C119" t="s">
        <v>13</v>
      </c>
      <c r="G119" s="18"/>
      <c r="H119" s="51"/>
      <c r="I119" s="86"/>
      <c r="J119" s="51"/>
      <c r="K119" s="50"/>
      <c r="L119" s="16"/>
    </row>
    <row r="120" spans="1:13" x14ac:dyDescent="0.3">
      <c r="B120" s="39"/>
      <c r="C120" s="4"/>
      <c r="H120" s="48"/>
      <c r="I120" s="49"/>
      <c r="J120" s="49"/>
      <c r="K120" s="49"/>
      <c r="L120" s="16"/>
    </row>
    <row r="121" spans="1:13" x14ac:dyDescent="0.3">
      <c r="A121" t="s">
        <v>20</v>
      </c>
      <c r="B121" s="39">
        <f ca="1">IF(AND((B5+B82+B14)&gt;=B18,(B5+B82+B14)&lt;=C18),(B5+B82)*D18,IF(AND((B5+B82+B14)&gt;B19,(B5+B82+B14)&lt;=C19),IF((B5+B82+B14-B19)&gt;(B5+B82),(B5+B82)*D19,((B5+B82+B14-B19)*D19)+((B5+B82-(B5+B82+B14-B19))*D18)),IF(AND((B5+B82+B14)&gt;B20,(B5+B82+B14)&lt;=C20),IF((B5+B82+B14-B20)&gt;(B5+B82),(B5+B82)*D20,IF((B5+B82+B14-B19)&gt;(B5+B82),(((B5+B82+B14-B20)*D20)+((B5+B82-(B5+B82+B14-B20))*D19)),((B5+B82+B14-B20)*D20)+((C19-B19)*D19)+((B5+B82-(B5+B82+B14-B19))*D18))),IF(AND((B5+B82+B14)&gt;B21,(B5+B82+B14)&lt;=C21),IF((B5+B82+B14-B21)&gt;(B5+B82),(B5+B82)*D21,IF((B5+B82+B14-B20)&gt;(B5+B82),((B5+B82+B14-B21)*D21)+(((B5+B82-(B5+B82+B14-B21))*D20)),IF((B5+B82+B14-B19)&gt;(B5+B82),(((B5+B82+B14-B21)*D21)+((C20-B20)*D20)+((B5+B82-(B5+B82+B14-B20))*D19)),((B5+B82+B14-B21)*D21)+((C20-B20)*D20)+((C19-B19)*D19)+((B5+B82-(B5+B82+B14-B19))*D18)))),IF((B5+B82+B14)&gt;B22,IF((B5+B82+B14-B22)&gt;(B5+B82),(B5+B82)*D22,IF((B5+B82+B14-B21)&gt;(B5+B82),(((B5+B82+B14-B22)*D22)+((B5+B82-(B5+B82+B14-B22))*D21)),IF((B5+B82+B14-B20)&gt;(B5+B82),(((B5+B82+B14-B22)*D22)+((C21-B21)*D21)+((B5+B82-(B5+B82+B14-B21))*D20)),IF((B5+B82+B14-B19)&gt;(B5+B82),(((B5+B82+B14-B22)*D22)+((C21-B21)*D21)+((C20-B20)*D20)+((B5+B82-(B5+B82+B14-B20))*D19)),((B5+B82+B14-B22)*D22)+((C21-B21)*D21)+((C20-B20)*D20)+((C19-B19)*D19)+((B5+B82-(B5+B82+B14-B19))*D18))))))))))</f>
        <v>538.36</v>
      </c>
      <c r="C121" t="s">
        <v>15</v>
      </c>
      <c r="G121" s="29"/>
      <c r="H121" s="49"/>
      <c r="I121" s="49"/>
      <c r="J121" s="49"/>
      <c r="K121" s="49"/>
      <c r="L121" s="13"/>
    </row>
    <row r="122" spans="1:13" x14ac:dyDescent="0.3">
      <c r="B122" s="39">
        <f>-IF(B14&gt;=B24,0,IF(B14&lt;B24,IF((B14+B5+B82)&gt;B24,(B24-B14)*D18,((B5+B82)*D18))))</f>
        <v>0</v>
      </c>
      <c r="C122" t="s">
        <v>34</v>
      </c>
      <c r="G122" s="29"/>
      <c r="H122" s="82"/>
      <c r="I122" s="49"/>
      <c r="J122" s="51"/>
      <c r="K122" s="50"/>
      <c r="L122" s="16"/>
    </row>
    <row r="123" spans="1:13" x14ac:dyDescent="0.3">
      <c r="B123" s="39">
        <f ca="1">IF(B98=0,0,-MIN(B98,SUM(B121:B122)))</f>
        <v>-200</v>
      </c>
      <c r="C123" t="s">
        <v>79</v>
      </c>
      <c r="G123" s="29"/>
      <c r="H123" s="21"/>
      <c r="I123" s="55"/>
      <c r="J123" s="55"/>
      <c r="K123" s="54"/>
      <c r="L123" s="16"/>
    </row>
    <row r="124" spans="1:13" x14ac:dyDescent="0.3">
      <c r="B124" s="39">
        <f ca="1">IF(AND((B5+B82+B14)&gt;=B28,(B5+B82+B14)&lt;=C28),(B5+B82)*D28,IF(AND((B5+B82+B14)&gt;B29,(B5+B82+B14)&lt;=C29),IF((B5+B82+B14-B29)&gt;(B5+B82),(B5+B82)*D29,((B5+B82+B14-B29)*D29)+((B5+B82-(B5+B82+B14-B29))*D28)),IF(AND((B5+B82+B14)&gt;B30,(B5+B82+B14)&lt;=C30),IF((B5+B82+B14-B30)&gt;(B5+B82),(B5+B82)*D30,IF((B5+B82+B14-B29)&gt;(B5+B82),(((B5+B82+B14-B30)*D30)+((B5+B82-(B5+B82+B14-B30))*D29)),((B5+B82+B14-B30)*D30)+((C29-B29)*D29)+((B5+B82-(B5+B82+B14-B29))*D28))),IF(AND((B5+B82+B14)&gt;B31,(B5+B82+B14)&lt;=C31),IF((B5+B82+B14-B31)&gt;(B5+B82),(B5+B82)*D31,IF((B5+B82+B14-B30)&gt;(B5+B82),(((B5+B82+B14-B31)*D31)+((B5+B82-(B5+B82+B14-B31))*D30)),IF((B5+B82+B14-B29)&gt;(B5+B82),(((B5+B82+B14-B31)*D31)+((C30-B30)*D30)+((B5+B82-(B5+B82+B14-B30))*D29)),((B5+B82+B14-B31)*D31)+((C30-B30)*D30)+((C29-B29)*D29)+((B5+B82-(B5+B82+B14-B29))*D28)))),IF((B5+B82+B14)&gt;B32,IF((B5+B82+B14-B32)&gt;(B5+B82),(B5+B82)*D32,IF((B5+B82+B14-B31)&gt;(B5+B82),(((B5+B82+B14-B32)*D32)+((B5+B82-(B5+B82+B14-B32))*D31)),IF((B5+B82+B14-B30)&gt;(B5+B82),(((B5+B82+B14-B32)*D32)+((C31-B31)*D31)+((B5+B82-(B5+B82+B14-B31))*D30)),IF((B5+B82+B14-B29)&gt;(B5+B82),(((B5+B82+B14-B32)*D32)+((C31-B31)*D31)+((C30-B30)*D30)+((B5+B82-(B5+B82+B14-B30))*D29)),((B5+B82+B14-B32)*D32)+((C31-B31)*D31)+((C30-B30)*D30)+((C29-B29)*D29)+((B5+B82-(B5+B82+B14-B29))*D28))))))))))</f>
        <v>294</v>
      </c>
      <c r="C124" t="s">
        <v>16</v>
      </c>
      <c r="G124" s="29"/>
      <c r="H124" s="21"/>
      <c r="I124" s="55"/>
      <c r="J124" s="55"/>
      <c r="K124" s="21"/>
    </row>
    <row r="125" spans="1:13" x14ac:dyDescent="0.3">
      <c r="B125" s="39">
        <f>-IF(B14&gt;=B34,0,IF(B14&lt;B34,IF((B14+B5+B82)&gt;B34,(B34-B14)*D28,((B5+B82)*D28))))</f>
        <v>0</v>
      </c>
      <c r="C125" t="s">
        <v>36</v>
      </c>
      <c r="G125" s="29"/>
      <c r="H125"/>
      <c r="I125" s="21"/>
      <c r="J125" s="55"/>
      <c r="K125" s="54"/>
      <c r="L125" s="13"/>
    </row>
    <row r="126" spans="1:13" x14ac:dyDescent="0.3">
      <c r="B126" s="39">
        <f ca="1">IF(B114=0,0,-MIN(B114,SUM(B124,B125)))</f>
        <v>0</v>
      </c>
      <c r="C126" t="s">
        <v>80</v>
      </c>
      <c r="G126" s="29"/>
      <c r="H126"/>
      <c r="I126" s="12"/>
      <c r="J126" s="55"/>
      <c r="K126" s="21"/>
      <c r="L126" s="13"/>
    </row>
    <row r="127" spans="1:13" x14ac:dyDescent="0.3">
      <c r="B127" s="41">
        <f ca="1">-B53</f>
        <v>0</v>
      </c>
      <c r="C127" t="s">
        <v>90</v>
      </c>
      <c r="D127" s="8"/>
      <c r="E127" s="13"/>
      <c r="F127" s="48"/>
      <c r="I127" s="21"/>
      <c r="J127" s="21"/>
      <c r="K127" s="50"/>
      <c r="L127" s="50"/>
      <c r="M127" s="49"/>
    </row>
    <row r="128" spans="1:13" x14ac:dyDescent="0.3">
      <c r="B128" s="40">
        <f ca="1">B72</f>
        <v>0</v>
      </c>
      <c r="C128" s="28" t="s">
        <v>100</v>
      </c>
      <c r="D128" s="8"/>
      <c r="E128" s="13"/>
      <c r="F128" s="48"/>
      <c r="I128" s="21"/>
      <c r="J128" s="21"/>
      <c r="K128" s="50"/>
      <c r="L128" s="50"/>
      <c r="M128" s="49"/>
    </row>
    <row r="129" spans="1:17" x14ac:dyDescent="0.3">
      <c r="A129" s="10" t="s">
        <v>22</v>
      </c>
      <c r="B129" s="84">
        <f ca="1">SUM(B121:B128)</f>
        <v>632.36</v>
      </c>
      <c r="F129" s="49"/>
      <c r="I129" s="21"/>
      <c r="J129" s="21"/>
      <c r="K129" s="51"/>
      <c r="L129" s="50"/>
      <c r="M129" s="49"/>
    </row>
    <row r="130" spans="1:17" x14ac:dyDescent="0.3">
      <c r="E130" s="18"/>
      <c r="F130" s="51"/>
      <c r="K130" s="49"/>
      <c r="L130" s="49"/>
      <c r="M130" s="49"/>
      <c r="Q130" s="15"/>
    </row>
    <row r="131" spans="1:17" x14ac:dyDescent="0.3">
      <c r="B131" s="13"/>
      <c r="F131" s="49"/>
      <c r="K131" s="49"/>
      <c r="L131" s="49"/>
      <c r="M131" s="49"/>
    </row>
    <row r="132" spans="1:17" x14ac:dyDescent="0.3">
      <c r="A132" s="19" t="s">
        <v>39</v>
      </c>
      <c r="B132" s="13"/>
      <c r="F132" s="49"/>
      <c r="K132" s="49"/>
      <c r="L132" s="49"/>
      <c r="M132" s="49"/>
    </row>
    <row r="133" spans="1:17" x14ac:dyDescent="0.3">
      <c r="A133" t="s">
        <v>124</v>
      </c>
      <c r="B133" s="39">
        <f ca="1">SUM(B119:B122)</f>
        <v>538.36</v>
      </c>
      <c r="F133" s="49"/>
      <c r="K133" s="49"/>
      <c r="L133" s="49"/>
      <c r="M133" s="49"/>
    </row>
    <row r="134" spans="1:17" x14ac:dyDescent="0.3">
      <c r="A134" t="s">
        <v>125</v>
      </c>
      <c r="B134" s="41">
        <f ca="1">SUM(B123:B127)</f>
        <v>94</v>
      </c>
      <c r="F134" s="49"/>
      <c r="K134" s="49"/>
      <c r="L134" s="49"/>
      <c r="M134" s="49"/>
    </row>
    <row r="135" spans="1:17" x14ac:dyDescent="0.3">
      <c r="A135" t="s">
        <v>126</v>
      </c>
      <c r="B135" s="40">
        <f ca="1">B128</f>
        <v>0</v>
      </c>
      <c r="F135" s="49"/>
      <c r="K135" s="49"/>
      <c r="L135" s="49"/>
      <c r="M135" s="49"/>
    </row>
    <row r="136" spans="1:17" x14ac:dyDescent="0.3">
      <c r="B136" s="39">
        <f ca="1">SUM(B133:B135)</f>
        <v>632.36</v>
      </c>
      <c r="F136" s="49"/>
      <c r="K136" s="49"/>
      <c r="L136" s="49"/>
      <c r="M136" s="49"/>
    </row>
    <row r="137" spans="1:17" x14ac:dyDescent="0.3">
      <c r="B137" s="13"/>
      <c r="F137" s="49"/>
      <c r="K137" s="49"/>
      <c r="L137" s="49"/>
      <c r="M137" s="49"/>
    </row>
    <row r="138" spans="1:17" x14ac:dyDescent="0.3">
      <c r="B138" s="13"/>
      <c r="F138" s="49"/>
      <c r="K138" s="49"/>
      <c r="L138" s="49"/>
      <c r="M138" s="49"/>
    </row>
    <row r="139" spans="1:17" x14ac:dyDescent="0.3">
      <c r="B139" s="13"/>
      <c r="F139" s="49"/>
      <c r="K139" s="49"/>
      <c r="L139" s="49"/>
      <c r="M139" s="49"/>
    </row>
    <row r="140" spans="1:17" x14ac:dyDescent="0.3">
      <c r="B140" s="15"/>
      <c r="F140" s="49"/>
      <c r="K140" s="51"/>
      <c r="L140" s="49"/>
      <c r="M140" s="51"/>
      <c r="N140" s="18"/>
    </row>
    <row r="141" spans="1:17" x14ac:dyDescent="0.3">
      <c r="F141" s="49"/>
      <c r="K141" s="49"/>
      <c r="L141" s="49"/>
      <c r="M141" s="49"/>
    </row>
    <row r="142" spans="1:17" x14ac:dyDescent="0.3">
      <c r="F142" s="49"/>
      <c r="K142" s="49"/>
      <c r="L142" s="49"/>
      <c r="M142" s="49"/>
    </row>
    <row r="143" spans="1:17" x14ac:dyDescent="0.3">
      <c r="F143" s="49"/>
      <c r="G143" s="49"/>
      <c r="H143" s="48"/>
      <c r="I143" s="49"/>
      <c r="J143" s="49"/>
      <c r="K143" s="49"/>
      <c r="L143" s="49"/>
      <c r="M143" s="49"/>
    </row>
    <row r="144" spans="1:17" x14ac:dyDescent="0.3">
      <c r="H144" s="12"/>
    </row>
    <row r="146" spans="8:13" x14ac:dyDescent="0.3">
      <c r="H146" s="42"/>
      <c r="M146" s="22"/>
    </row>
  </sheetData>
  <dataValidations disablePrompts="1" count="2">
    <dataValidation type="list" allowBlank="1" showInputMessage="1" showErrorMessage="1" sqref="B10">
      <formula1>$H$1:$H$14</formula1>
    </dataValidation>
    <dataValidation type="list" allowBlank="1" showInputMessage="1" showErrorMessage="1" sqref="B6">
      <formula1>$E$4:$E$5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abSelected="1" zoomScale="85" zoomScaleNormal="85" workbookViewId="0">
      <selection activeCell="G11" sqref="G11"/>
    </sheetView>
  </sheetViews>
  <sheetFormatPr defaultRowHeight="14.4" x14ac:dyDescent="0.3"/>
  <cols>
    <col min="1" max="1" width="33.6640625" customWidth="1"/>
    <col min="2" max="2" width="16" customWidth="1"/>
    <col min="3" max="3" width="14.6640625" customWidth="1"/>
    <col min="4" max="4" width="11.33203125" customWidth="1"/>
    <col min="5" max="5" width="10.5546875" bestFit="1" customWidth="1"/>
    <col min="6" max="7" width="10.5546875" customWidth="1"/>
    <col min="8" max="8" width="16.88671875" style="13" customWidth="1"/>
    <col min="9" max="9" width="14" customWidth="1"/>
    <col min="10" max="10" width="12.88671875" bestFit="1" customWidth="1"/>
    <col min="11" max="11" width="12" bestFit="1" customWidth="1"/>
    <col min="12" max="12" width="10.109375" bestFit="1" customWidth="1"/>
    <col min="13" max="13" width="12.33203125" bestFit="1" customWidth="1"/>
    <col min="17" max="17" width="9.5546875" bestFit="1" customWidth="1"/>
  </cols>
  <sheetData>
    <row r="1" spans="1:19" x14ac:dyDescent="0.3">
      <c r="B1" s="1"/>
      <c r="C1" t="s">
        <v>0</v>
      </c>
      <c r="E1" t="s">
        <v>24</v>
      </c>
      <c r="F1" t="s">
        <v>25</v>
      </c>
    </row>
    <row r="2" spans="1:19" x14ac:dyDescent="0.3">
      <c r="A2" s="2" t="s">
        <v>1</v>
      </c>
      <c r="E2" s="73"/>
      <c r="F2" s="21"/>
      <c r="G2" s="21"/>
      <c r="H2" s="12"/>
      <c r="I2" s="21"/>
      <c r="J2" s="21"/>
      <c r="K2" s="21"/>
      <c r="L2" s="21"/>
      <c r="M2" s="21"/>
      <c r="N2" s="21"/>
      <c r="O2" s="21"/>
      <c r="P2" s="21"/>
    </row>
    <row r="3" spans="1:19" x14ac:dyDescent="0.3">
      <c r="A3" s="3" t="s">
        <v>108</v>
      </c>
      <c r="F3" s="21"/>
      <c r="G3" s="21"/>
      <c r="H3" s="21"/>
      <c r="I3" s="88" t="s">
        <v>109</v>
      </c>
      <c r="J3" s="89"/>
      <c r="K3" s="89"/>
      <c r="L3" s="89"/>
      <c r="M3" s="89"/>
      <c r="N3" s="89"/>
      <c r="O3" s="89"/>
      <c r="P3" s="89"/>
      <c r="Q3" s="35"/>
      <c r="R3" s="35"/>
      <c r="S3" s="35"/>
    </row>
    <row r="4" spans="1:19" ht="14.4" customHeight="1" x14ac:dyDescent="0.3">
      <c r="A4" t="s">
        <v>120</v>
      </c>
      <c r="B4" s="1">
        <v>1000</v>
      </c>
      <c r="F4" s="90"/>
      <c r="G4" s="90"/>
      <c r="H4" s="90"/>
      <c r="I4" s="99" t="s">
        <v>110</v>
      </c>
      <c r="J4" s="99"/>
      <c r="K4" s="99"/>
      <c r="L4" s="99"/>
      <c r="M4" s="99"/>
      <c r="N4" s="99"/>
      <c r="O4" s="99"/>
      <c r="P4" s="99"/>
      <c r="Q4" s="99"/>
      <c r="R4" s="99"/>
      <c r="S4" s="99"/>
    </row>
    <row r="5" spans="1:19" x14ac:dyDescent="0.3">
      <c r="B5" s="4"/>
      <c r="E5" s="90"/>
      <c r="F5" s="90"/>
      <c r="G5" s="90"/>
      <c r="H5" s="90"/>
      <c r="I5" s="99"/>
      <c r="J5" s="99"/>
      <c r="K5" s="99"/>
      <c r="L5" s="99"/>
      <c r="M5" s="99"/>
      <c r="N5" s="99"/>
      <c r="O5" s="99"/>
      <c r="P5" s="99"/>
      <c r="Q5" s="99"/>
      <c r="R5" s="99"/>
      <c r="S5" s="99"/>
    </row>
    <row r="6" spans="1:19" x14ac:dyDescent="0.3">
      <c r="E6" s="90"/>
      <c r="F6" s="90"/>
      <c r="G6" s="90"/>
      <c r="H6" s="90"/>
      <c r="I6" s="99"/>
      <c r="J6" s="99"/>
      <c r="K6" s="99"/>
      <c r="L6" s="99"/>
      <c r="M6" s="99"/>
      <c r="N6" s="99"/>
      <c r="O6" s="99"/>
      <c r="P6" s="99"/>
      <c r="Q6" s="99"/>
      <c r="R6" s="99"/>
      <c r="S6" s="99"/>
    </row>
    <row r="7" spans="1:19" x14ac:dyDescent="0.3">
      <c r="A7" s="2" t="s">
        <v>4</v>
      </c>
      <c r="E7" s="90"/>
      <c r="F7" s="90"/>
      <c r="G7" s="90"/>
      <c r="H7" s="90"/>
      <c r="I7" s="99"/>
      <c r="J7" s="99"/>
      <c r="K7" s="99"/>
      <c r="L7" s="99"/>
      <c r="M7" s="99"/>
      <c r="N7" s="99"/>
      <c r="O7" s="99"/>
      <c r="P7" s="99"/>
      <c r="Q7" s="99"/>
      <c r="R7" s="99"/>
      <c r="S7" s="99"/>
    </row>
    <row r="8" spans="1:19" x14ac:dyDescent="0.3">
      <c r="A8" t="s">
        <v>5</v>
      </c>
      <c r="B8" s="1" t="s">
        <v>89</v>
      </c>
      <c r="E8" s="90"/>
      <c r="F8" s="90"/>
      <c r="G8" s="90"/>
      <c r="H8" s="90"/>
      <c r="I8" s="99"/>
      <c r="J8" s="99"/>
      <c r="K8" s="99"/>
      <c r="L8" s="99"/>
      <c r="M8" s="99"/>
      <c r="N8" s="99"/>
      <c r="O8" s="99"/>
      <c r="P8" s="99"/>
      <c r="Q8" s="99"/>
      <c r="R8" s="99"/>
      <c r="S8" s="99"/>
    </row>
    <row r="9" spans="1:19" x14ac:dyDescent="0.3">
      <c r="E9" s="21"/>
      <c r="F9" s="21"/>
      <c r="G9" s="21"/>
      <c r="H9" s="12"/>
      <c r="I9" s="99"/>
      <c r="J9" s="99"/>
      <c r="K9" s="99"/>
      <c r="L9" s="99"/>
      <c r="M9" s="99"/>
      <c r="N9" s="99"/>
      <c r="O9" s="99"/>
      <c r="P9" s="99"/>
      <c r="Q9" s="99"/>
      <c r="R9" s="99"/>
      <c r="S9" s="99"/>
    </row>
    <row r="10" spans="1:19" x14ac:dyDescent="0.3">
      <c r="E10" s="21"/>
      <c r="F10" s="49"/>
      <c r="G10" s="49"/>
      <c r="H10" s="12"/>
      <c r="I10" s="91"/>
      <c r="J10" s="91"/>
      <c r="K10" s="91"/>
      <c r="L10" s="91"/>
      <c r="M10" s="91"/>
      <c r="N10" s="91"/>
      <c r="O10" s="91"/>
      <c r="P10" s="91"/>
      <c r="Q10" s="91"/>
      <c r="R10" s="91"/>
      <c r="S10" s="91"/>
    </row>
    <row r="11" spans="1:19" x14ac:dyDescent="0.3">
      <c r="E11" s="21"/>
      <c r="F11" s="21"/>
      <c r="G11" s="21"/>
      <c r="H11" s="47"/>
      <c r="I11" s="88" t="s">
        <v>111</v>
      </c>
      <c r="J11" s="91"/>
      <c r="K11" s="91"/>
      <c r="L11" s="91"/>
      <c r="M11" s="91"/>
      <c r="N11" s="91"/>
      <c r="O11" s="91"/>
      <c r="P11" s="91"/>
      <c r="Q11" s="91"/>
      <c r="R11" s="91"/>
      <c r="S11" s="91"/>
    </row>
    <row r="12" spans="1:19" ht="14.4" customHeight="1" x14ac:dyDescent="0.3">
      <c r="A12" t="s">
        <v>6</v>
      </c>
      <c r="B12" s="1">
        <v>72000</v>
      </c>
      <c r="I12" s="99" t="s">
        <v>112</v>
      </c>
      <c r="J12" s="99"/>
      <c r="K12" s="99"/>
      <c r="L12" s="99"/>
      <c r="M12" s="99"/>
      <c r="N12" s="99"/>
      <c r="O12" s="99"/>
      <c r="P12" s="99"/>
      <c r="Q12" s="99"/>
      <c r="R12" s="99"/>
      <c r="S12" s="99"/>
    </row>
    <row r="13" spans="1:19" x14ac:dyDescent="0.3">
      <c r="I13" s="99"/>
      <c r="J13" s="99"/>
      <c r="K13" s="99"/>
      <c r="L13" s="99"/>
      <c r="M13" s="99"/>
      <c r="N13" s="99"/>
      <c r="O13" s="99"/>
      <c r="P13" s="99"/>
      <c r="Q13" s="99"/>
      <c r="R13" s="99"/>
      <c r="S13" s="99"/>
    </row>
    <row r="14" spans="1:19" x14ac:dyDescent="0.3">
      <c r="I14" s="99"/>
      <c r="J14" s="99"/>
      <c r="K14" s="99"/>
      <c r="L14" s="99"/>
      <c r="M14" s="99"/>
      <c r="N14" s="99"/>
      <c r="O14" s="99"/>
      <c r="P14" s="99"/>
      <c r="Q14" s="99"/>
      <c r="R14" s="99"/>
      <c r="S14" s="99"/>
    </row>
    <row r="15" spans="1:19" x14ac:dyDescent="0.3">
      <c r="A15" s="2" t="s">
        <v>7</v>
      </c>
      <c r="I15" s="99"/>
      <c r="J15" s="99"/>
      <c r="K15" s="99"/>
      <c r="L15" s="99"/>
      <c r="M15" s="99"/>
      <c r="N15" s="99"/>
      <c r="O15" s="99"/>
      <c r="P15" s="99"/>
      <c r="Q15" s="99"/>
      <c r="R15" s="99"/>
      <c r="S15" s="99"/>
    </row>
    <row r="16" spans="1:19" x14ac:dyDescent="0.3">
      <c r="A16" s="3" t="s">
        <v>8</v>
      </c>
      <c r="I16" s="99"/>
      <c r="J16" s="99"/>
      <c r="K16" s="99"/>
      <c r="L16" s="99"/>
      <c r="M16" s="99"/>
      <c r="N16" s="99"/>
      <c r="O16" s="99"/>
      <c r="P16" s="99"/>
      <c r="Q16" s="99"/>
      <c r="R16" s="99"/>
      <c r="S16" s="99"/>
    </row>
    <row r="17" spans="1:19" x14ac:dyDescent="0.3">
      <c r="B17" s="100" t="s">
        <v>21</v>
      </c>
      <c r="C17" s="21"/>
      <c r="D17" s="21"/>
      <c r="E17" s="21"/>
      <c r="F17" s="100"/>
      <c r="G17" s="21"/>
      <c r="H17" s="21"/>
      <c r="I17" s="99"/>
      <c r="J17" s="99"/>
      <c r="K17" s="99"/>
      <c r="L17" s="99"/>
      <c r="M17" s="99"/>
      <c r="N17" s="99"/>
      <c r="O17" s="99"/>
      <c r="P17" s="99"/>
      <c r="Q17" s="99"/>
      <c r="R17" s="99"/>
      <c r="S17" s="99"/>
    </row>
    <row r="18" spans="1:19" ht="15.6" x14ac:dyDescent="0.3">
      <c r="A18" t="s">
        <v>9</v>
      </c>
      <c r="B18" s="54">
        <v>0</v>
      </c>
      <c r="C18" s="27">
        <v>45282</v>
      </c>
      <c r="D18" s="101">
        <v>0.15</v>
      </c>
      <c r="E18" s="21"/>
      <c r="F18" s="54"/>
      <c r="G18" s="27"/>
      <c r="H18" s="101"/>
      <c r="I18" s="99"/>
      <c r="J18" s="99"/>
      <c r="K18" s="99"/>
      <c r="L18" s="99"/>
      <c r="M18" s="99"/>
      <c r="N18" s="99"/>
      <c r="O18" s="99"/>
      <c r="P18" s="99"/>
      <c r="Q18" s="99"/>
      <c r="R18" s="99"/>
      <c r="S18" s="99"/>
    </row>
    <row r="19" spans="1:19" ht="15.6" x14ac:dyDescent="0.3">
      <c r="A19" t="s">
        <v>10</v>
      </c>
      <c r="B19" s="27">
        <f>C18</f>
        <v>45282</v>
      </c>
      <c r="C19" s="27">
        <v>90563</v>
      </c>
      <c r="D19" s="69">
        <v>0.20499999999999999</v>
      </c>
      <c r="E19" s="21"/>
      <c r="F19" s="27"/>
      <c r="G19" s="27"/>
      <c r="H19" s="69"/>
      <c r="I19" s="99"/>
      <c r="J19" s="99"/>
      <c r="K19" s="99"/>
      <c r="L19" s="99"/>
      <c r="M19" s="99"/>
      <c r="N19" s="99"/>
      <c r="O19" s="99"/>
      <c r="P19" s="99"/>
      <c r="Q19" s="99"/>
      <c r="R19" s="99"/>
      <c r="S19" s="99"/>
    </row>
    <row r="20" spans="1:19" ht="15.6" x14ac:dyDescent="0.3">
      <c r="A20" t="s">
        <v>10</v>
      </c>
      <c r="B20" s="27">
        <f>C19</f>
        <v>90563</v>
      </c>
      <c r="C20" s="27">
        <v>140388</v>
      </c>
      <c r="D20" s="69">
        <v>0.26</v>
      </c>
      <c r="E20" s="21"/>
      <c r="F20" s="27"/>
      <c r="G20" s="27"/>
      <c r="H20" s="69"/>
      <c r="I20" s="99"/>
      <c r="J20" s="99"/>
      <c r="K20" s="99"/>
      <c r="L20" s="99"/>
      <c r="M20" s="99"/>
      <c r="N20" s="99"/>
      <c r="O20" s="99"/>
      <c r="P20" s="99"/>
      <c r="Q20" s="99"/>
      <c r="R20" s="99"/>
      <c r="S20" s="99"/>
    </row>
    <row r="21" spans="1:19" ht="15.6" x14ac:dyDescent="0.3">
      <c r="A21" t="s">
        <v>10</v>
      </c>
      <c r="B21" s="27">
        <f>C20</f>
        <v>140388</v>
      </c>
      <c r="C21" s="27">
        <v>200000</v>
      </c>
      <c r="D21" s="69">
        <v>0.28999999999999998</v>
      </c>
      <c r="E21" s="21"/>
      <c r="F21" s="27"/>
      <c r="G21" s="27"/>
      <c r="H21" s="69"/>
      <c r="I21" s="99"/>
      <c r="J21" s="99"/>
      <c r="K21" s="99"/>
      <c r="L21" s="99"/>
      <c r="M21" s="99"/>
      <c r="N21" s="99"/>
      <c r="O21" s="99"/>
      <c r="P21" s="99"/>
      <c r="Q21" s="99"/>
      <c r="R21" s="99"/>
      <c r="S21" s="99"/>
    </row>
    <row r="22" spans="1:19" ht="15.6" x14ac:dyDescent="0.3">
      <c r="B22" s="27">
        <f>C21</f>
        <v>200000</v>
      </c>
      <c r="C22" s="21"/>
      <c r="D22" s="69">
        <v>0.33</v>
      </c>
      <c r="E22" s="21"/>
      <c r="F22" s="27"/>
      <c r="G22" s="21"/>
      <c r="H22" s="69"/>
      <c r="I22" s="99"/>
      <c r="J22" s="99"/>
      <c r="K22" s="99"/>
      <c r="L22" s="99"/>
      <c r="M22" s="99"/>
      <c r="N22" s="99"/>
      <c r="O22" s="99"/>
      <c r="P22" s="99"/>
      <c r="Q22" s="99"/>
      <c r="R22" s="99"/>
      <c r="S22" s="99"/>
    </row>
    <row r="23" spans="1:19" x14ac:dyDescent="0.3">
      <c r="B23" s="21"/>
      <c r="C23" s="100"/>
      <c r="D23" s="21"/>
      <c r="E23" s="21"/>
      <c r="F23" s="21"/>
      <c r="G23" s="21"/>
      <c r="H23" s="12"/>
      <c r="I23" s="99"/>
      <c r="J23" s="99"/>
      <c r="K23" s="99"/>
      <c r="L23" s="99"/>
      <c r="M23" s="99"/>
      <c r="N23" s="99"/>
      <c r="O23" s="99"/>
      <c r="P23" s="99"/>
      <c r="Q23" s="99"/>
      <c r="R23" s="99"/>
      <c r="S23" s="99"/>
    </row>
    <row r="24" spans="1:19" ht="15.6" x14ac:dyDescent="0.3">
      <c r="A24" t="s">
        <v>38</v>
      </c>
      <c r="B24" s="27">
        <v>11474</v>
      </c>
      <c r="C24" s="27"/>
      <c r="D24" s="21"/>
      <c r="E24" s="21"/>
      <c r="F24" s="21"/>
      <c r="G24" s="54"/>
      <c r="H24" s="12"/>
    </row>
    <row r="25" spans="1:19" x14ac:dyDescent="0.3">
      <c r="B25" s="21"/>
      <c r="C25" s="21"/>
      <c r="D25" s="21"/>
      <c r="E25" s="21"/>
      <c r="F25" s="21"/>
      <c r="G25" s="21"/>
      <c r="H25" s="12"/>
      <c r="J25" s="9"/>
    </row>
    <row r="26" spans="1:19" x14ac:dyDescent="0.3">
      <c r="A26" s="3" t="s">
        <v>11</v>
      </c>
      <c r="B26" s="21"/>
      <c r="C26" s="21"/>
      <c r="D26" s="21"/>
      <c r="E26" s="21"/>
      <c r="F26" s="21"/>
      <c r="G26" s="21"/>
      <c r="H26" s="12"/>
    </row>
    <row r="27" spans="1:19" x14ac:dyDescent="0.3">
      <c r="A27" s="10" t="s">
        <v>89</v>
      </c>
      <c r="B27" s="100" t="s">
        <v>21</v>
      </c>
      <c r="C27" s="21"/>
      <c r="D27" s="21"/>
      <c r="E27" s="21"/>
      <c r="F27" s="100"/>
      <c r="G27" s="21"/>
      <c r="H27" s="21"/>
      <c r="I27" s="25"/>
      <c r="J27" s="10"/>
      <c r="K27" s="25"/>
    </row>
    <row r="28" spans="1:19" ht="15.6" x14ac:dyDescent="0.3">
      <c r="A28" t="s">
        <v>9</v>
      </c>
      <c r="B28" s="21">
        <v>0</v>
      </c>
      <c r="C28" s="27">
        <v>38210</v>
      </c>
      <c r="D28" s="69">
        <v>5.0599999999999999E-2</v>
      </c>
      <c r="E28" s="21"/>
      <c r="F28" s="21"/>
      <c r="G28" s="27"/>
      <c r="H28" s="69"/>
      <c r="I28" s="5"/>
      <c r="J28" s="7"/>
    </row>
    <row r="29" spans="1:19" ht="15.6" x14ac:dyDescent="0.3">
      <c r="A29" t="s">
        <v>10</v>
      </c>
      <c r="B29" s="27">
        <f>C28</f>
        <v>38210</v>
      </c>
      <c r="C29" s="27">
        <v>76421</v>
      </c>
      <c r="D29" s="69">
        <v>7.6999999999999999E-2</v>
      </c>
      <c r="E29" s="21"/>
      <c r="F29" s="27"/>
      <c r="G29" s="27"/>
      <c r="H29" s="69"/>
      <c r="I29" s="5"/>
      <c r="J29" s="24"/>
      <c r="K29" s="18"/>
      <c r="L29" s="15"/>
    </row>
    <row r="30" spans="1:19" ht="15.6" x14ac:dyDescent="0.3">
      <c r="A30" t="s">
        <v>10</v>
      </c>
      <c r="B30" s="27">
        <f>C29</f>
        <v>76421</v>
      </c>
      <c r="C30" s="27">
        <v>87741</v>
      </c>
      <c r="D30" s="69">
        <v>0.105</v>
      </c>
      <c r="E30" s="21"/>
      <c r="F30" s="27"/>
      <c r="G30" s="27"/>
      <c r="H30" s="69"/>
      <c r="I30" s="4"/>
      <c r="J30" s="24"/>
      <c r="K30" s="4"/>
      <c r="L30" s="13"/>
      <c r="N30" s="18"/>
    </row>
    <row r="31" spans="1:19" ht="15.6" x14ac:dyDescent="0.3">
      <c r="A31" t="s">
        <v>10</v>
      </c>
      <c r="B31" s="27">
        <f>C30</f>
        <v>87741</v>
      </c>
      <c r="C31" s="27">
        <v>106543</v>
      </c>
      <c r="D31" s="69">
        <v>0.1229</v>
      </c>
      <c r="E31" s="21"/>
      <c r="F31" s="27"/>
      <c r="G31" s="27"/>
      <c r="H31" s="69"/>
      <c r="I31" s="4"/>
      <c r="J31" s="24"/>
      <c r="K31" s="4"/>
      <c r="L31" s="13"/>
      <c r="N31" s="4"/>
    </row>
    <row r="32" spans="1:19" ht="15.6" x14ac:dyDescent="0.3">
      <c r="B32" s="27">
        <f>C31</f>
        <v>106543</v>
      </c>
      <c r="C32" s="21"/>
      <c r="D32" s="69">
        <v>0.14699999999999999</v>
      </c>
      <c r="E32" s="21"/>
      <c r="F32" s="27"/>
      <c r="G32" s="21"/>
      <c r="H32" s="69"/>
      <c r="I32" s="4"/>
      <c r="J32" s="24"/>
      <c r="K32" s="4"/>
      <c r="L32" s="13"/>
    </row>
    <row r="33" spans="1:12" x14ac:dyDescent="0.3">
      <c r="B33" s="21"/>
      <c r="C33" s="100"/>
      <c r="D33" s="21"/>
      <c r="E33" s="21"/>
      <c r="F33" s="21"/>
      <c r="G33" s="21"/>
      <c r="H33" s="47"/>
      <c r="I33" s="4"/>
      <c r="J33" s="26"/>
      <c r="K33" s="16"/>
      <c r="L33" s="26"/>
    </row>
    <row r="34" spans="1:12" ht="15.6" x14ac:dyDescent="0.3">
      <c r="A34" t="s">
        <v>36</v>
      </c>
      <c r="B34" s="27">
        <v>10027</v>
      </c>
      <c r="C34" s="27"/>
      <c r="D34" s="21"/>
      <c r="E34" s="21"/>
      <c r="F34" s="21"/>
      <c r="G34" s="21"/>
      <c r="H34" s="47"/>
      <c r="I34" s="4"/>
      <c r="J34" s="26"/>
      <c r="K34" s="16"/>
      <c r="L34" s="26"/>
    </row>
    <row r="35" spans="1:12" x14ac:dyDescent="0.3">
      <c r="B35" s="4"/>
      <c r="C35" s="4"/>
      <c r="D35" t="s">
        <v>37</v>
      </c>
      <c r="E35" s="13"/>
      <c r="F35" s="46"/>
      <c r="H35" s="16"/>
    </row>
    <row r="36" spans="1:12" x14ac:dyDescent="0.3">
      <c r="A36" s="3" t="s">
        <v>91</v>
      </c>
      <c r="B36" s="4"/>
      <c r="C36" s="4"/>
      <c r="F36" s="13"/>
      <c r="G36" s="46"/>
      <c r="H36"/>
      <c r="I36" s="16"/>
      <c r="J36" s="10" t="s">
        <v>94</v>
      </c>
    </row>
    <row r="37" spans="1:12" x14ac:dyDescent="0.3">
      <c r="A37" s="3"/>
      <c r="B37" s="4" t="s">
        <v>94</v>
      </c>
      <c r="C37" s="4" t="s">
        <v>113</v>
      </c>
      <c r="F37" s="3" t="s">
        <v>98</v>
      </c>
      <c r="G37" s="46"/>
      <c r="H37"/>
      <c r="I37" s="70" t="s">
        <v>65</v>
      </c>
      <c r="J37" s="64" t="s">
        <v>64</v>
      </c>
      <c r="K37" s="64" t="s">
        <v>66</v>
      </c>
    </row>
    <row r="38" spans="1:12" ht="15.6" x14ac:dyDescent="0.3">
      <c r="A38" s="3"/>
      <c r="B38" t="s">
        <v>27</v>
      </c>
      <c r="C38" t="s">
        <v>28</v>
      </c>
      <c r="F38">
        <v>0</v>
      </c>
      <c r="G38" s="5">
        <f t="shared" ref="G38:H41" si="0">C28</f>
        <v>38210</v>
      </c>
      <c r="H38" s="7">
        <f t="shared" si="0"/>
        <v>5.0599999999999999E-2</v>
      </c>
      <c r="I38" s="13">
        <v>0</v>
      </c>
      <c r="J38" s="13">
        <f>IF(AND($B$12&gt;=F38,$B$12&lt;G38),($B$12-F38)*H38,0)</f>
        <v>0</v>
      </c>
      <c r="K38" s="18">
        <f>(IF(J38=0,0,I38+J38))</f>
        <v>0</v>
      </c>
    </row>
    <row r="39" spans="1:12" ht="15.6" x14ac:dyDescent="0.3">
      <c r="A39" s="3"/>
      <c r="B39" s="4">
        <f>$B$12</f>
        <v>72000</v>
      </c>
      <c r="C39" s="4">
        <f>$B$12+$B$4-$B$81</f>
        <v>72971.350000000006</v>
      </c>
      <c r="F39" s="5">
        <f>G38</f>
        <v>38210</v>
      </c>
      <c r="G39" s="5">
        <f t="shared" si="0"/>
        <v>76421</v>
      </c>
      <c r="H39" s="7">
        <f t="shared" si="0"/>
        <v>7.6999999999999999E-2</v>
      </c>
      <c r="I39" s="12">
        <f>(G38-F38)*H38</f>
        <v>1933.4259999999999</v>
      </c>
      <c r="J39" s="13">
        <f t="shared" ref="J39:J41" si="1">IF(AND($B$12&gt;=F39,$B$12&lt;G39),($B$12-F39)*H39,0)</f>
        <v>2601.83</v>
      </c>
      <c r="K39" s="18">
        <f>(IF(J39=0,0,I39+J39))</f>
        <v>4535.2559999999994</v>
      </c>
    </row>
    <row r="40" spans="1:12" ht="15.6" x14ac:dyDescent="0.3">
      <c r="A40" s="28" t="s">
        <v>92</v>
      </c>
      <c r="B40" s="40">
        <v>-19000</v>
      </c>
      <c r="C40" s="40">
        <v>-19000</v>
      </c>
      <c r="F40" s="27">
        <f>G39</f>
        <v>76421</v>
      </c>
      <c r="G40" s="5">
        <f t="shared" si="0"/>
        <v>87741</v>
      </c>
      <c r="H40" s="7">
        <f t="shared" si="0"/>
        <v>0.105</v>
      </c>
      <c r="I40" s="12">
        <f>((G39-F39)*H39)+I39</f>
        <v>4875.6729999999998</v>
      </c>
      <c r="J40" s="13">
        <f t="shared" si="1"/>
        <v>0</v>
      </c>
      <c r="K40" s="18">
        <f>(IF(J40=0,0,I40+J40))</f>
        <v>0</v>
      </c>
    </row>
    <row r="41" spans="1:12" ht="15.6" x14ac:dyDescent="0.3">
      <c r="A41" s="3"/>
      <c r="B41" s="4">
        <f>IF((B39+B40)&lt;=0,0,SUM(B39:B40))</f>
        <v>53000</v>
      </c>
      <c r="C41" s="4">
        <f>IF((C39+C40)&lt;=0,0,SUM(C39:C40))</f>
        <v>53971.350000000006</v>
      </c>
      <c r="F41" s="5">
        <f>G40</f>
        <v>87741</v>
      </c>
      <c r="G41" s="5">
        <f t="shared" si="0"/>
        <v>106543</v>
      </c>
      <c r="H41" s="7">
        <f t="shared" si="0"/>
        <v>0.1229</v>
      </c>
      <c r="I41" s="12">
        <f t="shared" ref="I41:I42" si="2">((G40-F40)*H40)+I40</f>
        <v>6064.2729999999992</v>
      </c>
      <c r="J41" s="13">
        <f t="shared" si="1"/>
        <v>0</v>
      </c>
      <c r="K41" s="18">
        <f>(IF(J41=0,0,I41+J41))</f>
        <v>0</v>
      </c>
    </row>
    <row r="42" spans="1:12" ht="15.6" x14ac:dyDescent="0.3">
      <c r="A42" s="3"/>
      <c r="B42" s="71">
        <v>3.5000000000000003E-2</v>
      </c>
      <c r="C42" s="71">
        <v>3.5000000000000003E-2</v>
      </c>
      <c r="F42" s="5">
        <f>G41</f>
        <v>106543</v>
      </c>
      <c r="H42" s="7">
        <f>D32</f>
        <v>0.14699999999999999</v>
      </c>
      <c r="I42" s="12">
        <f t="shared" si="2"/>
        <v>8375.0387999999984</v>
      </c>
      <c r="J42" s="13">
        <f>IF($B$12&gt;=F42,($B$12-F42)*H42,0)</f>
        <v>0</v>
      </c>
      <c r="K42" s="36">
        <f>(IF(J42=0,0,I42+J42))</f>
        <v>0</v>
      </c>
    </row>
    <row r="43" spans="1:12" x14ac:dyDescent="0.3">
      <c r="A43" s="3"/>
      <c r="B43" s="4">
        <f>B41*B42</f>
        <v>1855.0000000000002</v>
      </c>
      <c r="C43" s="4">
        <f>C41*C42</f>
        <v>1888.9972500000003</v>
      </c>
      <c r="F43" s="13"/>
      <c r="G43" s="46"/>
      <c r="H43"/>
      <c r="I43" s="13"/>
      <c r="J43" s="13"/>
      <c r="K43" s="13">
        <f>SUM(K38:K42)</f>
        <v>4535.2559999999994</v>
      </c>
    </row>
    <row r="44" spans="1:12" x14ac:dyDescent="0.3">
      <c r="A44" s="3"/>
      <c r="B44" s="4"/>
      <c r="C44" s="4"/>
      <c r="F44" s="13"/>
      <c r="G44" s="46"/>
      <c r="H44" s="66" t="s">
        <v>35</v>
      </c>
      <c r="I44" s="13">
        <f>B34</f>
        <v>10027</v>
      </c>
      <c r="J44" s="16">
        <f>D28</f>
        <v>5.0599999999999999E-2</v>
      </c>
      <c r="K44" s="44">
        <f>IF($B$12&lt;I44,$B$12*J44,I44*J44)</f>
        <v>507.36619999999999</v>
      </c>
    </row>
    <row r="45" spans="1:12" x14ac:dyDescent="0.3">
      <c r="A45" s="28" t="s">
        <v>17</v>
      </c>
      <c r="B45" s="4">
        <v>432</v>
      </c>
      <c r="C45" s="4">
        <v>432</v>
      </c>
      <c r="F45" s="13"/>
      <c r="G45" s="46"/>
      <c r="H45" s="4"/>
      <c r="I45" s="4"/>
      <c r="J45" s="16"/>
      <c r="K45" s="13">
        <f>IF((K43-K44)&lt;=0,0,K43-K44)</f>
        <v>4027.8897999999995</v>
      </c>
    </row>
    <row r="46" spans="1:12" x14ac:dyDescent="0.3">
      <c r="A46" s="3"/>
      <c r="B46" s="72">
        <f>B43</f>
        <v>1855.0000000000002</v>
      </c>
      <c r="C46" s="72">
        <f>C43</f>
        <v>1888.9972500000003</v>
      </c>
      <c r="F46" s="13"/>
      <c r="G46" s="46"/>
      <c r="H46"/>
      <c r="I46" s="13"/>
      <c r="J46" s="13"/>
      <c r="K46" s="13"/>
    </row>
    <row r="47" spans="1:12" x14ac:dyDescent="0.3">
      <c r="A47" s="28" t="s">
        <v>99</v>
      </c>
      <c r="B47" s="4">
        <f>IF((B45-B46)&lt;=0,0,B45-B46)</f>
        <v>0</v>
      </c>
      <c r="C47" s="4">
        <f>IF((C45-C46)&lt;=0,0,C45-C46)</f>
        <v>0</v>
      </c>
      <c r="D47" s="4"/>
      <c r="F47" s="13"/>
      <c r="G47" s="46"/>
      <c r="H47"/>
      <c r="I47" s="13"/>
      <c r="J47" s="13"/>
      <c r="K47" s="13"/>
    </row>
    <row r="48" spans="1:12" x14ac:dyDescent="0.3">
      <c r="A48" s="3"/>
      <c r="B48" s="4"/>
      <c r="C48" s="4"/>
      <c r="F48" s="13"/>
      <c r="G48" s="46"/>
      <c r="H48"/>
      <c r="I48" s="16"/>
      <c r="J48" s="10" t="s">
        <v>113</v>
      </c>
    </row>
    <row r="49" spans="1:11" x14ac:dyDescent="0.3">
      <c r="A49" t="s">
        <v>96</v>
      </c>
      <c r="B49" s="4">
        <f>K45</f>
        <v>4027.8897999999995</v>
      </c>
      <c r="C49" s="4">
        <f>K57</f>
        <v>4102.6837500000001</v>
      </c>
      <c r="F49" s="3" t="s">
        <v>98</v>
      </c>
      <c r="G49" s="46"/>
      <c r="H49"/>
      <c r="I49" s="70" t="s">
        <v>65</v>
      </c>
      <c r="J49" s="64" t="s">
        <v>64</v>
      </c>
      <c r="K49" s="64" t="s">
        <v>66</v>
      </c>
    </row>
    <row r="50" spans="1:11" ht="15.6" x14ac:dyDescent="0.3">
      <c r="B50" s="4"/>
      <c r="C50" s="4"/>
      <c r="F50">
        <v>0</v>
      </c>
      <c r="G50" s="5">
        <f t="shared" ref="G50:H53" si="3">C28</f>
        <v>38210</v>
      </c>
      <c r="H50" s="7">
        <f t="shared" si="3"/>
        <v>5.0599999999999999E-2</v>
      </c>
      <c r="I50" s="13">
        <v>0</v>
      </c>
      <c r="J50" s="13">
        <f>IF(AND(($B$12+$B$4-$B$81)&gt;=F50,($B$12+$B$4-$B$81)&lt;G50),($B$12+$B$4-$B$81-F50)*H50,0)</f>
        <v>0</v>
      </c>
      <c r="K50" s="18">
        <f t="shared" ref="K50:K54" si="4">(IF(J50=0,0,I50+J50))</f>
        <v>0</v>
      </c>
    </row>
    <row r="51" spans="1:11" ht="15.6" x14ac:dyDescent="0.3">
      <c r="A51" s="28" t="s">
        <v>97</v>
      </c>
      <c r="B51" s="4">
        <f>MIN(B47,B49)</f>
        <v>0</v>
      </c>
      <c r="C51" s="4">
        <f>MIN(C47,C49)</f>
        <v>0</v>
      </c>
      <c r="D51" s="26"/>
      <c r="F51" s="5">
        <f>G50</f>
        <v>38210</v>
      </c>
      <c r="G51" s="5">
        <f t="shared" si="3"/>
        <v>76421</v>
      </c>
      <c r="H51" s="7">
        <f t="shared" si="3"/>
        <v>7.6999999999999999E-2</v>
      </c>
      <c r="I51" s="12">
        <f>(G50-F50)*H50</f>
        <v>1933.4259999999999</v>
      </c>
      <c r="J51" s="13">
        <f>IF(AND(($B$12+$B$4-$B$81)&gt;=F51,($B$12+$B$4-$B$81)&lt;G51),($B$12+$B$4-$B$81-F51)*H51,0)</f>
        <v>2676.6239500000006</v>
      </c>
      <c r="K51" s="18">
        <f t="shared" si="4"/>
        <v>4610.0499500000005</v>
      </c>
    </row>
    <row r="52" spans="1:11" ht="15.6" x14ac:dyDescent="0.3">
      <c r="A52" s="3"/>
      <c r="B52" s="4"/>
      <c r="C52" s="4"/>
      <c r="F52" s="27">
        <f>G51</f>
        <v>76421</v>
      </c>
      <c r="G52" s="5">
        <f t="shared" si="3"/>
        <v>87741</v>
      </c>
      <c r="H52" s="7">
        <f t="shared" si="3"/>
        <v>0.105</v>
      </c>
      <c r="I52" s="12">
        <f>((G51-F51)*H51)+I51</f>
        <v>4875.6729999999998</v>
      </c>
      <c r="J52" s="13">
        <f>IF(AND(($B$12+$B$4-$B$81)&gt;=F52,($B$12+$B$4-$B$81)&lt;G52),($B$12+$B$4-$B$81-F52)*H52,0)</f>
        <v>0</v>
      </c>
      <c r="K52" s="18">
        <f t="shared" si="4"/>
        <v>0</v>
      </c>
    </row>
    <row r="53" spans="1:11" ht="15.6" x14ac:dyDescent="0.3">
      <c r="A53" s="28" t="s">
        <v>91</v>
      </c>
      <c r="B53" s="37">
        <f>C51-B51</f>
        <v>0</v>
      </c>
      <c r="C53" s="4"/>
      <c r="F53" s="5">
        <f>G52</f>
        <v>87741</v>
      </c>
      <c r="G53" s="5">
        <f t="shared" si="3"/>
        <v>106543</v>
      </c>
      <c r="H53" s="7">
        <f t="shared" si="3"/>
        <v>0.1229</v>
      </c>
      <c r="I53" s="12">
        <f t="shared" ref="I53:I54" si="5">((G52-F52)*H52)+I52</f>
        <v>6064.2729999999992</v>
      </c>
      <c r="J53" s="13">
        <f>IF(AND(($B$12+$B$4-$B$81)&gt;=F53,($B$12+$B$4-$B$81)&lt;G53),($B$12+$B$4-$B$81-F53)*H53,0)</f>
        <v>0</v>
      </c>
      <c r="K53" s="18">
        <f t="shared" si="4"/>
        <v>0</v>
      </c>
    </row>
    <row r="54" spans="1:11" ht="15.6" x14ac:dyDescent="0.3">
      <c r="A54" s="3"/>
      <c r="B54" s="4"/>
      <c r="C54" s="4"/>
      <c r="F54" s="5">
        <f>G53</f>
        <v>106543</v>
      </c>
      <c r="H54" s="7">
        <f>D32</f>
        <v>0.14699999999999999</v>
      </c>
      <c r="I54" s="12">
        <f t="shared" si="5"/>
        <v>8375.0387999999984</v>
      </c>
      <c r="J54" s="13">
        <f>IF(($B$12+$B$4-$B$81)&gt;=F54,($B$12+$B$4-$B$81-F54)*H54,0)</f>
        <v>0</v>
      </c>
      <c r="K54" s="36">
        <f t="shared" si="4"/>
        <v>0</v>
      </c>
    </row>
    <row r="55" spans="1:11" x14ac:dyDescent="0.3">
      <c r="A55" s="3"/>
      <c r="B55" s="4"/>
      <c r="C55" s="4"/>
      <c r="F55" s="13"/>
      <c r="G55" s="46"/>
      <c r="H55"/>
      <c r="I55" s="16"/>
      <c r="K55" s="18">
        <f>SUM(K50:K54)</f>
        <v>4610.0499500000005</v>
      </c>
    </row>
    <row r="56" spans="1:11" x14ac:dyDescent="0.3">
      <c r="A56" s="3"/>
      <c r="B56" s="4"/>
      <c r="C56" s="4"/>
      <c r="F56" s="13"/>
      <c r="G56" s="46"/>
      <c r="H56" s="66" t="s">
        <v>35</v>
      </c>
      <c r="I56" s="13">
        <f>B34</f>
        <v>10027</v>
      </c>
      <c r="J56" s="16">
        <f>D28</f>
        <v>5.0599999999999999E-2</v>
      </c>
      <c r="K56" s="44">
        <f>IF(($B$12+$B$4)&lt;I56,($B$12+$B$4)*J56,I56*J56)</f>
        <v>507.36619999999999</v>
      </c>
    </row>
    <row r="57" spans="1:11" x14ac:dyDescent="0.3">
      <c r="A57" s="3"/>
      <c r="B57" s="4"/>
      <c r="C57" s="4"/>
      <c r="F57" s="13"/>
      <c r="G57" s="46"/>
      <c r="H57"/>
      <c r="I57" s="16"/>
      <c r="K57" s="13">
        <f>IF((K55-K56)&lt;=0,0,K55-K56)</f>
        <v>4102.6837500000001</v>
      </c>
    </row>
    <row r="58" spans="1:11" x14ac:dyDescent="0.3">
      <c r="A58" s="3"/>
      <c r="B58" s="4"/>
      <c r="C58" s="4"/>
    </row>
    <row r="59" spans="1:11" x14ac:dyDescent="0.3">
      <c r="A59" s="3" t="s">
        <v>100</v>
      </c>
      <c r="B59" s="4"/>
      <c r="C59" s="4"/>
    </row>
    <row r="60" spans="1:11" x14ac:dyDescent="0.3">
      <c r="A60" s="3"/>
      <c r="B60" s="4" t="s">
        <v>94</v>
      </c>
      <c r="C60" s="4" t="s">
        <v>113</v>
      </c>
    </row>
    <row r="61" spans="1:11" x14ac:dyDescent="0.3">
      <c r="A61" s="3"/>
      <c r="B61" t="s">
        <v>27</v>
      </c>
      <c r="C61" t="s">
        <v>28</v>
      </c>
    </row>
    <row r="62" spans="1:11" x14ac:dyDescent="0.3">
      <c r="A62" s="3"/>
      <c r="B62" s="4">
        <f>$B$12</f>
        <v>72000</v>
      </c>
      <c r="C62" s="4">
        <f>$B$12+$B$4-$B$81</f>
        <v>72971.350000000006</v>
      </c>
    </row>
    <row r="63" spans="1:11" x14ac:dyDescent="0.3">
      <c r="A63" s="28" t="s">
        <v>92</v>
      </c>
      <c r="B63" s="40">
        <v>-15000</v>
      </c>
      <c r="C63" s="40">
        <v>-15000</v>
      </c>
    </row>
    <row r="64" spans="1:11" x14ac:dyDescent="0.3">
      <c r="A64" s="3"/>
      <c r="B64" s="4">
        <f>IF((B62+B63)&lt;=0,0,SUM(B62:B63))</f>
        <v>57000</v>
      </c>
      <c r="C64" s="4">
        <f>IF((C62+C63)&lt;=0,0,SUM(C62:C63))</f>
        <v>57971.350000000006</v>
      </c>
    </row>
    <row r="65" spans="1:3" x14ac:dyDescent="0.3">
      <c r="A65" s="3"/>
      <c r="B65" s="71">
        <v>0.02</v>
      </c>
      <c r="C65" s="71">
        <v>0.02</v>
      </c>
    </row>
    <row r="66" spans="1:3" x14ac:dyDescent="0.3">
      <c r="A66" s="3"/>
      <c r="B66" s="4">
        <f>B64*B65</f>
        <v>1140</v>
      </c>
      <c r="C66" s="4">
        <f>C64*C65</f>
        <v>1159.4270000000001</v>
      </c>
    </row>
    <row r="67" spans="1:3" x14ac:dyDescent="0.3">
      <c r="A67" s="3"/>
      <c r="B67" s="4"/>
      <c r="C67" s="4"/>
    </row>
    <row r="68" spans="1:3" x14ac:dyDescent="0.3">
      <c r="A68" s="28" t="s">
        <v>17</v>
      </c>
      <c r="B68" s="4">
        <v>75</v>
      </c>
      <c r="C68" s="4">
        <v>75</v>
      </c>
    </row>
    <row r="69" spans="1:3" x14ac:dyDescent="0.3">
      <c r="A69" s="3"/>
      <c r="B69" s="72">
        <f>B66</f>
        <v>1140</v>
      </c>
      <c r="C69" s="72">
        <f>C66</f>
        <v>1159.4270000000001</v>
      </c>
    </row>
    <row r="70" spans="1:3" x14ac:dyDescent="0.3">
      <c r="A70" s="28" t="s">
        <v>99</v>
      </c>
      <c r="B70" s="4">
        <f>IF((B68-B69)&lt;=0,0,B68-B69)</f>
        <v>0</v>
      </c>
      <c r="C70" s="4">
        <f>IF((C68-C69)&lt;=0,0,C68-C69)</f>
        <v>0</v>
      </c>
    </row>
    <row r="71" spans="1:3" x14ac:dyDescent="0.3">
      <c r="A71" s="3"/>
      <c r="B71" s="4"/>
      <c r="C71" s="4"/>
    </row>
    <row r="72" spans="1:3" x14ac:dyDescent="0.3">
      <c r="A72" s="28" t="s">
        <v>100</v>
      </c>
      <c r="B72" s="37">
        <f>B70-C70</f>
        <v>0</v>
      </c>
      <c r="C72" s="4"/>
    </row>
    <row r="73" spans="1:3" x14ac:dyDescent="0.3">
      <c r="A73" s="3"/>
      <c r="B73" s="4"/>
      <c r="C73" s="4"/>
    </row>
    <row r="74" spans="1:3" x14ac:dyDescent="0.3">
      <c r="A74" s="3" t="s">
        <v>114</v>
      </c>
      <c r="B74" s="4"/>
      <c r="C74" s="4"/>
    </row>
    <row r="75" spans="1:3" x14ac:dyDescent="0.3">
      <c r="A75" s="3"/>
      <c r="B75" s="4"/>
      <c r="C75" s="4"/>
    </row>
    <row r="76" spans="1:3" x14ac:dyDescent="0.3">
      <c r="A76" s="28" t="s">
        <v>115</v>
      </c>
      <c r="B76" s="4">
        <v>72809</v>
      </c>
      <c r="C76" s="4"/>
    </row>
    <row r="77" spans="1:3" x14ac:dyDescent="0.3">
      <c r="A77" s="28" t="s">
        <v>116</v>
      </c>
      <c r="B77" s="92">
        <v>0.15</v>
      </c>
      <c r="C77" s="4"/>
    </row>
    <row r="78" spans="1:3" x14ac:dyDescent="0.3">
      <c r="A78" s="3"/>
      <c r="B78" s="4"/>
      <c r="C78" s="4"/>
    </row>
    <row r="79" spans="1:3" ht="28.8" x14ac:dyDescent="0.3">
      <c r="A79" s="93" t="s">
        <v>117</v>
      </c>
      <c r="B79" s="4">
        <f>IF(B12&gt;B76,B4*B77,0)</f>
        <v>0</v>
      </c>
      <c r="C79" s="4"/>
    </row>
    <row r="80" spans="1:3" ht="28.8" x14ac:dyDescent="0.3">
      <c r="A80" s="93" t="s">
        <v>118</v>
      </c>
      <c r="B80" s="72">
        <f>IF(AND(B12&lt;=B76,(B4+B12)&gt;=B76),(B4+B12-B76)*B77,0)</f>
        <v>28.65</v>
      </c>
      <c r="C80" s="4"/>
    </row>
    <row r="81" spans="1:17" x14ac:dyDescent="0.3">
      <c r="A81" s="28" t="s">
        <v>119</v>
      </c>
      <c r="B81" s="4">
        <f>SUM(B79:B80)</f>
        <v>28.65</v>
      </c>
      <c r="C81" s="4"/>
    </row>
    <row r="82" spans="1:17" x14ac:dyDescent="0.3">
      <c r="A82" s="3"/>
      <c r="B82" s="4"/>
      <c r="C82" s="4"/>
    </row>
    <row r="83" spans="1:17" x14ac:dyDescent="0.3">
      <c r="A83" s="3"/>
      <c r="B83" s="4"/>
      <c r="C83" s="4"/>
    </row>
    <row r="84" spans="1:17" x14ac:dyDescent="0.3">
      <c r="A84" s="2" t="s">
        <v>12</v>
      </c>
      <c r="E84" s="38"/>
      <c r="F84" s="21"/>
      <c r="G84" s="4"/>
      <c r="H84" s="4"/>
      <c r="I84" s="16"/>
    </row>
    <row r="85" spans="1:17" x14ac:dyDescent="0.3">
      <c r="B85" s="11"/>
      <c r="C85" t="s">
        <v>13</v>
      </c>
      <c r="H85" s="38"/>
      <c r="J85" s="4"/>
      <c r="K85" s="4"/>
      <c r="L85" s="16"/>
    </row>
    <row r="86" spans="1:17" x14ac:dyDescent="0.3">
      <c r="H86" s="38"/>
      <c r="I86" s="18"/>
      <c r="J86" s="4"/>
      <c r="K86" s="4"/>
      <c r="L86" s="16"/>
    </row>
    <row r="87" spans="1:17" x14ac:dyDescent="0.3">
      <c r="A87" t="s">
        <v>20</v>
      </c>
      <c r="B87" s="17">
        <f>IF(AND((B4-B81+B12)&gt;=B18,(B4-B81+B12)&lt;=C18),(B4-B81)*D18,IF(AND((B4-B81+B12)&gt;B19,(B4-B81+B12)&lt;=C19),IF((B4-B81+B12-B19)&gt;(B4-B81),(B4-B81)*D19,((B4-B81+B12-B19)*D19)+((B4-B81-(B4-B81+B12-B19))*D18)),IF(AND((B4-B81+B12)&gt;B20,(B4-B81+B12)&lt;=C20),IF((B4-B81+B12-B20)&gt;(B4-B81),(B4-B81)*D20,IF((B4-B81+B12-B19)&gt;(B4-B81),(((B4-B81+B12-B20)*D20)+((B4-B81-(B4-B81+B12-B20))*D19)),((B4-B81+B12-B20)*D20)+((C19-B19)*D19)+((B4-B81-(B4-B81+B12-B19))*D18))),IF(AND((B4-B81+B12)&gt;B21,(B4-B81+B12)&lt;=C21),IF((B4-B81+B12-B21)&gt;(B4-B81),(B4-B81)*D21,IF((B4-B81+B12-B20)&gt;(B4-B81),((B4-B81+B12-B21)*D21)+(((B4-B81-(B4-B81+B12-B21))*D20)),IF((B4-B81+B12-B19)&gt;(B4-B81),(((B4-B81+B12-B21)*D21)+((C20-B20)*D20)+((B4-B81-(B4-B81+B12-B20))*D19)),((B4-B81+B12-B21)*D21)+((C20-B20)*D20)+((C19-B19)*D19)+((B4-B81-(B4-B81+B12-B19))*D18)))),IF((B4-B81+B12)&gt;B22,IF((B4-B81+B12-B22)&gt;(B4-B81),(B4-B81)*D22,IF((B4-B81+B12-B21)&gt;(B4-B81),(((B4-B81+B12-B22)*D22)+((B4-B81-(B4-B81+B12-B22))*D21)),IF((B4-B81+B12-B20)&gt;(B4-B81),(((B4-B81+B12-B22)*D22)+((C21-B21)*D21)+((B4-B81-(B4-B81+B12-B21))*D20)),IF((B4-B81+B12-B19)&gt;(B4-B81),(((B4-B81+B12-B22)*D22)+((C21-B21)*D21)+((C20-B20)*D20)+((B4-B81-(B4-B81+B12-B20))*D19)),((B4-B81+B12-B22)*D22)+((C21-B21)*D21)+((C20-B20)*D20)+((C19-B19)*D19)+((B4-B81-(B4-B81+B12-B19))*D18))))))))))</f>
        <v>199.12674999999999</v>
      </c>
      <c r="C87" t="s">
        <v>15</v>
      </c>
      <c r="H87" s="45"/>
      <c r="K87" s="4"/>
      <c r="L87" s="16"/>
    </row>
    <row r="88" spans="1:17" x14ac:dyDescent="0.3">
      <c r="B88" s="39">
        <f>-IF(B12&gt;=B24,0,IF(B12&lt;B24,IF((B12+B4-B81)&gt;B24,(B24-B12)*D18,(B4-B81)*D18)))</f>
        <v>0</v>
      </c>
      <c r="C88" t="s">
        <v>34</v>
      </c>
      <c r="H88" s="45"/>
      <c r="K88" s="4"/>
      <c r="L88" s="16"/>
    </row>
    <row r="89" spans="1:17" x14ac:dyDescent="0.3">
      <c r="B89" s="12">
        <f>IF(AND((B4-B81+B12)&gt;=B28,(B4-B81+B12)&lt;=C28),(B4-B81)*D28,IF(AND((B4-B81+B12)&gt;B29,(B4-B81+B12)&lt;=C29),IF((B4-B81+B12-B29)&gt;(B4-B81),(B4-B81)*D29,((B4-B81+B12-B29)*D29)+((B4-B81-(B4-B81+B12-B29))*D28)),IF(AND((B4-B81+B12)&gt;B30,(B4-B81+B12)&lt;=C30),IF((B4-B81+B12-B30)&gt;(B4-B81),(B4-B81)*D30,IF((B4-B81+B12-B29)&gt;(B4-B81),(((B4-B81+B12-B30)*D30)+((B4-B81-(B4-B81+B12-B30))*D29)),((B4-B81+B12-B30)*D30)+((C29-B29)*D29)+((B4-B81-(B4-B81+B12-B29))*D28))),IF(AND((B4-B81+B12)&gt;B31,(B4-B81+B12)&lt;=C31),IF((B4-B81+B12-B31)&gt;(B4-B81),(B4-B81)*D31,IF((B4-B81+B12-B30)&gt;(B4-B81),(((B4-B81+B12-B31)*D31)+((B4-B81-(B4-B81+B12-B31))*D30)),IF((B4-B81+B12-B29)&gt;(B4-B81),(((B4-B81+B12-B31)*D31)+((C30-B30)*D30)+((B4-B81-(B4-B81+B12-B30))*D29)),((B4-B81+B12-B31)*D31)+((C30-B30)*D30)+((C29-B29)*D29)+((B4-B81-(B4-B81+B12-B29))*D28)))),IF((B4-B81+B12)&gt;B32,IF((B4-B81+B12-B32)&gt;(B4-B81),(B4-B81)*D32,IF((B4-B81+B12-B31)&gt;(B4-B81),(((B4-B81+B12-B32)*D32)+((B4-B81-(B4-B81+B12-B32))*D31)),IF((B4-B81+B12-B30)&gt;(B4-B81),(((B4-B81+B12-B32)*D32)+((C31-B31)*D31)+((B4-B81-(B4-B81+B12-B31))*D30)),IF((B4-B81+B12-B29)&gt;(B4-B81),(((B4-B81+B12-B32)*D32)+((C31-B31)*D31)+((C30-B30)*D30)+((B4-B81-(B4-B81+B12-B30))*D29)),((B4-B81+B12-B32)*D32)+((C31-B31)*D31)+((C30-B30)*D30)+((C29-B29)*D29)+((B4-B81-(B4-B81+B12-B29))*D28))))))))))</f>
        <v>74.793949999999995</v>
      </c>
      <c r="C89" t="s">
        <v>16</v>
      </c>
    </row>
    <row r="90" spans="1:17" x14ac:dyDescent="0.3">
      <c r="B90" s="39">
        <f>-IF(B12&gt;=B34,0,IF(B12&lt;B34,IF((B12+B4-B81)&gt;B34,(B34-B12)*D28,(B4-B81)*D28)))</f>
        <v>0</v>
      </c>
      <c r="C90" t="s">
        <v>36</v>
      </c>
    </row>
    <row r="91" spans="1:17" x14ac:dyDescent="0.3">
      <c r="B91" s="41">
        <f>-B53</f>
        <v>0</v>
      </c>
      <c r="C91" t="s">
        <v>90</v>
      </c>
      <c r="D91" s="8"/>
      <c r="E91" s="13"/>
      <c r="F91" s="48"/>
      <c r="G91" s="48"/>
      <c r="H91" s="48"/>
      <c r="I91" s="49"/>
      <c r="J91" s="49"/>
      <c r="K91" s="50"/>
      <c r="L91" s="50"/>
      <c r="M91" s="49"/>
    </row>
    <row r="92" spans="1:17" x14ac:dyDescent="0.3">
      <c r="B92" s="41">
        <f>B72</f>
        <v>0</v>
      </c>
      <c r="C92" s="28" t="s">
        <v>100</v>
      </c>
      <c r="D92" s="8"/>
      <c r="E92" s="13"/>
      <c r="F92" s="48"/>
      <c r="G92" s="48"/>
      <c r="H92" s="48"/>
      <c r="I92" s="49"/>
      <c r="J92" s="49"/>
      <c r="K92" s="50"/>
      <c r="L92" s="50"/>
      <c r="M92" s="49"/>
    </row>
    <row r="93" spans="1:17" x14ac:dyDescent="0.3">
      <c r="B93" s="94">
        <f>B81</f>
        <v>28.65</v>
      </c>
      <c r="C93" s="95" t="s">
        <v>114</v>
      </c>
      <c r="D93" s="8"/>
      <c r="E93" s="13"/>
      <c r="F93" s="48"/>
      <c r="G93" s="48"/>
      <c r="H93" s="48"/>
      <c r="I93" s="49"/>
      <c r="J93" s="49"/>
      <c r="K93" s="50"/>
      <c r="L93" s="50"/>
      <c r="M93" s="49"/>
    </row>
    <row r="94" spans="1:17" x14ac:dyDescent="0.3">
      <c r="A94" s="10" t="s">
        <v>22</v>
      </c>
      <c r="B94" s="47">
        <f>SUM(B87:B93)</f>
        <v>302.57069999999999</v>
      </c>
      <c r="G94" s="49"/>
      <c r="H94" s="48"/>
      <c r="I94" s="49"/>
      <c r="J94" s="49"/>
      <c r="K94" s="51"/>
      <c r="L94" s="50"/>
      <c r="M94" s="49"/>
    </row>
    <row r="95" spans="1:17" x14ac:dyDescent="0.3">
      <c r="E95" s="18"/>
      <c r="F95" s="51"/>
      <c r="G95" s="49"/>
      <c r="H95" s="48"/>
      <c r="I95" s="51"/>
      <c r="J95" s="51"/>
      <c r="K95" s="49"/>
      <c r="L95" s="49"/>
      <c r="M95" s="49"/>
      <c r="Q95" s="15"/>
    </row>
    <row r="96" spans="1:17" x14ac:dyDescent="0.3">
      <c r="B96" s="13"/>
      <c r="F96" s="49"/>
      <c r="G96" s="49"/>
      <c r="H96" s="48"/>
      <c r="I96" s="49"/>
      <c r="J96" s="49"/>
      <c r="K96" s="49"/>
      <c r="L96" s="49"/>
      <c r="M96" s="49"/>
    </row>
    <row r="97" spans="1:13" x14ac:dyDescent="0.3">
      <c r="A97" s="19" t="s">
        <v>39</v>
      </c>
      <c r="B97" s="13"/>
      <c r="F97" s="49"/>
      <c r="G97" s="49"/>
      <c r="H97" s="48"/>
      <c r="I97" s="48"/>
      <c r="J97" s="51"/>
      <c r="K97" s="49"/>
      <c r="L97" s="49"/>
      <c r="M97" s="49"/>
    </row>
    <row r="98" spans="1:13" x14ac:dyDescent="0.3">
      <c r="A98" t="s">
        <v>124</v>
      </c>
      <c r="B98" s="13">
        <f>SUM(B87:B88)</f>
        <v>199.12674999999999</v>
      </c>
      <c r="F98" s="49"/>
      <c r="G98" s="49"/>
      <c r="H98" s="48"/>
      <c r="I98" s="49"/>
      <c r="J98" s="49"/>
      <c r="K98" s="49"/>
      <c r="L98" s="49"/>
      <c r="M98" s="49"/>
    </row>
    <row r="99" spans="1:13" x14ac:dyDescent="0.3">
      <c r="A99" t="s">
        <v>125</v>
      </c>
      <c r="B99" s="96">
        <f>SUM(B89:B91)</f>
        <v>74.793949999999995</v>
      </c>
      <c r="F99" s="49"/>
      <c r="G99" s="49"/>
      <c r="H99" s="48"/>
      <c r="I99" s="51"/>
      <c r="J99" s="51"/>
      <c r="K99" s="49"/>
      <c r="L99" s="49"/>
      <c r="M99" s="49"/>
    </row>
    <row r="100" spans="1:13" x14ac:dyDescent="0.3">
      <c r="A100" t="s">
        <v>126</v>
      </c>
      <c r="B100" s="96">
        <f>B92</f>
        <v>0</v>
      </c>
      <c r="F100" s="49"/>
      <c r="G100" s="49"/>
      <c r="H100" s="48"/>
      <c r="I100" s="51"/>
      <c r="J100" s="51"/>
      <c r="K100" s="49"/>
      <c r="L100" s="49"/>
      <c r="M100" s="49"/>
    </row>
    <row r="101" spans="1:13" x14ac:dyDescent="0.3">
      <c r="A101" s="97" t="s">
        <v>114</v>
      </c>
      <c r="B101" s="98">
        <f>B93</f>
        <v>28.65</v>
      </c>
      <c r="F101" s="49"/>
      <c r="G101" s="49"/>
      <c r="H101" s="48"/>
      <c r="I101" s="51"/>
      <c r="J101" s="51"/>
      <c r="K101" s="49"/>
      <c r="L101" s="49"/>
      <c r="M101" s="49"/>
    </row>
    <row r="102" spans="1:13" x14ac:dyDescent="0.3">
      <c r="B102" s="13">
        <f>SUM(B98:B101)</f>
        <v>302.57069999999999</v>
      </c>
      <c r="F102" s="49"/>
      <c r="G102" s="49"/>
      <c r="H102" s="48"/>
      <c r="I102" s="49"/>
      <c r="J102" s="49"/>
      <c r="K102" s="49"/>
      <c r="L102" s="49"/>
      <c r="M102" s="49"/>
    </row>
    <row r="103" spans="1:13" x14ac:dyDescent="0.3">
      <c r="B103" s="13"/>
      <c r="F103" s="49"/>
      <c r="G103" s="49"/>
      <c r="H103" s="48"/>
      <c r="I103" s="48"/>
      <c r="J103" s="51"/>
      <c r="K103" s="49"/>
      <c r="L103" s="49"/>
      <c r="M103" s="49"/>
    </row>
    <row r="104" spans="1:13" x14ac:dyDescent="0.3">
      <c r="B104" s="13"/>
      <c r="F104" s="49"/>
      <c r="G104" s="49"/>
      <c r="H104" s="48"/>
      <c r="I104" s="49"/>
      <c r="J104" s="49"/>
      <c r="K104" s="49"/>
      <c r="L104" s="49"/>
      <c r="M104" s="49"/>
    </row>
    <row r="105" spans="1:13" x14ac:dyDescent="0.3">
      <c r="B105" s="13"/>
      <c r="F105" s="49"/>
      <c r="G105" s="49"/>
      <c r="H105" s="48"/>
      <c r="I105" s="51"/>
      <c r="J105" s="51"/>
      <c r="K105" s="49"/>
      <c r="L105" s="49"/>
      <c r="M105" s="49"/>
    </row>
    <row r="106" spans="1:13" x14ac:dyDescent="0.3">
      <c r="B106" s="13"/>
      <c r="F106" s="49"/>
      <c r="G106" s="49"/>
      <c r="H106" s="48"/>
      <c r="I106" s="49"/>
      <c r="J106" s="49"/>
      <c r="K106" s="49"/>
      <c r="L106" s="49"/>
      <c r="M106" s="49"/>
    </row>
    <row r="107" spans="1:13" x14ac:dyDescent="0.3">
      <c r="B107" s="15"/>
      <c r="F107" s="49"/>
      <c r="G107" s="49"/>
      <c r="H107" s="52"/>
      <c r="I107" s="49"/>
      <c r="J107" s="49"/>
      <c r="K107" s="49"/>
      <c r="L107" s="49"/>
      <c r="M107" s="49"/>
    </row>
    <row r="108" spans="1:13" x14ac:dyDescent="0.3">
      <c r="F108" s="49"/>
      <c r="G108" s="49"/>
      <c r="H108" s="48"/>
      <c r="I108" s="49"/>
      <c r="J108" s="49"/>
      <c r="K108" s="49"/>
      <c r="L108" s="49"/>
      <c r="M108" s="49"/>
    </row>
    <row r="109" spans="1:13" x14ac:dyDescent="0.3">
      <c r="F109" s="49"/>
      <c r="G109" s="49"/>
      <c r="H109" s="48"/>
      <c r="I109" s="50"/>
      <c r="J109" s="50"/>
      <c r="K109" s="49"/>
      <c r="L109" s="49"/>
      <c r="M109" s="49"/>
    </row>
    <row r="110" spans="1:13" x14ac:dyDescent="0.3">
      <c r="F110" s="49"/>
      <c r="G110" s="49"/>
      <c r="H110" s="48"/>
      <c r="I110" s="49"/>
      <c r="J110" s="49"/>
      <c r="K110" s="49"/>
      <c r="L110" s="49"/>
      <c r="M110" s="49"/>
    </row>
    <row r="111" spans="1:13" x14ac:dyDescent="0.3">
      <c r="H111" s="12"/>
    </row>
    <row r="113" spans="8:13" x14ac:dyDescent="0.3">
      <c r="H113" s="42"/>
      <c r="M113" s="22"/>
    </row>
  </sheetData>
  <mergeCells count="2">
    <mergeCell ref="I4:S9"/>
    <mergeCell ref="I12:S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RRSP (Deduction)</vt:lpstr>
      <vt:lpstr>Interest Inc (Income)</vt:lpstr>
      <vt:lpstr>Dividend Inc</vt:lpstr>
      <vt:lpstr>Foreign Investment Inc</vt:lpstr>
      <vt:lpstr>Old Age Security Pension</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William Chong</cp:lastModifiedBy>
  <dcterms:created xsi:type="dcterms:W3CDTF">2016-07-05T04:18:43Z</dcterms:created>
  <dcterms:modified xsi:type="dcterms:W3CDTF">2016-11-14T23:41:04Z</dcterms:modified>
</cp:coreProperties>
</file>