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illiam.Chong\Desktop\Will\Letter\TaxPro\Base Formula - 2016 for 2017\Manitoba\"/>
    </mc:Choice>
  </mc:AlternateContent>
  <bookViews>
    <workbookView xWindow="0" yWindow="0" windowWidth="24000" windowHeight="9132" activeTab="4"/>
  </bookViews>
  <sheets>
    <sheet name="RRSP (Deduction)" sheetId="1" r:id="rId1"/>
    <sheet name="Interest Inc (Income)" sheetId="3" r:id="rId2"/>
    <sheet name="Dividend Inc" sheetId="19" r:id="rId3"/>
    <sheet name="Foreign Investment Inc" sheetId="24" r:id="rId4"/>
    <sheet name="Old Age Security Pension" sheetId="27" r:id="rId5"/>
  </sheets>
  <calcPr calcId="152511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" i="27" l="1"/>
  <c r="B29" i="27"/>
  <c r="B22" i="27"/>
  <c r="B21" i="27"/>
  <c r="B20" i="27"/>
  <c r="B19" i="27"/>
  <c r="B30" i="24"/>
  <c r="B29" i="24"/>
  <c r="B22" i="24"/>
  <c r="B21" i="24"/>
  <c r="B20" i="24"/>
  <c r="B19" i="24"/>
  <c r="B34" i="19"/>
  <c r="B33" i="19"/>
  <c r="B26" i="19"/>
  <c r="B25" i="19"/>
  <c r="B24" i="19"/>
  <c r="B23" i="19"/>
  <c r="B30" i="3"/>
  <c r="B29" i="3"/>
  <c r="B22" i="3"/>
  <c r="B21" i="3"/>
  <c r="B20" i="3"/>
  <c r="B19" i="3"/>
  <c r="B73" i="27" l="1"/>
  <c r="B108" i="24"/>
  <c r="B134" i="19"/>
  <c r="B65" i="3"/>
  <c r="B66" i="1"/>
  <c r="B74" i="27" l="1"/>
  <c r="B66" i="27"/>
  <c r="B64" i="27"/>
  <c r="B63" i="27"/>
  <c r="B62" i="27"/>
  <c r="B61" i="27"/>
  <c r="B71" i="27" s="1"/>
  <c r="C37" i="27"/>
  <c r="C39" i="27" s="1"/>
  <c r="C41" i="27" s="1"/>
  <c r="C44" i="27" s="1"/>
  <c r="C45" i="27" s="1"/>
  <c r="B55" i="27"/>
  <c r="B54" i="27"/>
  <c r="B56" i="27" s="1"/>
  <c r="B37" i="27"/>
  <c r="B39" i="27" s="1"/>
  <c r="B41" i="27" s="1"/>
  <c r="B44" i="27" s="1"/>
  <c r="B45" i="27" s="1"/>
  <c r="B75" i="27" l="1"/>
  <c r="B67" i="27"/>
  <c r="B72" i="27"/>
  <c r="B47" i="27"/>
  <c r="B65" i="27" s="1"/>
  <c r="C40" i="1"/>
  <c r="C42" i="1" s="1"/>
  <c r="C45" i="1" s="1"/>
  <c r="C46" i="1" s="1"/>
  <c r="B38" i="1"/>
  <c r="B40" i="1" s="1"/>
  <c r="B42" i="1" s="1"/>
  <c r="B45" i="1" s="1"/>
  <c r="B46" i="1" s="1"/>
  <c r="C38" i="1"/>
  <c r="B101" i="24"/>
  <c r="C37" i="24"/>
  <c r="C39" i="24" s="1"/>
  <c r="C41" i="24" s="1"/>
  <c r="C44" i="24" s="1"/>
  <c r="C45" i="24" s="1"/>
  <c r="B37" i="24"/>
  <c r="B39" i="24" s="1"/>
  <c r="B41" i="24" s="1"/>
  <c r="B44" i="24" s="1"/>
  <c r="B45" i="24" s="1"/>
  <c r="C41" i="19"/>
  <c r="C43" i="19"/>
  <c r="C45" i="19" s="1"/>
  <c r="C48" i="19" s="1"/>
  <c r="C49" i="19" s="1"/>
  <c r="B41" i="19"/>
  <c r="B43" i="19" s="1"/>
  <c r="B45" i="19" s="1"/>
  <c r="B48" i="19" s="1"/>
  <c r="B49" i="19" s="1"/>
  <c r="C39" i="3"/>
  <c r="C37" i="3"/>
  <c r="B37" i="3"/>
  <c r="B39" i="3" s="1"/>
  <c r="B48" i="1" l="1"/>
  <c r="B57" i="1" s="1"/>
  <c r="B47" i="24"/>
  <c r="B51" i="19"/>
  <c r="B127" i="19" s="1"/>
  <c r="C41" i="3"/>
  <c r="C44" i="3" s="1"/>
  <c r="C45" i="3" s="1"/>
  <c r="B41" i="3"/>
  <c r="B44" i="3" s="1"/>
  <c r="B45" i="3" s="1"/>
  <c r="B47" i="3" l="1"/>
  <c r="B56" i="3" s="1"/>
  <c r="I83" i="19" l="1"/>
  <c r="B31" i="1" l="1"/>
  <c r="B30" i="1"/>
  <c r="B56" i="1" l="1"/>
  <c r="B55" i="1"/>
  <c r="B65" i="1" l="1"/>
  <c r="I60" i="19"/>
  <c r="J60" i="19"/>
  <c r="I81" i="24" l="1"/>
  <c r="I105" i="19"/>
  <c r="G56" i="19"/>
  <c r="F57" i="19" s="1"/>
  <c r="H56" i="19"/>
  <c r="G57" i="19"/>
  <c r="F58" i="19" s="1"/>
  <c r="H57" i="19"/>
  <c r="H58" i="19"/>
  <c r="I57" i="19" l="1"/>
  <c r="I58" i="19" s="1"/>
  <c r="B23" i="1" l="1"/>
  <c r="B22" i="1"/>
  <c r="B21" i="1"/>
  <c r="B20" i="1"/>
  <c r="B70" i="24" l="1"/>
  <c r="B54" i="24"/>
  <c r="B99" i="24"/>
  <c r="B96" i="24"/>
  <c r="H81" i="24"/>
  <c r="G79" i="24"/>
  <c r="F79" i="24"/>
  <c r="G78" i="24"/>
  <c r="F78" i="24"/>
  <c r="E79" i="24" s="1"/>
  <c r="G77" i="24"/>
  <c r="F77" i="24"/>
  <c r="E78" i="24" s="1"/>
  <c r="B60" i="24"/>
  <c r="H59" i="24"/>
  <c r="B59" i="24"/>
  <c r="G57" i="24"/>
  <c r="G56" i="24"/>
  <c r="F56" i="24"/>
  <c r="E57" i="24" s="1"/>
  <c r="G55" i="24"/>
  <c r="F55" i="24"/>
  <c r="E56" i="24" s="1"/>
  <c r="G54" i="24"/>
  <c r="F54" i="24"/>
  <c r="E55" i="24" s="1"/>
  <c r="G53" i="24"/>
  <c r="F53" i="24"/>
  <c r="E54" i="24" s="1"/>
  <c r="B53" i="24"/>
  <c r="B52" i="24"/>
  <c r="H78" i="24" l="1"/>
  <c r="H79" i="24" s="1"/>
  <c r="H54" i="24"/>
  <c r="H55" i="24" s="1"/>
  <c r="H56" i="24" s="1"/>
  <c r="H57" i="24" s="1"/>
  <c r="B84" i="24"/>
  <c r="H105" i="19" l="1"/>
  <c r="H83" i="19"/>
  <c r="B94" i="19"/>
  <c r="B78" i="19"/>
  <c r="B52" i="3" l="1"/>
  <c r="B54" i="3" l="1"/>
  <c r="G103" i="19" l="1"/>
  <c r="G102" i="19"/>
  <c r="G101" i="19"/>
  <c r="G81" i="19"/>
  <c r="G80" i="19"/>
  <c r="G79" i="19"/>
  <c r="G78" i="19"/>
  <c r="G77" i="19"/>
  <c r="F80" i="19"/>
  <c r="E81" i="19" s="1"/>
  <c r="F79" i="19"/>
  <c r="F78" i="19"/>
  <c r="F102" i="19"/>
  <c r="F101" i="19"/>
  <c r="F77" i="19"/>
  <c r="E103" i="19" l="1"/>
  <c r="E80" i="19"/>
  <c r="E78" i="19"/>
  <c r="H78" i="19"/>
  <c r="E102" i="19"/>
  <c r="H102" i="19"/>
  <c r="E79" i="19"/>
  <c r="B84" i="19"/>
  <c r="H103" i="19" l="1"/>
  <c r="H79" i="19"/>
  <c r="H80" i="19" s="1"/>
  <c r="H81" i="19" s="1"/>
  <c r="B108" i="19" l="1"/>
  <c r="B77" i="19"/>
  <c r="B76" i="19"/>
  <c r="B83" i="19" l="1"/>
  <c r="B60" i="19" l="1"/>
  <c r="B58" i="19"/>
  <c r="B59" i="19"/>
  <c r="B61" i="19" l="1"/>
  <c r="B54" i="1" l="1"/>
  <c r="B53" i="1"/>
  <c r="B64" i="1" l="1"/>
  <c r="B67" i="1" s="1"/>
  <c r="B58" i="1"/>
  <c r="B55" i="3"/>
  <c r="B64" i="3" s="1"/>
  <c r="B53" i="3" l="1"/>
  <c r="B57" i="3" l="1"/>
  <c r="B63" i="3"/>
  <c r="B66" i="3" s="1"/>
  <c r="B120" i="19"/>
  <c r="B124" i="19"/>
  <c r="J56" i="19"/>
  <c r="K56" i="19"/>
  <c r="J57" i="19"/>
  <c r="K57" i="19"/>
  <c r="J58" i="19"/>
  <c r="K58" i="19"/>
  <c r="K59" i="19"/>
  <c r="K60" i="19"/>
  <c r="K61" i="19"/>
  <c r="K62" i="19"/>
  <c r="K63" i="19"/>
  <c r="B64" i="19"/>
  <c r="K64" i="19"/>
  <c r="B65" i="19"/>
  <c r="K65" i="19"/>
  <c r="B66" i="19"/>
  <c r="B69" i="19"/>
  <c r="B70" i="19"/>
  <c r="B71" i="19"/>
  <c r="I77" i="19"/>
  <c r="J77" i="19"/>
  <c r="I78" i="19"/>
  <c r="J78" i="19"/>
  <c r="B79" i="19"/>
  <c r="I79" i="19"/>
  <c r="J79" i="19"/>
  <c r="B80" i="19"/>
  <c r="I80" i="19"/>
  <c r="J80" i="19"/>
  <c r="B81" i="19"/>
  <c r="I81" i="19"/>
  <c r="J81" i="19"/>
  <c r="J82" i="19"/>
  <c r="J83" i="19"/>
  <c r="J84" i="19"/>
  <c r="B85" i="19"/>
  <c r="B86" i="19"/>
  <c r="B87" i="19"/>
  <c r="B89" i="19"/>
  <c r="B91" i="19"/>
  <c r="B93" i="19"/>
  <c r="B96" i="19"/>
  <c r="B100" i="19"/>
  <c r="B101" i="19"/>
  <c r="I101" i="19"/>
  <c r="J101" i="19"/>
  <c r="B102" i="19"/>
  <c r="I102" i="19"/>
  <c r="J102" i="19"/>
  <c r="I103" i="19"/>
  <c r="J103" i="19"/>
  <c r="B104" i="19"/>
  <c r="J104" i="19"/>
  <c r="J105" i="19"/>
  <c r="B106" i="19"/>
  <c r="J106" i="19"/>
  <c r="B109" i="19"/>
  <c r="B110" i="19"/>
  <c r="B112" i="19"/>
  <c r="B114" i="19"/>
  <c r="B119" i="19"/>
  <c r="B121" i="19"/>
  <c r="B122" i="19"/>
  <c r="B123" i="19"/>
  <c r="B125" i="19"/>
  <c r="B126" i="19"/>
  <c r="B128" i="19"/>
  <c r="B132" i="19"/>
  <c r="B133" i="19"/>
  <c r="B135" i="19"/>
  <c r="I53" i="24"/>
  <c r="J53" i="24"/>
  <c r="I54" i="24"/>
  <c r="J54" i="24"/>
  <c r="B55" i="24"/>
  <c r="I55" i="24"/>
  <c r="J55" i="24"/>
  <c r="B56" i="24"/>
  <c r="I56" i="24"/>
  <c r="J56" i="24"/>
  <c r="B57" i="24"/>
  <c r="I57" i="24"/>
  <c r="J57" i="24"/>
  <c r="J58" i="24"/>
  <c r="J59" i="24"/>
  <c r="J60" i="24"/>
  <c r="B61" i="24"/>
  <c r="B62" i="24"/>
  <c r="B63" i="24"/>
  <c r="B65" i="24"/>
  <c r="B67" i="24"/>
  <c r="B69" i="24"/>
  <c r="B72" i="24"/>
  <c r="B76" i="24"/>
  <c r="B77" i="24"/>
  <c r="I77" i="24"/>
  <c r="J77" i="24"/>
  <c r="B78" i="24"/>
  <c r="I78" i="24"/>
  <c r="J78" i="24"/>
  <c r="I79" i="24"/>
  <c r="J79" i="24"/>
  <c r="B80" i="24"/>
  <c r="J80" i="24"/>
  <c r="J81" i="24"/>
  <c r="B82" i="24"/>
  <c r="J82" i="24"/>
  <c r="B85" i="24"/>
  <c r="B86" i="24"/>
  <c r="B88" i="24"/>
  <c r="B90" i="24"/>
  <c r="B95" i="24"/>
  <c r="B97" i="24"/>
  <c r="B98" i="24"/>
  <c r="B100" i="24"/>
  <c r="B102" i="24"/>
  <c r="B106" i="24"/>
  <c r="B107" i="24"/>
  <c r="B109" i="24"/>
</calcChain>
</file>

<file path=xl/sharedStrings.xml><?xml version="1.0" encoding="utf-8"?>
<sst xmlns="http://schemas.openxmlformats.org/spreadsheetml/2006/main" count="420" uniqueCount="122">
  <si>
    <t>Input cell</t>
  </si>
  <si>
    <t>#1</t>
  </si>
  <si>
    <t>RRSP</t>
  </si>
  <si>
    <t>Contribution</t>
  </si>
  <si>
    <t>#2</t>
  </si>
  <si>
    <t>Province</t>
  </si>
  <si>
    <t>Total Income</t>
  </si>
  <si>
    <t>Background</t>
  </si>
  <si>
    <t>Federal Bracket</t>
  </si>
  <si>
    <t>Income level</t>
  </si>
  <si>
    <t>over</t>
  </si>
  <si>
    <t>Provincial Bracket</t>
  </si>
  <si>
    <t>#4</t>
  </si>
  <si>
    <t>Output cell</t>
  </si>
  <si>
    <t>Tax savings</t>
  </si>
  <si>
    <t>Federal</t>
  </si>
  <si>
    <t>Provincial</t>
  </si>
  <si>
    <t>Threshold</t>
  </si>
  <si>
    <t>Total Tax Savings</t>
  </si>
  <si>
    <t>Interest income</t>
  </si>
  <si>
    <t>Taxes Payable</t>
  </si>
  <si>
    <t>2016 rates</t>
  </si>
  <si>
    <t>Additional Taxes Payable</t>
  </si>
  <si>
    <t>Net income</t>
  </si>
  <si>
    <t>Yes</t>
  </si>
  <si>
    <t>No</t>
  </si>
  <si>
    <t>Dividend Income</t>
  </si>
  <si>
    <t>Step #1</t>
  </si>
  <si>
    <t>Step #2</t>
  </si>
  <si>
    <t>Non-Canadian corporation</t>
  </si>
  <si>
    <t>Canadian Corporation</t>
  </si>
  <si>
    <t>A</t>
  </si>
  <si>
    <t>B</t>
  </si>
  <si>
    <t>Tax Tips:</t>
  </si>
  <si>
    <t>Basic personal amount (federal)</t>
  </si>
  <si>
    <t>Basic personal amount</t>
  </si>
  <si>
    <t>Basic personal amount (Provincial)</t>
  </si>
  <si>
    <t>`</t>
  </si>
  <si>
    <t>Basic personal amount (Federal)</t>
  </si>
  <si>
    <t>View Details Page</t>
  </si>
  <si>
    <t>Federal Dividend Tax Credit</t>
  </si>
  <si>
    <t>Is the company traded on the stock market?</t>
  </si>
  <si>
    <t>Type of corporation</t>
  </si>
  <si>
    <t>Eligible dividend</t>
  </si>
  <si>
    <t>Gross up (non-eligible dividend)</t>
  </si>
  <si>
    <t>Non-eligible dividend</t>
  </si>
  <si>
    <t>Foreign dividend</t>
  </si>
  <si>
    <t>Eligible dividend tax credit</t>
  </si>
  <si>
    <t>Non-eligible dividend tax credit</t>
  </si>
  <si>
    <t>Dividend tax credit (federal)</t>
  </si>
  <si>
    <t>Dividend Tax Credit</t>
  </si>
  <si>
    <t>Dividend tax credit (provincial)</t>
  </si>
  <si>
    <t>Foreign investment income</t>
  </si>
  <si>
    <t>Foreign Tax Credit</t>
  </si>
  <si>
    <t>Federal foreign tax credit</t>
  </si>
  <si>
    <t>Basic federal tax</t>
  </si>
  <si>
    <t>Net foreign business income</t>
  </si>
  <si>
    <t>Proportion of net foreign business income</t>
  </si>
  <si>
    <t>US</t>
  </si>
  <si>
    <t>Non-US</t>
  </si>
  <si>
    <t>Country of foreign income</t>
  </si>
  <si>
    <t>Taxes withheld/paid on foreign income</t>
  </si>
  <si>
    <t>Input fields will only appear if user selects "Non-Canadian corporation"</t>
  </si>
  <si>
    <t>Don't Know</t>
  </si>
  <si>
    <t>Marginal tax</t>
  </si>
  <si>
    <t>Lower bracket tax</t>
  </si>
  <si>
    <t>Total tax</t>
  </si>
  <si>
    <t>FTC limitation</t>
  </si>
  <si>
    <t>Foreign taxes paid</t>
  </si>
  <si>
    <t>Federal foreign tax credit (lesser of A or B)</t>
  </si>
  <si>
    <t>Provincial foreign tax credit</t>
  </si>
  <si>
    <t>Basic provincial tax</t>
  </si>
  <si>
    <t>Provincial foreign tax credit (lesser of A or B)</t>
  </si>
  <si>
    <t xml:space="preserve">US source investment income - limitation on 20(11) and 20(12) </t>
  </si>
  <si>
    <t>Foreign business income</t>
  </si>
  <si>
    <t>Not eligible for FTC</t>
  </si>
  <si>
    <t>20(11) deduction</t>
  </si>
  <si>
    <t>Net total income</t>
  </si>
  <si>
    <t>Less: Federal FTC claimed</t>
  </si>
  <si>
    <t>Foreign tax credit (federal)</t>
  </si>
  <si>
    <t>Foreign tax credit (provincial)</t>
  </si>
  <si>
    <t>20(12) deduction</t>
  </si>
  <si>
    <t>C</t>
  </si>
  <si>
    <t>Total 20(11)/(12) deduction</t>
  </si>
  <si>
    <t>A+B+C</t>
  </si>
  <si>
    <t>A+B</t>
  </si>
  <si>
    <t>Unused credit - 20(12) deduction</t>
  </si>
  <si>
    <t>min(A or B)</t>
  </si>
  <si>
    <t>Iterative calculation</t>
  </si>
  <si>
    <t>2015 rates</t>
  </si>
  <si>
    <t>Gross up (eligible dividend)</t>
  </si>
  <si>
    <t>With interest and 20(11)/(12)</t>
  </si>
  <si>
    <t>Foreign Investment Income</t>
  </si>
  <si>
    <t>Sasketchewan</t>
  </si>
  <si>
    <t>Saskatchewan</t>
  </si>
  <si>
    <t>Manitoba</t>
  </si>
  <si>
    <t>2016 MB rates</t>
  </si>
  <si>
    <t>MB Dividend Tax Credit</t>
  </si>
  <si>
    <t>MB dividend tax credit</t>
  </si>
  <si>
    <t>MB foreign tax credit</t>
  </si>
  <si>
    <t>MB Provincial Credit</t>
  </si>
  <si>
    <t>MB provincial credit</t>
  </si>
  <si>
    <t>Total income only</t>
  </si>
  <si>
    <t>With interest</t>
  </si>
  <si>
    <t>Tax reduction (+ve)</t>
  </si>
  <si>
    <t>UCCB income &amp; RDSP income</t>
  </si>
  <si>
    <t>With RRSP deduction</t>
  </si>
  <si>
    <t>Old Age Security (OAS) Pension</t>
  </si>
  <si>
    <t>OAS Pension</t>
  </si>
  <si>
    <t>OAS Clawback</t>
  </si>
  <si>
    <t>Threshold for 2017</t>
  </si>
  <si>
    <t>Clawback %</t>
  </si>
  <si>
    <t>If net income is equal or greater than threshold</t>
  </si>
  <si>
    <t>If net income is less than but sum is greater than threshold</t>
  </si>
  <si>
    <t>Total OAS Clawback</t>
  </si>
  <si>
    <t>With interest and clawback</t>
  </si>
  <si>
    <t>Additional Federal Tax Savings</t>
  </si>
  <si>
    <t>Additional Federal Taxes</t>
  </si>
  <si>
    <t>Additional MB Tax Savings</t>
  </si>
  <si>
    <t>Additional MB Credit</t>
  </si>
  <si>
    <t>Additional MB Taxes</t>
  </si>
  <si>
    <t>Reduction in MB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</si>
</sst>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_-;\-* #,##0.00_-;_-* &quot;-&quot;??_-;_-@_-"/>
    <numFmt numFmtId="164" formatCode="_-* #,##0_-;\-* #,##0_-;_-* &quot;-&quot;??_-;_-@_-"/>
    <numFmt numFmtId="165" formatCode="_(* #,##0_);_(* \(#,##0\);_(* &quot;-&quot;??_);_(@_)"/>
    <numFmt numFmtId="166" formatCode="0.0000%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8">
    <xf numFmtId="0" fontId="0" fillId="0" borderId="0" xfId="0"/>
    <xf numFmtId="0" fontId="0" fillId="2" borderId="0" xfId="0" applyFill="1"/>
    <xf numFmtId="0" fontId="3" fillId="0" borderId="0" xfId="0" applyFont="1"/>
    <xf numFmtId="0" fontId="4" fillId="0" borderId="0" xfId="0" applyFont="1"/>
    <xf numFmtId="3" fontId="0" fillId="0" borderId="0" xfId="0" applyNumberFormat="1"/>
    <xf numFmtId="3" fontId="5" fillId="0" borderId="0" xfId="0" applyNumberFormat="1" applyFont="1"/>
    <xf numFmtId="10" fontId="5" fillId="0" borderId="0" xfId="2" applyNumberFormat="1" applyFont="1"/>
    <xf numFmtId="10" fontId="5" fillId="0" borderId="0" xfId="0" applyNumberFormat="1" applyFont="1"/>
    <xf numFmtId="9" fontId="0" fillId="0" borderId="0" xfId="0" applyNumberFormat="1"/>
    <xf numFmtId="10" fontId="0" fillId="0" borderId="0" xfId="2" applyNumberFormat="1" applyFont="1"/>
    <xf numFmtId="0" fontId="2" fillId="0" borderId="0" xfId="0" applyFont="1"/>
    <xf numFmtId="0" fontId="0" fillId="3" borderId="0" xfId="0" applyFill="1"/>
    <xf numFmtId="164" fontId="0" fillId="0" borderId="0" xfId="1" applyNumberFormat="1" applyFont="1" applyFill="1"/>
    <xf numFmtId="164" fontId="0" fillId="0" borderId="0" xfId="1" applyNumberFormat="1" applyFont="1"/>
    <xf numFmtId="164" fontId="0" fillId="3" borderId="0" xfId="0" applyNumberFormat="1" applyFill="1"/>
    <xf numFmtId="43" fontId="0" fillId="0" borderId="0" xfId="0" applyNumberFormat="1"/>
    <xf numFmtId="10" fontId="0" fillId="0" borderId="0" xfId="0" applyNumberFormat="1"/>
    <xf numFmtId="164" fontId="0" fillId="0" borderId="0" xfId="1" quotePrefix="1" applyNumberFormat="1" applyFont="1" applyFill="1"/>
    <xf numFmtId="164" fontId="0" fillId="0" borderId="0" xfId="0" applyNumberFormat="1"/>
    <xf numFmtId="0" fontId="6" fillId="0" borderId="0" xfId="0" applyFont="1"/>
    <xf numFmtId="10" fontId="0" fillId="0" borderId="0" xfId="0" applyNumberFormat="1" applyFill="1"/>
    <xf numFmtId="0" fontId="0" fillId="0" borderId="0" xfId="0" applyFill="1"/>
    <xf numFmtId="43" fontId="0" fillId="0" borderId="0" xfId="1" applyFont="1"/>
    <xf numFmtId="3" fontId="5" fillId="0" borderId="0" xfId="0" applyNumberFormat="1" applyFont="1" applyBorder="1"/>
    <xf numFmtId="164" fontId="5" fillId="0" borderId="0" xfId="1" applyNumberFormat="1" applyFont="1"/>
    <xf numFmtId="9" fontId="2" fillId="0" borderId="0" xfId="0" applyNumberFormat="1" applyFont="1"/>
    <xf numFmtId="3" fontId="2" fillId="0" borderId="0" xfId="0" applyNumberFormat="1" applyFont="1"/>
    <xf numFmtId="3" fontId="5" fillId="0" borderId="0" xfId="0" applyNumberFormat="1" applyFont="1" applyFill="1"/>
    <xf numFmtId="0" fontId="0" fillId="0" borderId="0" xfId="0" applyFont="1"/>
    <xf numFmtId="0" fontId="0" fillId="0" borderId="0" xfId="0" applyAlignment="1">
      <alignment horizontal="left"/>
    </xf>
    <xf numFmtId="0" fontId="7" fillId="0" borderId="0" xfId="0" applyFont="1"/>
    <xf numFmtId="9" fontId="0" fillId="0" borderId="0" xfId="0" applyNumberFormat="1" applyFill="1"/>
    <xf numFmtId="0" fontId="2" fillId="0" borderId="0" xfId="0" applyFont="1" applyFill="1"/>
    <xf numFmtId="9" fontId="0" fillId="0" borderId="0" xfId="0" applyNumberFormat="1" applyFont="1"/>
    <xf numFmtId="0" fontId="0" fillId="2" borderId="0" xfId="0" applyFill="1" applyAlignment="1">
      <alignment wrapText="1"/>
    </xf>
    <xf numFmtId="164" fontId="0" fillId="0" borderId="0" xfId="1" applyNumberFormat="1" applyFont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165" fontId="0" fillId="0" borderId="0" xfId="1" applyNumberFormat="1" applyFont="1" applyFill="1" applyBorder="1"/>
    <xf numFmtId="164" fontId="4" fillId="0" borderId="0" xfId="1" applyNumberFormat="1" applyFont="1"/>
    <xf numFmtId="164" fontId="2" fillId="0" borderId="0" xfId="1" applyNumberFormat="1" applyFont="1"/>
    <xf numFmtId="164" fontId="0" fillId="0" borderId="1" xfId="1" applyNumberFormat="1" applyFont="1" applyBorder="1"/>
    <xf numFmtId="164" fontId="4" fillId="0" borderId="0" xfId="1" applyNumberFormat="1" applyFont="1" applyBorder="1"/>
    <xf numFmtId="164" fontId="7" fillId="0" borderId="0" xfId="0" applyNumberFormat="1" applyFont="1"/>
    <xf numFmtId="164" fontId="2" fillId="0" borderId="0" xfId="1" applyNumberFormat="1" applyFont="1" applyFill="1"/>
    <xf numFmtId="164" fontId="0" fillId="0" borderId="0" xfId="1" applyNumberFormat="1" applyFont="1" applyFill="1" applyBorder="1"/>
    <xf numFmtId="0" fontId="0" fillId="0" borderId="0" xfId="0" applyFill="1" applyBorder="1"/>
    <xf numFmtId="3" fontId="0" fillId="0" borderId="0" xfId="0" applyNumberFormat="1" applyFill="1" applyBorder="1"/>
    <xf numFmtId="164" fontId="0" fillId="0" borderId="0" xfId="0" applyNumberFormat="1" applyFill="1" applyBorder="1"/>
    <xf numFmtId="164" fontId="4" fillId="0" borderId="0" xfId="1" applyNumberFormat="1" applyFont="1" applyFill="1" applyBorder="1"/>
    <xf numFmtId="0" fontId="0" fillId="0" borderId="0" xfId="0" applyBorder="1"/>
    <xf numFmtId="3" fontId="0" fillId="0" borderId="0" xfId="0" applyNumberFormat="1" applyFill="1"/>
    <xf numFmtId="164" fontId="0" fillId="0" borderId="0" xfId="0" applyNumberFormat="1" applyFill="1"/>
    <xf numFmtId="164" fontId="0" fillId="0" borderId="1" xfId="1" applyNumberFormat="1" applyFont="1" applyFill="1" applyBorder="1"/>
    <xf numFmtId="166" fontId="0" fillId="0" borderId="0" xfId="2" applyNumberFormat="1" applyFont="1"/>
    <xf numFmtId="164" fontId="0" fillId="2" borderId="0" xfId="0" applyNumberFormat="1" applyFill="1"/>
    <xf numFmtId="0" fontId="0" fillId="0" borderId="0" xfId="0" applyFont="1" applyFill="1"/>
    <xf numFmtId="166" fontId="0" fillId="0" borderId="0" xfId="0" applyNumberFormat="1"/>
    <xf numFmtId="10" fontId="0" fillId="0" borderId="0" xfId="2" applyNumberFormat="1" applyFont="1" applyFill="1"/>
    <xf numFmtId="3" fontId="3" fillId="0" borderId="0" xfId="0" applyNumberFormat="1" applyFont="1"/>
    <xf numFmtId="10" fontId="0" fillId="0" borderId="0" xfId="0" applyNumberFormat="1" applyAlignment="1">
      <alignment horizontal="center"/>
    </xf>
    <xf numFmtId="165" fontId="2" fillId="0" borderId="0" xfId="1" applyNumberFormat="1" applyFont="1" applyFill="1"/>
    <xf numFmtId="10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right"/>
    </xf>
    <xf numFmtId="10" fontId="5" fillId="0" borderId="0" xfId="0" applyNumberFormat="1" applyFont="1" applyFill="1"/>
    <xf numFmtId="10" fontId="0" fillId="0" borderId="0" xfId="0" applyNumberFormat="1" applyFill="1" applyAlignment="1">
      <alignment horizontal="center"/>
    </xf>
    <xf numFmtId="0" fontId="3" fillId="0" borderId="0" xfId="0" applyFont="1" applyFill="1"/>
    <xf numFmtId="3" fontId="4" fillId="0" borderId="0" xfId="0" applyNumberFormat="1" applyFont="1"/>
    <xf numFmtId="9" fontId="2" fillId="0" borderId="0" xfId="0" applyNumberFormat="1" applyFont="1" applyFill="1"/>
    <xf numFmtId="164" fontId="5" fillId="0" borderId="0" xfId="1" applyNumberFormat="1" applyFont="1" applyFill="1"/>
    <xf numFmtId="3" fontId="2" fillId="0" borderId="0" xfId="0" applyNumberFormat="1" applyFont="1" applyFill="1"/>
    <xf numFmtId="0" fontId="0" fillId="0" borderId="0" xfId="0" applyFill="1" applyAlignment="1">
      <alignment horizontal="center"/>
    </xf>
    <xf numFmtId="165" fontId="0" fillId="0" borderId="1" xfId="0" applyNumberFormat="1" applyFill="1" applyBorder="1"/>
    <xf numFmtId="1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10" fontId="0" fillId="0" borderId="0" xfId="2" applyNumberFormat="1" applyFont="1" applyFill="1" applyBorder="1"/>
    <xf numFmtId="165" fontId="0" fillId="3" borderId="0" xfId="1" applyNumberFormat="1" applyFont="1" applyFill="1"/>
    <xf numFmtId="0" fontId="8" fillId="0" borderId="0" xfId="0" applyFont="1" applyFill="1" applyBorder="1"/>
    <xf numFmtId="43" fontId="0" fillId="0" borderId="0" xfId="0" applyNumberFormat="1" applyFill="1" applyBorder="1"/>
    <xf numFmtId="1" fontId="0" fillId="0" borderId="0" xfId="0" applyNumberFormat="1"/>
    <xf numFmtId="167" fontId="0" fillId="0" borderId="1" xfId="2" applyNumberFormat="1" applyFont="1" applyBorder="1"/>
    <xf numFmtId="3" fontId="0" fillId="0" borderId="1" xfId="0" applyNumberFormat="1" applyBorder="1"/>
    <xf numFmtId="3" fontId="0" fillId="0" borderId="0" xfId="0" applyNumberFormat="1" applyFont="1"/>
    <xf numFmtId="9" fontId="0" fillId="0" borderId="0" xfId="2" applyFont="1"/>
    <xf numFmtId="0" fontId="0" fillId="0" borderId="0" xfId="0" applyFont="1" applyAlignment="1">
      <alignment wrapText="1"/>
    </xf>
    <xf numFmtId="165" fontId="0" fillId="4" borderId="1" xfId="1" applyNumberFormat="1" applyFont="1" applyFill="1" applyBorder="1"/>
    <xf numFmtId="0" fontId="0" fillId="4" borderId="0" xfId="0" applyFont="1" applyFill="1"/>
    <xf numFmtId="164" fontId="0" fillId="0" borderId="0" xfId="0" applyNumberFormat="1" applyBorder="1"/>
    <xf numFmtId="0" fontId="0" fillId="4" borderId="0" xfId="0" applyFill="1"/>
    <xf numFmtId="164" fontId="0" fillId="4" borderId="1" xfId="0" applyNumberFormat="1" applyFill="1" applyBorder="1"/>
    <xf numFmtId="0" fontId="4" fillId="0" borderId="0" xfId="0" applyFont="1" applyFill="1"/>
    <xf numFmtId="10" fontId="5" fillId="0" borderId="0" xfId="2" applyNumberFormat="1" applyFont="1" applyFill="1"/>
    <xf numFmtId="164" fontId="7" fillId="0" borderId="0" xfId="0" applyNumberFormat="1" applyFont="1" applyFill="1"/>
    <xf numFmtId="9" fontId="0" fillId="0" borderId="0" xfId="0" applyNumberFormat="1" applyFont="1" applyFill="1"/>
    <xf numFmtId="166" fontId="0" fillId="0" borderId="0" xfId="2" applyNumberFormat="1" applyFont="1" applyFill="1"/>
    <xf numFmtId="166" fontId="0" fillId="0" borderId="0" xfId="0" applyNumberFormat="1" applyFill="1"/>
    <xf numFmtId="3" fontId="5" fillId="0" borderId="0" xfId="0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8"/>
  <sheetViews>
    <sheetView topLeftCell="A10" zoomScale="85" zoomScaleNormal="85" workbookViewId="0">
      <selection activeCell="B18" sqref="B18:D33"/>
    </sheetView>
  </sheetViews>
  <sheetFormatPr defaultRowHeight="14.4" x14ac:dyDescent="0.3"/>
  <cols>
    <col min="1" max="1" width="29.6640625" customWidth="1"/>
    <col min="2" max="2" width="11.6640625" customWidth="1"/>
    <col min="3" max="3" width="9.5546875" bestFit="1" customWidth="1"/>
    <col min="4" max="4" width="9" bestFit="1" customWidth="1"/>
    <col min="5" max="5" width="10.5546875" bestFit="1" customWidth="1"/>
    <col min="6" max="6" width="9.33203125" bestFit="1" customWidth="1"/>
    <col min="7" max="7" width="11.6640625" bestFit="1" customWidth="1"/>
    <col min="8" max="8" width="9" bestFit="1" customWidth="1"/>
    <col min="11" max="11" width="12.33203125" bestFit="1" customWidth="1"/>
  </cols>
  <sheetData>
    <row r="1" spans="1:20" x14ac:dyDescent="0.3">
      <c r="B1" s="1"/>
      <c r="C1" t="s">
        <v>0</v>
      </c>
      <c r="E1" s="46"/>
      <c r="F1" s="46"/>
      <c r="G1" s="46"/>
      <c r="H1" s="46"/>
      <c r="I1" s="46"/>
      <c r="J1" s="46"/>
      <c r="K1" s="46"/>
      <c r="L1" s="46"/>
      <c r="M1" s="46"/>
      <c r="N1" s="46"/>
    </row>
    <row r="2" spans="1:20" x14ac:dyDescent="0.3">
      <c r="A2" s="2" t="s">
        <v>1</v>
      </c>
      <c r="E2" s="46"/>
      <c r="F2" s="46"/>
      <c r="G2" s="46"/>
      <c r="H2" s="46"/>
      <c r="I2" s="46"/>
      <c r="J2" s="46"/>
      <c r="K2" s="46"/>
      <c r="L2" s="46"/>
      <c r="M2" s="46"/>
      <c r="N2" s="46"/>
    </row>
    <row r="3" spans="1:20" x14ac:dyDescent="0.3">
      <c r="A3" s="3" t="s">
        <v>2</v>
      </c>
      <c r="E3" s="46"/>
      <c r="F3" s="46"/>
      <c r="G3" s="46"/>
      <c r="H3" s="46"/>
      <c r="I3" s="46"/>
      <c r="J3" s="46"/>
      <c r="K3" s="46"/>
      <c r="L3" s="46"/>
      <c r="M3" s="46"/>
      <c r="N3" s="46"/>
    </row>
    <row r="4" spans="1:20" x14ac:dyDescent="0.3">
      <c r="A4" t="s">
        <v>3</v>
      </c>
      <c r="B4" s="1">
        <v>1000</v>
      </c>
      <c r="E4" s="46"/>
      <c r="F4" s="46"/>
      <c r="G4" s="46"/>
      <c r="H4" s="46"/>
      <c r="I4" s="46"/>
      <c r="J4" s="46"/>
      <c r="K4" s="46"/>
      <c r="L4" s="46"/>
      <c r="M4" s="46"/>
      <c r="N4" s="46"/>
    </row>
    <row r="5" spans="1:20" x14ac:dyDescent="0.3">
      <c r="E5" s="46"/>
      <c r="F5" s="46"/>
      <c r="G5" s="46"/>
      <c r="H5" s="46"/>
      <c r="I5" s="46"/>
      <c r="J5" s="46"/>
      <c r="K5" s="46"/>
      <c r="L5" s="46"/>
      <c r="M5" s="46"/>
      <c r="N5" s="46"/>
    </row>
    <row r="6" spans="1:20" x14ac:dyDescent="0.3">
      <c r="E6" s="46"/>
      <c r="F6" s="46"/>
      <c r="G6" s="46"/>
      <c r="H6" s="46"/>
      <c r="I6" s="46"/>
      <c r="J6" s="46"/>
      <c r="K6" s="46"/>
      <c r="L6" s="46"/>
      <c r="M6" s="46"/>
      <c r="N6" s="46"/>
      <c r="O6" s="21"/>
      <c r="P6" s="52"/>
      <c r="Q6" s="21"/>
      <c r="R6" s="21"/>
      <c r="S6" s="21"/>
      <c r="T6" s="21"/>
    </row>
    <row r="7" spans="1:20" x14ac:dyDescent="0.3">
      <c r="A7" s="2" t="s">
        <v>4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21"/>
      <c r="P7" s="21"/>
      <c r="Q7" s="21"/>
      <c r="R7" s="21"/>
      <c r="S7" s="21"/>
      <c r="T7" s="21"/>
    </row>
    <row r="8" spans="1:20" x14ac:dyDescent="0.3">
      <c r="A8" t="s">
        <v>5</v>
      </c>
      <c r="B8" s="1" t="s">
        <v>95</v>
      </c>
      <c r="E8" s="46"/>
      <c r="F8" s="46"/>
      <c r="G8" s="46"/>
      <c r="H8" s="46"/>
      <c r="I8" s="46"/>
      <c r="J8" s="46"/>
      <c r="K8" s="46"/>
      <c r="L8" s="47"/>
      <c r="M8" s="47"/>
      <c r="N8" s="47"/>
      <c r="O8" s="51"/>
      <c r="P8" s="51"/>
      <c r="Q8" s="51"/>
      <c r="R8" s="51"/>
      <c r="S8" s="51"/>
      <c r="T8" s="51"/>
    </row>
    <row r="9" spans="1:20" x14ac:dyDescent="0.3">
      <c r="E9" s="46"/>
      <c r="F9" s="45"/>
      <c r="G9" s="45"/>
      <c r="H9" s="45"/>
      <c r="I9" s="46"/>
      <c r="J9" s="46"/>
      <c r="K9" s="46"/>
      <c r="L9" s="46"/>
      <c r="M9" s="46"/>
      <c r="N9" s="46"/>
      <c r="O9" s="21"/>
      <c r="P9" s="21"/>
      <c r="Q9" s="21"/>
      <c r="R9" s="21"/>
      <c r="S9" s="21"/>
      <c r="T9" s="21"/>
    </row>
    <row r="11" spans="1:20" x14ac:dyDescent="0.3">
      <c r="H11" s="8"/>
      <c r="L11" s="8"/>
    </row>
    <row r="12" spans="1:20" x14ac:dyDescent="0.3">
      <c r="A12" t="s">
        <v>6</v>
      </c>
      <c r="B12" s="1">
        <v>14000</v>
      </c>
      <c r="H12" s="13"/>
    </row>
    <row r="13" spans="1:20" x14ac:dyDescent="0.3">
      <c r="D13" s="4"/>
      <c r="H13" s="80"/>
    </row>
    <row r="14" spans="1:20" x14ac:dyDescent="0.3">
      <c r="D14" s="4"/>
    </row>
    <row r="16" spans="1:20" x14ac:dyDescent="0.3">
      <c r="A16" s="2" t="s">
        <v>7</v>
      </c>
    </row>
    <row r="17" spans="1:10" x14ac:dyDescent="0.3">
      <c r="A17" s="3" t="s">
        <v>8</v>
      </c>
    </row>
    <row r="18" spans="1:10" x14ac:dyDescent="0.3">
      <c r="A18" s="21"/>
      <c r="B18" s="91" t="s">
        <v>21</v>
      </c>
      <c r="C18" s="21"/>
      <c r="D18" s="21"/>
      <c r="E18" s="21"/>
      <c r="F18" s="91"/>
      <c r="G18" s="21"/>
      <c r="H18" s="21"/>
      <c r="I18" s="21"/>
      <c r="J18" s="21"/>
    </row>
    <row r="19" spans="1:10" ht="15.6" x14ac:dyDescent="0.3">
      <c r="A19" s="21" t="s">
        <v>9</v>
      </c>
      <c r="B19" s="51">
        <v>0</v>
      </c>
      <c r="C19" s="27">
        <v>45282</v>
      </c>
      <c r="D19" s="92">
        <v>0.15</v>
      </c>
      <c r="E19" s="21"/>
      <c r="F19" s="51"/>
      <c r="G19" s="27"/>
      <c r="H19" s="92"/>
      <c r="I19" s="21"/>
      <c r="J19" s="21"/>
    </row>
    <row r="20" spans="1:10" ht="15.6" x14ac:dyDescent="0.3">
      <c r="A20" s="21" t="s">
        <v>10</v>
      </c>
      <c r="B20" s="27">
        <f>C19</f>
        <v>45282</v>
      </c>
      <c r="C20" s="27">
        <v>90563</v>
      </c>
      <c r="D20" s="65">
        <v>0.20499999999999999</v>
      </c>
      <c r="E20" s="21"/>
      <c r="F20" s="27"/>
      <c r="G20" s="27"/>
      <c r="H20" s="65"/>
      <c r="I20" s="21"/>
      <c r="J20" s="21"/>
    </row>
    <row r="21" spans="1:10" ht="15.6" x14ac:dyDescent="0.3">
      <c r="A21" s="21" t="s">
        <v>10</v>
      </c>
      <c r="B21" s="27">
        <f>C20</f>
        <v>90563</v>
      </c>
      <c r="C21" s="27">
        <v>140388</v>
      </c>
      <c r="D21" s="65">
        <v>0.26</v>
      </c>
      <c r="E21" s="21"/>
      <c r="F21" s="27"/>
      <c r="G21" s="27"/>
      <c r="H21" s="65"/>
      <c r="I21" s="21"/>
      <c r="J21" s="21"/>
    </row>
    <row r="22" spans="1:10" ht="15.6" x14ac:dyDescent="0.3">
      <c r="A22" s="21" t="s">
        <v>10</v>
      </c>
      <c r="B22" s="27">
        <f>C21</f>
        <v>140388</v>
      </c>
      <c r="C22" s="27">
        <v>200000</v>
      </c>
      <c r="D22" s="65">
        <v>0.28999999999999998</v>
      </c>
      <c r="E22" s="21"/>
      <c r="F22" s="27"/>
      <c r="G22" s="27"/>
      <c r="H22" s="65"/>
      <c r="I22" s="21"/>
      <c r="J22" s="21"/>
    </row>
    <row r="23" spans="1:10" ht="15.6" x14ac:dyDescent="0.3">
      <c r="A23" s="21"/>
      <c r="B23" s="27">
        <f>C22</f>
        <v>200000</v>
      </c>
      <c r="C23" s="21"/>
      <c r="D23" s="65">
        <v>0.33</v>
      </c>
      <c r="E23" s="21"/>
      <c r="F23" s="27"/>
      <c r="G23" s="21"/>
      <c r="H23" s="65"/>
      <c r="I23" s="21"/>
      <c r="J23" s="21"/>
    </row>
    <row r="24" spans="1:10" x14ac:dyDescent="0.3">
      <c r="A24" s="21"/>
      <c r="B24" s="21"/>
      <c r="C24" s="91" t="s">
        <v>21</v>
      </c>
      <c r="D24" s="21"/>
      <c r="E24" s="21"/>
      <c r="F24" s="51"/>
      <c r="G24" s="21"/>
      <c r="H24" s="21"/>
      <c r="I24" s="21"/>
      <c r="J24" s="21"/>
    </row>
    <row r="25" spans="1:10" ht="15.6" x14ac:dyDescent="0.3">
      <c r="A25" s="21" t="s">
        <v>38</v>
      </c>
      <c r="B25" s="27">
        <v>11327</v>
      </c>
      <c r="C25" s="27">
        <v>11474</v>
      </c>
      <c r="D25" s="21"/>
      <c r="E25" s="21"/>
      <c r="F25" s="21"/>
      <c r="G25" s="51"/>
      <c r="H25" s="12"/>
      <c r="I25" s="21"/>
      <c r="J25" s="21"/>
    </row>
    <row r="26" spans="1:10" x14ac:dyDescent="0.3">
      <c r="A26" s="21"/>
      <c r="B26" s="21"/>
      <c r="C26" s="21"/>
      <c r="D26" s="21"/>
      <c r="E26" s="21"/>
      <c r="F26" s="21"/>
      <c r="G26" s="21"/>
      <c r="H26" s="21"/>
      <c r="I26" s="21"/>
      <c r="J26" s="21"/>
    </row>
    <row r="27" spans="1:10" x14ac:dyDescent="0.3">
      <c r="A27" s="91" t="s">
        <v>11</v>
      </c>
      <c r="B27" s="21"/>
      <c r="C27" s="21"/>
      <c r="D27" s="21"/>
      <c r="E27" s="21"/>
      <c r="F27" s="21"/>
      <c r="G27" s="21"/>
      <c r="H27" s="21"/>
      <c r="I27" s="21"/>
      <c r="J27" s="21"/>
    </row>
    <row r="28" spans="1:10" x14ac:dyDescent="0.3">
      <c r="A28" s="32" t="s">
        <v>95</v>
      </c>
      <c r="B28" s="91" t="s">
        <v>21</v>
      </c>
      <c r="C28" s="21"/>
      <c r="D28" s="21"/>
      <c r="E28" s="21"/>
      <c r="F28" s="91"/>
      <c r="G28" s="21"/>
      <c r="H28" s="21"/>
      <c r="I28" s="21"/>
      <c r="J28" s="21"/>
    </row>
    <row r="29" spans="1:10" ht="15.6" x14ac:dyDescent="0.3">
      <c r="A29" s="21" t="s">
        <v>9</v>
      </c>
      <c r="B29" s="21">
        <v>0</v>
      </c>
      <c r="C29" s="27">
        <v>31000</v>
      </c>
      <c r="D29" s="65">
        <v>0.108</v>
      </c>
      <c r="E29" s="21"/>
      <c r="F29" s="21"/>
      <c r="G29" s="27"/>
      <c r="H29" s="65"/>
      <c r="I29" s="21"/>
      <c r="J29" s="21"/>
    </row>
    <row r="30" spans="1:10" ht="15.6" x14ac:dyDescent="0.3">
      <c r="A30" s="21" t="s">
        <v>10</v>
      </c>
      <c r="B30" s="27">
        <f>C29</f>
        <v>31000</v>
      </c>
      <c r="C30" s="27">
        <v>67000</v>
      </c>
      <c r="D30" s="65">
        <v>0.1275</v>
      </c>
      <c r="E30" s="21"/>
      <c r="F30" s="27"/>
      <c r="G30" s="27"/>
      <c r="H30" s="65"/>
      <c r="I30" s="21"/>
      <c r="J30" s="21"/>
    </row>
    <row r="31" spans="1:10" ht="15.6" x14ac:dyDescent="0.3">
      <c r="A31" s="21" t="s">
        <v>10</v>
      </c>
      <c r="B31" s="27">
        <f>C30</f>
        <v>67000</v>
      </c>
      <c r="C31" s="27"/>
      <c r="D31" s="65">
        <v>0.17399999999999999</v>
      </c>
      <c r="E31" s="21"/>
      <c r="F31" s="27"/>
      <c r="G31" s="27"/>
      <c r="H31" s="65"/>
      <c r="I31" s="21"/>
      <c r="J31" s="21"/>
    </row>
    <row r="32" spans="1:10" x14ac:dyDescent="0.3">
      <c r="A32" s="21"/>
      <c r="B32" s="21"/>
      <c r="C32" s="91"/>
      <c r="D32" s="21"/>
      <c r="E32" s="21"/>
      <c r="F32" s="21"/>
      <c r="G32" s="21"/>
      <c r="H32" s="21"/>
      <c r="I32" s="21"/>
      <c r="J32" s="21"/>
    </row>
    <row r="33" spans="1:14" ht="15.6" x14ac:dyDescent="0.3">
      <c r="A33" s="21" t="s">
        <v>35</v>
      </c>
      <c r="B33" s="27">
        <v>9134</v>
      </c>
      <c r="C33" s="27"/>
      <c r="D33" s="21"/>
      <c r="E33" s="21"/>
      <c r="F33" s="21"/>
      <c r="G33" s="21"/>
      <c r="H33" s="44"/>
      <c r="I33" s="51"/>
      <c r="J33" s="51"/>
      <c r="K33" s="4"/>
      <c r="L33" s="4"/>
      <c r="N33" s="4"/>
    </row>
    <row r="34" spans="1:14" x14ac:dyDescent="0.3">
      <c r="A34" s="21"/>
      <c r="B34" s="51"/>
      <c r="C34" s="51"/>
      <c r="D34" s="21" t="s">
        <v>37</v>
      </c>
      <c r="E34" s="12"/>
      <c r="F34" s="93"/>
      <c r="G34" s="21"/>
      <c r="H34" s="20"/>
      <c r="I34" s="21"/>
      <c r="J34" s="21"/>
    </row>
    <row r="35" spans="1:14" x14ac:dyDescent="0.3">
      <c r="A35" s="91" t="s">
        <v>100</v>
      </c>
      <c r="B35" s="51"/>
      <c r="C35" s="51"/>
      <c r="D35" s="21"/>
      <c r="E35" s="21"/>
      <c r="F35" s="21"/>
      <c r="G35" s="21"/>
      <c r="H35" s="12"/>
      <c r="I35" s="21"/>
      <c r="J35" s="21"/>
    </row>
    <row r="36" spans="1:14" x14ac:dyDescent="0.3">
      <c r="A36" s="91"/>
      <c r="B36" s="51" t="s">
        <v>102</v>
      </c>
      <c r="C36" s="51" t="s">
        <v>106</v>
      </c>
      <c r="D36" s="21"/>
      <c r="E36" s="21"/>
      <c r="F36" s="21"/>
      <c r="G36" s="21"/>
      <c r="H36" s="12"/>
      <c r="I36" s="21"/>
      <c r="J36" s="21"/>
    </row>
    <row r="37" spans="1:14" x14ac:dyDescent="0.3">
      <c r="A37" s="3"/>
      <c r="B37" t="s">
        <v>27</v>
      </c>
      <c r="C37" t="s">
        <v>28</v>
      </c>
      <c r="H37" s="13"/>
    </row>
    <row r="38" spans="1:14" x14ac:dyDescent="0.3">
      <c r="A38" s="3"/>
      <c r="B38" s="4">
        <f>$B$12</f>
        <v>14000</v>
      </c>
      <c r="C38" s="4">
        <f>$B$12-$B$4</f>
        <v>13000</v>
      </c>
      <c r="H38" s="13"/>
    </row>
    <row r="39" spans="1:14" x14ac:dyDescent="0.3">
      <c r="A39" s="28" t="s">
        <v>105</v>
      </c>
      <c r="B39" s="41">
        <v>0</v>
      </c>
      <c r="C39" s="41">
        <v>0</v>
      </c>
      <c r="E39" s="13"/>
      <c r="F39" s="43"/>
      <c r="H39" s="16"/>
    </row>
    <row r="40" spans="1:14" x14ac:dyDescent="0.3">
      <c r="A40" s="3"/>
      <c r="B40" s="4">
        <f>IF((SUM(B38:B39))&lt;=0,0,SUM(B38:B39))</f>
        <v>14000</v>
      </c>
      <c r="C40" s="4">
        <f>IF((SUM(C38:C39))&lt;=0,0,SUM(C38:C39))</f>
        <v>13000</v>
      </c>
      <c r="E40" s="13"/>
      <c r="F40" s="43"/>
      <c r="H40" s="16"/>
    </row>
    <row r="41" spans="1:14" x14ac:dyDescent="0.3">
      <c r="A41" s="3"/>
      <c r="B41" s="81">
        <v>0.01</v>
      </c>
      <c r="C41" s="81">
        <v>0.01</v>
      </c>
      <c r="E41" s="13"/>
      <c r="F41" s="43"/>
      <c r="H41" s="16"/>
    </row>
    <row r="42" spans="1:14" x14ac:dyDescent="0.3">
      <c r="A42" s="3"/>
      <c r="B42" s="4">
        <f>B40*B41</f>
        <v>140</v>
      </c>
      <c r="C42" s="4">
        <f>C40*C41</f>
        <v>130</v>
      </c>
      <c r="E42" s="13"/>
      <c r="F42" s="43"/>
      <c r="H42" s="16"/>
    </row>
    <row r="43" spans="1:14" x14ac:dyDescent="0.3">
      <c r="A43" s="3"/>
      <c r="B43" s="4"/>
      <c r="C43" s="4"/>
      <c r="E43" s="13"/>
      <c r="F43" s="43"/>
      <c r="H43" s="16"/>
    </row>
    <row r="44" spans="1:14" x14ac:dyDescent="0.3">
      <c r="A44" s="28" t="s">
        <v>17</v>
      </c>
      <c r="B44" s="4">
        <v>195</v>
      </c>
      <c r="C44" s="4">
        <v>195</v>
      </c>
      <c r="E44" s="13"/>
      <c r="F44" s="43"/>
      <c r="H44" s="16"/>
    </row>
    <row r="45" spans="1:14" x14ac:dyDescent="0.3">
      <c r="A45" s="3"/>
      <c r="B45" s="82">
        <f>B42</f>
        <v>140</v>
      </c>
      <c r="C45" s="82">
        <f>C42</f>
        <v>130</v>
      </c>
      <c r="E45" s="13"/>
      <c r="F45" s="43"/>
      <c r="H45" s="16"/>
    </row>
    <row r="46" spans="1:14" x14ac:dyDescent="0.3">
      <c r="A46" s="28" t="s">
        <v>104</v>
      </c>
      <c r="B46" s="4">
        <f>IF((B44-B45)&lt;=0,0,B44-B45)</f>
        <v>55</v>
      </c>
      <c r="C46" s="4">
        <f>IF((C44-C45)&lt;=0,0,C44-C45)</f>
        <v>65</v>
      </c>
      <c r="E46" s="13"/>
      <c r="F46" s="43"/>
      <c r="H46" s="16"/>
    </row>
    <row r="47" spans="1:14" x14ac:dyDescent="0.3">
      <c r="A47" s="3"/>
      <c r="B47" s="4"/>
      <c r="C47" s="4"/>
      <c r="E47" s="13"/>
      <c r="F47" s="43"/>
      <c r="H47" s="16"/>
    </row>
    <row r="48" spans="1:14" x14ac:dyDescent="0.3">
      <c r="A48" s="28" t="s">
        <v>100</v>
      </c>
      <c r="B48" s="83">
        <f>B46-C46</f>
        <v>-10</v>
      </c>
      <c r="C48" s="4"/>
      <c r="E48" s="13"/>
      <c r="F48" s="43"/>
      <c r="H48" s="16"/>
    </row>
    <row r="49" spans="1:12" x14ac:dyDescent="0.3">
      <c r="B49" s="4"/>
      <c r="C49" s="4"/>
      <c r="E49" s="13"/>
      <c r="F49" s="43"/>
      <c r="H49" s="16"/>
    </row>
    <row r="50" spans="1:12" x14ac:dyDescent="0.3">
      <c r="A50" s="2" t="s">
        <v>12</v>
      </c>
      <c r="H50" s="18"/>
    </row>
    <row r="51" spans="1:12" x14ac:dyDescent="0.3">
      <c r="B51" s="11"/>
      <c r="C51" t="s">
        <v>13</v>
      </c>
      <c r="I51" s="18"/>
      <c r="J51" s="4"/>
      <c r="K51" s="13"/>
    </row>
    <row r="53" spans="1:12" x14ac:dyDescent="0.3">
      <c r="A53" t="s">
        <v>14</v>
      </c>
      <c r="B53" s="13">
        <f>IF(AND(B12&gt;=B19,B12&lt;=C19),B4*D19,IF(AND(B12&gt;B20,B12&lt;=C20),IF((B12-B20)&gt;B4,B4*D20,((B12-B20)*D20)+((B4-(B12-B20))*D19)),IF(AND(B12&gt;B21,B12&lt;=C21),IF((B12-B21)&gt;B4,B4*D21,IF((B12-B20)&gt;B4,(((B12-B21)*D21)+((B4-(B12-B21))*D20)),(((B12-B21)*D21))+((B21-B20)*D20)+((B4-(B12-B20))*D19))),IF(AND(B12&gt;B22,B12&lt;=C22),IF((B12-B22)&gt;B4,B4*D22,IF((B12-B21)&gt;B4,((B12-B22)*D22)+((B4-(B12-B22))*D21),IF((B12-B20)&gt;B4,((B12-B22)*D22)+((B22-B21)*D21)+((B4-(B12-B21))*D20),((B12-B22)*D22)+((B22-B21)*D21)+((B21-B20)*D20)+((B4-(B12-B20))*D19)))),IF(B12&gt;B23,IF((B12-B23)&gt;B4,B4*D23,IF((B12-B22)&gt;B4,((B12-B23)*D23)+((B4-(B12-B23))*D22),IF((B12-B21)&gt;B4,((B12-B23)*D23)+((B23-B22)*D22)+((B4-(B12-B22))*D21),IF((B12-B20)&gt;B4,((B12-B23)*D23)+((B23-B22)*D22)+((B22-B21)*D21)+((B4-(B12-B21))*D20),((B12-B23)*D23)+((B23-B22)*D22)+((B22-B21)*D21)+((B21-B20)*D20)+((B4-(B12-B20))*D19))))))))))</f>
        <v>150</v>
      </c>
      <c r="C53" t="s">
        <v>15</v>
      </c>
      <c r="H53" s="50"/>
      <c r="I53" s="50"/>
      <c r="J53" s="50"/>
      <c r="K53" s="50"/>
      <c r="L53" s="50"/>
    </row>
    <row r="54" spans="1:12" x14ac:dyDescent="0.3">
      <c r="B54" s="36">
        <f>-IF((B12&gt;=B25),IF((B12-B4)&gt;=B25,0,IF(((B12-B4)&lt;B25),((B25-(B12-B4))*D19))),IF(B12&lt;B25,B4*D19))</f>
        <v>0</v>
      </c>
      <c r="C54" t="s">
        <v>34</v>
      </c>
      <c r="H54" s="50"/>
      <c r="I54" s="4"/>
      <c r="J54" s="50"/>
      <c r="K54" s="50"/>
      <c r="L54" s="50"/>
    </row>
    <row r="55" spans="1:12" x14ac:dyDescent="0.3">
      <c r="B55" s="12">
        <f>IF(AND(B12&gt;=B29,B12&lt;=C29),B4*D29,IF(AND(B12&gt;B30,B12&lt;=C30),IF((B12-B30)&gt;B4,B4*D30,((B12-B30)*D30)+((B4-(B12-B30))*D29)),IF(B12&gt;B31,IF((B12-B31)&gt;B4,B4*D31,IF((B12-B30)&gt;B4,(((B12-B31)*D31)+((B4-(B12-B31))*D30)),(((B12-B31)*D31))+((B31-B30)*D30)+((B4-(B12-B30))*D29))))))</f>
        <v>108</v>
      </c>
      <c r="C55" t="s">
        <v>16</v>
      </c>
      <c r="H55" s="50"/>
      <c r="I55" s="18"/>
      <c r="J55" s="50"/>
      <c r="K55" s="50"/>
      <c r="L55" s="50"/>
    </row>
    <row r="56" spans="1:12" x14ac:dyDescent="0.3">
      <c r="B56" s="38">
        <f>-IF((B12&gt;=B33),IF((B12-B4)&gt;=B33,0,IF(((B12-B4)&lt;B33),((B33-(B12-B4))*D29))),IF(B12&lt;B33,B4*D29))</f>
        <v>0</v>
      </c>
      <c r="C56" t="s">
        <v>36</v>
      </c>
      <c r="H56" s="50"/>
      <c r="I56" s="50"/>
      <c r="J56" s="50"/>
      <c r="K56" s="50"/>
      <c r="L56" s="50"/>
    </row>
    <row r="57" spans="1:12" x14ac:dyDescent="0.3">
      <c r="B57" s="37">
        <f>B48</f>
        <v>-10</v>
      </c>
      <c r="C57" t="s">
        <v>101</v>
      </c>
      <c r="H57" s="50"/>
      <c r="I57" s="50"/>
      <c r="J57" s="50"/>
      <c r="K57" s="50"/>
      <c r="L57" s="50"/>
    </row>
    <row r="58" spans="1:12" x14ac:dyDescent="0.3">
      <c r="A58" t="s">
        <v>18</v>
      </c>
      <c r="B58" s="14">
        <f>SUM(B53:B57)</f>
        <v>248</v>
      </c>
      <c r="G58" s="50"/>
      <c r="H58" s="50"/>
      <c r="I58" s="50"/>
      <c r="J58" s="50"/>
      <c r="K58" s="50"/>
      <c r="L58" s="50"/>
    </row>
    <row r="59" spans="1:12" x14ac:dyDescent="0.3">
      <c r="G59" s="50"/>
      <c r="H59" s="50"/>
      <c r="I59" s="50"/>
      <c r="J59" s="50"/>
      <c r="K59" s="50"/>
      <c r="L59" s="50"/>
    </row>
    <row r="60" spans="1:12" x14ac:dyDescent="0.3">
      <c r="G60" s="50"/>
      <c r="H60" s="50"/>
      <c r="I60" s="50"/>
      <c r="J60" s="50"/>
      <c r="K60" s="50"/>
      <c r="L60" s="50"/>
    </row>
    <row r="61" spans="1:12" x14ac:dyDescent="0.3">
      <c r="G61" s="50"/>
      <c r="H61" s="50"/>
      <c r="I61" s="50"/>
      <c r="J61" s="50"/>
      <c r="K61" s="50"/>
      <c r="L61" s="50"/>
    </row>
    <row r="62" spans="1:12" x14ac:dyDescent="0.3">
      <c r="G62" s="50"/>
      <c r="H62" s="50"/>
      <c r="I62" s="50"/>
      <c r="J62" s="50"/>
      <c r="K62" s="50"/>
      <c r="L62" s="50"/>
    </row>
    <row r="63" spans="1:12" x14ac:dyDescent="0.3">
      <c r="A63" s="19" t="s">
        <v>39</v>
      </c>
      <c r="B63" s="13"/>
      <c r="G63" s="50"/>
      <c r="H63" s="50"/>
      <c r="I63" s="50"/>
      <c r="J63" s="50"/>
      <c r="K63" s="50"/>
      <c r="L63" s="50"/>
    </row>
    <row r="64" spans="1:12" x14ac:dyDescent="0.3">
      <c r="A64" t="s">
        <v>116</v>
      </c>
      <c r="B64" s="38">
        <f>SUM(B53:B54)</f>
        <v>150</v>
      </c>
    </row>
    <row r="65" spans="1:2" x14ac:dyDescent="0.3">
      <c r="A65" t="s">
        <v>118</v>
      </c>
      <c r="B65" s="38">
        <f>SUM(B55:B56)</f>
        <v>108</v>
      </c>
    </row>
    <row r="66" spans="1:2" x14ac:dyDescent="0.3">
      <c r="A66" t="s">
        <v>119</v>
      </c>
      <c r="B66" s="37">
        <f>B57</f>
        <v>-10</v>
      </c>
    </row>
    <row r="67" spans="1:2" x14ac:dyDescent="0.3">
      <c r="B67" s="38">
        <f>SUM(B64:B66)</f>
        <v>248</v>
      </c>
    </row>
    <row r="78" spans="1:2" x14ac:dyDescent="0.3">
      <c r="A78" s="3"/>
    </row>
  </sheetData>
  <dataValidations disablePrompts="1" count="1">
    <dataValidation type="list" allowBlank="1" showInputMessage="1" showErrorMessage="1" sqref="B8">
      <formula1>#REF!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topLeftCell="A7" zoomScale="85" zoomScaleNormal="85" workbookViewId="0">
      <selection activeCell="B17" sqref="B17:D32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7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19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19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95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6"/>
      <c r="G10" s="46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4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5000</v>
      </c>
    </row>
    <row r="15" spans="1:16" x14ac:dyDescent="0.3">
      <c r="A15" s="2" t="s">
        <v>7</v>
      </c>
    </row>
    <row r="16" spans="1:16" x14ac:dyDescent="0.3">
      <c r="A16" s="3" t="s">
        <v>8</v>
      </c>
      <c r="E16" s="21"/>
      <c r="F16" s="21"/>
      <c r="G16" s="21"/>
      <c r="H16" s="12"/>
    </row>
    <row r="17" spans="1:14" x14ac:dyDescent="0.3">
      <c r="B17" s="91" t="s">
        <v>21</v>
      </c>
      <c r="C17" s="21"/>
      <c r="D17" s="21"/>
      <c r="E17" s="21"/>
      <c r="F17" s="91"/>
      <c r="G17" s="21"/>
      <c r="H17" s="21"/>
    </row>
    <row r="18" spans="1:14" ht="15.6" x14ac:dyDescent="0.3">
      <c r="A18" t="s">
        <v>9</v>
      </c>
      <c r="B18" s="51">
        <v>0</v>
      </c>
      <c r="C18" s="27">
        <v>45282</v>
      </c>
      <c r="D18" s="92">
        <v>0.15</v>
      </c>
      <c r="E18" s="21"/>
      <c r="F18" s="51"/>
      <c r="G18" s="27"/>
      <c r="H18" s="92"/>
      <c r="I18" s="5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5">
        <v>0.20499999999999999</v>
      </c>
      <c r="E19" s="21"/>
      <c r="F19" s="27"/>
      <c r="G19" s="27"/>
      <c r="H19" s="65"/>
      <c r="I19" s="5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5">
        <v>0.26</v>
      </c>
      <c r="E20" s="21"/>
      <c r="F20" s="27"/>
      <c r="G20" s="27"/>
      <c r="H20" s="65"/>
      <c r="I20" s="5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5">
        <v>0.28999999999999998</v>
      </c>
      <c r="E21" s="21"/>
      <c r="F21" s="27"/>
      <c r="G21" s="27"/>
      <c r="H21" s="65"/>
      <c r="I21" s="23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5">
        <v>0.33</v>
      </c>
      <c r="E22" s="21"/>
      <c r="F22" s="27"/>
      <c r="G22" s="21"/>
      <c r="H22" s="65"/>
      <c r="I22" s="4"/>
      <c r="J22" s="7"/>
      <c r="K22" s="7"/>
      <c r="L22" s="5"/>
      <c r="N22" s="7"/>
    </row>
    <row r="23" spans="1:14" x14ac:dyDescent="0.3">
      <c r="B23" s="21"/>
      <c r="C23" s="91" t="s">
        <v>21</v>
      </c>
      <c r="D23" s="21"/>
      <c r="E23" s="21"/>
      <c r="F23" s="21"/>
      <c r="G23" s="21"/>
      <c r="H23" s="12"/>
    </row>
    <row r="24" spans="1:14" ht="15.6" x14ac:dyDescent="0.3">
      <c r="A24" t="s">
        <v>38</v>
      </c>
      <c r="B24" s="27">
        <v>11327</v>
      </c>
      <c r="C24" s="27">
        <v>11474</v>
      </c>
      <c r="D24" s="21"/>
      <c r="E24" s="21"/>
      <c r="F24" s="21"/>
      <c r="G24" s="51"/>
      <c r="H24" s="12"/>
    </row>
    <row r="25" spans="1:14" x14ac:dyDescent="0.3">
      <c r="B25" s="21"/>
      <c r="C25" s="21"/>
      <c r="D25" s="21"/>
      <c r="E25" s="21"/>
      <c r="F25" s="21"/>
      <c r="G25" s="21"/>
      <c r="H25" s="12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</row>
    <row r="27" spans="1:14" x14ac:dyDescent="0.3">
      <c r="A27" s="10" t="s">
        <v>95</v>
      </c>
      <c r="B27" s="91" t="s">
        <v>21</v>
      </c>
      <c r="C27" s="21"/>
      <c r="D27" s="21"/>
      <c r="E27" s="21"/>
      <c r="F27" s="91"/>
      <c r="G27" s="21"/>
      <c r="H27" s="21"/>
      <c r="I27" s="25"/>
      <c r="J27" s="10"/>
      <c r="K27" s="25"/>
    </row>
    <row r="28" spans="1:14" ht="15.6" x14ac:dyDescent="0.3">
      <c r="A28" t="s">
        <v>9</v>
      </c>
      <c r="B28" s="21">
        <v>0</v>
      </c>
      <c r="C28" s="27">
        <v>31000</v>
      </c>
      <c r="D28" s="65">
        <v>0.108</v>
      </c>
      <c r="E28" s="21"/>
      <c r="F28" s="21"/>
      <c r="G28" s="27"/>
      <c r="H28" s="65"/>
      <c r="I28" s="5"/>
      <c r="J28" s="7"/>
    </row>
    <row r="29" spans="1:14" ht="15.6" x14ac:dyDescent="0.3">
      <c r="A29" t="s">
        <v>10</v>
      </c>
      <c r="B29" s="27">
        <f>C28</f>
        <v>31000</v>
      </c>
      <c r="C29" s="27">
        <v>67000</v>
      </c>
      <c r="D29" s="65">
        <v>0.1275</v>
      </c>
      <c r="E29" s="21"/>
      <c r="F29" s="27"/>
      <c r="G29" s="27"/>
      <c r="H29" s="65"/>
      <c r="I29" s="5"/>
      <c r="J29" s="24"/>
      <c r="K29" s="18"/>
      <c r="L29" s="15"/>
    </row>
    <row r="30" spans="1:14" ht="15.6" x14ac:dyDescent="0.3">
      <c r="A30" t="s">
        <v>10</v>
      </c>
      <c r="B30" s="27">
        <f>C29</f>
        <v>67000</v>
      </c>
      <c r="C30" s="27"/>
      <c r="D30" s="65">
        <v>0.17399999999999999</v>
      </c>
      <c r="E30" s="21"/>
      <c r="F30" s="27"/>
      <c r="G30" s="27"/>
      <c r="H30" s="65"/>
      <c r="I30" s="4"/>
      <c r="J30" s="24"/>
      <c r="K30" s="4"/>
      <c r="L30" s="13"/>
      <c r="N30" s="18"/>
    </row>
    <row r="31" spans="1:14" x14ac:dyDescent="0.3">
      <c r="B31" s="21"/>
      <c r="C31" s="91"/>
      <c r="D31" s="21"/>
      <c r="E31" s="21"/>
      <c r="F31" s="21"/>
      <c r="G31" s="21"/>
      <c r="H31" s="44"/>
      <c r="I31" s="4"/>
      <c r="J31" s="26"/>
      <c r="K31" s="16"/>
      <c r="L31" s="26"/>
    </row>
    <row r="32" spans="1:14" ht="15.6" x14ac:dyDescent="0.3">
      <c r="A32" t="s">
        <v>36</v>
      </c>
      <c r="B32" s="27">
        <v>9134</v>
      </c>
      <c r="C32" s="27"/>
      <c r="D32" s="21"/>
      <c r="H32" s="40"/>
      <c r="I32" s="4"/>
      <c r="J32" s="26"/>
      <c r="K32" s="16"/>
      <c r="L32" s="26"/>
    </row>
    <row r="33" spans="1:8" x14ac:dyDescent="0.3">
      <c r="B33" s="4"/>
      <c r="C33" s="4"/>
      <c r="D33" t="s">
        <v>37</v>
      </c>
      <c r="E33" s="13"/>
      <c r="F33" s="43"/>
      <c r="H33" s="16"/>
    </row>
    <row r="34" spans="1:8" x14ac:dyDescent="0.3">
      <c r="A34" s="3" t="s">
        <v>100</v>
      </c>
      <c r="B34" s="4"/>
      <c r="C34" s="4"/>
      <c r="E34" s="13"/>
      <c r="F34" s="43"/>
      <c r="H34" s="16"/>
    </row>
    <row r="35" spans="1:8" x14ac:dyDescent="0.3">
      <c r="A35" s="3"/>
      <c r="B35" s="4" t="s">
        <v>102</v>
      </c>
      <c r="C35" s="4" t="s">
        <v>103</v>
      </c>
      <c r="E35" s="13"/>
      <c r="F35" s="43"/>
      <c r="H35" s="16"/>
    </row>
    <row r="36" spans="1:8" x14ac:dyDescent="0.3">
      <c r="A36" s="3"/>
      <c r="B36" t="s">
        <v>27</v>
      </c>
      <c r="C36" t="s">
        <v>28</v>
      </c>
      <c r="E36" s="13"/>
      <c r="F36" s="43"/>
      <c r="H36" s="16"/>
    </row>
    <row r="37" spans="1:8" x14ac:dyDescent="0.3">
      <c r="A37" s="3"/>
      <c r="B37" s="4">
        <f>$B$12</f>
        <v>5000</v>
      </c>
      <c r="C37" s="4">
        <f>$B$12+$B$4</f>
        <v>6000</v>
      </c>
      <c r="E37" s="13"/>
      <c r="F37" s="43"/>
      <c r="H37" s="16"/>
    </row>
    <row r="38" spans="1:8" x14ac:dyDescent="0.3">
      <c r="A38" s="28" t="s">
        <v>105</v>
      </c>
      <c r="B38" s="41">
        <v>0</v>
      </c>
      <c r="C38" s="41">
        <v>0</v>
      </c>
      <c r="E38" s="13"/>
      <c r="F38" s="43"/>
      <c r="H38" s="16"/>
    </row>
    <row r="39" spans="1:8" x14ac:dyDescent="0.3">
      <c r="A39" s="3"/>
      <c r="B39" s="4">
        <f>IF((SUM(B37:B38))&lt;=0,0,SUM(B37:B38))</f>
        <v>5000</v>
      </c>
      <c r="C39" s="4">
        <f>IF((SUM(C37:C38))&lt;=0,0,SUM(C37:C38))</f>
        <v>6000</v>
      </c>
      <c r="E39" s="13"/>
      <c r="F39" s="43"/>
      <c r="H39" s="16"/>
    </row>
    <row r="40" spans="1:8" x14ac:dyDescent="0.3">
      <c r="A40" s="3"/>
      <c r="B40" s="81">
        <v>0.01</v>
      </c>
      <c r="C40" s="81">
        <v>0.01</v>
      </c>
      <c r="E40" s="13"/>
      <c r="F40" s="43"/>
      <c r="H40" s="16"/>
    </row>
    <row r="41" spans="1:8" x14ac:dyDescent="0.3">
      <c r="A41" s="3"/>
      <c r="B41" s="4">
        <f>B39*B40</f>
        <v>50</v>
      </c>
      <c r="C41" s="4">
        <f>C39*C40</f>
        <v>60</v>
      </c>
      <c r="E41" s="13"/>
      <c r="F41" s="43"/>
      <c r="H41" s="16"/>
    </row>
    <row r="42" spans="1:8" x14ac:dyDescent="0.3">
      <c r="A42" s="3"/>
      <c r="B42" s="4"/>
      <c r="C42" s="4"/>
      <c r="E42" s="13"/>
      <c r="F42" s="43"/>
      <c r="H42" s="16"/>
    </row>
    <row r="43" spans="1:8" x14ac:dyDescent="0.3">
      <c r="A43" s="28" t="s">
        <v>17</v>
      </c>
      <c r="B43" s="4">
        <v>195</v>
      </c>
      <c r="C43" s="4">
        <v>195</v>
      </c>
      <c r="E43" s="13"/>
      <c r="F43" s="43"/>
      <c r="H43" s="16"/>
    </row>
    <row r="44" spans="1:8" x14ac:dyDescent="0.3">
      <c r="A44" s="3"/>
      <c r="B44" s="82">
        <f>B41</f>
        <v>50</v>
      </c>
      <c r="C44" s="82">
        <f>C41</f>
        <v>60</v>
      </c>
      <c r="E44" s="13"/>
      <c r="F44" s="43"/>
      <c r="H44" s="16"/>
    </row>
    <row r="45" spans="1:8" x14ac:dyDescent="0.3">
      <c r="A45" s="28" t="s">
        <v>104</v>
      </c>
      <c r="B45" s="4">
        <f>IF((B43-B44)&lt;=0,0,B43-B44)</f>
        <v>145</v>
      </c>
      <c r="C45" s="4">
        <f>IF((C43-C44)&lt;=0,0,C43-C44)</f>
        <v>135</v>
      </c>
      <c r="E45" s="13"/>
      <c r="F45" s="43"/>
      <c r="H45" s="16"/>
    </row>
    <row r="46" spans="1:8" x14ac:dyDescent="0.3">
      <c r="A46" s="3"/>
      <c r="B46" s="4"/>
      <c r="C46" s="4"/>
      <c r="E46" s="13"/>
      <c r="F46" s="43"/>
      <c r="H46" s="16"/>
    </row>
    <row r="47" spans="1:8" x14ac:dyDescent="0.3">
      <c r="A47" s="28" t="s">
        <v>100</v>
      </c>
      <c r="B47" s="83">
        <f>B45-C45</f>
        <v>10</v>
      </c>
      <c r="C47" s="4"/>
      <c r="E47" s="13"/>
      <c r="F47" s="43"/>
      <c r="H47" s="16"/>
    </row>
    <row r="48" spans="1:8" x14ac:dyDescent="0.3">
      <c r="A48" s="28"/>
      <c r="B48" s="83"/>
      <c r="C48" s="4"/>
      <c r="E48" s="13"/>
      <c r="F48" s="43"/>
      <c r="H48" s="16"/>
    </row>
    <row r="49" spans="1:17" x14ac:dyDescent="0.3">
      <c r="A49" s="2" t="s">
        <v>12</v>
      </c>
      <c r="E49" s="35"/>
      <c r="F49" s="21"/>
      <c r="G49" s="4"/>
      <c r="H49" s="4"/>
      <c r="I49" s="16"/>
    </row>
    <row r="50" spans="1:17" x14ac:dyDescent="0.3">
      <c r="B50" s="11"/>
      <c r="C50" t="s">
        <v>13</v>
      </c>
      <c r="H50" s="35"/>
      <c r="J50" s="4"/>
      <c r="K50" s="4"/>
      <c r="L50" s="16"/>
    </row>
    <row r="51" spans="1:17" x14ac:dyDescent="0.3">
      <c r="H51" s="35"/>
      <c r="I51" s="18"/>
      <c r="J51" s="4"/>
      <c r="K51" s="4"/>
      <c r="L51" s="16"/>
    </row>
    <row r="52" spans="1:17" x14ac:dyDescent="0.3">
      <c r="A52" t="s">
        <v>20</v>
      </c>
      <c r="B52" s="17">
        <f>IF(AND((B4+B12)&gt;=B18,(B4+B12)&lt;=C18),B4*D18,IF(AND((B4+B12)&gt;B19,(B4+B12)&lt;=C19),IF((B4+B12-B19)&gt;B4,B4*D19,((B4+B12-B19)*D19)+((B4-(B4+B12-B19))*D18)),IF(AND((B4+B12)&gt;B20,(B4+B12)&lt;=C20),IF((B4+B12-B20)&gt;B4,B4*D20,IF((B4+B12-B19)&gt;B4,(((B4+B12-B20)*D20)+((B4-(B4+B12-B20))*D19)),((B4+B12-B20)*D20)+((C19-B19)*D19)+((B4-(B4+B12-B19))*D18))),IF(AND((B4+B12)&gt;B21,(B4+B12)&lt;=C21),IF((B4+B12-B21)&gt;B4,B4*D21,IF((B4+B12-B20)&gt;B4,((B4+B12-B21)*D21)+(((B4-(B4+B12-B21))*D20)),IF((B4+B12-B19)&gt;B4,(((B4+B12-B21)*D21)+((C20-B20)*D20)+((B4-(B4+B12-B20))*D19)),((B4+B12-B21)*D21)+((C20-B20)*D20)+((C19-B19)*D19)+((B4-(B4+B12-B19))*D18)))),IF((B4+B12)&gt;B22,IF((B4+B12-B22)&gt;B4,B4*D22,IF((B4+B12-B21)&gt;B4,(((B4+B12-B22)*D22)+((B4-(B4+B12-B22))*D21)),IF((B4+B12-B20)&gt;B4,(((B4+B12-B22)*D22)+((C21-B21)*D21)+((B4-(B4+B12-B21))*D20)),IF((B4+B12-B19)&gt;B4,(((B4+B12-B22)*D22)+((C21-B21)*D21)+((C20-B20)*D20)+((B4-(B4+B12-B20))*D19)),((B4+B12-B22)*D22)+((C21-B21)*D21)+((C20-B20)*D20)+((C19-B19)*D19)+((B4-(B4+B12-B19))*D18))))))))))</f>
        <v>150</v>
      </c>
      <c r="C52" t="s">
        <v>15</v>
      </c>
      <c r="H52" s="42"/>
      <c r="K52" s="4"/>
      <c r="L52" s="16"/>
    </row>
    <row r="53" spans="1:17" x14ac:dyDescent="0.3">
      <c r="B53" s="36">
        <f>-IF(B12&gt;=B24,0,IF(B12&lt;B24,IF((B12+B4)&gt;B24,(B24-B12)*D18,B4*D18)))</f>
        <v>-150</v>
      </c>
      <c r="C53" t="s">
        <v>34</v>
      </c>
      <c r="H53" s="42"/>
      <c r="K53" s="4"/>
      <c r="L53" s="16"/>
    </row>
    <row r="54" spans="1:17" x14ac:dyDescent="0.3">
      <c r="B54" s="12">
        <f>IF(AND((B4+B12)&gt;=B28,(B4+B12)&lt;=C28),B4*D28,IF(AND((B4+B12)&gt;B29,(B4+B12)&lt;=C29),IF((B4+B12-B29)&gt;B4,B4*D29,((B4+B12-B29)*D29)+((B4-(B4+B12-B29))*D28)),IF((B4+B12)&gt;B30,IF((B4+B12-B30)&gt;B4,B4*D30,IF((B4+B12-B29)&gt;B4,(((B4+B12-B30)*D30)+((B4-(B4+B12-B30))*D29)),((B4+B12-B30)*D30)+((C29-B29)*D29)+((B4-(B4+B12-B29))*D28))))))</f>
        <v>108</v>
      </c>
      <c r="C54" t="s">
        <v>16</v>
      </c>
    </row>
    <row r="55" spans="1:17" x14ac:dyDescent="0.3">
      <c r="B55" s="38">
        <f>-IF(B12&gt;=B32,0,IF(B12&lt;B32,IF((B12+B4)&gt;B32,(B32-B12)*D28,B4*D28)))</f>
        <v>-108</v>
      </c>
      <c r="C55" t="s">
        <v>36</v>
      </c>
    </row>
    <row r="56" spans="1:17" x14ac:dyDescent="0.3">
      <c r="B56" s="37">
        <f>B47</f>
        <v>10</v>
      </c>
      <c r="C56" t="s">
        <v>101</v>
      </c>
    </row>
    <row r="57" spans="1:17" x14ac:dyDescent="0.3">
      <c r="A57" s="10" t="s">
        <v>22</v>
      </c>
      <c r="B57" s="44">
        <f>SUM(B52:B56)</f>
        <v>10</v>
      </c>
      <c r="F57" s="46"/>
      <c r="G57" s="46"/>
      <c r="H57" s="45"/>
      <c r="I57" s="46"/>
      <c r="J57" s="46"/>
      <c r="K57" s="48"/>
      <c r="L57" s="47"/>
      <c r="M57" s="46"/>
    </row>
    <row r="58" spans="1:17" x14ac:dyDescent="0.3">
      <c r="E58" s="18"/>
      <c r="F58" s="48"/>
      <c r="G58" s="46"/>
      <c r="H58" s="45"/>
      <c r="I58" s="48"/>
      <c r="J58" s="48"/>
      <c r="K58" s="46"/>
      <c r="L58" s="46"/>
      <c r="M58" s="46"/>
      <c r="Q58" s="15"/>
    </row>
    <row r="59" spans="1:17" x14ac:dyDescent="0.3">
      <c r="B59" s="13"/>
      <c r="F59" s="46"/>
      <c r="G59" s="46"/>
      <c r="H59" s="45"/>
      <c r="I59" s="46"/>
      <c r="J59" s="46"/>
      <c r="K59" s="46"/>
      <c r="L59" s="46"/>
      <c r="M59" s="46"/>
    </row>
    <row r="60" spans="1:17" x14ac:dyDescent="0.3">
      <c r="A60" s="19"/>
      <c r="B60" s="13"/>
      <c r="F60" s="46"/>
      <c r="G60" s="46"/>
      <c r="H60" s="45"/>
      <c r="I60" s="45"/>
      <c r="J60" s="48"/>
      <c r="K60" s="46"/>
      <c r="L60" s="46"/>
      <c r="M60" s="46"/>
    </row>
    <row r="61" spans="1:17" x14ac:dyDescent="0.3">
      <c r="B61" s="13"/>
      <c r="F61" s="46"/>
      <c r="G61" s="46"/>
      <c r="H61" s="45"/>
      <c r="I61" s="46"/>
      <c r="J61" s="46"/>
      <c r="K61" s="46"/>
      <c r="L61" s="46"/>
      <c r="M61" s="46"/>
    </row>
    <row r="62" spans="1:17" x14ac:dyDescent="0.3">
      <c r="A62" s="19" t="s">
        <v>39</v>
      </c>
      <c r="B62" s="13"/>
      <c r="F62" s="46"/>
      <c r="G62" s="46"/>
      <c r="H62" s="45"/>
      <c r="I62" s="48"/>
      <c r="J62" s="48"/>
      <c r="K62" s="46"/>
      <c r="L62" s="46"/>
      <c r="M62" s="46"/>
    </row>
    <row r="63" spans="1:17" x14ac:dyDescent="0.3">
      <c r="A63" t="s">
        <v>117</v>
      </c>
      <c r="B63" s="38">
        <f>SUM(B52:B53)</f>
        <v>0</v>
      </c>
      <c r="F63" s="46"/>
      <c r="G63" s="46"/>
      <c r="H63" s="45"/>
      <c r="I63" s="46"/>
      <c r="J63" s="46"/>
      <c r="K63" s="46"/>
      <c r="L63" s="46"/>
      <c r="M63" s="46"/>
    </row>
    <row r="64" spans="1:17" x14ac:dyDescent="0.3">
      <c r="A64" t="s">
        <v>120</v>
      </c>
      <c r="B64" s="38">
        <f>SUM(B54:B55)</f>
        <v>0</v>
      </c>
      <c r="F64" s="46"/>
      <c r="G64" s="46"/>
      <c r="H64" s="45"/>
      <c r="I64" s="45"/>
      <c r="J64" s="48"/>
      <c r="K64" s="46"/>
      <c r="L64" s="46"/>
      <c r="M64" s="46"/>
    </row>
    <row r="65" spans="1:13" x14ac:dyDescent="0.3">
      <c r="A65" t="s">
        <v>121</v>
      </c>
      <c r="B65" s="37">
        <f>B56</f>
        <v>10</v>
      </c>
      <c r="F65" s="46"/>
      <c r="G65" s="46"/>
      <c r="H65" s="45"/>
      <c r="I65" s="46"/>
      <c r="J65" s="46"/>
      <c r="K65" s="46"/>
      <c r="L65" s="46"/>
      <c r="M65" s="46"/>
    </row>
    <row r="66" spans="1:13" x14ac:dyDescent="0.3">
      <c r="B66" s="38">
        <f>SUM(B63:B65)</f>
        <v>10</v>
      </c>
      <c r="F66" s="46"/>
      <c r="G66" s="46"/>
      <c r="H66" s="45"/>
      <c r="I66" s="48"/>
      <c r="J66" s="48"/>
      <c r="K66" s="46"/>
      <c r="L66" s="46"/>
      <c r="M66" s="46"/>
    </row>
    <row r="67" spans="1:13" x14ac:dyDescent="0.3">
      <c r="B67" s="13"/>
      <c r="F67" s="46"/>
      <c r="G67" s="46"/>
      <c r="H67" s="45"/>
      <c r="I67" s="46"/>
      <c r="J67" s="46"/>
      <c r="K67" s="46"/>
      <c r="L67" s="46"/>
      <c r="M67" s="46"/>
    </row>
    <row r="68" spans="1:13" x14ac:dyDescent="0.3">
      <c r="B68" s="15"/>
      <c r="F68" s="46"/>
      <c r="G68" s="46"/>
      <c r="H68" s="49"/>
      <c r="I68" s="46"/>
      <c r="J68" s="46"/>
      <c r="K68" s="46"/>
      <c r="L68" s="46"/>
      <c r="M68" s="46"/>
    </row>
    <row r="69" spans="1:13" x14ac:dyDescent="0.3">
      <c r="F69" s="46"/>
      <c r="G69" s="46"/>
      <c r="H69" s="45"/>
      <c r="I69" s="46"/>
      <c r="J69" s="46"/>
      <c r="K69" s="46"/>
      <c r="L69" s="46"/>
      <c r="M69" s="46"/>
    </row>
    <row r="70" spans="1:13" x14ac:dyDescent="0.3">
      <c r="F70" s="46"/>
      <c r="G70" s="46"/>
      <c r="H70" s="45"/>
      <c r="I70" s="47"/>
      <c r="J70" s="47"/>
      <c r="K70" s="46"/>
      <c r="L70" s="46"/>
      <c r="M70" s="46"/>
    </row>
    <row r="71" spans="1:13" x14ac:dyDescent="0.3">
      <c r="F71" s="46"/>
      <c r="G71" s="46"/>
      <c r="H71" s="45"/>
      <c r="I71" s="46"/>
      <c r="J71" s="46"/>
      <c r="K71" s="46"/>
      <c r="L71" s="46"/>
      <c r="M71" s="46"/>
    </row>
    <row r="72" spans="1:13" x14ac:dyDescent="0.3">
      <c r="H72" s="12"/>
    </row>
    <row r="74" spans="1:13" x14ac:dyDescent="0.3">
      <c r="H74" s="39"/>
      <c r="M74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3"/>
  <sheetViews>
    <sheetView topLeftCell="A13" zoomScale="85" zoomScaleNormal="85" workbookViewId="0">
      <selection activeCell="D36" sqref="B21:D36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30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30" t="s">
        <v>73</v>
      </c>
    </row>
    <row r="3" spans="1:14" x14ac:dyDescent="0.3">
      <c r="A3" s="3" t="s">
        <v>26</v>
      </c>
      <c r="H3" s="45"/>
      <c r="I3" s="45"/>
      <c r="J3" s="48"/>
      <c r="K3" s="46"/>
      <c r="L3" s="21"/>
      <c r="M3" s="21"/>
      <c r="N3" s="21"/>
    </row>
    <row r="4" spans="1:14" x14ac:dyDescent="0.3">
      <c r="E4" t="s">
        <v>58</v>
      </c>
      <c r="F4" t="s">
        <v>24</v>
      </c>
      <c r="H4" s="46"/>
      <c r="I4" s="45"/>
      <c r="J4" s="45"/>
      <c r="K4" s="48"/>
      <c r="L4" s="21"/>
      <c r="M4" s="21"/>
      <c r="N4" s="21"/>
    </row>
    <row r="5" spans="1:14" x14ac:dyDescent="0.3">
      <c r="A5" t="s">
        <v>26</v>
      </c>
      <c r="B5" s="55">
        <v>2000</v>
      </c>
      <c r="E5" t="s">
        <v>59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 ht="28.8" x14ac:dyDescent="0.3">
      <c r="A6" s="28" t="s">
        <v>42</v>
      </c>
      <c r="B6" s="34" t="s">
        <v>29</v>
      </c>
      <c r="E6" s="30"/>
      <c r="F6" t="s">
        <v>63</v>
      </c>
      <c r="H6" s="21"/>
      <c r="I6" s="12"/>
      <c r="J6" s="36"/>
      <c r="K6" s="36"/>
      <c r="L6" s="21"/>
      <c r="M6" s="21"/>
      <c r="N6" s="21"/>
    </row>
    <row r="7" spans="1:14" x14ac:dyDescent="0.3">
      <c r="A7" s="28" t="s">
        <v>41</v>
      </c>
      <c r="B7" s="34" t="s">
        <v>25</v>
      </c>
      <c r="E7" s="30"/>
      <c r="F7" s="30"/>
      <c r="H7" s="21"/>
      <c r="I7" s="45"/>
      <c r="J7" s="46"/>
      <c r="K7" s="38"/>
      <c r="L7" s="21"/>
      <c r="M7" s="21"/>
      <c r="N7" s="21"/>
    </row>
    <row r="8" spans="1:14" x14ac:dyDescent="0.3">
      <c r="A8" s="28"/>
      <c r="E8" s="46"/>
      <c r="F8" s="46"/>
      <c r="G8" s="46"/>
      <c r="H8" s="46"/>
      <c r="I8" s="48"/>
      <c r="J8" s="45"/>
      <c r="K8" s="45"/>
      <c r="L8" s="21"/>
      <c r="M8" s="21"/>
      <c r="N8" s="21"/>
    </row>
    <row r="9" spans="1:14" x14ac:dyDescent="0.3">
      <c r="A9" s="30" t="s">
        <v>62</v>
      </c>
      <c r="D9" s="46"/>
      <c r="E9" s="46"/>
      <c r="F9" s="45"/>
      <c r="G9" s="46"/>
      <c r="H9" s="74"/>
      <c r="I9" s="74"/>
      <c r="J9" s="46"/>
      <c r="K9" s="46"/>
      <c r="L9" s="46"/>
      <c r="M9" s="46"/>
      <c r="N9" s="21"/>
    </row>
    <row r="10" spans="1:14" x14ac:dyDescent="0.3">
      <c r="A10" s="28" t="s">
        <v>60</v>
      </c>
      <c r="B10" s="1" t="s">
        <v>58</v>
      </c>
      <c r="D10" s="46"/>
      <c r="E10" s="46"/>
      <c r="F10" s="45"/>
      <c r="G10" s="46"/>
      <c r="H10" s="74"/>
      <c r="I10" s="74"/>
      <c r="J10" s="78"/>
      <c r="K10" s="78"/>
      <c r="L10" s="78"/>
      <c r="M10" s="78"/>
      <c r="N10" s="21"/>
    </row>
    <row r="11" spans="1:14" x14ac:dyDescent="0.3">
      <c r="A11" s="28" t="s">
        <v>61</v>
      </c>
      <c r="B11" s="1">
        <v>200</v>
      </c>
      <c r="D11" s="46"/>
      <c r="E11" s="46"/>
      <c r="F11" s="45"/>
      <c r="G11" s="46"/>
      <c r="H11" s="74"/>
      <c r="I11" s="74"/>
      <c r="J11" s="78"/>
      <c r="K11" s="78"/>
      <c r="L11" s="78"/>
      <c r="M11" s="78"/>
      <c r="N11" s="21"/>
    </row>
    <row r="12" spans="1:14" s="21" customFormat="1" x14ac:dyDescent="0.3">
      <c r="A12" s="56"/>
      <c r="B12"/>
      <c r="D12" s="46"/>
      <c r="E12" s="46"/>
      <c r="F12" s="45"/>
      <c r="G12" s="46"/>
      <c r="H12" s="74"/>
      <c r="I12" s="74"/>
      <c r="J12" s="78"/>
      <c r="K12" s="78"/>
      <c r="L12" s="78"/>
      <c r="M12" s="78"/>
    </row>
    <row r="13" spans="1:14" x14ac:dyDescent="0.3">
      <c r="A13" s="2" t="s">
        <v>4</v>
      </c>
      <c r="D13" s="46"/>
      <c r="E13" s="46"/>
      <c r="F13" s="45"/>
      <c r="G13" s="74"/>
      <c r="H13" s="74"/>
      <c r="I13" s="74"/>
      <c r="J13" s="38"/>
      <c r="K13" s="38"/>
      <c r="L13" s="46"/>
      <c r="M13" s="46"/>
      <c r="N13" s="21"/>
    </row>
    <row r="14" spans="1:14" x14ac:dyDescent="0.3">
      <c r="A14" t="s">
        <v>5</v>
      </c>
      <c r="B14" s="1" t="s">
        <v>95</v>
      </c>
      <c r="D14" s="46"/>
      <c r="E14" s="46"/>
      <c r="F14" s="45"/>
      <c r="G14" s="46"/>
      <c r="H14" s="74"/>
      <c r="I14" s="74"/>
      <c r="J14" s="46"/>
      <c r="K14" s="46"/>
      <c r="L14" s="46"/>
      <c r="M14" s="46"/>
      <c r="N14" s="21"/>
    </row>
    <row r="15" spans="1:14" x14ac:dyDescent="0.3">
      <c r="D15" s="46"/>
      <c r="E15" s="46"/>
      <c r="F15" s="46"/>
      <c r="G15" s="46"/>
      <c r="H15" s="74"/>
      <c r="I15" s="74"/>
      <c r="J15" s="46"/>
      <c r="K15" s="46"/>
      <c r="L15" s="46"/>
      <c r="M15" s="46"/>
      <c r="N15" s="21"/>
    </row>
    <row r="16" spans="1:14" x14ac:dyDescent="0.3">
      <c r="D16" s="46"/>
      <c r="E16" s="46"/>
      <c r="F16" s="76"/>
      <c r="G16" s="46"/>
      <c r="H16" s="74"/>
      <c r="I16" s="74"/>
      <c r="J16" s="46"/>
      <c r="K16" s="46"/>
      <c r="L16" s="46"/>
      <c r="M16" s="46"/>
      <c r="N16" s="21"/>
    </row>
    <row r="17" spans="1:14" x14ac:dyDescent="0.3">
      <c r="D17" s="46"/>
      <c r="E17" s="46"/>
      <c r="F17" s="46"/>
      <c r="G17" s="74"/>
      <c r="H17" s="74"/>
      <c r="I17" s="74"/>
      <c r="J17" s="46"/>
      <c r="K17" s="46"/>
      <c r="L17" s="46"/>
      <c r="M17" s="46"/>
      <c r="N17" s="21"/>
    </row>
    <row r="18" spans="1:14" x14ac:dyDescent="0.3">
      <c r="A18" t="s">
        <v>6</v>
      </c>
      <c r="B18" s="1">
        <v>139000</v>
      </c>
      <c r="L18" s="21"/>
      <c r="M18" s="21"/>
      <c r="N18" s="21"/>
    </row>
    <row r="19" spans="1:14" x14ac:dyDescent="0.3">
      <c r="A19" s="2" t="s">
        <v>7</v>
      </c>
    </row>
    <row r="20" spans="1:14" x14ac:dyDescent="0.3">
      <c r="A20" s="3" t="s">
        <v>8</v>
      </c>
      <c r="E20" s="21"/>
      <c r="F20" s="21"/>
      <c r="G20" s="21"/>
      <c r="H20" s="12"/>
      <c r="I20" s="21"/>
    </row>
    <row r="21" spans="1:14" x14ac:dyDescent="0.3">
      <c r="B21" s="91" t="s">
        <v>21</v>
      </c>
      <c r="C21" s="21"/>
      <c r="D21" s="21"/>
      <c r="E21" s="21"/>
      <c r="F21" s="91"/>
      <c r="G21" s="21"/>
      <c r="H21" s="21"/>
      <c r="I21" s="21"/>
    </row>
    <row r="22" spans="1:14" ht="15.6" x14ac:dyDescent="0.3">
      <c r="A22" t="s">
        <v>9</v>
      </c>
      <c r="B22" s="51">
        <v>0</v>
      </c>
      <c r="C22" s="27">
        <v>45282</v>
      </c>
      <c r="D22" s="92">
        <v>0.15</v>
      </c>
      <c r="E22" s="21"/>
      <c r="F22" s="51"/>
      <c r="G22" s="27"/>
      <c r="H22" s="92"/>
      <c r="I22" s="21"/>
      <c r="N22" s="6"/>
    </row>
    <row r="23" spans="1:14" ht="15.6" x14ac:dyDescent="0.3">
      <c r="A23" t="s">
        <v>10</v>
      </c>
      <c r="B23" s="27">
        <f>C22</f>
        <v>45282</v>
      </c>
      <c r="C23" s="27">
        <v>90563</v>
      </c>
      <c r="D23" s="65">
        <v>0.20499999999999999</v>
      </c>
      <c r="E23" s="21"/>
      <c r="F23" s="27"/>
      <c r="G23" s="27"/>
      <c r="H23" s="65"/>
      <c r="I23" s="21"/>
      <c r="N23" s="7"/>
    </row>
    <row r="24" spans="1:14" ht="15.6" x14ac:dyDescent="0.3">
      <c r="A24" t="s">
        <v>10</v>
      </c>
      <c r="B24" s="27">
        <f>C23</f>
        <v>90563</v>
      </c>
      <c r="C24" s="27">
        <v>140388</v>
      </c>
      <c r="D24" s="65">
        <v>0.26</v>
      </c>
      <c r="E24" s="21"/>
      <c r="F24" s="27"/>
      <c r="G24" s="27"/>
      <c r="H24" s="65"/>
      <c r="I24" s="21"/>
      <c r="N24" s="7"/>
    </row>
    <row r="25" spans="1:14" ht="15.6" x14ac:dyDescent="0.3">
      <c r="A25" t="s">
        <v>10</v>
      </c>
      <c r="B25" s="27">
        <f>C24</f>
        <v>140388</v>
      </c>
      <c r="C25" s="27">
        <v>200000</v>
      </c>
      <c r="D25" s="65">
        <v>0.28999999999999998</v>
      </c>
      <c r="E25" s="21"/>
      <c r="F25" s="27"/>
      <c r="G25" s="27"/>
      <c r="H25" s="65"/>
      <c r="I25" s="21"/>
      <c r="N25" s="7"/>
    </row>
    <row r="26" spans="1:14" ht="15.6" x14ac:dyDescent="0.3">
      <c r="B26" s="27">
        <f>C25</f>
        <v>200000</v>
      </c>
      <c r="C26" s="21"/>
      <c r="D26" s="65">
        <v>0.33</v>
      </c>
      <c r="E26" s="21"/>
      <c r="F26" s="27"/>
      <c r="G26" s="21"/>
      <c r="H26" s="65"/>
      <c r="I26" s="21"/>
      <c r="N26" s="7"/>
    </row>
    <row r="27" spans="1:14" x14ac:dyDescent="0.3">
      <c r="B27" s="21"/>
      <c r="C27" s="91" t="s">
        <v>21</v>
      </c>
      <c r="D27" s="21"/>
      <c r="E27" s="21"/>
      <c r="F27" s="21"/>
      <c r="G27" s="21"/>
      <c r="H27" s="12"/>
      <c r="I27" s="21"/>
    </row>
    <row r="28" spans="1:14" ht="15.6" x14ac:dyDescent="0.3">
      <c r="A28" t="s">
        <v>38</v>
      </c>
      <c r="B28" s="27">
        <v>11327</v>
      </c>
      <c r="C28" s="27">
        <v>11474</v>
      </c>
      <c r="D28" s="21"/>
      <c r="E28" s="21"/>
      <c r="F28" s="21"/>
      <c r="G28" s="51"/>
      <c r="H28" s="12"/>
      <c r="I28" s="21"/>
    </row>
    <row r="29" spans="1:14" x14ac:dyDescent="0.3">
      <c r="B29" s="21"/>
      <c r="C29" s="21"/>
      <c r="D29" s="21"/>
      <c r="E29" s="21"/>
      <c r="F29" s="21"/>
      <c r="G29" s="21"/>
      <c r="H29" s="12"/>
      <c r="I29" s="21"/>
    </row>
    <row r="30" spans="1:14" x14ac:dyDescent="0.3">
      <c r="A30" s="3" t="s">
        <v>11</v>
      </c>
      <c r="B30" s="21"/>
      <c r="C30" s="21"/>
      <c r="D30" s="21"/>
      <c r="E30" s="21"/>
      <c r="F30" s="21"/>
      <c r="G30" s="21"/>
      <c r="H30" s="12"/>
      <c r="I30" s="21"/>
    </row>
    <row r="31" spans="1:14" x14ac:dyDescent="0.3">
      <c r="A31" s="10" t="s">
        <v>95</v>
      </c>
      <c r="B31" s="91" t="s">
        <v>21</v>
      </c>
      <c r="C31" s="21"/>
      <c r="D31" s="21"/>
      <c r="E31" s="21"/>
      <c r="F31" s="91"/>
      <c r="G31" s="21"/>
      <c r="H31" s="21"/>
      <c r="I31" s="46"/>
      <c r="J31" s="32"/>
      <c r="K31" s="69"/>
    </row>
    <row r="32" spans="1:14" ht="15.6" x14ac:dyDescent="0.3">
      <c r="A32" t="s">
        <v>9</v>
      </c>
      <c r="B32" s="21">
        <v>0</v>
      </c>
      <c r="C32" s="27">
        <v>31000</v>
      </c>
      <c r="D32" s="65">
        <v>0.108</v>
      </c>
      <c r="E32" s="21"/>
      <c r="F32" s="21"/>
      <c r="G32" s="27"/>
      <c r="H32" s="65"/>
      <c r="I32" s="46"/>
      <c r="J32" s="65"/>
      <c r="K32" s="21"/>
    </row>
    <row r="33" spans="1:14" ht="15.6" x14ac:dyDescent="0.3">
      <c r="A33" t="s">
        <v>10</v>
      </c>
      <c r="B33" s="27">
        <f>C32</f>
        <v>31000</v>
      </c>
      <c r="C33" s="27">
        <v>67000</v>
      </c>
      <c r="D33" s="65">
        <v>0.1275</v>
      </c>
      <c r="E33" s="21"/>
      <c r="F33" s="27"/>
      <c r="G33" s="27"/>
      <c r="H33" s="65"/>
      <c r="I33" s="46"/>
      <c r="J33" s="70"/>
      <c r="K33" s="52"/>
      <c r="L33" s="15"/>
    </row>
    <row r="34" spans="1:14" ht="15.6" x14ac:dyDescent="0.3">
      <c r="A34" t="s">
        <v>10</v>
      </c>
      <c r="B34" s="27">
        <f>C33</f>
        <v>67000</v>
      </c>
      <c r="C34" s="27"/>
      <c r="D34" s="65">
        <v>0.17399999999999999</v>
      </c>
      <c r="E34" s="21"/>
      <c r="F34" s="27"/>
      <c r="G34" s="27"/>
      <c r="H34" s="65"/>
      <c r="I34" s="46"/>
      <c r="J34" s="70"/>
      <c r="K34" s="51"/>
      <c r="L34" s="13"/>
      <c r="N34" s="18"/>
    </row>
    <row r="35" spans="1:14" x14ac:dyDescent="0.3">
      <c r="B35" s="21"/>
      <c r="C35" s="91"/>
      <c r="D35" s="21"/>
      <c r="E35" s="21"/>
      <c r="F35" s="21"/>
      <c r="G35" s="21"/>
      <c r="H35" s="44"/>
      <c r="I35" s="46"/>
      <c r="J35" s="71"/>
      <c r="K35" s="20"/>
      <c r="L35" s="26"/>
    </row>
    <row r="36" spans="1:14" ht="15.6" x14ac:dyDescent="0.3">
      <c r="A36" t="s">
        <v>36</v>
      </c>
      <c r="B36" s="27">
        <v>9134</v>
      </c>
      <c r="C36" s="27"/>
      <c r="D36" s="21"/>
      <c r="H36" s="40"/>
      <c r="I36" s="46"/>
      <c r="J36" s="71"/>
      <c r="K36" s="20"/>
      <c r="L36" s="26"/>
    </row>
    <row r="37" spans="1:14" x14ac:dyDescent="0.3">
      <c r="B37" s="4"/>
      <c r="C37" s="4"/>
      <c r="D37" t="s">
        <v>37</v>
      </c>
      <c r="E37" s="13"/>
      <c r="F37" s="43"/>
      <c r="H37" s="16"/>
      <c r="I37" s="46"/>
      <c r="J37" s="21"/>
      <c r="K37" s="21"/>
    </row>
    <row r="38" spans="1:14" x14ac:dyDescent="0.3">
      <c r="A38" s="3" t="s">
        <v>100</v>
      </c>
      <c r="B38" s="4"/>
      <c r="C38" s="4"/>
      <c r="E38" s="13"/>
      <c r="F38" s="43"/>
      <c r="H38" s="16"/>
    </row>
    <row r="39" spans="1:14" x14ac:dyDescent="0.3">
      <c r="A39" s="3"/>
      <c r="B39" s="4" t="s">
        <v>102</v>
      </c>
      <c r="C39" s="4" t="s">
        <v>103</v>
      </c>
      <c r="E39" s="13"/>
      <c r="F39" s="43"/>
      <c r="H39" s="16"/>
    </row>
    <row r="40" spans="1:14" x14ac:dyDescent="0.3">
      <c r="A40" s="3"/>
      <c r="B40" t="s">
        <v>27</v>
      </c>
      <c r="C40" t="s">
        <v>28</v>
      </c>
      <c r="E40" s="13"/>
      <c r="F40" s="43"/>
      <c r="H40" s="16"/>
    </row>
    <row r="41" spans="1:14" x14ac:dyDescent="0.3">
      <c r="A41" s="3"/>
      <c r="B41" s="4">
        <f>$B$18</f>
        <v>139000</v>
      </c>
      <c r="C41" s="4">
        <f>$B$18+$B$5</f>
        <v>141000</v>
      </c>
      <c r="E41" s="13"/>
      <c r="F41" s="43"/>
      <c r="H41" s="16"/>
    </row>
    <row r="42" spans="1:14" x14ac:dyDescent="0.3">
      <c r="A42" s="28" t="s">
        <v>105</v>
      </c>
      <c r="B42" s="41">
        <v>0</v>
      </c>
      <c r="C42" s="41">
        <v>0</v>
      </c>
      <c r="E42" s="13"/>
      <c r="F42" s="43"/>
      <c r="H42" s="16"/>
    </row>
    <row r="43" spans="1:14" x14ac:dyDescent="0.3">
      <c r="A43" s="3"/>
      <c r="B43" s="4">
        <f>IF((SUM(B41:B42))&lt;=0,0,SUM(B41:B42))</f>
        <v>139000</v>
      </c>
      <c r="C43" s="4">
        <f>IF((SUM(C41:C42))&lt;=0,0,SUM(C41:C42))</f>
        <v>141000</v>
      </c>
      <c r="E43" s="13"/>
      <c r="F43" s="43"/>
      <c r="H43" s="16"/>
    </row>
    <row r="44" spans="1:14" x14ac:dyDescent="0.3">
      <c r="A44" s="3"/>
      <c r="B44" s="81">
        <v>0.01</v>
      </c>
      <c r="C44" s="81">
        <v>0.01</v>
      </c>
      <c r="E44" s="13"/>
      <c r="F44" s="43"/>
      <c r="H44" s="16"/>
    </row>
    <row r="45" spans="1:14" x14ac:dyDescent="0.3">
      <c r="A45" s="3"/>
      <c r="B45" s="4">
        <f>B43*B44</f>
        <v>1390</v>
      </c>
      <c r="C45" s="4">
        <f>C43*C44</f>
        <v>1410</v>
      </c>
      <c r="E45" s="13"/>
      <c r="F45" s="43"/>
      <c r="H45" s="16"/>
    </row>
    <row r="46" spans="1:14" x14ac:dyDescent="0.3">
      <c r="A46" s="3"/>
      <c r="B46" s="4"/>
      <c r="C46" s="4"/>
      <c r="E46" s="13"/>
      <c r="F46" s="43"/>
      <c r="H46" s="16"/>
    </row>
    <row r="47" spans="1:14" x14ac:dyDescent="0.3">
      <c r="A47" s="28" t="s">
        <v>17</v>
      </c>
      <c r="B47" s="4">
        <v>195</v>
      </c>
      <c r="C47" s="4">
        <v>195</v>
      </c>
      <c r="E47" s="13"/>
      <c r="F47" s="43"/>
      <c r="H47" s="16"/>
    </row>
    <row r="48" spans="1:14" x14ac:dyDescent="0.3">
      <c r="A48" s="3"/>
      <c r="B48" s="82">
        <f>B45</f>
        <v>1390</v>
      </c>
      <c r="C48" s="82">
        <f>C45</f>
        <v>1410</v>
      </c>
      <c r="E48" s="13"/>
      <c r="F48" s="43"/>
      <c r="H48" s="16"/>
    </row>
    <row r="49" spans="1:17" x14ac:dyDescent="0.3">
      <c r="A49" s="28" t="s">
        <v>104</v>
      </c>
      <c r="B49" s="4">
        <f>IF((B47-B48)&lt;=0,0,B47-B48)</f>
        <v>0</v>
      </c>
      <c r="C49" s="4">
        <f>IF((C47-C48)&lt;=0,0,C47-C48)</f>
        <v>0</v>
      </c>
      <c r="E49" s="13"/>
      <c r="F49" s="43"/>
      <c r="H49" s="16"/>
    </row>
    <row r="50" spans="1:17" x14ac:dyDescent="0.3">
      <c r="A50" s="3"/>
      <c r="B50" s="4"/>
      <c r="C50" s="4"/>
      <c r="E50" s="13"/>
      <c r="F50" s="43"/>
      <c r="H50" s="16"/>
    </row>
    <row r="51" spans="1:17" x14ac:dyDescent="0.3">
      <c r="A51" s="28" t="s">
        <v>100</v>
      </c>
      <c r="B51" s="83">
        <f>B49-C49</f>
        <v>0</v>
      </c>
      <c r="C51" s="4"/>
      <c r="E51" s="13"/>
      <c r="F51" s="43"/>
      <c r="H51" s="16"/>
    </row>
    <row r="52" spans="1:17" x14ac:dyDescent="0.3">
      <c r="B52" s="4"/>
      <c r="C52" s="4"/>
      <c r="D52" s="21"/>
      <c r="E52" s="13"/>
      <c r="F52" s="43"/>
      <c r="H52" s="16"/>
      <c r="I52" s="46"/>
      <c r="J52" s="21"/>
      <c r="K52" s="21"/>
    </row>
    <row r="53" spans="1:17" x14ac:dyDescent="0.3">
      <c r="B53" s="4"/>
      <c r="C53" s="4"/>
      <c r="D53" s="21"/>
      <c r="E53" s="13"/>
      <c r="F53" s="43"/>
      <c r="H53" s="16"/>
      <c r="I53" s="46"/>
      <c r="J53" s="21"/>
      <c r="K53" s="21"/>
    </row>
    <row r="54" spans="1:17" x14ac:dyDescent="0.3">
      <c r="A54" s="3" t="s">
        <v>50</v>
      </c>
      <c r="B54" s="36"/>
      <c r="C54" s="4"/>
      <c r="D54" s="21"/>
      <c r="E54" s="13"/>
      <c r="F54" s="13"/>
      <c r="G54" s="43"/>
      <c r="H54"/>
      <c r="I54" s="46"/>
      <c r="J54" s="32" t="s">
        <v>91</v>
      </c>
      <c r="K54" s="21"/>
      <c r="Q54" s="18"/>
    </row>
    <row r="55" spans="1:17" x14ac:dyDescent="0.3">
      <c r="B55" s="36"/>
      <c r="C55" s="68" t="s">
        <v>89</v>
      </c>
      <c r="D55" s="91"/>
      <c r="E55" s="13"/>
      <c r="F55" s="3" t="s">
        <v>96</v>
      </c>
      <c r="G55" s="43"/>
      <c r="H55"/>
      <c r="I55" s="46" t="s">
        <v>65</v>
      </c>
      <c r="J55" s="72" t="s">
        <v>64</v>
      </c>
      <c r="K55" s="72" t="s">
        <v>66</v>
      </c>
      <c r="Q55" s="18"/>
    </row>
    <row r="56" spans="1:17" ht="15.6" x14ac:dyDescent="0.3">
      <c r="A56" s="28" t="s">
        <v>90</v>
      </c>
      <c r="B56" s="33">
        <v>0.38</v>
      </c>
      <c r="D56" s="94"/>
      <c r="E56" s="30"/>
      <c r="F56">
        <v>0</v>
      </c>
      <c r="G56" s="5">
        <f>C32</f>
        <v>31000</v>
      </c>
      <c r="H56" s="7">
        <f>D32</f>
        <v>0.108</v>
      </c>
      <c r="I56" s="12">
        <v>0</v>
      </c>
      <c r="J56" s="12">
        <f ca="1">IF(AND(($B$18+$B$5+$B$80)&gt;=F56,($B$18+$B$5+$B$80)&lt;G56),($B$18+$B$5+$B$80-F56)*H56,0)</f>
        <v>0</v>
      </c>
      <c r="K56" s="52">
        <f t="shared" ref="K56:K58" ca="1" si="0">(IF(J56=0,0,I56+J56))</f>
        <v>0</v>
      </c>
    </row>
    <row r="57" spans="1:17" ht="15.6" x14ac:dyDescent="0.3">
      <c r="A57" s="28" t="s">
        <v>44</v>
      </c>
      <c r="B57" s="33">
        <v>0.17</v>
      </c>
      <c r="D57" s="94"/>
      <c r="E57" s="30"/>
      <c r="F57" s="5">
        <f>G56</f>
        <v>31000</v>
      </c>
      <c r="G57" s="5">
        <f>C33</f>
        <v>67000</v>
      </c>
      <c r="H57" s="7">
        <f>D33</f>
        <v>0.1275</v>
      </c>
      <c r="I57" s="12">
        <f>(G56-F56)*H56</f>
        <v>3348</v>
      </c>
      <c r="J57" s="12">
        <f ca="1">IF(AND(($B$18+$B$5+$B$80)&gt;=F57,($B$18+$B$5+$B$80)&lt;G57),($B$18+$B$5+$B$80-F57)*H57,0)</f>
        <v>0</v>
      </c>
      <c r="K57" s="52">
        <f t="shared" ca="1" si="0"/>
        <v>0</v>
      </c>
    </row>
    <row r="58" spans="1:17" ht="15.6" x14ac:dyDescent="0.3">
      <c r="A58" s="28" t="s">
        <v>43</v>
      </c>
      <c r="B58" s="13">
        <f>IF(AND(B6="canadian corporation",B7="yes"),B5*B56,0)</f>
        <v>0</v>
      </c>
      <c r="D58" s="21"/>
      <c r="E58" s="30"/>
      <c r="F58" s="27">
        <f>G57</f>
        <v>67000</v>
      </c>
      <c r="G58" s="5"/>
      <c r="H58" s="7">
        <f>D34</f>
        <v>0.17399999999999999</v>
      </c>
      <c r="I58" s="12">
        <f>((G57-F57)*H57)+I57</f>
        <v>7938</v>
      </c>
      <c r="J58" s="12">
        <f ca="1">IF(($B$18+$B$5+$B$80)&gt;=F58,($B$18+$B$5+$B$80-F58)*H58,0)</f>
        <v>12876</v>
      </c>
      <c r="K58" s="52">
        <f t="shared" ca="1" si="0"/>
        <v>20814</v>
      </c>
    </row>
    <row r="59" spans="1:17" ht="15.6" x14ac:dyDescent="0.3">
      <c r="A59" s="28" t="s">
        <v>45</v>
      </c>
      <c r="B59" s="13">
        <f>IF(AND(B6="canadian corporation",B7="no"),B5*B57,0)</f>
        <v>0</v>
      </c>
      <c r="D59" s="21"/>
      <c r="E59" s="30"/>
      <c r="F59" s="5"/>
      <c r="G59" s="5"/>
      <c r="H59"/>
      <c r="I59" s="46"/>
      <c r="J59" s="21"/>
      <c r="K59" s="52">
        <f ca="1">SUM(K56:K58)</f>
        <v>20814</v>
      </c>
    </row>
    <row r="60" spans="1:17" ht="15.6" x14ac:dyDescent="0.3">
      <c r="A60" s="28" t="s">
        <v>46</v>
      </c>
      <c r="B60" s="41">
        <f>IF(B6="non-canadian corporation",B5,0)</f>
        <v>2000</v>
      </c>
      <c r="D60" s="21"/>
      <c r="E60" s="30"/>
      <c r="F60" s="5"/>
      <c r="H60" s="62" t="s">
        <v>35</v>
      </c>
      <c r="I60" s="12">
        <f>B36</f>
        <v>9134</v>
      </c>
      <c r="J60" s="20">
        <f>D32</f>
        <v>0.108</v>
      </c>
      <c r="K60" s="53">
        <f ca="1">IF(($B$18+$B$5+$B$80)&lt;I60,($B$18+$B$5+$B$80)*J60,I60*J60)</f>
        <v>986.47199999999998</v>
      </c>
    </row>
    <row r="61" spans="1:17" x14ac:dyDescent="0.3">
      <c r="B61" s="18">
        <f>SUM(B58:B60)</f>
        <v>2000</v>
      </c>
      <c r="D61" s="21"/>
      <c r="F61" s="13"/>
      <c r="G61" s="43"/>
      <c r="H61"/>
      <c r="I61" s="46"/>
      <c r="J61" s="21"/>
      <c r="K61" s="13">
        <f ca="1">IF((K59-K60)&lt;=0,0,K59-K60)</f>
        <v>19827.527999999998</v>
      </c>
    </row>
    <row r="62" spans="1:17" x14ac:dyDescent="0.3">
      <c r="B62" s="18"/>
      <c r="D62" s="21"/>
      <c r="F62" s="13"/>
      <c r="G62" s="43"/>
      <c r="H62" s="62" t="s">
        <v>98</v>
      </c>
      <c r="I62" s="46"/>
      <c r="J62" s="21"/>
      <c r="K62" s="73">
        <f ca="1">MIN(B71,K61)</f>
        <v>0</v>
      </c>
    </row>
    <row r="63" spans="1:17" x14ac:dyDescent="0.3">
      <c r="A63" s="19" t="s">
        <v>40</v>
      </c>
      <c r="B63" s="36"/>
      <c r="C63" s="4"/>
      <c r="D63" s="21"/>
      <c r="E63" s="13"/>
      <c r="F63" s="13"/>
      <c r="G63" s="43"/>
      <c r="I63" s="46"/>
      <c r="J63" s="21"/>
      <c r="K63" s="12">
        <f ca="1">K61-K62</f>
        <v>19827.527999999998</v>
      </c>
      <c r="Q63" s="18"/>
    </row>
    <row r="64" spans="1:17" x14ac:dyDescent="0.3">
      <c r="A64" t="s">
        <v>47</v>
      </c>
      <c r="B64" s="36">
        <f ca="1">MIN(J84,IF(B58&gt;0,B5*C64,0))</f>
        <v>0</v>
      </c>
      <c r="C64" s="54">
        <v>0.1502</v>
      </c>
      <c r="D64" s="95"/>
      <c r="E64" s="13"/>
      <c r="F64" s="43"/>
      <c r="H64" s="62" t="s">
        <v>99</v>
      </c>
      <c r="I64" s="46"/>
      <c r="J64" s="21"/>
      <c r="K64" s="73">
        <f ca="1">MIN(B112,K63)</f>
        <v>0</v>
      </c>
      <c r="Q64" s="18"/>
    </row>
    <row r="65" spans="1:17" x14ac:dyDescent="0.3">
      <c r="A65" t="s">
        <v>48</v>
      </c>
      <c r="B65" s="37">
        <f ca="1">MIN(J84,IF(B59&gt;0,B5*C65,0))</f>
        <v>0</v>
      </c>
      <c r="C65" s="54">
        <v>0.105217</v>
      </c>
      <c r="D65" s="95"/>
      <c r="E65" s="13"/>
      <c r="I65" s="46"/>
      <c r="J65" s="21"/>
      <c r="K65" s="12">
        <f ca="1">K63-K64</f>
        <v>19827.527999999998</v>
      </c>
      <c r="Q65" s="18"/>
    </row>
    <row r="66" spans="1:17" x14ac:dyDescent="0.3">
      <c r="B66" s="36">
        <f ca="1">SUM(B64:B65)</f>
        <v>0</v>
      </c>
      <c r="C66" s="4"/>
      <c r="D66" s="21"/>
      <c r="E66" s="13"/>
      <c r="Q66" s="18"/>
    </row>
    <row r="67" spans="1:17" x14ac:dyDescent="0.3">
      <c r="B67" s="36"/>
      <c r="C67" s="4"/>
      <c r="D67" s="21"/>
      <c r="E67" s="13"/>
      <c r="Q67" s="18"/>
    </row>
    <row r="68" spans="1:17" x14ac:dyDescent="0.3">
      <c r="A68" s="19" t="s">
        <v>97</v>
      </c>
      <c r="B68" s="36"/>
      <c r="C68" s="4"/>
      <c r="D68" s="21"/>
      <c r="E68" s="13"/>
      <c r="F68" s="18"/>
      <c r="G68" s="4"/>
      <c r="H68" s="16"/>
      <c r="I68" s="46"/>
      <c r="J68" s="21"/>
      <c r="K68" s="21"/>
      <c r="Q68" s="18"/>
    </row>
    <row r="69" spans="1:17" x14ac:dyDescent="0.3">
      <c r="A69" t="s">
        <v>47</v>
      </c>
      <c r="B69" s="36">
        <f ca="1">MIN(K61,IF(B58&gt;0,B5*C69,0))</f>
        <v>0</v>
      </c>
      <c r="C69" s="54">
        <v>0.08</v>
      </c>
      <c r="D69" s="95"/>
      <c r="I69" s="46"/>
      <c r="J69" s="21"/>
      <c r="K69" s="21"/>
      <c r="Q69" s="18"/>
    </row>
    <row r="70" spans="1:17" x14ac:dyDescent="0.3">
      <c r="A70" t="s">
        <v>48</v>
      </c>
      <c r="B70" s="37">
        <f ca="1">MIN(K61,IF(B59&gt;0,B5*C70,0))</f>
        <v>0</v>
      </c>
      <c r="C70" s="57">
        <v>8.3000000000000001E-3</v>
      </c>
      <c r="D70" s="96"/>
      <c r="I70" s="46"/>
      <c r="J70" s="21"/>
      <c r="K70" s="21"/>
      <c r="Q70" s="18"/>
    </row>
    <row r="71" spans="1:17" x14ac:dyDescent="0.3">
      <c r="B71" s="36">
        <f ca="1">SUM(B69:B70)</f>
        <v>0</v>
      </c>
      <c r="C71" s="4"/>
      <c r="D71" s="21"/>
      <c r="I71" s="46"/>
      <c r="J71" s="21"/>
      <c r="K71" s="21"/>
      <c r="Q71" s="18"/>
    </row>
    <row r="72" spans="1:17" x14ac:dyDescent="0.3">
      <c r="B72" s="36"/>
      <c r="C72" s="4"/>
      <c r="I72" s="46"/>
      <c r="J72" s="21"/>
      <c r="K72" s="21"/>
      <c r="Q72" s="18"/>
    </row>
    <row r="73" spans="1:17" x14ac:dyDescent="0.3">
      <c r="A73" s="3" t="s">
        <v>53</v>
      </c>
      <c r="B73" s="36"/>
      <c r="C73" s="4"/>
      <c r="I73" s="46"/>
      <c r="J73" s="21"/>
      <c r="K73" s="21"/>
      <c r="Q73" s="18"/>
    </row>
    <row r="74" spans="1:17" x14ac:dyDescent="0.3">
      <c r="B74" s="36"/>
      <c r="C74" s="4"/>
      <c r="I74" s="46"/>
      <c r="J74" s="21"/>
      <c r="K74" s="21"/>
      <c r="Q74" s="18"/>
    </row>
    <row r="75" spans="1:17" x14ac:dyDescent="0.3">
      <c r="A75" s="19" t="s">
        <v>54</v>
      </c>
      <c r="B75" s="36"/>
      <c r="C75" s="4"/>
      <c r="H75" s="12"/>
      <c r="I75" s="46"/>
      <c r="J75" s="21"/>
      <c r="K75" s="21"/>
      <c r="Q75" s="18"/>
    </row>
    <row r="76" spans="1:17" x14ac:dyDescent="0.3">
      <c r="A76" t="s">
        <v>74</v>
      </c>
      <c r="B76" s="36">
        <f>$B$5</f>
        <v>2000</v>
      </c>
      <c r="C76" s="59" t="s">
        <v>31</v>
      </c>
      <c r="D76" s="19" t="s">
        <v>55</v>
      </c>
      <c r="E76" s="13"/>
      <c r="F76" s="18"/>
      <c r="G76" s="4"/>
      <c r="H76" s="66" t="s">
        <v>65</v>
      </c>
      <c r="I76" s="46" t="s">
        <v>64</v>
      </c>
      <c r="J76" s="72" t="s">
        <v>66</v>
      </c>
      <c r="K76" s="21"/>
      <c r="Q76" s="18"/>
    </row>
    <row r="77" spans="1:17" ht="15.6" x14ac:dyDescent="0.3">
      <c r="A77" t="s">
        <v>75</v>
      </c>
      <c r="B77" s="36">
        <f>IF($B$10="US",-IF(($B$11/$B$5)&gt;15%,$B$11-($B$5*15%),0),0)</f>
        <v>0</v>
      </c>
      <c r="C77" s="59" t="s">
        <v>32</v>
      </c>
      <c r="D77" t="s">
        <v>9</v>
      </c>
      <c r="E77" s="4">
        <v>0</v>
      </c>
      <c r="F77" s="5">
        <f t="shared" ref="F77:G80" si="1">C22</f>
        <v>45282</v>
      </c>
      <c r="G77" s="6">
        <f t="shared" si="1"/>
        <v>0.15</v>
      </c>
      <c r="H77" s="12">
        <v>0</v>
      </c>
      <c r="I77" s="12">
        <f ca="1">IF(AND(($B$18+$B$5+$B$80)&gt;=E77,($B$18+$B$5+$B$80)&lt;F77),($B$18+$B$5+$B$80-E77)*G77,0)</f>
        <v>0</v>
      </c>
      <c r="J77" s="12">
        <f ca="1">(IF(I77=0,0,H77+I77))</f>
        <v>0</v>
      </c>
      <c r="K77" s="21"/>
      <c r="Q77" s="18"/>
    </row>
    <row r="78" spans="1:17" ht="15.6" x14ac:dyDescent="0.3">
      <c r="A78" t="s">
        <v>76</v>
      </c>
      <c r="B78" s="36">
        <f>IF(B6="Canadian Corporation",0,IF($B$10="non-US",-IF(($B$11/$B$5)&gt;15%,$B$11-($B$5*15%),0),0))</f>
        <v>0</v>
      </c>
      <c r="C78" s="4"/>
      <c r="D78" t="s">
        <v>10</v>
      </c>
      <c r="E78" s="5">
        <f>F77</f>
        <v>45282</v>
      </c>
      <c r="F78" s="5">
        <f t="shared" si="1"/>
        <v>90563</v>
      </c>
      <c r="G78" s="6">
        <f t="shared" si="1"/>
        <v>0.20499999999999999</v>
      </c>
      <c r="H78" s="12">
        <f>(F77-E77)*G77</f>
        <v>6792.3</v>
      </c>
      <c r="I78" s="12">
        <f ca="1">IF(AND(($B$18+$B$5+$B$80)&gt;=E78,($B$18+$B$5+$B$80)&lt;F78),($B$18+$B$5+$B$80-E78)*G78,0)</f>
        <v>0</v>
      </c>
      <c r="J78" s="12">
        <f t="shared" ref="J78:J81" ca="1" si="2">(IF(I78=0,0,H78+I78))</f>
        <v>0</v>
      </c>
      <c r="K78" s="21"/>
      <c r="Q78" s="18"/>
    </row>
    <row r="79" spans="1:17" ht="15.6" x14ac:dyDescent="0.3">
      <c r="A79" t="s">
        <v>81</v>
      </c>
      <c r="B79" s="37">
        <f ca="1">-B114</f>
        <v>0</v>
      </c>
      <c r="C79" s="4"/>
      <c r="D79" t="s">
        <v>10</v>
      </c>
      <c r="E79" s="5">
        <f>F78</f>
        <v>90563</v>
      </c>
      <c r="F79" s="5">
        <f t="shared" si="1"/>
        <v>140388</v>
      </c>
      <c r="G79" s="6">
        <f t="shared" si="1"/>
        <v>0.26</v>
      </c>
      <c r="H79" s="12">
        <f>((F78-E78)*G78)+H78</f>
        <v>16074.904999999999</v>
      </c>
      <c r="I79" s="12">
        <f ca="1">IF(AND(($B$18+$B$5+$B$80)&gt;=E79,($B$18+$B$5+$B$80)&lt;F79),($B$18+$B$5+$B$80-E79)*G79,0)</f>
        <v>0</v>
      </c>
      <c r="J79" s="12">
        <f t="shared" ca="1" si="2"/>
        <v>0</v>
      </c>
      <c r="K79" s="21"/>
      <c r="Q79" s="18"/>
    </row>
    <row r="80" spans="1:17" ht="15.6" x14ac:dyDescent="0.3">
      <c r="A80" t="s">
        <v>83</v>
      </c>
      <c r="B80" s="37">
        <f ca="1">SUM(B78:B79)</f>
        <v>0</v>
      </c>
      <c r="C80" s="59" t="s">
        <v>82</v>
      </c>
      <c r="D80" t="s">
        <v>10</v>
      </c>
      <c r="E80" s="5">
        <f>F79</f>
        <v>140388</v>
      </c>
      <c r="F80" s="5">
        <f t="shared" si="1"/>
        <v>200000</v>
      </c>
      <c r="G80" s="6">
        <f t="shared" si="1"/>
        <v>0.28999999999999998</v>
      </c>
      <c r="H80" s="12">
        <f>((F79-E79)*G79)+H79</f>
        <v>29029.404999999999</v>
      </c>
      <c r="I80" s="12">
        <f ca="1">IF(AND(($B$18+$B$5+$B$80)&gt;=E80,($B$18+$B$5+$B$80)&lt;F80),($B$18+$B$5+$B$80-E80)*G80,0)</f>
        <v>177.48</v>
      </c>
      <c r="J80" s="12">
        <f t="shared" ca="1" si="2"/>
        <v>29206.884999999998</v>
      </c>
      <c r="K80" s="21"/>
      <c r="Q80" s="18"/>
    </row>
    <row r="81" spans="1:17" ht="15.6" x14ac:dyDescent="0.3">
      <c r="A81" t="s">
        <v>56</v>
      </c>
      <c r="B81" s="36">
        <f ca="1">B76+B77+B80</f>
        <v>2000</v>
      </c>
      <c r="C81" s="59" t="s">
        <v>84</v>
      </c>
      <c r="E81" s="5">
        <f>F80</f>
        <v>200000</v>
      </c>
      <c r="G81" s="6">
        <f>D26</f>
        <v>0.33</v>
      </c>
      <c r="H81" s="12">
        <f>((F80-E80)*G80)+H80</f>
        <v>46316.884999999995</v>
      </c>
      <c r="I81" s="12">
        <f ca="1">IF(($B$18+$B$5+$B$80)&gt;=E81,($B$18+$B$5+$B$80-E81)*G81,0)</f>
        <v>0</v>
      </c>
      <c r="J81" s="53">
        <f t="shared" ca="1" si="2"/>
        <v>0</v>
      </c>
      <c r="K81" s="21"/>
      <c r="Q81" s="18"/>
    </row>
    <row r="82" spans="1:17" x14ac:dyDescent="0.3">
      <c r="B82" s="36"/>
      <c r="C82" s="4"/>
      <c r="E82" s="13"/>
      <c r="F82" s="18"/>
      <c r="G82" s="4"/>
      <c r="H82" s="16"/>
      <c r="I82" s="46"/>
      <c r="J82" s="12">
        <f ca="1">SUM(J77:J81)</f>
        <v>29206.884999999998</v>
      </c>
      <c r="K82" s="21"/>
      <c r="Q82" s="18"/>
    </row>
    <row r="83" spans="1:17" x14ac:dyDescent="0.3">
      <c r="A83" t="s">
        <v>6</v>
      </c>
      <c r="B83" s="38">
        <f>$B$5+$B$18</f>
        <v>141000</v>
      </c>
      <c r="C83" s="59" t="s">
        <v>31</v>
      </c>
      <c r="G83" s="62" t="s">
        <v>35</v>
      </c>
      <c r="H83" s="13">
        <f>B28</f>
        <v>11327</v>
      </c>
      <c r="I83" s="76">
        <f>D22</f>
        <v>0.15</v>
      </c>
      <c r="J83" s="53">
        <f ca="1">IF(($B$5+$B$18+B80)&lt;H83,($B$5+$B$18+B80)*I83,H83*I83)</f>
        <v>1699.05</v>
      </c>
      <c r="K83" s="21"/>
      <c r="Q83" s="18"/>
    </row>
    <row r="84" spans="1:17" x14ac:dyDescent="0.3">
      <c r="A84" t="s">
        <v>76</v>
      </c>
      <c r="B84" s="38">
        <f>IF($B$10="non-US",-IF(($B$11/$B$5)&gt;15%,$B$11-($B$5*15%),0),0)</f>
        <v>0</v>
      </c>
      <c r="C84" s="4"/>
      <c r="G84" s="62"/>
      <c r="I84" s="46"/>
      <c r="J84" s="13">
        <f ca="1">IF((J82-J83)&lt;=0,0,J82-J83)</f>
        <v>27507.834999999999</v>
      </c>
      <c r="K84" s="21"/>
      <c r="Q84" s="18"/>
    </row>
    <row r="85" spans="1:17" x14ac:dyDescent="0.3">
      <c r="A85" t="s">
        <v>81</v>
      </c>
      <c r="B85" s="37">
        <f ca="1">B79</f>
        <v>0</v>
      </c>
      <c r="C85" s="4"/>
      <c r="G85" s="62"/>
      <c r="I85" s="46"/>
      <c r="J85" s="45"/>
      <c r="K85" s="21"/>
      <c r="Q85" s="18"/>
    </row>
    <row r="86" spans="1:17" x14ac:dyDescent="0.3">
      <c r="A86" t="s">
        <v>83</v>
      </c>
      <c r="B86" s="37">
        <f ca="1">SUM(B84:B85)</f>
        <v>0</v>
      </c>
      <c r="C86" s="59" t="s">
        <v>32</v>
      </c>
      <c r="E86" s="13"/>
      <c r="F86" s="18"/>
      <c r="I86" s="46"/>
      <c r="J86" s="21"/>
      <c r="K86" s="21"/>
      <c r="Q86" s="18"/>
    </row>
    <row r="87" spans="1:17" x14ac:dyDescent="0.3">
      <c r="A87" t="s">
        <v>77</v>
      </c>
      <c r="B87" s="36">
        <f ca="1">B83+B86</f>
        <v>141000</v>
      </c>
      <c r="C87" s="59" t="s">
        <v>85</v>
      </c>
      <c r="I87" s="46"/>
      <c r="J87" s="21"/>
      <c r="K87" s="21"/>
      <c r="Q87" s="18"/>
    </row>
    <row r="88" spans="1:17" x14ac:dyDescent="0.3">
      <c r="B88" s="36"/>
      <c r="C88" s="4"/>
      <c r="I88" s="46"/>
      <c r="J88" s="21"/>
      <c r="K88" s="21"/>
      <c r="Q88" s="18"/>
    </row>
    <row r="89" spans="1:17" x14ac:dyDescent="0.3">
      <c r="A89" t="s">
        <v>57</v>
      </c>
      <c r="B89" s="58">
        <f ca="1">B81/B87</f>
        <v>1.4184397163120567E-2</v>
      </c>
      <c r="C89" s="4"/>
      <c r="I89" s="46"/>
      <c r="J89" s="21"/>
      <c r="K89" s="21"/>
      <c r="Q89" s="18"/>
    </row>
    <row r="90" spans="1:17" x14ac:dyDescent="0.3">
      <c r="B90" s="36"/>
      <c r="C90" s="4"/>
      <c r="I90" s="46"/>
      <c r="J90" s="21"/>
      <c r="K90" s="21"/>
      <c r="Q90" s="18"/>
    </row>
    <row r="91" spans="1:17" x14ac:dyDescent="0.3">
      <c r="A91" t="s">
        <v>55</v>
      </c>
      <c r="B91" s="36">
        <f ca="1">J84</f>
        <v>27507.834999999999</v>
      </c>
      <c r="C91" s="4"/>
      <c r="I91" s="46"/>
      <c r="J91" s="21"/>
      <c r="K91" s="21"/>
      <c r="Q91" s="18"/>
    </row>
    <row r="92" spans="1:17" x14ac:dyDescent="0.3">
      <c r="B92" s="36"/>
      <c r="C92" s="4"/>
      <c r="E92" s="64"/>
      <c r="F92" s="38"/>
      <c r="G92" s="4"/>
      <c r="H92" s="60"/>
      <c r="I92" s="46"/>
      <c r="J92" s="72"/>
      <c r="K92" s="21"/>
      <c r="Q92" s="18"/>
    </row>
    <row r="93" spans="1:17" ht="15.6" x14ac:dyDescent="0.3">
      <c r="A93" t="s">
        <v>67</v>
      </c>
      <c r="B93" s="36">
        <f ca="1">B91*B89</f>
        <v>390.18205673758865</v>
      </c>
      <c r="C93" s="59" t="s">
        <v>31</v>
      </c>
      <c r="E93" s="4"/>
      <c r="G93" s="6"/>
      <c r="H93" s="38"/>
      <c r="I93" s="46"/>
      <c r="J93" s="38"/>
      <c r="K93" s="21"/>
      <c r="Q93" s="18"/>
    </row>
    <row r="94" spans="1:17" ht="15.6" x14ac:dyDescent="0.3">
      <c r="A94" t="s">
        <v>68</v>
      </c>
      <c r="B94" s="36">
        <f>IF(B6="Canadian Corporation",0,MIN($B$11,$B$5*15%))</f>
        <v>200</v>
      </c>
      <c r="C94" s="59" t="s">
        <v>32</v>
      </c>
      <c r="E94" s="5"/>
      <c r="G94" s="7"/>
      <c r="H94" s="38"/>
      <c r="I94" s="46"/>
      <c r="J94" s="38"/>
      <c r="K94" s="21"/>
      <c r="Q94" s="18"/>
    </row>
    <row r="95" spans="1:17" ht="15.6" x14ac:dyDescent="0.3">
      <c r="B95" s="36"/>
      <c r="C95" s="4"/>
      <c r="E95" s="5"/>
      <c r="G95" s="7"/>
      <c r="H95" s="38"/>
      <c r="I95" s="46"/>
      <c r="J95" s="38"/>
      <c r="K95" s="21"/>
      <c r="Q95" s="18"/>
    </row>
    <row r="96" spans="1:17" ht="15.6" x14ac:dyDescent="0.3">
      <c r="A96" t="s">
        <v>69</v>
      </c>
      <c r="B96" s="61">
        <f ca="1">MIN(B93,B94)</f>
        <v>200</v>
      </c>
      <c r="C96" s="59" t="s">
        <v>87</v>
      </c>
      <c r="E96" s="5"/>
      <c r="G96" s="7"/>
      <c r="H96" s="38"/>
      <c r="I96" s="46"/>
      <c r="J96" s="38"/>
      <c r="K96" s="21"/>
      <c r="Q96" s="18"/>
    </row>
    <row r="97" spans="1:17" ht="15.6" x14ac:dyDescent="0.3">
      <c r="B97" s="61"/>
      <c r="C97" s="4"/>
      <c r="E97" s="5"/>
      <c r="F97" s="5"/>
      <c r="G97" s="7"/>
      <c r="H97" s="38"/>
      <c r="I97" s="46"/>
      <c r="J97" s="38"/>
      <c r="K97" s="21"/>
      <c r="Q97" s="18"/>
    </row>
    <row r="98" spans="1:17" ht="15.6" x14ac:dyDescent="0.3">
      <c r="B98" s="61"/>
      <c r="C98" s="4"/>
      <c r="E98" s="13"/>
      <c r="F98" s="5"/>
      <c r="G98" s="4"/>
      <c r="H98" s="16"/>
      <c r="I98" s="46"/>
      <c r="J98" s="38"/>
      <c r="K98" s="21"/>
      <c r="Q98" s="18"/>
    </row>
    <row r="99" spans="1:17" x14ac:dyDescent="0.3">
      <c r="A99" s="19" t="s">
        <v>70</v>
      </c>
      <c r="B99" s="36"/>
      <c r="C99" s="4"/>
      <c r="H99" s="12"/>
      <c r="I99" s="46"/>
      <c r="J99" s="21"/>
      <c r="K99" s="21"/>
      <c r="L99" s="19"/>
      <c r="Q99" s="18"/>
    </row>
    <row r="100" spans="1:17" x14ac:dyDescent="0.3">
      <c r="A100" t="s">
        <v>56</v>
      </c>
      <c r="B100" s="36">
        <f ca="1">B81</f>
        <v>2000</v>
      </c>
      <c r="C100" s="4"/>
      <c r="D100" s="19" t="s">
        <v>71</v>
      </c>
      <c r="E100" s="13"/>
      <c r="F100" s="18"/>
      <c r="G100" s="4"/>
      <c r="H100" s="66" t="s">
        <v>65</v>
      </c>
      <c r="I100" s="46" t="s">
        <v>64</v>
      </c>
      <c r="J100" s="72" t="s">
        <v>66</v>
      </c>
      <c r="K100" s="52"/>
      <c r="Q100" s="18"/>
    </row>
    <row r="101" spans="1:17" ht="15.6" x14ac:dyDescent="0.3">
      <c r="A101" t="s">
        <v>23</v>
      </c>
      <c r="B101" s="38">
        <f ca="1">B87</f>
        <v>141000</v>
      </c>
      <c r="C101" s="4"/>
      <c r="D101" t="s">
        <v>9</v>
      </c>
      <c r="E101">
        <v>0</v>
      </c>
      <c r="F101" s="5">
        <f>C32</f>
        <v>31000</v>
      </c>
      <c r="G101" s="7">
        <f>D32</f>
        <v>0.108</v>
      </c>
      <c r="H101" s="12">
        <v>0</v>
      </c>
      <c r="I101" s="45">
        <f ca="1">IF(AND(($B$18+$B$5+$B$80)&gt;=E101,($B$18+$B$5+$B$80)&lt;F101),($B$18+$B$5+$B$80-E101)*G101,0)</f>
        <v>0</v>
      </c>
      <c r="J101" s="12">
        <f ca="1">(IF(I101=0,0,H101+I101))</f>
        <v>0</v>
      </c>
      <c r="K101" s="21"/>
      <c r="Q101" s="18"/>
    </row>
    <row r="102" spans="1:17" ht="15.6" x14ac:dyDescent="0.3">
      <c r="A102" t="s">
        <v>57</v>
      </c>
      <c r="B102" s="58">
        <f ca="1">B100/B101</f>
        <v>1.4184397163120567E-2</v>
      </c>
      <c r="C102" s="4"/>
      <c r="D102" t="s">
        <v>10</v>
      </c>
      <c r="E102" s="5">
        <f>F101</f>
        <v>31000</v>
      </c>
      <c r="F102" s="5">
        <f>C33</f>
        <v>67000</v>
      </c>
      <c r="G102" s="7">
        <f>D33</f>
        <v>0.1275</v>
      </c>
      <c r="H102" s="12">
        <f>(F101-E101)*G101</f>
        <v>3348</v>
      </c>
      <c r="I102" s="45">
        <f ca="1">IF(AND(($B$18+$B$5+$B$80)&gt;=E102,($B$18+$B$5+$B$80)&lt;F102),($B$18+$B$5+$B$80-E102)*G102,0)</f>
        <v>0</v>
      </c>
      <c r="J102" s="12">
        <f t="shared" ref="J102:J103" ca="1" si="3">(IF(I102=0,0,H102+I102))</f>
        <v>0</v>
      </c>
      <c r="K102" s="21"/>
      <c r="Q102" s="18"/>
    </row>
    <row r="103" spans="1:17" ht="15.6" x14ac:dyDescent="0.3">
      <c r="B103" s="36"/>
      <c r="C103" s="4"/>
      <c r="D103" t="s">
        <v>10</v>
      </c>
      <c r="E103" s="27">
        <f>F102</f>
        <v>67000</v>
      </c>
      <c r="F103" s="5"/>
      <c r="G103" s="7">
        <f>D34</f>
        <v>0.17399999999999999</v>
      </c>
      <c r="H103" s="12">
        <f>((F102-E102)*G102)+H102</f>
        <v>7938</v>
      </c>
      <c r="I103" s="45">
        <f ca="1">IF(($B$18+$B$5+$B$80)&gt;=E103,($B$18+$B$5+$B$80-E103)*G103,0)</f>
        <v>12876</v>
      </c>
      <c r="J103" s="53">
        <f t="shared" ca="1" si="3"/>
        <v>20814</v>
      </c>
      <c r="K103" s="21"/>
      <c r="Q103" s="18"/>
    </row>
    <row r="104" spans="1:17" ht="15.6" x14ac:dyDescent="0.3">
      <c r="A104" t="s">
        <v>71</v>
      </c>
      <c r="B104" s="36">
        <f ca="1">J106</f>
        <v>19827.527999999998</v>
      </c>
      <c r="C104" s="4"/>
      <c r="E104" s="5"/>
      <c r="F104" s="18"/>
      <c r="G104" s="4"/>
      <c r="H104" s="20"/>
      <c r="I104" s="46"/>
      <c r="J104" s="52">
        <f ca="1">SUM(J101:J103)</f>
        <v>20814</v>
      </c>
      <c r="K104" s="21"/>
      <c r="Q104" s="18"/>
    </row>
    <row r="105" spans="1:17" ht="15.6" x14ac:dyDescent="0.3">
      <c r="B105" s="36"/>
      <c r="C105" s="4"/>
      <c r="E105" s="5"/>
      <c r="F105" s="18"/>
      <c r="G105" s="62" t="s">
        <v>35</v>
      </c>
      <c r="H105" s="13">
        <f>B36</f>
        <v>9134</v>
      </c>
      <c r="I105" s="76">
        <f>D32</f>
        <v>0.108</v>
      </c>
      <c r="J105" s="53">
        <f ca="1">IF(($B$5+$B$18+$B$80)&lt;H105,($B$5+$B$18+$B$80)*I105,H105*I105)</f>
        <v>986.47199999999998</v>
      </c>
      <c r="K105" s="21"/>
      <c r="Q105" s="18"/>
    </row>
    <row r="106" spans="1:17" x14ac:dyDescent="0.3">
      <c r="A106" t="s">
        <v>67</v>
      </c>
      <c r="B106" s="36">
        <f ca="1">B104*B102</f>
        <v>281.24153191489359</v>
      </c>
      <c r="C106" s="59" t="s">
        <v>31</v>
      </c>
      <c r="E106" s="13"/>
      <c r="F106" s="21"/>
      <c r="G106" s="4"/>
      <c r="H106" s="4"/>
      <c r="I106" s="46"/>
      <c r="J106" s="13">
        <f ca="1">IF((J104-J105)&lt;=0,0,J104-J105)</f>
        <v>19827.527999999998</v>
      </c>
      <c r="K106" s="21"/>
      <c r="Q106" s="18"/>
    </row>
    <row r="107" spans="1:17" x14ac:dyDescent="0.3">
      <c r="B107" s="36"/>
      <c r="C107" s="59"/>
      <c r="E107" s="13"/>
      <c r="K107" s="21"/>
      <c r="Q107" s="18"/>
    </row>
    <row r="108" spans="1:17" x14ac:dyDescent="0.3">
      <c r="A108" t="s">
        <v>68</v>
      </c>
      <c r="B108" s="36">
        <f>B94</f>
        <v>200</v>
      </c>
      <c r="E108" s="35"/>
      <c r="K108" s="21"/>
    </row>
    <row r="109" spans="1:17" x14ac:dyDescent="0.3">
      <c r="A109" t="s">
        <v>78</v>
      </c>
      <c r="B109" s="37">
        <f ca="1">-B96</f>
        <v>-200</v>
      </c>
      <c r="C109" s="59"/>
      <c r="F109" s="38"/>
      <c r="G109" s="63"/>
      <c r="H109" s="18"/>
      <c r="I109" s="46"/>
      <c r="J109" s="48"/>
      <c r="K109" s="21"/>
    </row>
    <row r="110" spans="1:17" x14ac:dyDescent="0.3">
      <c r="B110" s="36">
        <f ca="1">SUM(B108:B109)</f>
        <v>0</v>
      </c>
      <c r="C110" s="59" t="s">
        <v>32</v>
      </c>
      <c r="G110" s="18"/>
      <c r="H110" s="18"/>
      <c r="I110" s="46"/>
      <c r="J110" s="12"/>
      <c r="K110" s="21"/>
    </row>
    <row r="111" spans="1:17" x14ac:dyDescent="0.3">
      <c r="B111" s="36"/>
      <c r="C111" s="4"/>
      <c r="H111" s="18"/>
      <c r="I111" s="46"/>
      <c r="J111" s="52"/>
      <c r="K111" s="51"/>
      <c r="L111" s="16"/>
    </row>
    <row r="112" spans="1:17" x14ac:dyDescent="0.3">
      <c r="A112" t="s">
        <v>72</v>
      </c>
      <c r="B112" s="61">
        <f ca="1">MIN(B106,B110)</f>
        <v>0</v>
      </c>
      <c r="C112" s="59" t="s">
        <v>87</v>
      </c>
      <c r="I112" s="46"/>
      <c r="J112" s="21"/>
      <c r="K112" s="51"/>
      <c r="L112" s="16"/>
    </row>
    <row r="113" spans="1:13" x14ac:dyDescent="0.3">
      <c r="B113" s="36"/>
      <c r="C113" s="4"/>
      <c r="I113" s="46"/>
      <c r="J113" s="21"/>
      <c r="K113" s="51"/>
      <c r="L113" s="16"/>
    </row>
    <row r="114" spans="1:13" x14ac:dyDescent="0.3">
      <c r="A114" t="s">
        <v>86</v>
      </c>
      <c r="B114" s="61">
        <f ca="1">B94-B96-B112</f>
        <v>0</v>
      </c>
      <c r="C114" s="59" t="s">
        <v>88</v>
      </c>
      <c r="G114" s="18"/>
      <c r="H114" s="18"/>
      <c r="I114" s="46"/>
      <c r="J114" s="52"/>
      <c r="K114" s="51"/>
      <c r="L114" s="16"/>
    </row>
    <row r="115" spans="1:13" x14ac:dyDescent="0.3">
      <c r="B115" s="36"/>
      <c r="C115" s="4"/>
      <c r="G115" s="18"/>
      <c r="H115" s="18"/>
      <c r="I115" s="46"/>
      <c r="J115" s="52"/>
      <c r="K115" s="51"/>
      <c r="L115" s="16"/>
    </row>
    <row r="116" spans="1:13" x14ac:dyDescent="0.3">
      <c r="A116" s="2" t="s">
        <v>12</v>
      </c>
      <c r="G116" s="18"/>
      <c r="H116" s="48"/>
      <c r="I116" s="74"/>
      <c r="J116" s="48"/>
      <c r="K116" s="47"/>
      <c r="L116" s="16"/>
    </row>
    <row r="117" spans="1:13" x14ac:dyDescent="0.3">
      <c r="B117" s="11"/>
      <c r="C117" t="s">
        <v>13</v>
      </c>
      <c r="G117" s="18"/>
      <c r="H117" s="48"/>
      <c r="I117" s="79"/>
      <c r="J117" s="48"/>
      <c r="K117" s="47"/>
      <c r="L117" s="16"/>
    </row>
    <row r="118" spans="1:13" x14ac:dyDescent="0.3">
      <c r="B118" s="36"/>
      <c r="C118" s="4"/>
      <c r="H118" s="45"/>
      <c r="I118" s="46"/>
      <c r="J118" s="46"/>
      <c r="K118" s="46"/>
      <c r="L118" s="16"/>
    </row>
    <row r="119" spans="1:13" x14ac:dyDescent="0.3">
      <c r="A119" t="s">
        <v>20</v>
      </c>
      <c r="B119" s="36">
        <f ca="1">IF(AND((B5+B80+B18)&gt;=B22,(B5+B80+B18)&lt;=C22),(B5+B80)*D22,IF(AND((B5+B80+B18)&gt;B23,(B5+B80+B18)&lt;=C23),IF((B5+B80+B18-B23)&gt;(B5+B80),(B5+B80)*D23,((B5+B80+B18-B23)*D23)+((B5+B80-(B5+B80+B18-B23))*D22)),IF(AND((B5+B80+B18)&gt;B24,(B5+B80+B18)&lt;=C24),IF((B5+B80+B18-B24)&gt;(B5+B80),(B5+B80)*D24,IF((B5+B80+B18-B23)&gt;(B5+B80),(((B5+B80+B18-B24)*D24)+((B5+B80-(B5+B80+B18-B24))*D23)),((B5+B80+B18-B24)*D24)+((C23-B23)*D23)+((B5+B80-(B5+B80+B18-B23))*D22))),IF(AND((B5+B80+B18)&gt;B25,(B5+B80+B18)&lt;=C25),IF((B5+B80+B18-B25)&gt;(B5+B80),(B5+B80)*D25,IF((B5+B80+B18-B24)&gt;(B5+B80),((B5+B80+B18-B25)*D25)+(((B5+B80-(B5+B80+B18-B25))*D24)),IF((B5+B80+B18-B23)&gt;(B5+B80),(((B5+B80+B18-B25)*D25)+((C24-B24)*D24)+((B5+B80-(B5+B80+B18-B24))*D23)),((B5+B80+B18-B25)*D25)+((C24-B24)*D24)+((C23-B23)*D23)+((B5+B80-(B5+B80+B18-B23))*D22)))),IF((B5+B80+B18)&gt;B26,IF((B5+B80+B18-B26)&gt;(B5+B80),(B5+B80)*D26,IF((B5+B80+B18-B25)&gt;(B5+B80),(((B5+B80+B18-B26)*D26)+((B5+B80-(B5+B80+B18-B26))*D25)),IF((B5+B80+B18-B24)&gt;(B5+B80),(((B5+B80+B18-B26)*D26)+((C25-B25)*D25)+((B5+B80-(B5+B80+B18-B25))*D24)),IF((B5+B80+B18-B23)&gt;(B5+B80),(((B5+B80+B18-B26)*D26)+((C25-B25)*D25)+((C24-B24)*D24)+((B5+B80-(B5+B80+B18-B24))*D23)),((B5+B80+B18-B26)*D26)+((C25-B25)*D25)+((C24-B24)*D24)+((C23-B23)*D23)+((B5+B80-(B5+B80+B18-B23))*D22))))))))))</f>
        <v>538.36</v>
      </c>
      <c r="C119" t="s">
        <v>15</v>
      </c>
      <c r="G119" s="29"/>
      <c r="H119" s="46"/>
      <c r="I119" s="46"/>
      <c r="J119" s="46"/>
      <c r="K119" s="46"/>
      <c r="L119" s="13"/>
    </row>
    <row r="120" spans="1:13" x14ac:dyDescent="0.3">
      <c r="B120" s="36">
        <f>-IF(B18&gt;=B28,0,IF(B18&lt;B28,IF((B18+B5+B80)&gt;B28,(B28-B18)*D22,((B5+B80)*D22))))</f>
        <v>0</v>
      </c>
      <c r="C120" t="s">
        <v>34</v>
      </c>
      <c r="G120" s="29"/>
      <c r="H120" s="75"/>
      <c r="I120" s="46"/>
      <c r="J120" s="48"/>
      <c r="K120" s="47"/>
      <c r="L120" s="16"/>
    </row>
    <row r="121" spans="1:13" x14ac:dyDescent="0.3">
      <c r="B121" s="36">
        <f ca="1">-B66</f>
        <v>0</v>
      </c>
      <c r="C121" t="s">
        <v>49</v>
      </c>
      <c r="G121" s="29"/>
      <c r="H121" s="21"/>
      <c r="I121" s="52"/>
      <c r="J121" s="52"/>
      <c r="K121" s="51"/>
      <c r="L121" s="16"/>
    </row>
    <row r="122" spans="1:13" x14ac:dyDescent="0.3">
      <c r="B122" s="36">
        <f ca="1">IF(B96=0,0,-MIN(B96,SUM(B119:B121)))</f>
        <v>-200</v>
      </c>
      <c r="C122" t="s">
        <v>79</v>
      </c>
      <c r="G122" s="29"/>
      <c r="H122" s="21"/>
      <c r="I122" s="52"/>
      <c r="J122" s="52"/>
      <c r="K122" s="51"/>
      <c r="L122" s="16"/>
    </row>
    <row r="123" spans="1:13" x14ac:dyDescent="0.3">
      <c r="B123" s="36">
        <f ca="1">IF(AND((B5+B80+B18)&gt;=B32,(B5+B80+B18)&lt;=C32),(B5+B80)*D32,IF(AND((B5+B80+B18)&gt;B33,(B5+B80+B18)&lt;=C33),IF((B5+B80+B18-B33)&gt;(B5+B80),(B5+B80)*D33,((B5+B80+B18-B33)*D33)+((B5+B80-(B5+B80+B18-B33))*D32)),IF((B5+B80+B18)&gt;B34,IF((B5+B80+B18-B34)&gt;(B5+B80),(B5+B80)*D34,IF((B5+B80+B18-B33)&gt;(B5+B80),(((B5+B80+B18-B34)*D34)+((B5+B80-(B5+B80+B18-B34))*D33)),((B5+B80+B18-B34)*D34)+((C33-B33)*D33)+((B5+B80-(B5+B80+B18-B33))*D32))))))</f>
        <v>348</v>
      </c>
      <c r="C123" t="s">
        <v>16</v>
      </c>
      <c r="G123" s="29"/>
      <c r="H123" s="21"/>
      <c r="I123" s="52"/>
      <c r="J123" s="52"/>
      <c r="K123" s="21"/>
    </row>
    <row r="124" spans="1:13" x14ac:dyDescent="0.3">
      <c r="B124" s="36">
        <f>-IF(B18&gt;=B36,0,IF(B18&lt;B36,IF((B18+B5+B80)&gt;B36,(B36-B18)*D32,((B5+B80)*D32))))</f>
        <v>0</v>
      </c>
      <c r="C124" t="s">
        <v>36</v>
      </c>
      <c r="G124" s="29"/>
      <c r="H124"/>
      <c r="I124" s="21"/>
      <c r="J124" s="52"/>
      <c r="K124" s="51"/>
      <c r="L124" s="13"/>
    </row>
    <row r="125" spans="1:13" x14ac:dyDescent="0.3">
      <c r="B125" s="36">
        <f ca="1">-B71</f>
        <v>0</v>
      </c>
      <c r="C125" t="s">
        <v>51</v>
      </c>
      <c r="G125" s="29"/>
      <c r="H125"/>
      <c r="I125" s="21"/>
      <c r="J125" s="21"/>
      <c r="K125" s="21"/>
    </row>
    <row r="126" spans="1:13" x14ac:dyDescent="0.3">
      <c r="B126" s="38">
        <f ca="1">IF(B112=0,0,-MIN(B112,SUM(B123,B124,B125)))</f>
        <v>0</v>
      </c>
      <c r="C126" t="s">
        <v>80</v>
      </c>
      <c r="G126" s="29"/>
      <c r="H126"/>
      <c r="I126" s="12"/>
      <c r="J126" s="52"/>
      <c r="K126" s="21"/>
      <c r="L126" s="13"/>
    </row>
    <row r="127" spans="1:13" x14ac:dyDescent="0.3">
      <c r="B127" s="37">
        <f>B51</f>
        <v>0</v>
      </c>
      <c r="C127" t="s">
        <v>101</v>
      </c>
      <c r="G127" s="29"/>
      <c r="H127"/>
      <c r="I127" s="12"/>
      <c r="J127" s="52"/>
      <c r="K127" s="21"/>
      <c r="L127" s="13"/>
    </row>
    <row r="128" spans="1:13" x14ac:dyDescent="0.3">
      <c r="A128" s="10" t="s">
        <v>22</v>
      </c>
      <c r="B128" s="77">
        <f ca="1">SUM(B119:B127)</f>
        <v>686.36</v>
      </c>
      <c r="F128" s="46"/>
      <c r="I128" s="21"/>
      <c r="J128" s="21"/>
      <c r="K128" s="48"/>
      <c r="L128" s="47"/>
      <c r="M128" s="46"/>
    </row>
    <row r="129" spans="1:17" x14ac:dyDescent="0.3">
      <c r="E129" s="18"/>
      <c r="F129" s="48"/>
      <c r="K129" s="46"/>
      <c r="L129" s="46"/>
      <c r="M129" s="46"/>
      <c r="Q129" s="15"/>
    </row>
    <row r="130" spans="1:17" x14ac:dyDescent="0.3">
      <c r="B130" s="13"/>
      <c r="F130" s="46"/>
      <c r="K130" s="46"/>
      <c r="L130" s="46"/>
      <c r="M130" s="46"/>
    </row>
    <row r="131" spans="1:17" x14ac:dyDescent="0.3">
      <c r="A131" s="19" t="s">
        <v>39</v>
      </c>
      <c r="B131" s="13"/>
      <c r="F131" s="46"/>
      <c r="K131" s="46"/>
      <c r="L131" s="46"/>
      <c r="M131" s="46"/>
    </row>
    <row r="132" spans="1:17" x14ac:dyDescent="0.3">
      <c r="A132" t="s">
        <v>117</v>
      </c>
      <c r="B132" s="36">
        <f ca="1">SUM(B119:B122)</f>
        <v>338.36</v>
      </c>
      <c r="F132" s="46"/>
      <c r="K132" s="46"/>
      <c r="L132" s="46"/>
      <c r="M132" s="46"/>
    </row>
    <row r="133" spans="1:17" x14ac:dyDescent="0.3">
      <c r="A133" t="s">
        <v>120</v>
      </c>
      <c r="B133" s="38">
        <f ca="1">SUM(B123:B126)</f>
        <v>348</v>
      </c>
      <c r="F133" s="46"/>
      <c r="K133" s="46"/>
      <c r="L133" s="46"/>
      <c r="M133" s="46"/>
    </row>
    <row r="134" spans="1:17" x14ac:dyDescent="0.3">
      <c r="A134" t="s">
        <v>121</v>
      </c>
      <c r="B134" s="37">
        <f>B127</f>
        <v>0</v>
      </c>
      <c r="F134" s="46"/>
      <c r="K134" s="46"/>
      <c r="L134" s="46"/>
      <c r="M134" s="46"/>
    </row>
    <row r="135" spans="1:17" x14ac:dyDescent="0.3">
      <c r="B135" s="36">
        <f ca="1">SUM(B132:B134)</f>
        <v>686.36</v>
      </c>
      <c r="F135" s="46"/>
      <c r="K135" s="46"/>
      <c r="L135" s="46"/>
      <c r="M135" s="46"/>
    </row>
    <row r="136" spans="1:17" x14ac:dyDescent="0.3">
      <c r="B136" s="13"/>
      <c r="F136" s="46"/>
      <c r="K136" s="46"/>
      <c r="L136" s="46"/>
      <c r="M136" s="46"/>
    </row>
    <row r="137" spans="1:17" x14ac:dyDescent="0.3">
      <c r="B137" s="15"/>
      <c r="F137" s="46"/>
      <c r="K137" s="48"/>
      <c r="L137" s="46"/>
      <c r="M137" s="48"/>
      <c r="N137" s="18"/>
    </row>
    <row r="138" spans="1:17" x14ac:dyDescent="0.3">
      <c r="F138" s="46"/>
      <c r="K138" s="46"/>
      <c r="L138" s="46"/>
      <c r="M138" s="46"/>
    </row>
    <row r="139" spans="1:17" x14ac:dyDescent="0.3">
      <c r="F139" s="46"/>
      <c r="K139" s="46"/>
      <c r="L139" s="46"/>
      <c r="M139" s="46"/>
    </row>
    <row r="140" spans="1:17" x14ac:dyDescent="0.3">
      <c r="F140" s="46"/>
      <c r="G140" s="46"/>
      <c r="H140" s="45"/>
      <c r="I140" s="46"/>
      <c r="J140" s="46"/>
      <c r="K140" s="46"/>
      <c r="L140" s="46"/>
      <c r="M140" s="46"/>
    </row>
    <row r="141" spans="1:17" x14ac:dyDescent="0.3">
      <c r="H141" s="12"/>
    </row>
    <row r="143" spans="1:17" x14ac:dyDescent="0.3">
      <c r="H143" s="39"/>
      <c r="M143" s="22"/>
    </row>
  </sheetData>
  <dataValidations disablePrompts="1" count="4">
    <dataValidation type="list" allowBlank="1" showInputMessage="1" showErrorMessage="1" sqref="B7">
      <formula1>$E$1:$E$2</formula1>
    </dataValidation>
    <dataValidation type="list" allowBlank="1" showInputMessage="1" showErrorMessage="1" sqref="B6">
      <formula1>$F$1:$F$2</formula1>
    </dataValidation>
    <dataValidation type="list" allowBlank="1" showInputMessage="1" showErrorMessage="1" sqref="B10">
      <formula1>$E$4:$E$5</formula1>
    </dataValidation>
    <dataValidation type="list" allowBlank="1" showInputMessage="1" showErrorMessage="1" sqref="B14">
      <formula1>$H$1:$H$18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4" zoomScale="85" zoomScaleNormal="85" workbookViewId="0">
      <selection activeCell="B17" sqref="B17:D32"/>
    </sheetView>
  </sheetViews>
  <sheetFormatPr defaultRowHeight="14.4" x14ac:dyDescent="0.3"/>
  <cols>
    <col min="1" max="1" width="39" customWidth="1"/>
    <col min="2" max="2" width="14.109375" customWidth="1"/>
    <col min="3" max="3" width="11.6640625" customWidth="1"/>
    <col min="4" max="4" width="11.88671875" customWidth="1"/>
    <col min="5" max="5" width="10.5546875" bestFit="1" customWidth="1"/>
    <col min="6" max="7" width="10.5546875" customWidth="1"/>
    <col min="8" max="8" width="16.88671875" style="13" customWidth="1"/>
    <col min="9" max="9" width="11.6640625" bestFit="1" customWidth="1"/>
    <col min="10" max="10" width="13.5546875" bestFit="1" customWidth="1"/>
    <col min="11" max="11" width="12" bestFit="1" customWidth="1"/>
    <col min="12" max="12" width="11.33203125" bestFit="1" customWidth="1"/>
    <col min="13" max="13" width="12.33203125" bestFit="1" customWidth="1"/>
    <col min="17" max="17" width="9.5546875" bestFit="1" customWidth="1"/>
  </cols>
  <sheetData>
    <row r="1" spans="1:14" x14ac:dyDescent="0.3">
      <c r="B1" s="1"/>
      <c r="C1" t="s">
        <v>0</v>
      </c>
      <c r="E1" t="s">
        <v>24</v>
      </c>
      <c r="F1" t="s">
        <v>30</v>
      </c>
      <c r="I1" s="30" t="s">
        <v>33</v>
      </c>
    </row>
    <row r="2" spans="1:14" x14ac:dyDescent="0.3">
      <c r="A2" s="2" t="s">
        <v>1</v>
      </c>
      <c r="E2" t="s">
        <v>25</v>
      </c>
      <c r="F2" t="s">
        <v>29</v>
      </c>
      <c r="I2" s="30" t="s">
        <v>73</v>
      </c>
    </row>
    <row r="3" spans="1:14" x14ac:dyDescent="0.3">
      <c r="A3" s="3" t="s">
        <v>92</v>
      </c>
      <c r="H3" s="45"/>
      <c r="I3" s="45"/>
      <c r="J3" s="48"/>
      <c r="K3" s="46"/>
      <c r="L3" s="21"/>
      <c r="M3" s="21"/>
      <c r="N3" s="21"/>
    </row>
    <row r="4" spans="1:14" x14ac:dyDescent="0.3">
      <c r="E4" t="s">
        <v>58</v>
      </c>
      <c r="F4" t="s">
        <v>24</v>
      </c>
      <c r="H4" s="46"/>
      <c r="I4" s="45"/>
      <c r="J4" s="45"/>
      <c r="K4" s="48"/>
      <c r="L4" s="21"/>
      <c r="M4" s="21"/>
      <c r="N4" s="21"/>
    </row>
    <row r="5" spans="1:14" x14ac:dyDescent="0.3">
      <c r="A5" t="s">
        <v>52</v>
      </c>
      <c r="B5" s="55">
        <v>2000</v>
      </c>
      <c r="E5" t="s">
        <v>59</v>
      </c>
      <c r="F5" t="s">
        <v>25</v>
      </c>
      <c r="H5" s="21"/>
      <c r="I5" s="36"/>
      <c r="J5" s="36"/>
      <c r="K5" s="36"/>
      <c r="L5" s="21"/>
      <c r="M5" s="21"/>
      <c r="N5" s="21"/>
    </row>
    <row r="6" spans="1:14" x14ac:dyDescent="0.3">
      <c r="A6" s="28" t="s">
        <v>60</v>
      </c>
      <c r="B6" s="1" t="s">
        <v>58</v>
      </c>
      <c r="D6" s="46"/>
      <c r="E6" s="46"/>
      <c r="F6" s="45"/>
      <c r="G6" s="46"/>
      <c r="H6" s="74"/>
      <c r="I6" s="74"/>
      <c r="J6" s="78"/>
      <c r="K6" s="78"/>
      <c r="L6" s="78"/>
      <c r="M6" s="78"/>
      <c r="N6" s="21"/>
    </row>
    <row r="7" spans="1:14" x14ac:dyDescent="0.3">
      <c r="A7" s="28" t="s">
        <v>61</v>
      </c>
      <c r="B7" s="1">
        <v>200</v>
      </c>
      <c r="D7" s="46"/>
      <c r="E7" s="46"/>
      <c r="F7" s="45"/>
      <c r="G7" s="46"/>
      <c r="H7" s="74"/>
      <c r="I7" s="74"/>
      <c r="J7" s="78"/>
      <c r="K7" s="78"/>
      <c r="L7" s="78"/>
      <c r="M7" s="78"/>
      <c r="N7" s="21"/>
    </row>
    <row r="8" spans="1:14" s="21" customFormat="1" x14ac:dyDescent="0.3">
      <c r="A8" s="56"/>
      <c r="B8"/>
      <c r="D8" s="46"/>
      <c r="E8" s="46"/>
      <c r="F8" s="45"/>
      <c r="G8" s="46"/>
      <c r="H8" s="74"/>
      <c r="I8" s="74"/>
      <c r="J8" s="78"/>
      <c r="K8" s="78"/>
      <c r="L8" s="78"/>
      <c r="M8" s="78"/>
    </row>
    <row r="9" spans="1:14" x14ac:dyDescent="0.3">
      <c r="A9" s="2" t="s">
        <v>4</v>
      </c>
      <c r="D9" s="46"/>
      <c r="E9" s="46"/>
      <c r="F9" s="45"/>
      <c r="G9" s="74"/>
      <c r="H9" s="74"/>
      <c r="I9" s="74"/>
      <c r="J9" s="38"/>
      <c r="K9" s="38"/>
      <c r="L9" s="46"/>
      <c r="M9" s="46"/>
      <c r="N9" s="21"/>
    </row>
    <row r="10" spans="1:14" x14ac:dyDescent="0.3">
      <c r="A10" t="s">
        <v>5</v>
      </c>
      <c r="B10" s="1" t="s">
        <v>93</v>
      </c>
      <c r="D10" s="46"/>
      <c r="E10" s="46"/>
      <c r="F10" s="45"/>
      <c r="G10" s="46"/>
      <c r="H10" s="74"/>
      <c r="I10" s="74"/>
      <c r="J10" s="46"/>
      <c r="K10" s="46"/>
      <c r="L10" s="46"/>
      <c r="M10" s="46"/>
      <c r="N10" s="21"/>
    </row>
    <row r="11" spans="1:14" x14ac:dyDescent="0.3">
      <c r="D11" s="46"/>
      <c r="E11" s="46"/>
      <c r="F11" s="46"/>
      <c r="G11" s="46"/>
      <c r="H11" s="74"/>
      <c r="I11" s="74"/>
      <c r="J11" s="46"/>
      <c r="K11" s="46"/>
      <c r="L11" s="46"/>
      <c r="M11" s="46"/>
      <c r="N11" s="21"/>
    </row>
    <row r="12" spans="1:14" x14ac:dyDescent="0.3">
      <c r="D12" s="46"/>
      <c r="E12" s="46"/>
      <c r="F12" s="76"/>
      <c r="G12" s="46"/>
      <c r="H12" s="74"/>
      <c r="I12" s="74"/>
      <c r="J12" s="46"/>
      <c r="K12" s="46"/>
      <c r="L12" s="46"/>
      <c r="M12" s="46"/>
      <c r="N12" s="21"/>
    </row>
    <row r="13" spans="1:14" x14ac:dyDescent="0.3">
      <c r="D13" s="46"/>
      <c r="E13" s="46"/>
      <c r="F13" s="46"/>
      <c r="G13" s="74"/>
      <c r="H13" s="74"/>
      <c r="I13" s="74"/>
      <c r="J13" s="46"/>
      <c r="K13" s="46"/>
      <c r="L13" s="46"/>
      <c r="M13" s="46"/>
      <c r="N13" s="21"/>
    </row>
    <row r="14" spans="1:14" x14ac:dyDescent="0.3">
      <c r="A14" t="s">
        <v>6</v>
      </c>
      <c r="B14" s="1">
        <v>139000</v>
      </c>
      <c r="L14" s="21"/>
      <c r="M14" s="21"/>
      <c r="N14" s="21"/>
    </row>
    <row r="15" spans="1:14" x14ac:dyDescent="0.3">
      <c r="A15" s="2" t="s">
        <v>7</v>
      </c>
      <c r="F15" s="21"/>
      <c r="G15" s="21"/>
      <c r="H15" s="12"/>
      <c r="I15" s="21"/>
    </row>
    <row r="16" spans="1:14" x14ac:dyDescent="0.3">
      <c r="A16" s="3" t="s">
        <v>8</v>
      </c>
      <c r="F16" s="21"/>
      <c r="G16" s="21"/>
      <c r="H16" s="12"/>
      <c r="I16" s="21"/>
    </row>
    <row r="17" spans="1:14" x14ac:dyDescent="0.3">
      <c r="B17" s="91" t="s">
        <v>21</v>
      </c>
      <c r="C17" s="21"/>
      <c r="D17" s="21"/>
      <c r="F17" s="91"/>
      <c r="G17" s="21"/>
      <c r="H17" s="21"/>
      <c r="I17" s="21"/>
    </row>
    <row r="18" spans="1:14" ht="15.6" x14ac:dyDescent="0.3">
      <c r="A18" t="s">
        <v>9</v>
      </c>
      <c r="B18" s="51">
        <v>0</v>
      </c>
      <c r="C18" s="27">
        <v>45282</v>
      </c>
      <c r="D18" s="92">
        <v>0.15</v>
      </c>
      <c r="F18" s="51"/>
      <c r="G18" s="27"/>
      <c r="H18" s="92"/>
      <c r="I18" s="21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5">
        <v>0.20499999999999999</v>
      </c>
      <c r="F19" s="27"/>
      <c r="G19" s="27"/>
      <c r="H19" s="65"/>
      <c r="I19" s="21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5">
        <v>0.26</v>
      </c>
      <c r="F20" s="27"/>
      <c r="G20" s="27"/>
      <c r="H20" s="65"/>
      <c r="I20" s="21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5">
        <v>0.28999999999999998</v>
      </c>
      <c r="F21" s="27"/>
      <c r="G21" s="27"/>
      <c r="H21" s="65"/>
      <c r="I21" s="21"/>
      <c r="N21" s="7"/>
    </row>
    <row r="22" spans="1:14" ht="15.6" x14ac:dyDescent="0.3">
      <c r="B22" s="27">
        <f>C21</f>
        <v>200000</v>
      </c>
      <c r="C22" s="21"/>
      <c r="D22" s="65">
        <v>0.33</v>
      </c>
      <c r="F22" s="27"/>
      <c r="G22" s="21"/>
      <c r="H22" s="65"/>
      <c r="I22" s="21"/>
      <c r="N22" s="7"/>
    </row>
    <row r="23" spans="1:14" x14ac:dyDescent="0.3">
      <c r="B23" s="21"/>
      <c r="C23" s="91" t="s">
        <v>21</v>
      </c>
      <c r="D23" s="21"/>
      <c r="F23" s="21"/>
      <c r="G23" s="21"/>
      <c r="H23" s="12"/>
      <c r="I23" s="21"/>
    </row>
    <row r="24" spans="1:14" ht="15.6" x14ac:dyDescent="0.3">
      <c r="A24" t="s">
        <v>38</v>
      </c>
      <c r="B24" s="27">
        <v>11327</v>
      </c>
      <c r="C24" s="27">
        <v>11474</v>
      </c>
      <c r="D24" s="21"/>
      <c r="F24" s="21"/>
      <c r="G24" s="51"/>
      <c r="H24" s="12"/>
      <c r="I24" s="21"/>
    </row>
    <row r="25" spans="1:14" x14ac:dyDescent="0.3">
      <c r="B25" s="21"/>
      <c r="C25" s="21"/>
      <c r="D25" s="21"/>
      <c r="F25" s="21"/>
      <c r="G25" s="21"/>
      <c r="H25" s="12"/>
      <c r="I25" s="21"/>
    </row>
    <row r="26" spans="1:14" x14ac:dyDescent="0.3">
      <c r="A26" s="3" t="s">
        <v>11</v>
      </c>
      <c r="B26" s="21"/>
      <c r="C26" s="21"/>
      <c r="D26" s="21"/>
      <c r="F26" s="21"/>
      <c r="G26" s="21"/>
      <c r="H26" s="12"/>
      <c r="I26" s="21"/>
    </row>
    <row r="27" spans="1:14" x14ac:dyDescent="0.3">
      <c r="A27" s="10" t="s">
        <v>94</v>
      </c>
      <c r="B27" s="91" t="s">
        <v>21</v>
      </c>
      <c r="C27" s="21"/>
      <c r="D27" s="21"/>
      <c r="F27" s="91"/>
      <c r="G27" s="21"/>
      <c r="H27" s="21"/>
      <c r="I27" s="46"/>
      <c r="J27" s="32"/>
      <c r="K27" s="69"/>
    </row>
    <row r="28" spans="1:14" ht="15.6" x14ac:dyDescent="0.3">
      <c r="A28" t="s">
        <v>9</v>
      </c>
      <c r="B28" s="21">
        <v>0</v>
      </c>
      <c r="C28" s="27">
        <v>31000</v>
      </c>
      <c r="D28" s="65">
        <v>0.108</v>
      </c>
      <c r="F28" s="21"/>
      <c r="G28" s="27"/>
      <c r="H28" s="65"/>
      <c r="I28" s="46"/>
      <c r="J28" s="65"/>
      <c r="K28" s="21"/>
    </row>
    <row r="29" spans="1:14" ht="15.6" x14ac:dyDescent="0.3">
      <c r="A29" t="s">
        <v>10</v>
      </c>
      <c r="B29" s="27">
        <f>C28</f>
        <v>31000</v>
      </c>
      <c r="C29" s="27">
        <v>67000</v>
      </c>
      <c r="D29" s="65">
        <v>0.1275</v>
      </c>
      <c r="F29" s="27"/>
      <c r="G29" s="27"/>
      <c r="H29" s="65"/>
      <c r="I29" s="46"/>
      <c r="J29" s="70"/>
      <c r="K29" s="52"/>
      <c r="L29" s="15"/>
    </row>
    <row r="30" spans="1:14" ht="15.6" x14ac:dyDescent="0.3">
      <c r="A30" t="s">
        <v>10</v>
      </c>
      <c r="B30" s="27">
        <f>C29</f>
        <v>67000</v>
      </c>
      <c r="C30" s="27"/>
      <c r="D30" s="65">
        <v>0.17399999999999999</v>
      </c>
      <c r="F30" s="27"/>
      <c r="G30" s="27"/>
      <c r="H30" s="65"/>
      <c r="I30" s="46"/>
      <c r="J30" s="70"/>
      <c r="K30" s="51"/>
      <c r="L30" s="13"/>
      <c r="N30" s="18"/>
    </row>
    <row r="31" spans="1:14" x14ac:dyDescent="0.3">
      <c r="B31" s="21"/>
      <c r="C31" s="91"/>
      <c r="D31" s="21"/>
      <c r="F31" s="21"/>
      <c r="G31" s="21"/>
      <c r="H31" s="44"/>
      <c r="I31" s="46"/>
      <c r="J31" s="71"/>
      <c r="K31" s="20"/>
      <c r="L31" s="26"/>
    </row>
    <row r="32" spans="1:14" ht="15.6" x14ac:dyDescent="0.3">
      <c r="A32" t="s">
        <v>36</v>
      </c>
      <c r="B32" s="27">
        <v>9134</v>
      </c>
      <c r="C32" s="27"/>
      <c r="D32" s="21"/>
      <c r="F32" s="21"/>
      <c r="G32" s="21"/>
      <c r="H32" s="44"/>
      <c r="I32" s="46"/>
      <c r="J32" s="71"/>
      <c r="K32" s="20"/>
      <c r="L32" s="26"/>
    </row>
    <row r="33" spans="1:11" x14ac:dyDescent="0.3">
      <c r="B33" s="4"/>
      <c r="C33" s="4"/>
      <c r="D33" t="s">
        <v>37</v>
      </c>
      <c r="E33" s="13"/>
      <c r="F33" s="93"/>
      <c r="G33" s="21"/>
      <c r="H33" s="20"/>
      <c r="I33" s="46"/>
      <c r="J33" s="21"/>
      <c r="K33" s="21"/>
    </row>
    <row r="34" spans="1:11" x14ac:dyDescent="0.3">
      <c r="A34" s="3" t="s">
        <v>100</v>
      </c>
      <c r="B34" s="4"/>
      <c r="C34" s="4"/>
      <c r="E34" s="13"/>
      <c r="F34" s="43"/>
      <c r="H34" s="16"/>
    </row>
    <row r="35" spans="1:11" x14ac:dyDescent="0.3">
      <c r="A35" s="3"/>
      <c r="B35" s="4" t="s">
        <v>102</v>
      </c>
      <c r="C35" s="4" t="s">
        <v>103</v>
      </c>
      <c r="E35" s="13"/>
      <c r="F35" s="43"/>
      <c r="H35" s="16"/>
    </row>
    <row r="36" spans="1:11" x14ac:dyDescent="0.3">
      <c r="A36" s="3"/>
      <c r="B36" t="s">
        <v>27</v>
      </c>
      <c r="C36" t="s">
        <v>28</v>
      </c>
      <c r="E36" s="13"/>
      <c r="F36" s="43"/>
      <c r="H36" s="16"/>
    </row>
    <row r="37" spans="1:11" x14ac:dyDescent="0.3">
      <c r="A37" s="3"/>
      <c r="B37" s="4">
        <f>$B$14</f>
        <v>139000</v>
      </c>
      <c r="C37" s="4">
        <f>$B$14+$B$5</f>
        <v>141000</v>
      </c>
      <c r="E37" s="13"/>
      <c r="F37" s="43"/>
      <c r="H37" s="16"/>
    </row>
    <row r="38" spans="1:11" x14ac:dyDescent="0.3">
      <c r="A38" s="28" t="s">
        <v>105</v>
      </c>
      <c r="B38" s="41">
        <v>0</v>
      </c>
      <c r="C38" s="41">
        <v>0</v>
      </c>
      <c r="E38" s="13"/>
      <c r="F38" s="43"/>
      <c r="H38" s="16"/>
    </row>
    <row r="39" spans="1:11" x14ac:dyDescent="0.3">
      <c r="A39" s="3"/>
      <c r="B39" s="4">
        <f>IF((SUM(B37:B38))&lt;=0,0,SUM(B37:B38))</f>
        <v>139000</v>
      </c>
      <c r="C39" s="4">
        <f>IF((SUM(C37:C38))&lt;=0,0,SUM(C37:C38))</f>
        <v>141000</v>
      </c>
      <c r="E39" s="13"/>
      <c r="F39" s="43"/>
      <c r="H39" s="16"/>
    </row>
    <row r="40" spans="1:11" x14ac:dyDescent="0.3">
      <c r="A40" s="3"/>
      <c r="B40" s="81">
        <v>0.01</v>
      </c>
      <c r="C40" s="81">
        <v>0.01</v>
      </c>
      <c r="E40" s="13"/>
      <c r="F40" s="43"/>
      <c r="H40" s="16"/>
    </row>
    <row r="41" spans="1:11" x14ac:dyDescent="0.3">
      <c r="A41" s="3"/>
      <c r="B41" s="4">
        <f>B39*B40</f>
        <v>1390</v>
      </c>
      <c r="C41" s="4">
        <f>C39*C40</f>
        <v>1410</v>
      </c>
      <c r="E41" s="13"/>
      <c r="F41" s="43"/>
      <c r="H41" s="16"/>
    </row>
    <row r="42" spans="1:11" x14ac:dyDescent="0.3">
      <c r="A42" s="3"/>
      <c r="B42" s="4"/>
      <c r="C42" s="4"/>
      <c r="E42" s="13"/>
      <c r="F42" s="43"/>
      <c r="H42" s="16"/>
    </row>
    <row r="43" spans="1:11" x14ac:dyDescent="0.3">
      <c r="A43" s="28" t="s">
        <v>17</v>
      </c>
      <c r="B43" s="4">
        <v>195</v>
      </c>
      <c r="C43" s="4">
        <v>195</v>
      </c>
      <c r="E43" s="13"/>
      <c r="F43" s="43"/>
      <c r="H43" s="16"/>
    </row>
    <row r="44" spans="1:11" x14ac:dyDescent="0.3">
      <c r="A44" s="3"/>
      <c r="B44" s="82">
        <f>B41</f>
        <v>1390</v>
      </c>
      <c r="C44" s="82">
        <f>C41</f>
        <v>1410</v>
      </c>
      <c r="E44" s="13"/>
      <c r="F44" s="43"/>
      <c r="H44" s="16"/>
    </row>
    <row r="45" spans="1:11" x14ac:dyDescent="0.3">
      <c r="A45" s="28" t="s">
        <v>104</v>
      </c>
      <c r="B45" s="4">
        <f>IF((B43-B44)&lt;=0,0,B43-B44)</f>
        <v>0</v>
      </c>
      <c r="C45" s="4">
        <f>IF((C43-C44)&lt;=0,0,C43-C44)</f>
        <v>0</v>
      </c>
      <c r="E45" s="13"/>
      <c r="F45" s="43"/>
      <c r="H45" s="16"/>
    </row>
    <row r="46" spans="1:11" x14ac:dyDescent="0.3">
      <c r="A46" s="3"/>
      <c r="B46" s="4"/>
      <c r="C46" s="4"/>
      <c r="E46" s="13"/>
      <c r="F46" s="43"/>
      <c r="H46" s="16"/>
    </row>
    <row r="47" spans="1:11" x14ac:dyDescent="0.3">
      <c r="A47" s="28" t="s">
        <v>100</v>
      </c>
      <c r="B47" s="83">
        <f>B45-C45</f>
        <v>0</v>
      </c>
      <c r="C47" s="4"/>
      <c r="E47" s="13"/>
      <c r="F47" s="43"/>
      <c r="H47" s="16"/>
    </row>
    <row r="48" spans="1:11" x14ac:dyDescent="0.3">
      <c r="B48" s="4"/>
      <c r="C48" s="4"/>
      <c r="E48" s="13"/>
      <c r="F48" s="43"/>
      <c r="H48" s="16"/>
      <c r="I48" s="46"/>
      <c r="J48" s="21"/>
      <c r="K48" s="21"/>
    </row>
    <row r="49" spans="1:17" x14ac:dyDescent="0.3">
      <c r="A49" s="3" t="s">
        <v>53</v>
      </c>
      <c r="B49" s="36"/>
      <c r="C49" s="4"/>
      <c r="I49" s="46"/>
      <c r="J49" s="21"/>
      <c r="K49" s="21"/>
      <c r="Q49" s="18"/>
    </row>
    <row r="50" spans="1:17" x14ac:dyDescent="0.3">
      <c r="B50" s="36"/>
      <c r="C50" s="4"/>
      <c r="I50" s="46"/>
      <c r="J50" s="21"/>
      <c r="K50" s="21"/>
      <c r="Q50" s="18"/>
    </row>
    <row r="51" spans="1:17" x14ac:dyDescent="0.3">
      <c r="A51" s="19" t="s">
        <v>54</v>
      </c>
      <c r="B51" s="36"/>
      <c r="C51" s="4"/>
      <c r="H51" s="12"/>
      <c r="I51" s="46"/>
      <c r="J51" s="21"/>
      <c r="K51" s="21"/>
      <c r="Q51" s="18"/>
    </row>
    <row r="52" spans="1:17" x14ac:dyDescent="0.3">
      <c r="A52" t="s">
        <v>74</v>
      </c>
      <c r="B52" s="36">
        <f>$B$5</f>
        <v>2000</v>
      </c>
      <c r="C52" s="59" t="s">
        <v>31</v>
      </c>
      <c r="D52" s="19" t="s">
        <v>55</v>
      </c>
      <c r="E52" s="13"/>
      <c r="F52" s="18"/>
      <c r="G52" s="4"/>
      <c r="H52" s="66" t="s">
        <v>65</v>
      </c>
      <c r="I52" s="46" t="s">
        <v>64</v>
      </c>
      <c r="J52" s="72" t="s">
        <v>66</v>
      </c>
      <c r="K52" s="21"/>
      <c r="Q52" s="18"/>
    </row>
    <row r="53" spans="1:17" ht="15.6" x14ac:dyDescent="0.3">
      <c r="A53" t="s">
        <v>75</v>
      </c>
      <c r="B53" s="36">
        <f>IF($B$6="US",-IF(($B$7/$B$5)&gt;15%,$B$7-($B$5*15%),0),0)</f>
        <v>0</v>
      </c>
      <c r="C53" s="59" t="s">
        <v>32</v>
      </c>
      <c r="D53" t="s">
        <v>9</v>
      </c>
      <c r="E53" s="4">
        <v>0</v>
      </c>
      <c r="F53" s="5">
        <f t="shared" ref="F53:G56" si="0">C18</f>
        <v>45282</v>
      </c>
      <c r="G53" s="6">
        <f t="shared" si="0"/>
        <v>0.15</v>
      </c>
      <c r="H53" s="12">
        <v>0</v>
      </c>
      <c r="I53" s="12">
        <f ca="1">IF(AND(($B$14+$B$5+$B$56)&gt;=E53,($B$14+$B$5+$B$56)&lt;F53),($B$14+$B$5+$B$56-E53)*G53,0)</f>
        <v>0</v>
      </c>
      <c r="J53" s="12">
        <f ca="1">(IF(I53=0,0,H53+I53))</f>
        <v>0</v>
      </c>
      <c r="K53" s="21"/>
      <c r="Q53" s="18"/>
    </row>
    <row r="54" spans="1:17" ht="15.6" x14ac:dyDescent="0.3">
      <c r="A54" t="s">
        <v>76</v>
      </c>
      <c r="B54" s="36">
        <f>IF($B$6="non-US",-IF(($B$7/$B$5)&gt;15%,$B$7-($B$5*15%),0),0)</f>
        <v>0</v>
      </c>
      <c r="C54" s="4"/>
      <c r="D54" t="s">
        <v>10</v>
      </c>
      <c r="E54" s="5">
        <f>F53</f>
        <v>45282</v>
      </c>
      <c r="F54" s="5">
        <f t="shared" si="0"/>
        <v>90563</v>
      </c>
      <c r="G54" s="6">
        <f t="shared" si="0"/>
        <v>0.20499999999999999</v>
      </c>
      <c r="H54" s="12">
        <f>(F53-E53)*G53</f>
        <v>6792.3</v>
      </c>
      <c r="I54" s="12">
        <f ca="1">IF(AND(($B$14+$B$5+$B$56)&gt;=E54,($B$14+$B$5+$B$56)&lt;F54),($B$14+$B$5+$B$56-E54)*G54,0)</f>
        <v>0</v>
      </c>
      <c r="J54" s="12">
        <f t="shared" ref="J54:J57" ca="1" si="1">(IF(I54=0,0,H54+I54))</f>
        <v>0</v>
      </c>
      <c r="K54" s="21"/>
      <c r="Q54" s="18"/>
    </row>
    <row r="55" spans="1:17" ht="15.6" x14ac:dyDescent="0.3">
      <c r="A55" t="s">
        <v>81</v>
      </c>
      <c r="B55" s="37">
        <f ca="1">-B90</f>
        <v>0</v>
      </c>
      <c r="C55" s="4"/>
      <c r="D55" t="s">
        <v>10</v>
      </c>
      <c r="E55" s="5">
        <f>F54</f>
        <v>90563</v>
      </c>
      <c r="F55" s="5">
        <f t="shared" si="0"/>
        <v>140388</v>
      </c>
      <c r="G55" s="6">
        <f t="shared" si="0"/>
        <v>0.26</v>
      </c>
      <c r="H55" s="12">
        <f>((F54-E54)*G54)+H54</f>
        <v>16074.904999999999</v>
      </c>
      <c r="I55" s="12">
        <f ca="1">IF(AND(($B$14+$B$5+$B$56)&gt;=E55,($B$14+$B$5+$B$56)&lt;F55),($B$14+$B$5+$B$56-E55)*G55,0)</f>
        <v>0</v>
      </c>
      <c r="J55" s="12">
        <f t="shared" ca="1" si="1"/>
        <v>0</v>
      </c>
      <c r="K55" s="21"/>
      <c r="Q55" s="18"/>
    </row>
    <row r="56" spans="1:17" ht="15.6" x14ac:dyDescent="0.3">
      <c r="A56" t="s">
        <v>83</v>
      </c>
      <c r="B56" s="37">
        <f ca="1">SUM(B54:B55)</f>
        <v>0</v>
      </c>
      <c r="C56" s="59" t="s">
        <v>82</v>
      </c>
      <c r="D56" t="s">
        <v>10</v>
      </c>
      <c r="E56" s="5">
        <f>F55</f>
        <v>140388</v>
      </c>
      <c r="F56" s="5">
        <f t="shared" si="0"/>
        <v>200000</v>
      </c>
      <c r="G56" s="6">
        <f t="shared" si="0"/>
        <v>0.28999999999999998</v>
      </c>
      <c r="H56" s="12">
        <f>((F55-E55)*G55)+H55</f>
        <v>29029.404999999999</v>
      </c>
      <c r="I56" s="12">
        <f ca="1">IF(AND(($B$14+$B$5+$B$56)&gt;=E56,($B$14+$B$5+$B$56)&lt;F56),($B$14+$B$5+$B$56-E56)*G56,0)</f>
        <v>177.48</v>
      </c>
      <c r="J56" s="12">
        <f t="shared" ca="1" si="1"/>
        <v>29206.884999999998</v>
      </c>
      <c r="K56" s="21"/>
      <c r="Q56" s="18"/>
    </row>
    <row r="57" spans="1:17" ht="15.6" x14ac:dyDescent="0.3">
      <c r="A57" t="s">
        <v>56</v>
      </c>
      <c r="B57" s="36">
        <f ca="1">B52+B53+B56</f>
        <v>2000</v>
      </c>
      <c r="C57" s="59" t="s">
        <v>84</v>
      </c>
      <c r="E57" s="5">
        <f>F56</f>
        <v>200000</v>
      </c>
      <c r="G57" s="6">
        <f>D22</f>
        <v>0.33</v>
      </c>
      <c r="H57" s="12">
        <f>((F56-E56)*G56)+H56</f>
        <v>46316.884999999995</v>
      </c>
      <c r="I57" s="12">
        <f ca="1">IF(($B$14+$B$5+$B$56)&gt;=E57,($B$14+$B$5+$B$56-E57)*G57,0)</f>
        <v>0</v>
      </c>
      <c r="J57" s="53">
        <f t="shared" ca="1" si="1"/>
        <v>0</v>
      </c>
      <c r="K57" s="21"/>
      <c r="Q57" s="18"/>
    </row>
    <row r="58" spans="1:17" x14ac:dyDescent="0.3">
      <c r="B58" s="36"/>
      <c r="C58" s="4"/>
      <c r="E58" s="13"/>
      <c r="F58" s="18"/>
      <c r="G58" s="4"/>
      <c r="H58" s="16"/>
      <c r="I58" s="46"/>
      <c r="J58" s="12">
        <f ca="1">SUM(J53:J57)</f>
        <v>29206.884999999998</v>
      </c>
      <c r="K58" s="21"/>
      <c r="Q58" s="18"/>
    </row>
    <row r="59" spans="1:17" x14ac:dyDescent="0.3">
      <c r="A59" t="s">
        <v>6</v>
      </c>
      <c r="B59" s="38">
        <f>$B$5+$B$14</f>
        <v>141000</v>
      </c>
      <c r="C59" s="59" t="s">
        <v>31</v>
      </c>
      <c r="G59" s="62" t="s">
        <v>35</v>
      </c>
      <c r="H59" s="13">
        <f>B24</f>
        <v>11327</v>
      </c>
      <c r="I59" s="76">
        <v>0.15</v>
      </c>
      <c r="J59" s="53">
        <f ca="1">IF(($B$5+$B$14+B56)&lt;H59,($B$5+$B$14+B56)*I59,H59*I59)</f>
        <v>1699.05</v>
      </c>
      <c r="K59" s="21"/>
      <c r="Q59" s="18"/>
    </row>
    <row r="60" spans="1:17" x14ac:dyDescent="0.3">
      <c r="A60" t="s">
        <v>76</v>
      </c>
      <c r="B60" s="38">
        <f>IF($B$6="non-US",-IF(($B$7/$B$5)&gt;15%,$B$7-($B$5*15%),0),0)</f>
        <v>0</v>
      </c>
      <c r="C60" s="4"/>
      <c r="G60" s="62"/>
      <c r="I60" s="46"/>
      <c r="J60" s="13">
        <f ca="1">IF((J58-J59)&lt;=0,0,J58-J59)</f>
        <v>27507.834999999999</v>
      </c>
      <c r="K60" s="21"/>
      <c r="Q60" s="18"/>
    </row>
    <row r="61" spans="1:17" x14ac:dyDescent="0.3">
      <c r="A61" t="s">
        <v>81</v>
      </c>
      <c r="B61" s="37">
        <f ca="1">B55</f>
        <v>0</v>
      </c>
      <c r="C61" s="4"/>
      <c r="G61" s="62"/>
      <c r="I61" s="46"/>
      <c r="J61" s="45"/>
      <c r="K61" s="21"/>
      <c r="Q61" s="18"/>
    </row>
    <row r="62" spans="1:17" x14ac:dyDescent="0.3">
      <c r="A62" t="s">
        <v>83</v>
      </c>
      <c r="B62" s="37">
        <f ca="1">SUM(B60:B61)</f>
        <v>0</v>
      </c>
      <c r="C62" s="59" t="s">
        <v>32</v>
      </c>
      <c r="E62" s="13"/>
      <c r="F62" s="18"/>
      <c r="I62" s="46"/>
      <c r="J62" s="21"/>
      <c r="K62" s="21"/>
      <c r="Q62" s="18"/>
    </row>
    <row r="63" spans="1:17" x14ac:dyDescent="0.3">
      <c r="A63" t="s">
        <v>77</v>
      </c>
      <c r="B63" s="36">
        <f ca="1">B59+B62</f>
        <v>141000</v>
      </c>
      <c r="C63" s="59" t="s">
        <v>85</v>
      </c>
      <c r="I63" s="46"/>
      <c r="J63" s="21"/>
      <c r="K63" s="21"/>
      <c r="Q63" s="18"/>
    </row>
    <row r="64" spans="1:17" x14ac:dyDescent="0.3">
      <c r="B64" s="36"/>
      <c r="C64" s="4"/>
      <c r="I64" s="46"/>
      <c r="J64" s="21"/>
      <c r="K64" s="21"/>
      <c r="Q64" s="18"/>
    </row>
    <row r="65" spans="1:17" x14ac:dyDescent="0.3">
      <c r="A65" t="s">
        <v>57</v>
      </c>
      <c r="B65" s="58">
        <f ca="1">B57/B63</f>
        <v>1.4184397163120567E-2</v>
      </c>
      <c r="C65" s="4"/>
      <c r="I65" s="46"/>
      <c r="J65" s="21"/>
      <c r="K65" s="21"/>
      <c r="Q65" s="18"/>
    </row>
    <row r="66" spans="1:17" x14ac:dyDescent="0.3">
      <c r="B66" s="36"/>
      <c r="C66" s="4"/>
      <c r="I66" s="46"/>
      <c r="J66" s="21"/>
      <c r="K66" s="21"/>
      <c r="Q66" s="18"/>
    </row>
    <row r="67" spans="1:17" x14ac:dyDescent="0.3">
      <c r="A67" t="s">
        <v>55</v>
      </c>
      <c r="B67" s="36">
        <f ca="1">J60</f>
        <v>27507.834999999999</v>
      </c>
      <c r="C67" s="4"/>
      <c r="I67" s="46"/>
      <c r="J67" s="21"/>
      <c r="K67" s="21"/>
      <c r="Q67" s="18"/>
    </row>
    <row r="68" spans="1:17" x14ac:dyDescent="0.3">
      <c r="B68" s="36"/>
      <c r="C68" s="4"/>
      <c r="E68" s="64"/>
      <c r="F68" s="38"/>
      <c r="G68" s="4"/>
      <c r="H68" s="60"/>
      <c r="I68" s="46"/>
      <c r="J68" s="72"/>
      <c r="K68" s="21"/>
      <c r="Q68" s="18"/>
    </row>
    <row r="69" spans="1:17" ht="15.6" x14ac:dyDescent="0.3">
      <c r="A69" t="s">
        <v>67</v>
      </c>
      <c r="B69" s="36">
        <f ca="1">B67*B65</f>
        <v>390.18205673758865</v>
      </c>
      <c r="C69" s="59" t="s">
        <v>31</v>
      </c>
      <c r="E69" s="4"/>
      <c r="G69" s="6"/>
      <c r="H69" s="38"/>
      <c r="I69" s="46"/>
      <c r="J69" s="38"/>
      <c r="K69" s="21"/>
      <c r="Q69" s="18"/>
    </row>
    <row r="70" spans="1:17" ht="15.6" x14ac:dyDescent="0.3">
      <c r="A70" t="s">
        <v>68</v>
      </c>
      <c r="B70" s="36">
        <f>MIN($B$7,$B$5*15%)</f>
        <v>200</v>
      </c>
      <c r="C70" s="59" t="s">
        <v>32</v>
      </c>
      <c r="E70" s="5"/>
      <c r="G70" s="7"/>
      <c r="H70" s="38"/>
      <c r="I70" s="46"/>
      <c r="J70" s="38"/>
      <c r="K70" s="21"/>
      <c r="Q70" s="18"/>
    </row>
    <row r="71" spans="1:17" ht="15.6" x14ac:dyDescent="0.3">
      <c r="B71" s="36"/>
      <c r="C71" s="4"/>
      <c r="E71" s="5"/>
      <c r="G71" s="7"/>
      <c r="H71" s="38"/>
      <c r="I71" s="46"/>
      <c r="J71" s="38"/>
      <c r="K71" s="21"/>
      <c r="Q71" s="18"/>
    </row>
    <row r="72" spans="1:17" ht="15.6" x14ac:dyDescent="0.3">
      <c r="A72" t="s">
        <v>69</v>
      </c>
      <c r="B72" s="61">
        <f ca="1">MIN(B69,B70)</f>
        <v>200</v>
      </c>
      <c r="C72" s="59" t="s">
        <v>87</v>
      </c>
      <c r="E72" s="5"/>
      <c r="G72" s="7"/>
      <c r="H72" s="38"/>
      <c r="I72" s="46"/>
      <c r="J72" s="38"/>
      <c r="K72" s="21"/>
      <c r="Q72" s="18"/>
    </row>
    <row r="73" spans="1:17" ht="15.6" x14ac:dyDescent="0.3">
      <c r="B73" s="61"/>
      <c r="C73" s="4"/>
      <c r="E73" s="5"/>
      <c r="F73" s="5"/>
      <c r="G73" s="7"/>
      <c r="H73" s="38"/>
      <c r="I73" s="46"/>
      <c r="J73" s="38"/>
      <c r="K73" s="21"/>
      <c r="Q73" s="18"/>
    </row>
    <row r="74" spans="1:17" ht="15.6" x14ac:dyDescent="0.3">
      <c r="B74" s="61"/>
      <c r="C74" s="4"/>
      <c r="E74" s="13"/>
      <c r="F74" s="5"/>
      <c r="G74" s="4"/>
      <c r="H74" s="16"/>
      <c r="I74" s="46"/>
      <c r="J74" s="38"/>
      <c r="K74" s="21"/>
      <c r="Q74" s="18"/>
    </row>
    <row r="75" spans="1:17" x14ac:dyDescent="0.3">
      <c r="A75" s="19" t="s">
        <v>70</v>
      </c>
      <c r="B75" s="36"/>
      <c r="C75" s="4"/>
      <c r="H75" s="12"/>
      <c r="I75" s="46"/>
      <c r="J75" s="21"/>
      <c r="K75" s="21"/>
      <c r="L75" s="19"/>
      <c r="Q75" s="18"/>
    </row>
    <row r="76" spans="1:17" x14ac:dyDescent="0.3">
      <c r="A76" t="s">
        <v>56</v>
      </c>
      <c r="B76" s="36">
        <f ca="1">B57</f>
        <v>2000</v>
      </c>
      <c r="C76" s="4"/>
      <c r="D76" s="19" t="s">
        <v>71</v>
      </c>
      <c r="E76" s="13"/>
      <c r="F76" s="18"/>
      <c r="G76" s="4"/>
      <c r="H76" s="66" t="s">
        <v>65</v>
      </c>
      <c r="I76" s="46" t="s">
        <v>64</v>
      </c>
      <c r="J76" s="72" t="s">
        <v>66</v>
      </c>
      <c r="K76" s="52"/>
      <c r="Q76" s="18"/>
    </row>
    <row r="77" spans="1:17" ht="15.6" x14ac:dyDescent="0.3">
      <c r="A77" t="s">
        <v>23</v>
      </c>
      <c r="B77" s="38">
        <f ca="1">B63</f>
        <v>141000</v>
      </c>
      <c r="C77" s="4"/>
      <c r="D77" t="s">
        <v>9</v>
      </c>
      <c r="E77">
        <v>0</v>
      </c>
      <c r="F77" s="5">
        <f t="shared" ref="F77:G79" si="2">C28</f>
        <v>31000</v>
      </c>
      <c r="G77" s="7">
        <f t="shared" si="2"/>
        <v>0.108</v>
      </c>
      <c r="H77" s="12">
        <v>0</v>
      </c>
      <c r="I77" s="45">
        <f ca="1">IF(AND(($B$14+$B$5+$B$56)&gt;=E77,($B$14+$B$5+$B$56)&lt;F77),($B$14+$B$5+$B$56-E77)*G77,0)</f>
        <v>0</v>
      </c>
      <c r="J77" s="12">
        <f ca="1">(IF(I77=0,0,H77+I77))</f>
        <v>0</v>
      </c>
      <c r="K77" s="21"/>
      <c r="Q77" s="18"/>
    </row>
    <row r="78" spans="1:17" ht="15.6" x14ac:dyDescent="0.3">
      <c r="A78" t="s">
        <v>57</v>
      </c>
      <c r="B78" s="58">
        <f ca="1">B76/B77</f>
        <v>1.4184397163120567E-2</v>
      </c>
      <c r="C78" s="4"/>
      <c r="D78" t="s">
        <v>10</v>
      </c>
      <c r="E78" s="5">
        <f>F77</f>
        <v>31000</v>
      </c>
      <c r="F78" s="5">
        <f t="shared" si="2"/>
        <v>67000</v>
      </c>
      <c r="G78" s="7">
        <f t="shared" si="2"/>
        <v>0.1275</v>
      </c>
      <c r="H78" s="12">
        <f>(F77-E77)*G77</f>
        <v>3348</v>
      </c>
      <c r="I78" s="45">
        <f ca="1">IF(AND(($B$14+$B$5+$B$56)&gt;=E78,($B$14+$B$5+$B$56)&lt;F78),($B$14+$B$5+$B$56-E78)*G78,0)</f>
        <v>0</v>
      </c>
      <c r="J78" s="12">
        <f t="shared" ref="J78:J79" ca="1" si="3">(IF(I78=0,0,H78+I78))</f>
        <v>0</v>
      </c>
      <c r="K78" s="21"/>
      <c r="Q78" s="18"/>
    </row>
    <row r="79" spans="1:17" ht="15.6" x14ac:dyDescent="0.3">
      <c r="B79" s="36"/>
      <c r="C79" s="4"/>
      <c r="D79" t="s">
        <v>10</v>
      </c>
      <c r="E79" s="27">
        <f>F78</f>
        <v>67000</v>
      </c>
      <c r="F79" s="5">
        <f t="shared" si="2"/>
        <v>0</v>
      </c>
      <c r="G79" s="7">
        <f t="shared" si="2"/>
        <v>0.17399999999999999</v>
      </c>
      <c r="H79" s="12">
        <f>((F78-E78)*G78)+H78</f>
        <v>7938</v>
      </c>
      <c r="I79" s="45">
        <f ca="1">IF(AND(($B$14+$B$5+$B$56)&gt;=E79,($B$14+$B$5+$B$56)&lt;F79),($B$14+$B$5+$B$56-E79)*G79,0)</f>
        <v>0</v>
      </c>
      <c r="J79" s="53">
        <f t="shared" ca="1" si="3"/>
        <v>0</v>
      </c>
      <c r="K79" s="21"/>
      <c r="Q79" s="18"/>
    </row>
    <row r="80" spans="1:17" ht="15.6" x14ac:dyDescent="0.3">
      <c r="A80" t="s">
        <v>71</v>
      </c>
      <c r="B80" s="36">
        <f ca="1">J82</f>
        <v>0</v>
      </c>
      <c r="C80" s="4"/>
      <c r="E80" s="5"/>
      <c r="F80" s="18"/>
      <c r="G80" s="4"/>
      <c r="H80" s="20"/>
      <c r="I80" s="46"/>
      <c r="J80" s="52">
        <f ca="1">SUM(J77:J79)</f>
        <v>0</v>
      </c>
      <c r="K80" s="21"/>
      <c r="Q80" s="18"/>
    </row>
    <row r="81" spans="1:17" ht="15.6" x14ac:dyDescent="0.3">
      <c r="B81" s="36"/>
      <c r="C81" s="4"/>
      <c r="E81" s="5"/>
      <c r="F81" s="18"/>
      <c r="G81" s="62" t="s">
        <v>35</v>
      </c>
      <c r="H81" s="13">
        <f>B32</f>
        <v>9134</v>
      </c>
      <c r="I81" s="76">
        <f>D28</f>
        <v>0.108</v>
      </c>
      <c r="J81" s="53">
        <f ca="1">IF(($B$5+$B$14+$B$56)&lt;H81,($B$5+$B$14+$B$56)*I81,H81*I81)</f>
        <v>986.47199999999998</v>
      </c>
      <c r="K81" s="21"/>
      <c r="Q81" s="18"/>
    </row>
    <row r="82" spans="1:17" x14ac:dyDescent="0.3">
      <c r="A82" t="s">
        <v>67</v>
      </c>
      <c r="B82" s="36">
        <f ca="1">B80*B78</f>
        <v>0</v>
      </c>
      <c r="C82" s="59" t="s">
        <v>31</v>
      </c>
      <c r="E82" s="13"/>
      <c r="F82" s="21"/>
      <c r="G82" s="4"/>
      <c r="H82" s="4"/>
      <c r="I82" s="46"/>
      <c r="J82" s="13">
        <f ca="1">IF((J80-J81)&lt;=0,0,J80-J81)</f>
        <v>0</v>
      </c>
      <c r="K82" s="21"/>
      <c r="Q82" s="18"/>
    </row>
    <row r="83" spans="1:17" x14ac:dyDescent="0.3">
      <c r="B83" s="36"/>
      <c r="C83" s="59"/>
      <c r="E83" s="13"/>
      <c r="K83" s="21"/>
      <c r="Q83" s="18"/>
    </row>
    <row r="84" spans="1:17" x14ac:dyDescent="0.3">
      <c r="A84" t="s">
        <v>68</v>
      </c>
      <c r="B84" s="36">
        <f>B70</f>
        <v>200</v>
      </c>
      <c r="E84" s="35"/>
      <c r="K84" s="21"/>
    </row>
    <row r="85" spans="1:17" x14ac:dyDescent="0.3">
      <c r="A85" t="s">
        <v>78</v>
      </c>
      <c r="B85" s="37">
        <f ca="1">-B72</f>
        <v>-200</v>
      </c>
      <c r="C85" s="59"/>
      <c r="F85" s="38"/>
      <c r="G85" s="63"/>
      <c r="H85" s="18"/>
      <c r="I85" s="46"/>
      <c r="J85" s="48"/>
      <c r="K85" s="21"/>
    </row>
    <row r="86" spans="1:17" x14ac:dyDescent="0.3">
      <c r="B86" s="36">
        <f ca="1">SUM(B84:B85)</f>
        <v>0</v>
      </c>
      <c r="C86" s="59" t="s">
        <v>32</v>
      </c>
      <c r="G86" s="18"/>
      <c r="H86" s="18"/>
      <c r="I86" s="46"/>
      <c r="J86" s="12"/>
      <c r="K86" s="21"/>
    </row>
    <row r="87" spans="1:17" x14ac:dyDescent="0.3">
      <c r="B87" s="36"/>
      <c r="C87" s="4"/>
      <c r="H87" s="18"/>
      <c r="I87" s="46"/>
      <c r="J87" s="52"/>
      <c r="K87" s="51"/>
      <c r="L87" s="16"/>
    </row>
    <row r="88" spans="1:17" x14ac:dyDescent="0.3">
      <c r="A88" t="s">
        <v>72</v>
      </c>
      <c r="B88" s="61">
        <f ca="1">MIN(B82,B86)</f>
        <v>0</v>
      </c>
      <c r="C88" s="59" t="s">
        <v>87</v>
      </c>
      <c r="I88" s="46"/>
      <c r="J88" s="21"/>
      <c r="K88" s="51"/>
      <c r="L88" s="16"/>
    </row>
    <row r="89" spans="1:17" x14ac:dyDescent="0.3">
      <c r="B89" s="36"/>
      <c r="C89" s="4"/>
      <c r="I89" s="46"/>
      <c r="J89" s="21"/>
      <c r="K89" s="51"/>
      <c r="L89" s="16"/>
    </row>
    <row r="90" spans="1:17" x14ac:dyDescent="0.3">
      <c r="A90" t="s">
        <v>86</v>
      </c>
      <c r="B90" s="61">
        <f ca="1">B70-B72-B88</f>
        <v>0</v>
      </c>
      <c r="C90" s="59" t="s">
        <v>88</v>
      </c>
      <c r="G90" s="18"/>
      <c r="H90" s="18"/>
      <c r="I90" s="46"/>
      <c r="J90" s="52"/>
      <c r="K90" s="51"/>
      <c r="L90" s="16"/>
    </row>
    <row r="91" spans="1:17" x14ac:dyDescent="0.3">
      <c r="B91" s="36"/>
      <c r="C91" s="4"/>
      <c r="G91" s="18"/>
      <c r="H91" s="18"/>
      <c r="I91" s="46"/>
      <c r="J91" s="52"/>
      <c r="K91" s="51"/>
      <c r="L91" s="16"/>
    </row>
    <row r="92" spans="1:17" x14ac:dyDescent="0.3">
      <c r="A92" s="2" t="s">
        <v>12</v>
      </c>
      <c r="G92" s="18"/>
      <c r="H92" s="48"/>
      <c r="I92" s="74"/>
      <c r="J92" s="48"/>
      <c r="K92" s="47"/>
      <c r="L92" s="16"/>
    </row>
    <row r="93" spans="1:17" x14ac:dyDescent="0.3">
      <c r="B93" s="11"/>
      <c r="C93" t="s">
        <v>13</v>
      </c>
      <c r="G93" s="18"/>
      <c r="H93" s="48"/>
      <c r="I93" s="79"/>
      <c r="J93" s="48"/>
      <c r="K93" s="47"/>
      <c r="L93" s="16"/>
    </row>
    <row r="94" spans="1:17" x14ac:dyDescent="0.3">
      <c r="B94" s="36"/>
      <c r="C94" s="4"/>
      <c r="H94" s="45"/>
      <c r="I94" s="46"/>
      <c r="J94" s="46"/>
      <c r="K94" s="46"/>
      <c r="L94" s="16"/>
    </row>
    <row r="95" spans="1:17" x14ac:dyDescent="0.3">
      <c r="A95" t="s">
        <v>20</v>
      </c>
      <c r="B95" s="36">
        <f ca="1">IF(AND((B5+B56+B14)&gt;=B18,(B5+B56+B14)&lt;=C18),(B5+B56)*D18,IF(AND((B5+B56+B14)&gt;B19,(B5+B56+B14)&lt;=C19),IF((B5+B56+B14-B19)&gt;(B5+B56),(B5+B56)*D19,((B5+B56+B14-B19)*D19)+((B5+B56-(B5+B56+B14-B19))*D18)),IF(AND((B5+B56+B14)&gt;B20,(B5+B56+B14)&lt;=C20),IF((B5+B56+B14-B20)&gt;(B5+B56),(B5+B56)*D20,IF((B5+B56+B14-B19)&gt;(B5+B56),(((B5+B56+B14-B20)*D20)+((B5+B56-(B5+B56+B14-B20))*D19)),((B5+B56+B14-B20)*D20)+((C19-B19)*D19)+((B5+B56-(B5+B56+B14-B19))*D18))),IF(AND((B5+B56+B14)&gt;B21,(B5+B56+B14)&lt;=C21),IF((B5+B56+B14-B21)&gt;(B5+B56),(B5+B56)*D21,IF((B5+B56+B14-B20)&gt;(B5+B56),((B5+B56+B14-B21)*D21)+(((B5+B56-(B5+B56+B14-B21))*D20)),IF((B5+B56+B14-B19)&gt;(B5+B56),(((B5+B56+B14-B21)*D21)+((C20-B20)*D20)+((B5+B56-(B5+B56+B14-B20))*D19)),((B5+B56+B14-B21)*D21)+((C20-B20)*D20)+((C19-B19)*D19)+((B5+B56-(B5+B56+B14-B19))*D18)))),IF((B5+B56+B14)&gt;B22,IF((B5+B56+B14-B22)&gt;(B5+B56),(B5+B56)*D22,IF((B5+B56+B14-B21)&gt;(B5+B56),(((B5+B56+B14-B22)*D22)+((B5+B56-(B5+B56+B14-B22))*D21)),IF((B5+B56+B14-B20)&gt;(B5+B56),(((B5+B56+B14-B22)*D22)+((C21-B21)*D21)+((B5+B56-(B5+B56+B14-B21))*D20)),IF((B5+B56+B14-B19)&gt;(B5+B56),(((B5+B56+B14-B22)*D22)+((C21-B21)*D21)+((C20-B20)*D20)+((B5+B56-(B5+B56+B14-B20))*D19)),((B5+B56+B14-B22)*D22)+((C21-B21)*D21)+((C20-B20)*D20)+((C19-B19)*D19)+((B5+B56-(B5+B56+B14-B19))*D18))))))))))</f>
        <v>538.36</v>
      </c>
      <c r="C95" t="s">
        <v>15</v>
      </c>
      <c r="G95" s="29"/>
      <c r="H95" s="46"/>
      <c r="I95" s="46"/>
      <c r="J95" s="46"/>
      <c r="K95" s="46"/>
      <c r="L95" s="13"/>
    </row>
    <row r="96" spans="1:17" x14ac:dyDescent="0.3">
      <c r="B96" s="36">
        <f>-IF(B14&gt;=B24,0,IF(B14&lt;B24,IF((B14+B5+B56)&gt;B24,(B24-B14)*D18,((B5+B56)*D18))))</f>
        <v>0</v>
      </c>
      <c r="C96" t="s">
        <v>34</v>
      </c>
      <c r="G96" s="29"/>
      <c r="H96" s="75"/>
      <c r="I96" s="46"/>
      <c r="J96" s="48"/>
      <c r="K96" s="47"/>
      <c r="L96" s="16"/>
    </row>
    <row r="97" spans="1:17" x14ac:dyDescent="0.3">
      <c r="B97" s="36">
        <f ca="1">IF(B72=0,0,-MIN(B72,SUM(B95:B96)))</f>
        <v>-200</v>
      </c>
      <c r="C97" t="s">
        <v>79</v>
      </c>
      <c r="G97" s="29"/>
      <c r="H97" s="21"/>
      <c r="I97" s="52"/>
      <c r="J97" s="52"/>
      <c r="K97" s="51"/>
      <c r="L97" s="16"/>
    </row>
    <row r="98" spans="1:17" x14ac:dyDescent="0.3">
      <c r="B98" s="36">
        <f ca="1">IF(AND((B5+B56+B14)&gt;=B28,(B5+B56+B14)&lt;=C28),(B5+B56)*D28,IF(AND((B5+B56+B14)&gt;B29,(B5+B56+B14)&lt;=C29),IF((B5+B56+B14-B29)&gt;(B5+B56),(B5+B56)*D29,((B5+B56+B14-B29)*D29)+((B5+B56-(B5+B56+B14-B29))*D28)),IF((B5+B56+B14)&gt;B30,IF((B5+B56+B14-B30)&gt;(B5+B56),(B5+B56)*D30,IF((B5+B56+B14-B29)&gt;(B5+B56),(((B5+B56+B14-B30)*D30)+((B5+B56-(B5+B56+B14-B30))*D29)),((B5+B56+B14-B30)*D30)+((C29-B29)*D29)+((B5+B56-(B5+B56+B14-B29))*D28))))))</f>
        <v>348</v>
      </c>
      <c r="C98" t="s">
        <v>16</v>
      </c>
      <c r="G98" s="29"/>
      <c r="H98" s="21"/>
      <c r="I98" s="52"/>
      <c r="J98" s="52"/>
      <c r="K98" s="21"/>
    </row>
    <row r="99" spans="1:17" x14ac:dyDescent="0.3">
      <c r="B99" s="36">
        <f>-IF(B14&gt;=B32,0,IF(B14&lt;B32,IF((B14+B5+B56)&gt;B32,(B32-B14)*D28,((B5+B56)*D28))))</f>
        <v>0</v>
      </c>
      <c r="C99" t="s">
        <v>36</v>
      </c>
      <c r="G99" s="29"/>
      <c r="H99"/>
      <c r="I99" s="21"/>
      <c r="J99" s="52"/>
      <c r="K99" s="51"/>
      <c r="L99" s="13"/>
    </row>
    <row r="100" spans="1:17" x14ac:dyDescent="0.3">
      <c r="B100" s="38">
        <f ca="1">IF(B88=0,0,-MIN(B88,SUM(B98,B99)))</f>
        <v>0</v>
      </c>
      <c r="C100" t="s">
        <v>80</v>
      </c>
      <c r="G100" s="29"/>
      <c r="H100"/>
      <c r="I100" s="12"/>
      <c r="J100" s="52"/>
      <c r="K100" s="21"/>
      <c r="L100" s="13"/>
    </row>
    <row r="101" spans="1:17" x14ac:dyDescent="0.3">
      <c r="B101" s="37">
        <f>B47</f>
        <v>0</v>
      </c>
      <c r="C101" t="s">
        <v>101</v>
      </c>
      <c r="G101" s="29"/>
      <c r="H101"/>
      <c r="I101" s="12"/>
      <c r="J101" s="52"/>
      <c r="K101" s="21"/>
      <c r="L101" s="13"/>
    </row>
    <row r="102" spans="1:17" x14ac:dyDescent="0.3">
      <c r="A102" s="10" t="s">
        <v>22</v>
      </c>
      <c r="B102" s="77">
        <f ca="1">SUM(B95:B101)</f>
        <v>686.36</v>
      </c>
      <c r="F102" s="46"/>
      <c r="I102" s="21"/>
      <c r="J102" s="21"/>
      <c r="K102" s="48"/>
      <c r="L102" s="47"/>
      <c r="M102" s="46"/>
    </row>
    <row r="103" spans="1:17" x14ac:dyDescent="0.3">
      <c r="E103" s="18"/>
      <c r="F103" s="48"/>
      <c r="K103" s="46"/>
      <c r="L103" s="46"/>
      <c r="M103" s="46"/>
      <c r="Q103" s="15"/>
    </row>
    <row r="104" spans="1:17" x14ac:dyDescent="0.3">
      <c r="B104" s="13"/>
      <c r="F104" s="46"/>
      <c r="K104" s="46"/>
      <c r="L104" s="46"/>
      <c r="M104" s="46"/>
    </row>
    <row r="105" spans="1:17" x14ac:dyDescent="0.3">
      <c r="A105" s="19" t="s">
        <v>39</v>
      </c>
      <c r="B105" s="13"/>
      <c r="F105" s="46"/>
      <c r="K105" s="46"/>
      <c r="L105" s="46"/>
      <c r="M105" s="46"/>
    </row>
    <row r="106" spans="1:17" x14ac:dyDescent="0.3">
      <c r="A106" t="s">
        <v>117</v>
      </c>
      <c r="B106" s="36">
        <f ca="1">SUM(B95:B97)</f>
        <v>338.36</v>
      </c>
      <c r="F106" s="46"/>
      <c r="K106" s="46"/>
      <c r="L106" s="46"/>
      <c r="M106" s="46"/>
    </row>
    <row r="107" spans="1:17" x14ac:dyDescent="0.3">
      <c r="A107" t="s">
        <v>120</v>
      </c>
      <c r="B107" s="38">
        <f ca="1">SUM(B98:B100)</f>
        <v>348</v>
      </c>
      <c r="F107" s="46"/>
      <c r="K107" s="46"/>
      <c r="L107" s="46"/>
      <c r="M107" s="46"/>
    </row>
    <row r="108" spans="1:17" x14ac:dyDescent="0.3">
      <c r="A108" t="s">
        <v>121</v>
      </c>
      <c r="B108" s="37">
        <f>B101</f>
        <v>0</v>
      </c>
      <c r="F108" s="46"/>
      <c r="K108" s="46"/>
      <c r="L108" s="46"/>
      <c r="M108" s="46"/>
    </row>
    <row r="109" spans="1:17" x14ac:dyDescent="0.3">
      <c r="B109" s="36">
        <f ca="1">SUM(B106:B108)</f>
        <v>686.36</v>
      </c>
      <c r="F109" s="46"/>
      <c r="K109" s="46"/>
      <c r="L109" s="46"/>
      <c r="M109" s="46"/>
    </row>
    <row r="110" spans="1:17" x14ac:dyDescent="0.3">
      <c r="B110" s="13"/>
      <c r="F110" s="46"/>
      <c r="K110" s="46"/>
      <c r="L110" s="46"/>
      <c r="M110" s="46"/>
    </row>
    <row r="111" spans="1:17" x14ac:dyDescent="0.3">
      <c r="B111" s="13"/>
      <c r="F111" s="46"/>
      <c r="K111" s="46"/>
      <c r="L111" s="46"/>
      <c r="M111" s="46"/>
    </row>
    <row r="112" spans="1:17" x14ac:dyDescent="0.3">
      <c r="B112" s="13"/>
      <c r="F112" s="46"/>
      <c r="K112" s="46"/>
      <c r="L112" s="46"/>
      <c r="M112" s="46"/>
    </row>
    <row r="113" spans="2:14" x14ac:dyDescent="0.3">
      <c r="B113" s="15"/>
      <c r="F113" s="46"/>
      <c r="K113" s="48"/>
      <c r="L113" s="46"/>
      <c r="M113" s="48"/>
      <c r="N113" s="18"/>
    </row>
    <row r="114" spans="2:14" x14ac:dyDescent="0.3">
      <c r="F114" s="46"/>
      <c r="K114" s="46"/>
      <c r="L114" s="46"/>
      <c r="M114" s="46"/>
    </row>
    <row r="115" spans="2:14" x14ac:dyDescent="0.3">
      <c r="F115" s="46"/>
      <c r="K115" s="46"/>
      <c r="L115" s="46"/>
      <c r="M115" s="46"/>
    </row>
    <row r="116" spans="2:14" x14ac:dyDescent="0.3">
      <c r="F116" s="46"/>
      <c r="G116" s="46"/>
      <c r="H116" s="45"/>
      <c r="I116" s="46"/>
      <c r="J116" s="46"/>
      <c r="K116" s="46"/>
      <c r="L116" s="46"/>
      <c r="M116" s="46"/>
    </row>
    <row r="117" spans="2:14" x14ac:dyDescent="0.3">
      <c r="H117" s="12"/>
    </row>
    <row r="119" spans="2:14" x14ac:dyDescent="0.3">
      <c r="H119" s="39"/>
      <c r="M119" s="22"/>
    </row>
  </sheetData>
  <dataValidations count="2">
    <dataValidation type="list" allowBlank="1" showInputMessage="1" showErrorMessage="1" sqref="B6">
      <formula1>$E$4:$E$5</formula1>
    </dataValidation>
    <dataValidation type="list" allowBlank="1" showInputMessage="1" showErrorMessage="1" sqref="B10">
      <formula1>$H$1:$H$18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6"/>
  <sheetViews>
    <sheetView tabSelected="1" zoomScale="85" zoomScaleNormal="85" workbookViewId="0">
      <selection activeCell="D15" sqref="D15"/>
    </sheetView>
  </sheetViews>
  <sheetFormatPr defaultRowHeight="14.4" x14ac:dyDescent="0.3"/>
  <cols>
    <col min="1" max="1" width="33.6640625" customWidth="1"/>
    <col min="2" max="2" width="16" customWidth="1"/>
    <col min="3" max="3" width="14.6640625" customWidth="1"/>
    <col min="4" max="4" width="11.33203125" customWidth="1"/>
    <col min="5" max="5" width="10.5546875" bestFit="1" customWidth="1"/>
    <col min="6" max="7" width="10.5546875" customWidth="1"/>
    <col min="8" max="8" width="16.88671875" style="13" customWidth="1"/>
    <col min="9" max="9" width="14" customWidth="1"/>
    <col min="10" max="10" width="12.88671875" bestFit="1" customWidth="1"/>
    <col min="11" max="11" width="12" bestFit="1" customWidth="1"/>
    <col min="12" max="12" width="10.109375" bestFit="1" customWidth="1"/>
    <col min="13" max="13" width="12.33203125" bestFit="1" customWidth="1"/>
    <col min="17" max="17" width="9.5546875" bestFit="1" customWidth="1"/>
  </cols>
  <sheetData>
    <row r="1" spans="1:16" x14ac:dyDescent="0.3">
      <c r="B1" s="1"/>
      <c r="C1" t="s">
        <v>0</v>
      </c>
    </row>
    <row r="2" spans="1:16" x14ac:dyDescent="0.3">
      <c r="A2" s="2" t="s">
        <v>1</v>
      </c>
      <c r="E2" s="67"/>
      <c r="F2" s="21"/>
      <c r="G2" s="21"/>
      <c r="H2" s="12"/>
      <c r="I2" s="21"/>
      <c r="J2" s="21"/>
      <c r="K2" s="21"/>
      <c r="L2" s="21"/>
      <c r="M2" s="21"/>
      <c r="N2" s="21"/>
      <c r="O2" s="21"/>
      <c r="P2" s="21"/>
    </row>
    <row r="3" spans="1:16" x14ac:dyDescent="0.3">
      <c r="A3" s="3" t="s">
        <v>107</v>
      </c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</row>
    <row r="4" spans="1:16" x14ac:dyDescent="0.3">
      <c r="A4" t="s">
        <v>108</v>
      </c>
      <c r="B4" s="1">
        <v>1000</v>
      </c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</row>
    <row r="5" spans="1:16" x14ac:dyDescent="0.3">
      <c r="E5" s="21"/>
      <c r="F5" s="21"/>
      <c r="G5" s="12"/>
      <c r="H5" s="21"/>
      <c r="I5" s="21"/>
      <c r="J5" s="21"/>
      <c r="K5" s="21"/>
      <c r="L5" s="21"/>
      <c r="M5" s="21"/>
      <c r="N5" s="21"/>
      <c r="O5" s="21"/>
      <c r="P5" s="21"/>
    </row>
    <row r="6" spans="1:16" x14ac:dyDescent="0.3">
      <c r="E6" s="21"/>
      <c r="F6" s="21"/>
      <c r="G6" s="21"/>
      <c r="H6" s="12"/>
      <c r="I6" s="21"/>
      <c r="J6" s="21"/>
      <c r="K6" s="21"/>
      <c r="L6" s="21"/>
      <c r="M6" s="21"/>
      <c r="N6" s="21"/>
      <c r="O6" s="21"/>
      <c r="P6" s="21"/>
    </row>
    <row r="7" spans="1:16" x14ac:dyDescent="0.3">
      <c r="A7" s="2" t="s">
        <v>4</v>
      </c>
      <c r="E7" s="21"/>
      <c r="F7" s="21"/>
      <c r="G7" s="21"/>
      <c r="H7" s="12"/>
      <c r="I7" s="31"/>
      <c r="J7" s="21"/>
      <c r="K7" s="21"/>
      <c r="L7" s="21"/>
      <c r="M7" s="21"/>
      <c r="N7" s="21"/>
      <c r="O7" s="21"/>
      <c r="P7" s="21"/>
    </row>
    <row r="8" spans="1:16" x14ac:dyDescent="0.3">
      <c r="A8" t="s">
        <v>5</v>
      </c>
      <c r="B8" s="1" t="s">
        <v>95</v>
      </c>
      <c r="E8" s="21"/>
      <c r="F8" s="21"/>
      <c r="G8" s="21"/>
      <c r="H8" s="12"/>
      <c r="I8" s="21"/>
      <c r="J8" s="21"/>
      <c r="K8" s="21"/>
      <c r="L8" s="21"/>
      <c r="M8" s="21"/>
      <c r="N8" s="21"/>
      <c r="O8" s="21"/>
      <c r="P8" s="21"/>
    </row>
    <row r="9" spans="1:16" x14ac:dyDescent="0.3">
      <c r="E9" s="21"/>
      <c r="F9" s="21"/>
      <c r="G9" s="21"/>
      <c r="H9" s="12"/>
      <c r="I9" s="21"/>
      <c r="J9" s="21"/>
      <c r="K9" s="21"/>
      <c r="L9" s="21"/>
      <c r="M9" s="21"/>
      <c r="N9" s="21"/>
      <c r="O9" s="21"/>
      <c r="P9" s="21"/>
    </row>
    <row r="10" spans="1:16" x14ac:dyDescent="0.3">
      <c r="E10" s="21"/>
      <c r="F10" s="46"/>
      <c r="G10" s="46"/>
      <c r="H10" s="12"/>
      <c r="I10" s="21"/>
      <c r="J10" s="21"/>
      <c r="K10" s="21"/>
      <c r="L10" s="21"/>
      <c r="M10" s="21"/>
      <c r="N10" s="21"/>
      <c r="O10" s="21"/>
      <c r="P10" s="21"/>
    </row>
    <row r="11" spans="1:16" x14ac:dyDescent="0.3">
      <c r="E11" s="21"/>
      <c r="F11" s="21"/>
      <c r="G11" s="21"/>
      <c r="H11" s="44"/>
      <c r="I11" s="21"/>
      <c r="J11" s="21"/>
      <c r="K11" s="21"/>
      <c r="L11" s="21"/>
      <c r="M11" s="21"/>
      <c r="N11" s="21"/>
      <c r="O11" s="21"/>
      <c r="P11" s="21"/>
    </row>
    <row r="12" spans="1:16" x14ac:dyDescent="0.3">
      <c r="A12" t="s">
        <v>6</v>
      </c>
      <c r="B12" s="1">
        <v>72000</v>
      </c>
    </row>
    <row r="15" spans="1:16" x14ac:dyDescent="0.3">
      <c r="A15" s="2" t="s">
        <v>7</v>
      </c>
    </row>
    <row r="16" spans="1:16" x14ac:dyDescent="0.3">
      <c r="A16" s="3" t="s">
        <v>8</v>
      </c>
      <c r="E16" s="21"/>
      <c r="F16" s="21"/>
      <c r="G16" s="21"/>
      <c r="H16" s="12"/>
      <c r="I16" s="21"/>
    </row>
    <row r="17" spans="1:14" x14ac:dyDescent="0.3">
      <c r="B17" s="91" t="s">
        <v>21</v>
      </c>
      <c r="C17" s="21"/>
      <c r="D17" s="21"/>
      <c r="E17" s="21"/>
      <c r="F17" s="91"/>
      <c r="G17" s="21"/>
      <c r="H17" s="21"/>
      <c r="I17" s="21"/>
    </row>
    <row r="18" spans="1:14" ht="15.6" x14ac:dyDescent="0.3">
      <c r="A18" t="s">
        <v>9</v>
      </c>
      <c r="B18" s="51">
        <v>0</v>
      </c>
      <c r="C18" s="27">
        <v>45282</v>
      </c>
      <c r="D18" s="92">
        <v>0.15</v>
      </c>
      <c r="E18" s="21"/>
      <c r="F18" s="51"/>
      <c r="G18" s="27"/>
      <c r="H18" s="92"/>
      <c r="I18" s="27"/>
      <c r="J18" s="6"/>
      <c r="K18" s="6"/>
      <c r="L18" s="4"/>
      <c r="M18" s="5"/>
      <c r="N18" s="6"/>
    </row>
    <row r="19" spans="1:14" ht="15.6" x14ac:dyDescent="0.3">
      <c r="A19" t="s">
        <v>10</v>
      </c>
      <c r="B19" s="27">
        <f>C18</f>
        <v>45282</v>
      </c>
      <c r="C19" s="27">
        <v>90563</v>
      </c>
      <c r="D19" s="65">
        <v>0.20499999999999999</v>
      </c>
      <c r="E19" s="21"/>
      <c r="F19" s="27"/>
      <c r="G19" s="27"/>
      <c r="H19" s="65"/>
      <c r="I19" s="27"/>
      <c r="J19" s="7"/>
      <c r="K19" s="7"/>
      <c r="L19" s="5"/>
      <c r="M19" s="5"/>
      <c r="N19" s="7"/>
    </row>
    <row r="20" spans="1:14" ht="15.6" x14ac:dyDescent="0.3">
      <c r="A20" t="s">
        <v>10</v>
      </c>
      <c r="B20" s="27">
        <f>C19</f>
        <v>90563</v>
      </c>
      <c r="C20" s="27">
        <v>140388</v>
      </c>
      <c r="D20" s="65">
        <v>0.26</v>
      </c>
      <c r="E20" s="21"/>
      <c r="F20" s="27"/>
      <c r="G20" s="27"/>
      <c r="H20" s="65"/>
      <c r="I20" s="27"/>
      <c r="J20" s="7"/>
      <c r="K20" s="7"/>
      <c r="L20" s="5"/>
      <c r="M20" s="5"/>
      <c r="N20" s="7"/>
    </row>
    <row r="21" spans="1:14" ht="15.6" x14ac:dyDescent="0.3">
      <c r="A21" t="s">
        <v>10</v>
      </c>
      <c r="B21" s="27">
        <f>C20</f>
        <v>140388</v>
      </c>
      <c r="C21" s="27">
        <v>200000</v>
      </c>
      <c r="D21" s="65">
        <v>0.28999999999999998</v>
      </c>
      <c r="E21" s="21"/>
      <c r="F21" s="27"/>
      <c r="G21" s="27"/>
      <c r="H21" s="65"/>
      <c r="I21" s="97"/>
      <c r="J21" s="7"/>
      <c r="K21" s="7"/>
      <c r="L21" s="5"/>
      <c r="M21" s="5"/>
      <c r="N21" s="7"/>
    </row>
    <row r="22" spans="1:14" ht="15.6" x14ac:dyDescent="0.3">
      <c r="B22" s="27">
        <f>C21</f>
        <v>200000</v>
      </c>
      <c r="C22" s="21"/>
      <c r="D22" s="65">
        <v>0.33</v>
      </c>
      <c r="E22" s="21"/>
      <c r="F22" s="27"/>
      <c r="G22" s="21"/>
      <c r="H22" s="65"/>
      <c r="I22" s="51"/>
      <c r="J22" s="7"/>
      <c r="K22" s="7"/>
      <c r="L22" s="5"/>
      <c r="N22" s="7"/>
    </row>
    <row r="23" spans="1:14" x14ac:dyDescent="0.3">
      <c r="B23" s="21"/>
      <c r="C23" s="91" t="s">
        <v>21</v>
      </c>
      <c r="D23" s="21"/>
      <c r="E23" s="21"/>
      <c r="F23" s="21"/>
      <c r="G23" s="21"/>
      <c r="H23" s="12"/>
      <c r="I23" s="21"/>
    </row>
    <row r="24" spans="1:14" ht="15.6" x14ac:dyDescent="0.3">
      <c r="A24" t="s">
        <v>38</v>
      </c>
      <c r="B24" s="27">
        <v>11327</v>
      </c>
      <c r="C24" s="27">
        <v>11474</v>
      </c>
      <c r="D24" s="21"/>
      <c r="E24" s="21"/>
      <c r="F24" s="21"/>
      <c r="G24" s="51"/>
      <c r="H24" s="12"/>
      <c r="I24" s="21"/>
    </row>
    <row r="25" spans="1:14" x14ac:dyDescent="0.3">
      <c r="B25" s="21"/>
      <c r="C25" s="21"/>
      <c r="D25" s="21"/>
      <c r="E25" s="21"/>
      <c r="F25" s="21"/>
      <c r="G25" s="21"/>
      <c r="H25" s="12"/>
      <c r="I25" s="21"/>
      <c r="J25" s="9"/>
    </row>
    <row r="26" spans="1:14" x14ac:dyDescent="0.3">
      <c r="A26" s="3" t="s">
        <v>11</v>
      </c>
      <c r="B26" s="21"/>
      <c r="C26" s="21"/>
      <c r="D26" s="21"/>
      <c r="E26" s="21"/>
      <c r="F26" s="21"/>
      <c r="G26" s="21"/>
      <c r="H26" s="12"/>
      <c r="I26" s="21"/>
    </row>
    <row r="27" spans="1:14" x14ac:dyDescent="0.3">
      <c r="A27" s="10" t="s">
        <v>95</v>
      </c>
      <c r="B27" s="91" t="s">
        <v>21</v>
      </c>
      <c r="C27" s="21"/>
      <c r="D27" s="21"/>
      <c r="E27" s="21"/>
      <c r="F27" s="91"/>
      <c r="G27" s="21"/>
      <c r="H27" s="21"/>
      <c r="I27" s="69"/>
      <c r="J27" s="10"/>
      <c r="K27" s="25"/>
    </row>
    <row r="28" spans="1:14" ht="15.6" x14ac:dyDescent="0.3">
      <c r="A28" t="s">
        <v>9</v>
      </c>
      <c r="B28" s="21">
        <v>0</v>
      </c>
      <c r="C28" s="27">
        <v>31000</v>
      </c>
      <c r="D28" s="65">
        <v>0.108</v>
      </c>
      <c r="E28" s="21"/>
      <c r="F28" s="21"/>
      <c r="G28" s="27"/>
      <c r="H28" s="65"/>
      <c r="I28" s="27"/>
      <c r="J28" s="7"/>
    </row>
    <row r="29" spans="1:14" ht="15.6" x14ac:dyDescent="0.3">
      <c r="A29" t="s">
        <v>10</v>
      </c>
      <c r="B29" s="27">
        <f>C28</f>
        <v>31000</v>
      </c>
      <c r="C29" s="27">
        <v>67000</v>
      </c>
      <c r="D29" s="65">
        <v>0.1275</v>
      </c>
      <c r="E29" s="21"/>
      <c r="F29" s="27"/>
      <c r="G29" s="27"/>
      <c r="H29" s="65"/>
      <c r="I29" s="27"/>
      <c r="J29" s="24"/>
      <c r="K29" s="18"/>
      <c r="L29" s="15"/>
    </row>
    <row r="30" spans="1:14" ht="15.6" x14ac:dyDescent="0.3">
      <c r="A30" t="s">
        <v>10</v>
      </c>
      <c r="B30" s="27">
        <f>C29</f>
        <v>67000</v>
      </c>
      <c r="C30" s="27"/>
      <c r="D30" s="65">
        <v>0.17399999999999999</v>
      </c>
      <c r="E30" s="21"/>
      <c r="F30" s="27"/>
      <c r="G30" s="27"/>
      <c r="H30" s="65"/>
      <c r="I30" s="51"/>
      <c r="J30" s="24"/>
      <c r="K30" s="4"/>
      <c r="L30" s="13"/>
      <c r="N30" s="18"/>
    </row>
    <row r="31" spans="1:14" x14ac:dyDescent="0.3">
      <c r="B31" s="21"/>
      <c r="C31" s="91"/>
      <c r="D31" s="21"/>
      <c r="E31" s="21"/>
      <c r="F31" s="21"/>
      <c r="G31" s="21"/>
      <c r="H31" s="44"/>
      <c r="I31" s="51"/>
      <c r="J31" s="26"/>
      <c r="K31" s="16"/>
      <c r="L31" s="26"/>
    </row>
    <row r="32" spans="1:14" ht="15.6" x14ac:dyDescent="0.3">
      <c r="A32" t="s">
        <v>36</v>
      </c>
      <c r="B32" s="27">
        <v>9134</v>
      </c>
      <c r="C32" s="27"/>
      <c r="D32" s="21"/>
      <c r="E32" s="21"/>
      <c r="F32" s="21"/>
      <c r="G32" s="21"/>
      <c r="H32" s="44"/>
      <c r="I32" s="51"/>
      <c r="J32" s="26"/>
      <c r="K32" s="16"/>
      <c r="L32" s="26"/>
    </row>
    <row r="33" spans="1:8" x14ac:dyDescent="0.3">
      <c r="B33" s="4"/>
      <c r="C33" s="4"/>
      <c r="D33" t="s">
        <v>37</v>
      </c>
      <c r="E33" s="13"/>
      <c r="F33" s="43"/>
      <c r="H33" s="16"/>
    </row>
    <row r="34" spans="1:8" x14ac:dyDescent="0.3">
      <c r="A34" s="3" t="s">
        <v>100</v>
      </c>
      <c r="B34" s="4"/>
      <c r="C34" s="4"/>
      <c r="E34" s="13"/>
      <c r="F34" s="43"/>
      <c r="H34" s="16"/>
    </row>
    <row r="35" spans="1:8" x14ac:dyDescent="0.3">
      <c r="A35" s="3"/>
      <c r="B35" s="83" t="s">
        <v>102</v>
      </c>
      <c r="C35" s="26" t="s">
        <v>115</v>
      </c>
      <c r="E35" s="13"/>
      <c r="F35" s="43"/>
      <c r="H35" s="16"/>
    </row>
    <row r="36" spans="1:8" x14ac:dyDescent="0.3">
      <c r="A36" s="3"/>
      <c r="B36" t="s">
        <v>27</v>
      </c>
      <c r="C36" t="s">
        <v>28</v>
      </c>
      <c r="E36" s="13"/>
      <c r="F36" s="43"/>
      <c r="H36" s="16"/>
    </row>
    <row r="37" spans="1:8" x14ac:dyDescent="0.3">
      <c r="A37" s="3"/>
      <c r="B37" s="4">
        <f>$B$12</f>
        <v>72000</v>
      </c>
      <c r="C37" s="4">
        <f>$B$12+$B$4-$B$56</f>
        <v>72971.350000000006</v>
      </c>
      <c r="E37" s="13"/>
      <c r="F37" s="43"/>
      <c r="H37" s="16"/>
    </row>
    <row r="38" spans="1:8" x14ac:dyDescent="0.3">
      <c r="A38" s="28" t="s">
        <v>105</v>
      </c>
      <c r="B38" s="41">
        <v>0</v>
      </c>
      <c r="C38" s="41">
        <v>0</v>
      </c>
      <c r="E38" s="13"/>
      <c r="F38" s="43"/>
      <c r="H38" s="16"/>
    </row>
    <row r="39" spans="1:8" x14ac:dyDescent="0.3">
      <c r="A39" s="3"/>
      <c r="B39" s="4">
        <f>IF((SUM(B37:B38))&lt;=0,0,SUM(B37:B38))</f>
        <v>72000</v>
      </c>
      <c r="C39" s="4">
        <f>IF((SUM(C37:C38))&lt;=0,0,SUM(C37:C38))</f>
        <v>72971.350000000006</v>
      </c>
      <c r="E39" s="13"/>
      <c r="F39" s="43"/>
      <c r="H39" s="16"/>
    </row>
    <row r="40" spans="1:8" x14ac:dyDescent="0.3">
      <c r="A40" s="3"/>
      <c r="B40" s="81">
        <v>0.01</v>
      </c>
      <c r="C40" s="81">
        <v>0.01</v>
      </c>
      <c r="E40" s="13"/>
      <c r="F40" s="43"/>
      <c r="H40" s="16"/>
    </row>
    <row r="41" spans="1:8" x14ac:dyDescent="0.3">
      <c r="A41" s="3"/>
      <c r="B41" s="4">
        <f>B39*B40</f>
        <v>720</v>
      </c>
      <c r="C41" s="4">
        <f>C39*C40</f>
        <v>729.71350000000007</v>
      </c>
      <c r="E41" s="13"/>
      <c r="F41" s="43"/>
      <c r="H41" s="16"/>
    </row>
    <row r="42" spans="1:8" x14ac:dyDescent="0.3">
      <c r="A42" s="3"/>
      <c r="B42" s="4"/>
      <c r="C42" s="4"/>
      <c r="E42" s="13"/>
      <c r="F42" s="43"/>
      <c r="H42" s="16"/>
    </row>
    <row r="43" spans="1:8" x14ac:dyDescent="0.3">
      <c r="A43" s="28" t="s">
        <v>17</v>
      </c>
      <c r="B43" s="4">
        <v>195</v>
      </c>
      <c r="C43" s="4">
        <v>195</v>
      </c>
      <c r="E43" s="13"/>
      <c r="F43" s="43"/>
      <c r="H43" s="16"/>
    </row>
    <row r="44" spans="1:8" x14ac:dyDescent="0.3">
      <c r="A44" s="3"/>
      <c r="B44" s="82">
        <f>B41</f>
        <v>720</v>
      </c>
      <c r="C44" s="82">
        <f>C41</f>
        <v>729.71350000000007</v>
      </c>
      <c r="E44" s="13"/>
      <c r="F44" s="43"/>
      <c r="H44" s="16"/>
    </row>
    <row r="45" spans="1:8" x14ac:dyDescent="0.3">
      <c r="A45" s="28" t="s">
        <v>104</v>
      </c>
      <c r="B45" s="4">
        <f>IF((B43-B44)&lt;=0,0,B43-B44)</f>
        <v>0</v>
      </c>
      <c r="C45" s="4">
        <f>IF((C43-C44)&lt;=0,0,C43-C44)</f>
        <v>0</v>
      </c>
      <c r="E45" s="13"/>
      <c r="F45" s="43"/>
      <c r="H45" s="16"/>
    </row>
    <row r="46" spans="1:8" x14ac:dyDescent="0.3">
      <c r="A46" s="3"/>
      <c r="B46" s="4"/>
      <c r="C46" s="4"/>
      <c r="E46" s="13"/>
      <c r="F46" s="43"/>
      <c r="H46" s="16"/>
    </row>
    <row r="47" spans="1:8" x14ac:dyDescent="0.3">
      <c r="A47" s="28" t="s">
        <v>100</v>
      </c>
      <c r="B47" s="83">
        <f>B45-C45</f>
        <v>0</v>
      </c>
      <c r="C47" s="4"/>
      <c r="E47" s="13"/>
      <c r="F47" s="43"/>
      <c r="H47" s="16"/>
    </row>
    <row r="48" spans="1:8" x14ac:dyDescent="0.3">
      <c r="A48" s="28"/>
      <c r="B48" s="83"/>
      <c r="C48" s="4"/>
      <c r="E48" s="13"/>
      <c r="F48" s="43"/>
      <c r="H48" s="16"/>
    </row>
    <row r="49" spans="1:12" x14ac:dyDescent="0.3">
      <c r="A49" s="3" t="s">
        <v>109</v>
      </c>
      <c r="B49" s="4"/>
      <c r="C49" s="4"/>
    </row>
    <row r="50" spans="1:12" x14ac:dyDescent="0.3">
      <c r="A50" s="3"/>
      <c r="B50" s="4"/>
      <c r="C50" s="4"/>
    </row>
    <row r="51" spans="1:12" x14ac:dyDescent="0.3">
      <c r="A51" s="28" t="s">
        <v>110</v>
      </c>
      <c r="B51" s="4">
        <v>72809</v>
      </c>
      <c r="C51" s="4"/>
    </row>
    <row r="52" spans="1:12" x14ac:dyDescent="0.3">
      <c r="A52" s="28" t="s">
        <v>111</v>
      </c>
      <c r="B52" s="84">
        <v>0.15</v>
      </c>
      <c r="C52" s="4"/>
    </row>
    <row r="53" spans="1:12" x14ac:dyDescent="0.3">
      <c r="A53" s="3"/>
      <c r="B53" s="4"/>
      <c r="C53" s="4"/>
    </row>
    <row r="54" spans="1:12" ht="28.8" x14ac:dyDescent="0.3">
      <c r="A54" s="85" t="s">
        <v>112</v>
      </c>
      <c r="B54" s="4">
        <f>IF(B12&gt;B51,B4*B52,0)</f>
        <v>0</v>
      </c>
      <c r="C54" s="4"/>
    </row>
    <row r="55" spans="1:12" ht="28.8" x14ac:dyDescent="0.3">
      <c r="A55" s="85" t="s">
        <v>113</v>
      </c>
      <c r="B55" s="82">
        <f>IF(AND(B12&lt;=B51,(B4+B12)&gt;=B51),(B4+B12-B51)*B52,0)</f>
        <v>28.65</v>
      </c>
      <c r="C55" s="4"/>
    </row>
    <row r="56" spans="1:12" x14ac:dyDescent="0.3">
      <c r="A56" s="28" t="s">
        <v>114</v>
      </c>
      <c r="B56" s="4">
        <f>SUM(B54:B55)</f>
        <v>28.65</v>
      </c>
      <c r="C56" s="4"/>
    </row>
    <row r="57" spans="1:12" x14ac:dyDescent="0.3">
      <c r="A57" s="28"/>
      <c r="B57" s="83"/>
      <c r="C57" s="4"/>
      <c r="E57" s="13"/>
      <c r="F57" s="43"/>
      <c r="H57" s="16"/>
    </row>
    <row r="58" spans="1:12" x14ac:dyDescent="0.3">
      <c r="A58" s="2" t="s">
        <v>12</v>
      </c>
      <c r="E58" s="35"/>
      <c r="F58" s="21"/>
      <c r="G58" s="4"/>
      <c r="H58" s="4"/>
      <c r="I58" s="16"/>
    </row>
    <row r="59" spans="1:12" x14ac:dyDescent="0.3">
      <c r="B59" s="11"/>
      <c r="C59" t="s">
        <v>13</v>
      </c>
      <c r="H59" s="35"/>
      <c r="J59" s="4"/>
      <c r="K59" s="4"/>
      <c r="L59" s="16"/>
    </row>
    <row r="60" spans="1:12" x14ac:dyDescent="0.3">
      <c r="H60" s="35"/>
      <c r="I60" s="18"/>
      <c r="J60" s="4"/>
      <c r="K60" s="4"/>
      <c r="L60" s="16"/>
    </row>
    <row r="61" spans="1:12" x14ac:dyDescent="0.3">
      <c r="A61" t="s">
        <v>20</v>
      </c>
      <c r="B61" s="17">
        <f>IF(AND((B4-B56+B12)&gt;=B18,(B4-B56+B12)&lt;=C18),(B4-B56)*D18,IF(AND((B4-B56+B12)&gt;B19,(B4-B56+B12)&lt;=C19),IF((B4-B56+B12-B19)&gt;(B4-B56),(B4-B56)*D19,((B4-B56+B12-B19)*D19)+((B4-B56-(B4-B56+B12-B19))*D18)),IF(AND((B4-B56+B12)&gt;B20,(B4-B56+B12)&lt;=C20),IF((B4-B56+B12-B20)&gt;(B4-B56),(B4-B56)*D20,IF((B4-B56+B12-B19)&gt;(B4-B56),(((B4-B56+B12-B20)*D20)+((B4-B56-(B4-B56+B12-B20))*D19)),((B4-B56+B12-B20)*D20)+((C19-B19)*D19)+((B4-B56-(B4-B56+B12-B19))*D18))),IF(AND((B4-B56+B12)&gt;B21,(B4-B56+B12)&lt;=C21),IF((B4-B56+B12-B21)&gt;(B4-B56),(B4-B56)*D21,IF((B4-B56+B12-B20)&gt;(B4-B56),((B4-B56+B12-B21)*D21)+(((B4-B56-(B4-B56+B12-B21))*D20)),IF((B4-B56+B12-B19)&gt;(B4-B56),(((B4-B56+B12-B21)*D21)+((C20-B20)*D20)+((B4-B56-(B4-B56+B12-B20))*D19)),((B4-B56+B12-B21)*D21)+((C20-B20)*D20)+((C19-B19)*D19)+((B4-B56-(B4-B56+B12-B19))*D18)))),IF((B4-B56+B12)&gt;B22,IF((B4-B56+B12-B22)&gt;(B4-B56),(B4-B56)*D22,IF((B4-B56+B12-B21)&gt;(B4-B56),(((B4-B56+B12-B22)*D22)+((B4-B56-(B4-B56+B12-B22))*D21)),IF((B4-B56+B12-B20)&gt;(B4-B56),(((B4-B56+B12-B22)*D22)+((C21-B21)*D21)+((B4-B56-(B4-B56+B12-B21))*D20)),IF((B4-B56+B12-B19)&gt;(B4-B56),(((B4-B56+B12-B22)*D22)+((C21-B21)*D21)+((C20-B20)*D20)+((B4-B56-(B4-B56+B12-B20))*D19)),((B4-B56+B12-B22)*D22)+((C21-B21)*D21)+((C20-B20)*D20)+((C19-B19)*D19)+((B4-B56-(B4-B56+B12-B19))*D18))))))))))</f>
        <v>199.12674999999999</v>
      </c>
      <c r="C61" t="s">
        <v>15</v>
      </c>
      <c r="H61" s="42"/>
      <c r="K61" s="4"/>
      <c r="L61" s="16"/>
    </row>
    <row r="62" spans="1:12" x14ac:dyDescent="0.3">
      <c r="B62" s="36">
        <f>-IF(B12&gt;=B24,0,IF(B12&lt;B24,IF((B12+B4-B56)&gt;B24,(B24-B12)*D18,(B4-B56)*D18)))</f>
        <v>0</v>
      </c>
      <c r="C62" t="s">
        <v>34</v>
      </c>
      <c r="H62" s="42"/>
      <c r="K62" s="4"/>
      <c r="L62" s="16"/>
    </row>
    <row r="63" spans="1:12" x14ac:dyDescent="0.3">
      <c r="B63" s="12">
        <f>IF(AND((B4-B56+B12)&gt;=B28,(B4-B56+B12)&lt;=C28),(B4-B56)*D28,IF(AND((B4-B56+B12)&gt;B29,(B4-B56+B12)&lt;=C29),IF((B4-B56+B12-B29)&gt;(B4-B56),(B4-B56)*D29,((B4-B56+B12-B29)*D29)+((B4-B56-(B4-B56+B12-B29))*D28)),IF((B4-B56+B12)&gt;B30,IF((B4-B56+B12-B30)&gt;(B4-B56),(B4-B56)*D30,IF((B4-B56+B12-B29)&gt;(B4-B56),(((B4-B56+B12-B30)*D30)+((B4-B56-(B4-B56+B12-B30))*D29)),((B4-B56+B12-B30)*D30)+((C29-B29)*D29)+((B4-B56-(B4-B56+B12-B29))*D28))))))</f>
        <v>169.01489999999998</v>
      </c>
      <c r="C63" t="s">
        <v>16</v>
      </c>
    </row>
    <row r="64" spans="1:12" x14ac:dyDescent="0.3">
      <c r="B64" s="38">
        <f>-IF(B12&gt;=B32,0,IF(B12&lt;B32,IF((B12+B4-B56)&gt;B32,(B32-B12)*D28,(B4-B56)*D28)))</f>
        <v>0</v>
      </c>
      <c r="C64" t="s">
        <v>36</v>
      </c>
    </row>
    <row r="65" spans="1:17" x14ac:dyDescent="0.3">
      <c r="B65" s="38">
        <f>B47</f>
        <v>0</v>
      </c>
      <c r="C65" t="s">
        <v>101</v>
      </c>
    </row>
    <row r="66" spans="1:17" x14ac:dyDescent="0.3">
      <c r="B66" s="86">
        <f>B56</f>
        <v>28.65</v>
      </c>
      <c r="C66" s="87" t="s">
        <v>109</v>
      </c>
    </row>
    <row r="67" spans="1:17" x14ac:dyDescent="0.3">
      <c r="A67" s="10" t="s">
        <v>22</v>
      </c>
      <c r="B67" s="44">
        <f>SUM(B61:B66)</f>
        <v>396.79164999999995</v>
      </c>
      <c r="F67" s="46"/>
      <c r="G67" s="46"/>
      <c r="H67" s="45"/>
      <c r="I67" s="46"/>
      <c r="J67" s="46"/>
      <c r="K67" s="48"/>
      <c r="L67" s="47"/>
      <c r="M67" s="46"/>
    </row>
    <row r="68" spans="1:17" x14ac:dyDescent="0.3">
      <c r="E68" s="18"/>
      <c r="F68" s="48"/>
      <c r="G68" s="46"/>
      <c r="H68" s="45"/>
      <c r="I68" s="48"/>
      <c r="J68" s="48"/>
      <c r="K68" s="46"/>
      <c r="L68" s="46"/>
      <c r="M68" s="46"/>
      <c r="Q68" s="15"/>
    </row>
    <row r="69" spans="1:17" x14ac:dyDescent="0.3">
      <c r="B69" s="13"/>
      <c r="F69" s="46"/>
      <c r="G69" s="46"/>
      <c r="H69" s="45"/>
      <c r="I69" s="46"/>
      <c r="J69" s="46"/>
      <c r="K69" s="46"/>
      <c r="L69" s="46"/>
      <c r="M69" s="46"/>
    </row>
    <row r="70" spans="1:17" x14ac:dyDescent="0.3">
      <c r="A70" s="19" t="s">
        <v>39</v>
      </c>
      <c r="B70" s="13"/>
      <c r="F70" s="46"/>
      <c r="G70" s="46"/>
      <c r="H70" s="45"/>
      <c r="I70" s="45"/>
      <c r="J70" s="48"/>
      <c r="K70" s="46"/>
      <c r="L70" s="46"/>
      <c r="M70" s="46"/>
    </row>
    <row r="71" spans="1:17" x14ac:dyDescent="0.3">
      <c r="A71" t="s">
        <v>117</v>
      </c>
      <c r="B71" s="13">
        <f>SUM(B61:B62)</f>
        <v>199.12674999999999</v>
      </c>
      <c r="F71" s="46"/>
      <c r="G71" s="46"/>
      <c r="H71" s="45"/>
      <c r="I71" s="46"/>
      <c r="J71" s="46"/>
      <c r="K71" s="46"/>
      <c r="L71" s="46"/>
      <c r="M71" s="46"/>
    </row>
    <row r="72" spans="1:17" x14ac:dyDescent="0.3">
      <c r="A72" t="s">
        <v>120</v>
      </c>
      <c r="B72" s="88">
        <f>SUM(B63:B64)</f>
        <v>169.01489999999998</v>
      </c>
      <c r="F72" s="46"/>
      <c r="G72" s="46"/>
      <c r="H72" s="45"/>
      <c r="I72" s="48"/>
      <c r="J72" s="48"/>
      <c r="K72" s="46"/>
      <c r="L72" s="46"/>
      <c r="M72" s="46"/>
    </row>
    <row r="73" spans="1:17" x14ac:dyDescent="0.3">
      <c r="A73" t="s">
        <v>121</v>
      </c>
      <c r="B73" s="88">
        <f>B65</f>
        <v>0</v>
      </c>
      <c r="F73" s="46"/>
      <c r="G73" s="46"/>
      <c r="H73" s="45"/>
      <c r="I73" s="48"/>
      <c r="J73" s="48"/>
      <c r="K73" s="46"/>
      <c r="L73" s="46"/>
      <c r="M73" s="46"/>
    </row>
    <row r="74" spans="1:17" x14ac:dyDescent="0.3">
      <c r="A74" s="89" t="s">
        <v>109</v>
      </c>
      <c r="B74" s="90">
        <f>B66</f>
        <v>28.65</v>
      </c>
      <c r="F74" s="46"/>
      <c r="G74" s="46"/>
      <c r="H74" s="45"/>
      <c r="I74" s="48"/>
      <c r="J74" s="48"/>
      <c r="K74" s="46"/>
      <c r="L74" s="46"/>
      <c r="M74" s="46"/>
    </row>
    <row r="75" spans="1:17" x14ac:dyDescent="0.3">
      <c r="B75" s="13">
        <f>SUM(B71:B74)</f>
        <v>396.79164999999995</v>
      </c>
      <c r="F75" s="46"/>
      <c r="G75" s="46"/>
      <c r="H75" s="45"/>
      <c r="I75" s="46"/>
      <c r="J75" s="46"/>
      <c r="K75" s="46"/>
      <c r="L75" s="46"/>
      <c r="M75" s="46"/>
    </row>
    <row r="76" spans="1:17" x14ac:dyDescent="0.3">
      <c r="B76" s="13"/>
      <c r="F76" s="46"/>
      <c r="G76" s="46"/>
      <c r="H76" s="45"/>
      <c r="I76" s="45"/>
      <c r="J76" s="48"/>
      <c r="K76" s="46"/>
      <c r="L76" s="46"/>
      <c r="M76" s="46"/>
    </row>
    <row r="77" spans="1:17" x14ac:dyDescent="0.3">
      <c r="B77" s="13"/>
      <c r="F77" s="46"/>
      <c r="G77" s="46"/>
      <c r="H77" s="45"/>
      <c r="I77" s="46"/>
      <c r="J77" s="46"/>
      <c r="K77" s="46"/>
      <c r="L77" s="46"/>
      <c r="M77" s="46"/>
    </row>
    <row r="78" spans="1:17" x14ac:dyDescent="0.3">
      <c r="B78" s="13"/>
      <c r="F78" s="46"/>
      <c r="G78" s="46"/>
      <c r="H78" s="45"/>
      <c r="I78" s="48"/>
      <c r="J78" s="48"/>
      <c r="K78" s="46"/>
      <c r="L78" s="46"/>
      <c r="M78" s="46"/>
    </row>
    <row r="79" spans="1:17" x14ac:dyDescent="0.3">
      <c r="B79" s="13"/>
      <c r="F79" s="46"/>
      <c r="G79" s="46"/>
      <c r="H79" s="45"/>
      <c r="I79" s="46"/>
      <c r="J79" s="46"/>
      <c r="K79" s="46"/>
      <c r="L79" s="46"/>
      <c r="M79" s="46"/>
    </row>
    <row r="80" spans="1:17" x14ac:dyDescent="0.3">
      <c r="B80" s="15"/>
      <c r="F80" s="46"/>
      <c r="G80" s="46"/>
      <c r="H80" s="49"/>
      <c r="I80" s="46"/>
      <c r="J80" s="46"/>
      <c r="K80" s="46"/>
      <c r="L80" s="46"/>
      <c r="M80" s="46"/>
    </row>
    <row r="81" spans="6:13" x14ac:dyDescent="0.3">
      <c r="F81" s="46"/>
      <c r="G81" s="46"/>
      <c r="H81" s="45"/>
      <c r="I81" s="46"/>
      <c r="J81" s="46"/>
      <c r="K81" s="46"/>
      <c r="L81" s="46"/>
      <c r="M81" s="46"/>
    </row>
    <row r="82" spans="6:13" x14ac:dyDescent="0.3">
      <c r="F82" s="46"/>
      <c r="G82" s="46"/>
      <c r="H82" s="45"/>
      <c r="I82" s="47"/>
      <c r="J82" s="47"/>
      <c r="K82" s="46"/>
      <c r="L82" s="46"/>
      <c r="M82" s="46"/>
    </row>
    <row r="83" spans="6:13" x14ac:dyDescent="0.3">
      <c r="F83" s="46"/>
      <c r="G83" s="46"/>
      <c r="H83" s="45"/>
      <c r="I83" s="46"/>
      <c r="J83" s="46"/>
      <c r="K83" s="46"/>
      <c r="L83" s="46"/>
      <c r="M83" s="46"/>
    </row>
    <row r="84" spans="6:13" x14ac:dyDescent="0.3">
      <c r="H84" s="12"/>
    </row>
    <row r="86" spans="6:13" x14ac:dyDescent="0.3">
      <c r="H86" s="39"/>
      <c r="M86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RRSP (Deduction)</vt:lpstr>
      <vt:lpstr>Interest Inc (Income)</vt:lpstr>
      <vt:lpstr>Dividend Inc</vt:lpstr>
      <vt:lpstr>Foreign Investment Inc</vt:lpstr>
      <vt:lpstr>Old Age Security Pension</vt:lpstr>
    </vt:vector>
  </TitlesOfParts>
  <Company>diakov.net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William Chong</cp:lastModifiedBy>
  <dcterms:created xsi:type="dcterms:W3CDTF">2016-07-05T04:18:43Z</dcterms:created>
  <dcterms:modified xsi:type="dcterms:W3CDTF">2016-11-14T23:43:06Z</dcterms:modified>
</cp:coreProperties>
</file>