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.Chong\Desktop\Will\Letter\TaxPro\Base Formula - 2016 for 2017\New Brunswick\"/>
    </mc:Choice>
  </mc:AlternateContent>
  <bookViews>
    <workbookView xWindow="0" yWindow="0" windowWidth="24000" windowHeight="9132" activeTab="4"/>
  </bookViews>
  <sheets>
    <sheet name="RRSP (Deduction)" sheetId="1" r:id="rId1"/>
    <sheet name="Interest Inc (Income)" sheetId="3" r:id="rId2"/>
    <sheet name="Dividend Inc" sheetId="19" r:id="rId3"/>
    <sheet name="Foreign Investment Inc" sheetId="24" r:id="rId4"/>
    <sheet name="Old Age Security Pension" sheetId="27" r:id="rId5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27" l="1"/>
  <c r="B31" i="27"/>
  <c r="B30" i="27"/>
  <c r="B29" i="27"/>
  <c r="B22" i="27"/>
  <c r="B21" i="27"/>
  <c r="B20" i="27"/>
  <c r="B19" i="27"/>
  <c r="B32" i="24"/>
  <c r="B31" i="24"/>
  <c r="B30" i="24"/>
  <c r="B29" i="24"/>
  <c r="B22" i="24"/>
  <c r="B21" i="24"/>
  <c r="B20" i="24"/>
  <c r="B19" i="24"/>
  <c r="B36" i="19"/>
  <c r="B35" i="19"/>
  <c r="B34" i="19"/>
  <c r="B33" i="19"/>
  <c r="B26" i="19"/>
  <c r="B25" i="19"/>
  <c r="B24" i="19"/>
  <c r="B23" i="19"/>
  <c r="B32" i="3"/>
  <c r="B31" i="3"/>
  <c r="B30" i="3"/>
  <c r="B29" i="3"/>
  <c r="B22" i="3"/>
  <c r="B21" i="3"/>
  <c r="B20" i="3"/>
  <c r="B19" i="3"/>
  <c r="B74" i="27" l="1"/>
  <c r="B73" i="27"/>
  <c r="B72" i="27"/>
  <c r="B71" i="27"/>
  <c r="C39" i="27"/>
  <c r="B65" i="27"/>
  <c r="B64" i="27"/>
  <c r="J56" i="27"/>
  <c r="I56" i="27"/>
  <c r="H54" i="27"/>
  <c r="H53" i="27"/>
  <c r="G53" i="27"/>
  <c r="H52" i="27"/>
  <c r="G52" i="27"/>
  <c r="F53" i="27" s="1"/>
  <c r="J53" i="27" s="1"/>
  <c r="H51" i="27"/>
  <c r="J51" i="27" s="1"/>
  <c r="G51" i="27"/>
  <c r="F52" i="27" s="1"/>
  <c r="H50" i="27"/>
  <c r="G50" i="27"/>
  <c r="F51" i="27" s="1"/>
  <c r="J44" i="27"/>
  <c r="I44" i="27"/>
  <c r="H42" i="27"/>
  <c r="H41" i="27"/>
  <c r="G41" i="27"/>
  <c r="F42" i="27" s="1"/>
  <c r="J42" i="27" s="1"/>
  <c r="K42" i="27" s="1"/>
  <c r="H40" i="27"/>
  <c r="G40" i="27"/>
  <c r="F41" i="27" s="1"/>
  <c r="H39" i="27"/>
  <c r="G39" i="27"/>
  <c r="F40" i="27" s="1"/>
  <c r="C41" i="27"/>
  <c r="C43" i="27" s="1"/>
  <c r="C46" i="27" s="1"/>
  <c r="C47" i="27" s="1"/>
  <c r="B39" i="27"/>
  <c r="B41" i="27" s="1"/>
  <c r="B43" i="27" s="1"/>
  <c r="B46" i="27" s="1"/>
  <c r="B47" i="27" s="1"/>
  <c r="H38" i="27"/>
  <c r="G38" i="27"/>
  <c r="F39" i="27" s="1"/>
  <c r="J52" i="27" l="1"/>
  <c r="J39" i="27"/>
  <c r="J40" i="27"/>
  <c r="K40" i="27" s="1"/>
  <c r="K52" i="27"/>
  <c r="J50" i="27"/>
  <c r="K53" i="27"/>
  <c r="K44" i="27"/>
  <c r="B66" i="27"/>
  <c r="B76" i="27" s="1"/>
  <c r="K56" i="27"/>
  <c r="B81" i="27"/>
  <c r="J41" i="27"/>
  <c r="K41" i="27" s="1"/>
  <c r="I39" i="27"/>
  <c r="I40" i="27" s="1"/>
  <c r="I41" i="27" s="1"/>
  <c r="I42" i="27" s="1"/>
  <c r="I51" i="27"/>
  <c r="I52" i="27" s="1"/>
  <c r="I53" i="27" s="1"/>
  <c r="I54" i="27" s="1"/>
  <c r="F54" i="27"/>
  <c r="J38" i="27"/>
  <c r="K38" i="27" s="1"/>
  <c r="K50" i="27"/>
  <c r="J57" i="1"/>
  <c r="J45" i="1"/>
  <c r="B33" i="1"/>
  <c r="B32" i="1"/>
  <c r="B31" i="1"/>
  <c r="B30" i="1"/>
  <c r="J54" i="27" l="1"/>
  <c r="K54" i="27" s="1"/>
  <c r="K39" i="27"/>
  <c r="K43" i="27" s="1"/>
  <c r="K45" i="27" s="1"/>
  <c r="B49" i="27" s="1"/>
  <c r="B51" i="27" s="1"/>
  <c r="B83" i="27"/>
  <c r="K51" i="27"/>
  <c r="I95" i="24"/>
  <c r="I71" i="24"/>
  <c r="J56" i="24"/>
  <c r="J44" i="24"/>
  <c r="I112" i="19"/>
  <c r="I88" i="19"/>
  <c r="J68" i="19"/>
  <c r="J48" i="19"/>
  <c r="J56" i="3"/>
  <c r="J44" i="3"/>
  <c r="K55" i="27" l="1"/>
  <c r="K57" i="27" s="1"/>
  <c r="C49" i="27" s="1"/>
  <c r="C51" i="27" s="1"/>
  <c r="B53" i="27" s="1"/>
  <c r="B75" i="27" s="1"/>
  <c r="B77" i="27" s="1"/>
  <c r="B82" i="27"/>
  <c r="B84" i="27" s="1"/>
  <c r="C40" i="1" l="1"/>
  <c r="I57" i="1"/>
  <c r="K57" i="1" s="1"/>
  <c r="H55" i="1"/>
  <c r="H54" i="1"/>
  <c r="G54" i="1"/>
  <c r="F55" i="1" s="1"/>
  <c r="J55" i="1" s="1"/>
  <c r="H53" i="1"/>
  <c r="G53" i="1"/>
  <c r="F54" i="1" s="1"/>
  <c r="H52" i="1"/>
  <c r="G52" i="1"/>
  <c r="F53" i="1" s="1"/>
  <c r="H51" i="1"/>
  <c r="G51" i="1"/>
  <c r="F52" i="1" s="1"/>
  <c r="I45" i="1"/>
  <c r="K45" i="1" s="1"/>
  <c r="H43" i="1"/>
  <c r="H42" i="1"/>
  <c r="G42" i="1"/>
  <c r="F43" i="1" s="1"/>
  <c r="H41" i="1"/>
  <c r="G41" i="1"/>
  <c r="F42" i="1" s="1"/>
  <c r="H40" i="1"/>
  <c r="G40" i="1"/>
  <c r="F41" i="1" s="1"/>
  <c r="B40" i="1"/>
  <c r="H39" i="1"/>
  <c r="G39" i="1"/>
  <c r="J39" i="1" s="1"/>
  <c r="B23" i="1"/>
  <c r="B22" i="1"/>
  <c r="B21" i="1"/>
  <c r="B20" i="1"/>
  <c r="B47" i="1" l="1"/>
  <c r="B48" i="1" s="1"/>
  <c r="B42" i="1"/>
  <c r="B44" i="1" s="1"/>
  <c r="C42" i="1"/>
  <c r="C44" i="1" s="1"/>
  <c r="C47" i="1" s="1"/>
  <c r="C48" i="1" s="1"/>
  <c r="J53" i="1"/>
  <c r="K53" i="1" s="1"/>
  <c r="J52" i="1"/>
  <c r="K52" i="1" s="1"/>
  <c r="J54" i="1"/>
  <c r="K54" i="1" s="1"/>
  <c r="J41" i="1"/>
  <c r="K41" i="1" s="1"/>
  <c r="J43" i="1"/>
  <c r="J42" i="1"/>
  <c r="K42" i="1" s="1"/>
  <c r="J51" i="1"/>
  <c r="K51" i="1" s="1"/>
  <c r="I40" i="1"/>
  <c r="I52" i="1"/>
  <c r="I53" i="1" s="1"/>
  <c r="I54" i="1" s="1"/>
  <c r="I55" i="1" s="1"/>
  <c r="K55" i="1" s="1"/>
  <c r="K39" i="1"/>
  <c r="F40" i="1"/>
  <c r="J40" i="1" s="1"/>
  <c r="K40" i="1" s="1"/>
  <c r="B82" i="24"/>
  <c r="B66" i="24"/>
  <c r="B111" i="24"/>
  <c r="B108" i="24"/>
  <c r="H95" i="24"/>
  <c r="G93" i="24"/>
  <c r="G92" i="24"/>
  <c r="F92" i="24"/>
  <c r="G91" i="24"/>
  <c r="F91" i="24"/>
  <c r="E92" i="24" s="1"/>
  <c r="G90" i="24"/>
  <c r="F90" i="24"/>
  <c r="E91" i="24" s="1"/>
  <c r="G89" i="24"/>
  <c r="F89" i="24"/>
  <c r="E90" i="24" s="1"/>
  <c r="B72" i="24"/>
  <c r="H71" i="24"/>
  <c r="B71" i="24"/>
  <c r="G69" i="24"/>
  <c r="G68" i="24"/>
  <c r="F68" i="24"/>
  <c r="E69" i="24" s="1"/>
  <c r="G67" i="24"/>
  <c r="F67" i="24"/>
  <c r="E68" i="24" s="1"/>
  <c r="G66" i="24"/>
  <c r="F66" i="24"/>
  <c r="E67" i="24" s="1"/>
  <c r="G65" i="24"/>
  <c r="F65" i="24"/>
  <c r="E66" i="24" s="1"/>
  <c r="B65" i="24"/>
  <c r="B64" i="24"/>
  <c r="I56" i="24"/>
  <c r="H54" i="24"/>
  <c r="H53" i="24"/>
  <c r="G53" i="24"/>
  <c r="F54" i="24" s="1"/>
  <c r="H52" i="24"/>
  <c r="G52" i="24"/>
  <c r="F53" i="24" s="1"/>
  <c r="H51" i="24"/>
  <c r="G51" i="24"/>
  <c r="F52" i="24" s="1"/>
  <c r="H50" i="24"/>
  <c r="G50" i="24"/>
  <c r="I44" i="24"/>
  <c r="K44" i="24" s="1"/>
  <c r="H42" i="24"/>
  <c r="H41" i="24"/>
  <c r="G41" i="24"/>
  <c r="F42" i="24" s="1"/>
  <c r="H40" i="24"/>
  <c r="G40" i="24"/>
  <c r="F41" i="24" s="1"/>
  <c r="H39" i="24"/>
  <c r="G39" i="24"/>
  <c r="F40" i="24" s="1"/>
  <c r="B39" i="24"/>
  <c r="H38" i="24"/>
  <c r="G38" i="24"/>
  <c r="B41" i="24" l="1"/>
  <c r="B43" i="24" s="1"/>
  <c r="B46" i="24" s="1"/>
  <c r="B47" i="24" s="1"/>
  <c r="K56" i="1"/>
  <c r="I41" i="1"/>
  <c r="I42" i="1" s="1"/>
  <c r="I43" i="1" s="1"/>
  <c r="K43" i="1" s="1"/>
  <c r="K44" i="1" s="1"/>
  <c r="I39" i="24"/>
  <c r="J42" i="24"/>
  <c r="J38" i="24"/>
  <c r="K38" i="24" s="1"/>
  <c r="F39" i="24"/>
  <c r="J39" i="24" s="1"/>
  <c r="K39" i="24" s="1"/>
  <c r="J40" i="24"/>
  <c r="K40" i="24" s="1"/>
  <c r="F51" i="24"/>
  <c r="I51" i="24"/>
  <c r="E93" i="24"/>
  <c r="H90" i="24"/>
  <c r="H91" i="24" s="1"/>
  <c r="H92" i="24" s="1"/>
  <c r="H93" i="24" s="1"/>
  <c r="J41" i="24"/>
  <c r="H66" i="24"/>
  <c r="H67" i="24" s="1"/>
  <c r="H68" i="24" s="1"/>
  <c r="H69" i="24" s="1"/>
  <c r="B96" i="24"/>
  <c r="K58" i="1" l="1"/>
  <c r="C50" i="1" s="1"/>
  <c r="C52" i="1" s="1"/>
  <c r="K46" i="1"/>
  <c r="B50" i="1" s="1"/>
  <c r="B52" i="1" s="1"/>
  <c r="I40" i="24"/>
  <c r="I41" i="24" s="1"/>
  <c r="I42" i="24" s="1"/>
  <c r="K42" i="24" s="1"/>
  <c r="I52" i="24"/>
  <c r="I53" i="24" s="1"/>
  <c r="I54" i="24" s="1"/>
  <c r="K41" i="24" l="1"/>
  <c r="K43" i="24" s="1"/>
  <c r="B54" i="1"/>
  <c r="B67" i="1" s="1"/>
  <c r="K45" i="24" l="1"/>
  <c r="B49" i="24" s="1"/>
  <c r="B51" i="24" s="1"/>
  <c r="B43" i="19"/>
  <c r="B45" i="19" s="1"/>
  <c r="B47" i="19" s="1"/>
  <c r="I68" i="19" l="1"/>
  <c r="I56" i="3"/>
  <c r="I44" i="3"/>
  <c r="I48" i="19"/>
  <c r="K48" i="19" s="1"/>
  <c r="H112" i="19" l="1"/>
  <c r="H88" i="19"/>
  <c r="B99" i="19"/>
  <c r="B83" i="19"/>
  <c r="H66" i="19" l="1"/>
  <c r="H65" i="19"/>
  <c r="G65" i="19"/>
  <c r="H64" i="19"/>
  <c r="G64" i="19"/>
  <c r="F65" i="19" s="1"/>
  <c r="H63" i="19"/>
  <c r="G63" i="19"/>
  <c r="F64" i="19" s="1"/>
  <c r="H62" i="19"/>
  <c r="G62" i="19"/>
  <c r="F63" i="19" s="1"/>
  <c r="H46" i="19"/>
  <c r="H45" i="19"/>
  <c r="G45" i="19"/>
  <c r="F46" i="19" s="1"/>
  <c r="H44" i="19"/>
  <c r="G44" i="19"/>
  <c r="F45" i="19" s="1"/>
  <c r="H43" i="19"/>
  <c r="G43" i="19"/>
  <c r="F44" i="19" s="1"/>
  <c r="B50" i="19"/>
  <c r="B51" i="19" s="1"/>
  <c r="H42" i="19"/>
  <c r="G42" i="19"/>
  <c r="J42" i="19" l="1"/>
  <c r="K42" i="19" s="1"/>
  <c r="J44" i="19"/>
  <c r="K44" i="19" s="1"/>
  <c r="J46" i="19"/>
  <c r="J45" i="19"/>
  <c r="I43" i="19"/>
  <c r="F43" i="19"/>
  <c r="I63" i="19"/>
  <c r="I64" i="19" s="1"/>
  <c r="I65" i="19" s="1"/>
  <c r="I66" i="19" s="1"/>
  <c r="F66" i="19"/>
  <c r="C39" i="3"/>
  <c r="C41" i="3" s="1"/>
  <c r="B39" i="3"/>
  <c r="B41" i="3" s="1"/>
  <c r="H54" i="3"/>
  <c r="H53" i="3"/>
  <c r="H52" i="3"/>
  <c r="H51" i="3"/>
  <c r="H50" i="3"/>
  <c r="G53" i="3"/>
  <c r="F54" i="3" s="1"/>
  <c r="G52" i="3"/>
  <c r="F53" i="3" s="1"/>
  <c r="G51" i="3"/>
  <c r="F52" i="3" s="1"/>
  <c r="G50" i="3"/>
  <c r="J50" i="3" s="1"/>
  <c r="K50" i="3" s="1"/>
  <c r="H42" i="3"/>
  <c r="H41" i="3"/>
  <c r="H40" i="3"/>
  <c r="H39" i="3"/>
  <c r="H38" i="3"/>
  <c r="G41" i="3"/>
  <c r="F42" i="3" s="1"/>
  <c r="J42" i="3" s="1"/>
  <c r="G40" i="3"/>
  <c r="F41" i="3" s="1"/>
  <c r="G39" i="3"/>
  <c r="F40" i="3" s="1"/>
  <c r="G38" i="3"/>
  <c r="F39" i="3" s="1"/>
  <c r="K56" i="3"/>
  <c r="K44" i="3"/>
  <c r="B62" i="3" l="1"/>
  <c r="J43" i="19"/>
  <c r="K43" i="19" s="1"/>
  <c r="I44" i="19"/>
  <c r="I45" i="19" s="1"/>
  <c r="I46" i="19" s="1"/>
  <c r="K46" i="19" s="1"/>
  <c r="K42" i="3"/>
  <c r="J54" i="3"/>
  <c r="J41" i="3"/>
  <c r="J39" i="3"/>
  <c r="K39" i="3" s="1"/>
  <c r="J38" i="3"/>
  <c r="K38" i="3" s="1"/>
  <c r="I39" i="3"/>
  <c r="I40" i="3" s="1"/>
  <c r="I41" i="3" s="1"/>
  <c r="I42" i="3" s="1"/>
  <c r="J53" i="3"/>
  <c r="J52" i="3"/>
  <c r="K52" i="3" s="1"/>
  <c r="F51" i="3"/>
  <c r="J51" i="3" s="1"/>
  <c r="I51" i="3"/>
  <c r="J40" i="3"/>
  <c r="K40" i="3" s="1"/>
  <c r="C43" i="3"/>
  <c r="C46" i="3" s="1"/>
  <c r="C47" i="3" s="1"/>
  <c r="B43" i="3"/>
  <c r="B46" i="3" s="1"/>
  <c r="B47" i="3" s="1"/>
  <c r="K41" i="3" l="1"/>
  <c r="K43" i="3" s="1"/>
  <c r="K45" i="19"/>
  <c r="K47" i="19" s="1"/>
  <c r="K54" i="3"/>
  <c r="K51" i="3"/>
  <c r="I52" i="3"/>
  <c r="I53" i="3" s="1"/>
  <c r="I54" i="3" s="1"/>
  <c r="K49" i="19" l="1"/>
  <c r="B53" i="19" s="1"/>
  <c r="B55" i="19" s="1"/>
  <c r="K45" i="3"/>
  <c r="B49" i="3" s="1"/>
  <c r="B51" i="3" s="1"/>
  <c r="K53" i="3"/>
  <c r="K55" i="3" s="1"/>
  <c r="B64" i="3"/>
  <c r="K57" i="3" l="1"/>
  <c r="C49" i="3" s="1"/>
  <c r="C51" i="3" s="1"/>
  <c r="B53" i="3" s="1"/>
  <c r="B66" i="3" s="1"/>
  <c r="G110" i="19"/>
  <c r="G109" i="19"/>
  <c r="G108" i="19"/>
  <c r="G107" i="19"/>
  <c r="G106" i="19"/>
  <c r="G86" i="19"/>
  <c r="G85" i="19"/>
  <c r="G84" i="19"/>
  <c r="G83" i="19"/>
  <c r="G82" i="19"/>
  <c r="F85" i="19"/>
  <c r="E86" i="19" s="1"/>
  <c r="F84" i="19"/>
  <c r="F83" i="19"/>
  <c r="F109" i="19"/>
  <c r="E110" i="19" s="1"/>
  <c r="F108" i="19"/>
  <c r="E109" i="19" s="1"/>
  <c r="F107" i="19"/>
  <c r="F106" i="19"/>
  <c r="F82" i="19"/>
  <c r="E108" i="19" l="1"/>
  <c r="E85" i="19"/>
  <c r="E83" i="19"/>
  <c r="H83" i="19"/>
  <c r="E107" i="19"/>
  <c r="H107" i="19"/>
  <c r="E84" i="19"/>
  <c r="B89" i="19"/>
  <c r="H108" i="19" l="1"/>
  <c r="H109" i="19" s="1"/>
  <c r="H110" i="19" s="1"/>
  <c r="H84" i="19"/>
  <c r="H85" i="19" s="1"/>
  <c r="H86" i="19" s="1"/>
  <c r="B113" i="19" l="1"/>
  <c r="B82" i="19"/>
  <c r="B81" i="19"/>
  <c r="B88" i="19" l="1"/>
  <c r="B65" i="19" l="1"/>
  <c r="B63" i="19"/>
  <c r="B64" i="19"/>
  <c r="B66" i="19" l="1"/>
  <c r="B66" i="1" l="1"/>
  <c r="B64" i="1"/>
  <c r="B63" i="1"/>
  <c r="B73" i="1" s="1"/>
  <c r="B65" i="1"/>
  <c r="B74" i="1" s="1"/>
  <c r="B75" i="1" l="1"/>
  <c r="B65" i="3"/>
  <c r="B72" i="3" s="1"/>
  <c r="B68" i="1" l="1"/>
  <c r="B63" i="3" l="1"/>
  <c r="B67" i="3" s="1"/>
  <c r="B71" i="3" l="1"/>
  <c r="B73" i="3" l="1"/>
  <c r="B125" i="19" l="1"/>
  <c r="B129" i="19"/>
  <c r="C43" i="19"/>
  <c r="C45" i="19"/>
  <c r="C47" i="19"/>
  <c r="C50" i="19"/>
  <c r="C51" i="19"/>
  <c r="C53" i="19"/>
  <c r="C55" i="19"/>
  <c r="B57" i="19"/>
  <c r="J62" i="19"/>
  <c r="K62" i="19"/>
  <c r="J63" i="19"/>
  <c r="K63" i="19"/>
  <c r="J64" i="19"/>
  <c r="K64" i="19"/>
  <c r="J65" i="19"/>
  <c r="K65" i="19"/>
  <c r="J66" i="19"/>
  <c r="K66" i="19"/>
  <c r="K67" i="19"/>
  <c r="K68" i="19"/>
  <c r="B69" i="19"/>
  <c r="K69" i="19"/>
  <c r="B70" i="19"/>
  <c r="K70" i="19"/>
  <c r="B71" i="19"/>
  <c r="K71" i="19"/>
  <c r="K72" i="19"/>
  <c r="K73" i="19"/>
  <c r="B74" i="19"/>
  <c r="B75" i="19"/>
  <c r="B76" i="19"/>
  <c r="I82" i="19"/>
  <c r="J82" i="19"/>
  <c r="I83" i="19"/>
  <c r="J83" i="19"/>
  <c r="B84" i="19"/>
  <c r="I84" i="19"/>
  <c r="J84" i="19"/>
  <c r="B85" i="19"/>
  <c r="I85" i="19"/>
  <c r="J85" i="19"/>
  <c r="B86" i="19"/>
  <c r="I86" i="19"/>
  <c r="J86" i="19"/>
  <c r="J87" i="19"/>
  <c r="J88" i="19"/>
  <c r="J89" i="19"/>
  <c r="B90" i="19"/>
  <c r="B91" i="19"/>
  <c r="B92" i="19"/>
  <c r="B94" i="19"/>
  <c r="B96" i="19"/>
  <c r="B98" i="19"/>
  <c r="B101" i="19"/>
  <c r="B105" i="19"/>
  <c r="B106" i="19"/>
  <c r="I106" i="19"/>
  <c r="J106" i="19"/>
  <c r="B107" i="19"/>
  <c r="I107" i="19"/>
  <c r="J107" i="19"/>
  <c r="I108" i="19"/>
  <c r="J108" i="19"/>
  <c r="B109" i="19"/>
  <c r="I109" i="19"/>
  <c r="J109" i="19"/>
  <c r="I110" i="19"/>
  <c r="J110" i="19"/>
  <c r="B111" i="19"/>
  <c r="J111" i="19"/>
  <c r="J112" i="19"/>
  <c r="J113" i="19"/>
  <c r="B114" i="19"/>
  <c r="B115" i="19"/>
  <c r="B117" i="19"/>
  <c r="B119" i="19"/>
  <c r="B124" i="19"/>
  <c r="B126" i="19"/>
  <c r="B127" i="19"/>
  <c r="B128" i="19"/>
  <c r="B130" i="19"/>
  <c r="B131" i="19"/>
  <c r="B132" i="19"/>
  <c r="B133" i="19"/>
  <c r="B137" i="19"/>
  <c r="B138" i="19"/>
  <c r="B139" i="19"/>
  <c r="C39" i="24"/>
  <c r="C41" i="24"/>
  <c r="C43" i="24"/>
  <c r="C46" i="24"/>
  <c r="C47" i="24"/>
  <c r="C49" i="24"/>
  <c r="J50" i="24"/>
  <c r="K50" i="24"/>
  <c r="C51" i="24"/>
  <c r="J51" i="24"/>
  <c r="K51" i="24"/>
  <c r="J52" i="24"/>
  <c r="K52" i="24"/>
  <c r="B53" i="24"/>
  <c r="J53" i="24"/>
  <c r="K53" i="24"/>
  <c r="J54" i="24"/>
  <c r="K54" i="24"/>
  <c r="K55" i="24"/>
  <c r="K56" i="24"/>
  <c r="K57" i="24"/>
  <c r="K58" i="24"/>
  <c r="K59" i="24"/>
  <c r="I65" i="24"/>
  <c r="J65" i="24"/>
  <c r="I66" i="24"/>
  <c r="J66" i="24"/>
  <c r="B67" i="24"/>
  <c r="I67" i="24"/>
  <c r="J67" i="24"/>
  <c r="B68" i="24"/>
  <c r="I68" i="24"/>
  <c r="J68" i="24"/>
  <c r="B69" i="24"/>
  <c r="I69" i="24"/>
  <c r="J69" i="24"/>
  <c r="J70" i="24"/>
  <c r="J71" i="24"/>
  <c r="J72" i="24"/>
  <c r="B73" i="24"/>
  <c r="B74" i="24"/>
  <c r="B75" i="24"/>
  <c r="B77" i="24"/>
  <c r="B79" i="24"/>
  <c r="B81" i="24"/>
  <c r="B84" i="24"/>
  <c r="B88" i="24"/>
  <c r="B89" i="24"/>
  <c r="I89" i="24"/>
  <c r="J89" i="24"/>
  <c r="B90" i="24"/>
  <c r="I90" i="24"/>
  <c r="J90" i="24"/>
  <c r="I91" i="24"/>
  <c r="J91" i="24"/>
  <c r="B92" i="24"/>
  <c r="I92" i="24"/>
  <c r="J92" i="24"/>
  <c r="I93" i="24"/>
  <c r="J93" i="24"/>
  <c r="B94" i="24"/>
  <c r="J94" i="24"/>
  <c r="J95" i="24"/>
  <c r="J96" i="24"/>
  <c r="B97" i="24"/>
  <c r="B98" i="24"/>
  <c r="B100" i="24"/>
  <c r="B102" i="24"/>
  <c r="B107" i="24"/>
  <c r="B109" i="24"/>
  <c r="B110" i="24"/>
  <c r="B112" i="24"/>
  <c r="B113" i="24"/>
  <c r="B114" i="24"/>
  <c r="B118" i="24"/>
  <c r="B119" i="24"/>
  <c r="B120" i="24"/>
</calcChain>
</file>

<file path=xl/sharedStrings.xml><?xml version="1.0" encoding="utf-8"?>
<sst xmlns="http://schemas.openxmlformats.org/spreadsheetml/2006/main" count="482" uniqueCount="120">
  <si>
    <t>Input cell</t>
  </si>
  <si>
    <t>#1</t>
  </si>
  <si>
    <t>RRSP</t>
  </si>
  <si>
    <t>Contribution</t>
  </si>
  <si>
    <t>#2</t>
  </si>
  <si>
    <t>Province</t>
  </si>
  <si>
    <t>Total Income</t>
  </si>
  <si>
    <t>Background</t>
  </si>
  <si>
    <t>Federal Bracket</t>
  </si>
  <si>
    <t>Income level</t>
  </si>
  <si>
    <t>over</t>
  </si>
  <si>
    <t>Provincial Bracket</t>
  </si>
  <si>
    <t>#4</t>
  </si>
  <si>
    <t>Output cell</t>
  </si>
  <si>
    <t>Tax savings</t>
  </si>
  <si>
    <t>Federal</t>
  </si>
  <si>
    <t>Provincial</t>
  </si>
  <si>
    <t>Threshold</t>
  </si>
  <si>
    <t>Total Tax Savings</t>
  </si>
  <si>
    <t>Interest income</t>
  </si>
  <si>
    <t>Taxes Payable</t>
  </si>
  <si>
    <t>2016 rates</t>
  </si>
  <si>
    <t>Additional Taxes Payable</t>
  </si>
  <si>
    <t>Net income</t>
  </si>
  <si>
    <t>Yes</t>
  </si>
  <si>
    <t>No</t>
  </si>
  <si>
    <t>Dividend Income</t>
  </si>
  <si>
    <t>Step #1</t>
  </si>
  <si>
    <t>Step #2</t>
  </si>
  <si>
    <t>Non-Canadian corporation</t>
  </si>
  <si>
    <t>Canadian Corporation</t>
  </si>
  <si>
    <t>A</t>
  </si>
  <si>
    <t>B</t>
  </si>
  <si>
    <t>Tax Tips:</t>
  </si>
  <si>
    <t>Basic personal amount (federal)</t>
  </si>
  <si>
    <t>Basic personal amount</t>
  </si>
  <si>
    <t>Basic personal amount (Provincial)</t>
  </si>
  <si>
    <t>`</t>
  </si>
  <si>
    <t>Basic personal amount (Federal)</t>
  </si>
  <si>
    <t>View Details Page</t>
  </si>
  <si>
    <t>Federal Dividend Tax Credit</t>
  </si>
  <si>
    <t>Is the company traded on the stock market?</t>
  </si>
  <si>
    <t>Type of corporation</t>
  </si>
  <si>
    <t>Eligible dividend</t>
  </si>
  <si>
    <t>Gross up (non-eligible dividend)</t>
  </si>
  <si>
    <t>Non-eligible dividend</t>
  </si>
  <si>
    <t>Foreign dividend</t>
  </si>
  <si>
    <t>Eligible dividend tax credit</t>
  </si>
  <si>
    <t>Non-eligible dividend tax credit</t>
  </si>
  <si>
    <t>Dividend tax credit (federal)</t>
  </si>
  <si>
    <t>Dividend Tax Credit</t>
  </si>
  <si>
    <t>Dividend tax credit (provincial)</t>
  </si>
  <si>
    <t>Foreign investment income</t>
  </si>
  <si>
    <t>Foreign Tax Credit</t>
  </si>
  <si>
    <t>Federal foreign tax credit</t>
  </si>
  <si>
    <t>Basic federal tax</t>
  </si>
  <si>
    <t>Net foreign business income</t>
  </si>
  <si>
    <t>Proportion of net foreign business income</t>
  </si>
  <si>
    <t>US</t>
  </si>
  <si>
    <t>Non-US</t>
  </si>
  <si>
    <t>Country of foreign income</t>
  </si>
  <si>
    <t>Taxes withheld/paid on foreign income</t>
  </si>
  <si>
    <t>Input fields will only appear if user selects "Non-Canadian corporation"</t>
  </si>
  <si>
    <t>Don't Know</t>
  </si>
  <si>
    <t>Marginal tax</t>
  </si>
  <si>
    <t>Lower bracket tax</t>
  </si>
  <si>
    <t>Total tax</t>
  </si>
  <si>
    <t>FTC limitation</t>
  </si>
  <si>
    <t>Foreign taxes paid</t>
  </si>
  <si>
    <t>Federal foreign tax credit (lesser of A or B)</t>
  </si>
  <si>
    <t>Provincial foreign tax credit</t>
  </si>
  <si>
    <t>Basic provincial tax</t>
  </si>
  <si>
    <t>Provincial foreign tax credit (lesser of A or B)</t>
  </si>
  <si>
    <t xml:space="preserve">US source investment income - limitation on 20(11) and 20(12) </t>
  </si>
  <si>
    <t>Foreign business income</t>
  </si>
  <si>
    <t>Not eligible for FTC</t>
  </si>
  <si>
    <t>20(11) deduction</t>
  </si>
  <si>
    <t>Net total income</t>
  </si>
  <si>
    <t>Less: Federal FTC claimed</t>
  </si>
  <si>
    <t>Foreign tax credit (federal)</t>
  </si>
  <si>
    <t>Foreign tax credit (provincial)</t>
  </si>
  <si>
    <t>20(12) deduction</t>
  </si>
  <si>
    <t>C</t>
  </si>
  <si>
    <t>Total 20(11)/(12) deduction</t>
  </si>
  <si>
    <t>A+B+C</t>
  </si>
  <si>
    <t>A+B</t>
  </si>
  <si>
    <t>Unused credit - 20(12) deduction</t>
  </si>
  <si>
    <t>min(A or B)</t>
  </si>
  <si>
    <t>Iterative calculation</t>
  </si>
  <si>
    <t>Base amount</t>
  </si>
  <si>
    <t>2015 rates</t>
  </si>
  <si>
    <t>Total income only</t>
  </si>
  <si>
    <t>With interest</t>
  </si>
  <si>
    <t>Provincial tax</t>
  </si>
  <si>
    <t>Net</t>
  </si>
  <si>
    <t>Tax reduction (+ve)</t>
  </si>
  <si>
    <t>Gross up (eligible dividend)</t>
  </si>
  <si>
    <t>With interest and 20(11)/(12)</t>
  </si>
  <si>
    <t>Foreign Investment Income</t>
  </si>
  <si>
    <t>With RRSP deduction</t>
  </si>
  <si>
    <t>New Brunswick</t>
  </si>
  <si>
    <t>NB Basic Reduction</t>
  </si>
  <si>
    <t>2016 NB rates</t>
  </si>
  <si>
    <t>NB basic reduction</t>
  </si>
  <si>
    <t>NB dividend tax credit</t>
  </si>
  <si>
    <t>NB foreign tax credit</t>
  </si>
  <si>
    <t>NB Dividend Tax Credit</t>
  </si>
  <si>
    <t>Old Age Security (OAS) Pension</t>
  </si>
  <si>
    <t>OAS Pension</t>
  </si>
  <si>
    <t>OAS Clawback</t>
  </si>
  <si>
    <t>Threshold for 2017</t>
  </si>
  <si>
    <t>Clawback %</t>
  </si>
  <si>
    <t>If net income is equal or greater than threshold</t>
  </si>
  <si>
    <t>If net income is less than but sum is greater than threshold</t>
  </si>
  <si>
    <t>Total OAS Clawback</t>
  </si>
  <si>
    <t>With interest and clawback</t>
  </si>
  <si>
    <t>Additional Federal Tax Savings</t>
  </si>
  <si>
    <t>Additional NB Tax Savings</t>
  </si>
  <si>
    <t>Additional Federal Taxes</t>
  </si>
  <si>
    <t>Additional NB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</si>
</sst>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-* #,##0_-;\-* #,##0_-;_-* &quot;-&quot;??_-;_-@_-"/>
    <numFmt numFmtId="165" formatCode="_(* #,##0_);_(* \(#,##0\);_(* &quot;-&quot;??_);_(@_)"/>
    <numFmt numFmtId="166" formatCode="0.0000%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0" fillId="2" borderId="0" xfId="0" applyFill="1"/>
    <xf numFmtId="0" fontId="3" fillId="0" borderId="0" xfId="0" applyFont="1"/>
    <xf numFmtId="0" fontId="4" fillId="0" borderId="0" xfId="0" applyFont="1"/>
    <xf numFmtId="3" fontId="0" fillId="0" borderId="0" xfId="0" applyNumberFormat="1"/>
    <xf numFmtId="3" fontId="5" fillId="0" borderId="0" xfId="0" applyNumberFormat="1" applyFont="1"/>
    <xf numFmtId="10" fontId="5" fillId="0" borderId="0" xfId="2" applyNumberFormat="1" applyFont="1"/>
    <xf numFmtId="10" fontId="5" fillId="0" borderId="0" xfId="0" applyNumberFormat="1" applyFont="1"/>
    <xf numFmtId="9" fontId="0" fillId="0" borderId="0" xfId="0" applyNumberFormat="1"/>
    <xf numFmtId="10" fontId="0" fillId="0" borderId="0" xfId="2" applyNumberFormat="1" applyFont="1"/>
    <xf numFmtId="0" fontId="2" fillId="0" borderId="0" xfId="0" applyFont="1"/>
    <xf numFmtId="0" fontId="0" fillId="3" borderId="0" xfId="0" applyFill="1"/>
    <xf numFmtId="164" fontId="0" fillId="0" borderId="0" xfId="1" applyNumberFormat="1" applyFont="1" applyFill="1"/>
    <xf numFmtId="164" fontId="0" fillId="0" borderId="0" xfId="1" applyNumberFormat="1" applyFont="1"/>
    <xf numFmtId="164" fontId="0" fillId="3" borderId="0" xfId="0" applyNumberFormat="1" applyFill="1"/>
    <xf numFmtId="43" fontId="0" fillId="0" borderId="0" xfId="0" applyNumberFormat="1"/>
    <xf numFmtId="10" fontId="0" fillId="0" borderId="0" xfId="0" applyNumberFormat="1"/>
    <xf numFmtId="164" fontId="0" fillId="0" borderId="0" xfId="1" quotePrefix="1" applyNumberFormat="1" applyFont="1" applyFill="1"/>
    <xf numFmtId="164" fontId="0" fillId="0" borderId="0" xfId="0" applyNumberFormat="1"/>
    <xf numFmtId="0" fontId="6" fillId="0" borderId="0" xfId="0" applyFont="1"/>
    <xf numFmtId="10" fontId="0" fillId="0" borderId="0" xfId="0" applyNumberFormat="1" applyFill="1"/>
    <xf numFmtId="0" fontId="0" fillId="0" borderId="0" xfId="0" applyFill="1"/>
    <xf numFmtId="43" fontId="0" fillId="0" borderId="0" xfId="1" applyFont="1"/>
    <xf numFmtId="164" fontId="5" fillId="0" borderId="0" xfId="1" applyNumberFormat="1" applyFont="1"/>
    <xf numFmtId="9" fontId="2" fillId="0" borderId="0" xfId="0" applyNumberFormat="1" applyFont="1"/>
    <xf numFmtId="3" fontId="2" fillId="0" borderId="0" xfId="0" applyNumberFormat="1" applyFont="1"/>
    <xf numFmtId="3" fontId="5" fillId="0" borderId="0" xfId="0" applyNumberFormat="1" applyFont="1" applyFill="1"/>
    <xf numFmtId="0" fontId="0" fillId="0" borderId="0" xfId="0" applyFont="1"/>
    <xf numFmtId="0" fontId="0" fillId="0" borderId="0" xfId="0" applyAlignment="1">
      <alignment horizontal="left"/>
    </xf>
    <xf numFmtId="0" fontId="7" fillId="0" borderId="0" xfId="0" applyFont="1"/>
    <xf numFmtId="9" fontId="0" fillId="0" borderId="0" xfId="0" applyNumberFormat="1" applyFill="1"/>
    <xf numFmtId="0" fontId="2" fillId="0" borderId="0" xfId="0" applyFont="1" applyFill="1"/>
    <xf numFmtId="9" fontId="0" fillId="0" borderId="0" xfId="0" applyNumberFormat="1" applyFont="1"/>
    <xf numFmtId="0" fontId="0" fillId="2" borderId="0" xfId="0" applyFill="1" applyAlignment="1">
      <alignment wrapText="1"/>
    </xf>
    <xf numFmtId="164" fontId="0" fillId="0" borderId="1" xfId="0" applyNumberFormat="1" applyBorder="1"/>
    <xf numFmtId="3" fontId="0" fillId="0" borderId="0" xfId="0" applyNumberFormat="1" applyFont="1"/>
    <xf numFmtId="164" fontId="0" fillId="0" borderId="0" xfId="1" applyNumberFormat="1" applyFont="1" applyBorder="1"/>
    <xf numFmtId="165" fontId="0" fillId="0" borderId="0" xfId="1" applyNumberFormat="1" applyFont="1" applyFill="1"/>
    <xf numFmtId="165" fontId="0" fillId="0" borderId="1" xfId="1" applyNumberFormat="1" applyFont="1" applyFill="1" applyBorder="1"/>
    <xf numFmtId="165" fontId="0" fillId="0" borderId="0" xfId="1" applyNumberFormat="1" applyFont="1" applyFill="1" applyBorder="1"/>
    <xf numFmtId="164" fontId="4" fillId="0" borderId="0" xfId="1" applyNumberFormat="1" applyFont="1"/>
    <xf numFmtId="164" fontId="2" fillId="0" borderId="0" xfId="1" applyNumberFormat="1" applyFont="1"/>
    <xf numFmtId="164" fontId="0" fillId="0" borderId="1" xfId="1" applyNumberFormat="1" applyFont="1" applyBorder="1"/>
    <xf numFmtId="164" fontId="4" fillId="0" borderId="0" xfId="1" applyNumberFormat="1" applyFont="1" applyBorder="1"/>
    <xf numFmtId="164" fontId="7" fillId="0" borderId="0" xfId="0" applyNumberFormat="1" applyFont="1"/>
    <xf numFmtId="164" fontId="2" fillId="0" borderId="0" xfId="1" applyNumberFormat="1" applyFont="1" applyFill="1"/>
    <xf numFmtId="164" fontId="0" fillId="0" borderId="0" xfId="1" applyNumberFormat="1" applyFont="1" applyFill="1" applyBorder="1"/>
    <xf numFmtId="0" fontId="0" fillId="0" borderId="0" xfId="0" applyFill="1" applyBorder="1"/>
    <xf numFmtId="3" fontId="0" fillId="0" borderId="0" xfId="0" applyNumberFormat="1" applyFill="1" applyBorder="1"/>
    <xf numFmtId="164" fontId="0" fillId="0" borderId="0" xfId="0" applyNumberFormat="1" applyFill="1" applyBorder="1"/>
    <xf numFmtId="164" fontId="4" fillId="0" borderId="0" xfId="1" applyNumberFormat="1" applyFont="1" applyFill="1" applyBorder="1"/>
    <xf numFmtId="0" fontId="0" fillId="0" borderId="0" xfId="0" applyBorder="1"/>
    <xf numFmtId="3" fontId="0" fillId="0" borderId="0" xfId="0" applyNumberFormat="1" applyFill="1"/>
    <xf numFmtId="164" fontId="0" fillId="0" borderId="0" xfId="0" applyNumberFormat="1" applyFill="1"/>
    <xf numFmtId="164" fontId="0" fillId="0" borderId="1" xfId="1" applyNumberFormat="1" applyFont="1" applyFill="1" applyBorder="1"/>
    <xf numFmtId="166" fontId="0" fillId="0" borderId="0" xfId="2" applyNumberFormat="1" applyFont="1"/>
    <xf numFmtId="164" fontId="0" fillId="2" borderId="0" xfId="0" applyNumberFormat="1" applyFill="1"/>
    <xf numFmtId="0" fontId="0" fillId="0" borderId="0" xfId="0" applyFont="1" applyFill="1"/>
    <xf numFmtId="166" fontId="0" fillId="0" borderId="0" xfId="0" applyNumberFormat="1"/>
    <xf numFmtId="10" fontId="0" fillId="0" borderId="0" xfId="2" applyNumberFormat="1" applyFont="1" applyFill="1"/>
    <xf numFmtId="3" fontId="3" fillId="0" borderId="0" xfId="0" applyNumberFormat="1" applyFont="1"/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2" fillId="0" borderId="0" xfId="1" applyNumberFormat="1" applyFont="1" applyFill="1"/>
    <xf numFmtId="1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right"/>
    </xf>
    <xf numFmtId="10" fontId="5" fillId="0" borderId="0" xfId="0" applyNumberFormat="1" applyFont="1" applyFill="1"/>
    <xf numFmtId="10" fontId="0" fillId="0" borderId="0" xfId="0" applyNumberFormat="1" applyFill="1" applyAlignment="1">
      <alignment horizontal="center"/>
    </xf>
    <xf numFmtId="167" fontId="0" fillId="0" borderId="1" xfId="2" applyNumberFormat="1" applyFont="1" applyBorder="1"/>
    <xf numFmtId="3" fontId="0" fillId="0" borderId="1" xfId="0" applyNumberFormat="1" applyBorder="1"/>
    <xf numFmtId="0" fontId="3" fillId="0" borderId="0" xfId="0" applyFont="1" applyFill="1"/>
    <xf numFmtId="3" fontId="4" fillId="0" borderId="0" xfId="0" applyNumberFormat="1" applyFont="1"/>
    <xf numFmtId="9" fontId="2" fillId="0" borderId="0" xfId="0" applyNumberFormat="1" applyFont="1" applyFill="1"/>
    <xf numFmtId="164" fontId="5" fillId="0" borderId="0" xfId="1" applyNumberFormat="1" applyFont="1" applyFill="1"/>
    <xf numFmtId="3" fontId="2" fillId="0" borderId="0" xfId="0" applyNumberFormat="1" applyFont="1" applyFill="1"/>
    <xf numFmtId="0" fontId="0" fillId="0" borderId="0" xfId="0" applyFill="1" applyAlignment="1">
      <alignment horizontal="center"/>
    </xf>
    <xf numFmtId="164" fontId="0" fillId="0" borderId="1" xfId="0" applyNumberFormat="1" applyFill="1" applyBorder="1"/>
    <xf numFmtId="165" fontId="0" fillId="0" borderId="1" xfId="0" applyNumberFormat="1" applyFill="1" applyBorder="1"/>
    <xf numFmtId="1" fontId="0" fillId="0" borderId="0" xfId="0" applyNumberFormat="1" applyFill="1" applyBorder="1"/>
    <xf numFmtId="0" fontId="0" fillId="0" borderId="0" xfId="0" applyFill="1" applyBorder="1" applyAlignment="1">
      <alignment horizontal="left"/>
    </xf>
    <xf numFmtId="10" fontId="0" fillId="0" borderId="0" xfId="2" applyNumberFormat="1" applyFont="1" applyFill="1" applyBorder="1"/>
    <xf numFmtId="165" fontId="0" fillId="3" borderId="0" xfId="1" applyNumberFormat="1" applyFont="1" applyFill="1"/>
    <xf numFmtId="0" fontId="8" fillId="0" borderId="0" xfId="0" applyFont="1" applyFill="1" applyBorder="1"/>
    <xf numFmtId="43" fontId="0" fillId="0" borderId="0" xfId="0" applyNumberFormat="1" applyFill="1" applyBorder="1"/>
    <xf numFmtId="1" fontId="0" fillId="0" borderId="0" xfId="0" applyNumberFormat="1"/>
    <xf numFmtId="0" fontId="4" fillId="0" borderId="0" xfId="0" applyFont="1" applyBorder="1"/>
    <xf numFmtId="9" fontId="0" fillId="0" borderId="0" xfId="2" applyFont="1"/>
    <xf numFmtId="0" fontId="0" fillId="0" borderId="0" xfId="0" applyFont="1" applyAlignment="1">
      <alignment wrapText="1"/>
    </xf>
    <xf numFmtId="164" fontId="0" fillId="0" borderId="0" xfId="0" applyNumberFormat="1" applyBorder="1"/>
    <xf numFmtId="165" fontId="0" fillId="4" borderId="1" xfId="1" applyNumberFormat="1" applyFont="1" applyFill="1" applyBorder="1"/>
    <xf numFmtId="0" fontId="0" fillId="4" borderId="0" xfId="0" applyFont="1" applyFill="1"/>
    <xf numFmtId="0" fontId="0" fillId="4" borderId="0" xfId="0" applyFill="1"/>
    <xf numFmtId="164" fontId="0" fillId="4" borderId="1" xfId="0" applyNumberFormat="1" applyFill="1" applyBorder="1"/>
    <xf numFmtId="0" fontId="4" fillId="0" borderId="0" xfId="0" applyFont="1" applyFill="1"/>
    <xf numFmtId="10" fontId="5" fillId="0" borderId="0" xfId="2" applyNumberFormat="1" applyFont="1" applyFill="1"/>
    <xf numFmtId="164" fontId="7" fillId="0" borderId="0" xfId="0" applyNumberFormat="1" applyFont="1" applyFill="1"/>
    <xf numFmtId="3" fontId="5" fillId="0" borderId="0" xfId="0" applyNumberFormat="1" applyFont="1" applyFill="1" applyBorder="1"/>
    <xf numFmtId="9" fontId="0" fillId="0" borderId="0" xfId="0" applyNumberFormat="1" applyFont="1" applyFill="1"/>
    <xf numFmtId="166" fontId="0" fillId="0" borderId="0" xfId="2" applyNumberFormat="1" applyFont="1" applyFill="1"/>
    <xf numFmtId="166" fontId="0" fillId="0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3" zoomScale="85" zoomScaleNormal="85" workbookViewId="0">
      <selection activeCell="B18" sqref="B18:D35"/>
    </sheetView>
  </sheetViews>
  <sheetFormatPr defaultRowHeight="14.4" x14ac:dyDescent="0.3"/>
  <cols>
    <col min="1" max="1" width="29.6640625" customWidth="1"/>
    <col min="2" max="2" width="11.6640625" customWidth="1"/>
    <col min="3" max="3" width="9.5546875" bestFit="1" customWidth="1"/>
    <col min="4" max="4" width="9" bestFit="1" customWidth="1"/>
    <col min="5" max="5" width="10.5546875" bestFit="1" customWidth="1"/>
    <col min="6" max="6" width="9.33203125" bestFit="1" customWidth="1"/>
    <col min="7" max="7" width="11.6640625" bestFit="1" customWidth="1"/>
    <col min="8" max="8" width="9" bestFit="1" customWidth="1"/>
    <col min="11" max="11" width="12.33203125" bestFit="1" customWidth="1"/>
  </cols>
  <sheetData>
    <row r="1" spans="1:20" x14ac:dyDescent="0.3">
      <c r="B1" s="1"/>
      <c r="C1" t="s">
        <v>0</v>
      </c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20" x14ac:dyDescent="0.3">
      <c r="A2" s="2" t="s">
        <v>1</v>
      </c>
      <c r="E2" s="47"/>
      <c r="F2" s="47"/>
      <c r="G2" s="47"/>
      <c r="H2" s="47"/>
      <c r="I2" s="47"/>
      <c r="J2" s="47"/>
      <c r="K2" s="47"/>
      <c r="L2" s="47"/>
      <c r="M2" s="47"/>
      <c r="N2" s="47"/>
    </row>
    <row r="3" spans="1:20" x14ac:dyDescent="0.3">
      <c r="A3" s="3" t="s">
        <v>2</v>
      </c>
      <c r="E3" s="47"/>
      <c r="F3" s="47"/>
      <c r="G3" s="47"/>
      <c r="H3" s="47"/>
      <c r="I3" s="47"/>
      <c r="J3" s="47"/>
      <c r="K3" s="47"/>
      <c r="L3" s="47"/>
      <c r="M3" s="47"/>
      <c r="N3" s="47"/>
    </row>
    <row r="4" spans="1:20" x14ac:dyDescent="0.3">
      <c r="A4" t="s">
        <v>3</v>
      </c>
      <c r="B4" s="1">
        <v>1000</v>
      </c>
      <c r="E4" s="47"/>
      <c r="F4" s="47"/>
      <c r="G4" s="47"/>
      <c r="H4" s="47"/>
      <c r="I4" s="47"/>
      <c r="J4" s="47"/>
      <c r="K4" s="47"/>
      <c r="L4" s="47"/>
      <c r="M4" s="47"/>
      <c r="N4" s="47"/>
    </row>
    <row r="5" spans="1:20" x14ac:dyDescent="0.3">
      <c r="E5" s="47"/>
      <c r="F5" s="47"/>
      <c r="G5" s="47"/>
      <c r="H5" s="47"/>
      <c r="I5" s="47"/>
      <c r="J5" s="47"/>
      <c r="K5" s="47"/>
      <c r="L5" s="47"/>
      <c r="M5" s="47"/>
      <c r="N5" s="47"/>
    </row>
    <row r="6" spans="1:20" x14ac:dyDescent="0.3">
      <c r="E6" s="47"/>
      <c r="F6" s="47"/>
      <c r="G6" s="47"/>
      <c r="H6" s="47"/>
      <c r="I6" s="47"/>
      <c r="J6" s="47"/>
      <c r="K6" s="47"/>
      <c r="L6" s="47"/>
      <c r="M6" s="47"/>
      <c r="N6" s="47"/>
      <c r="O6" s="21"/>
      <c r="P6" s="53"/>
      <c r="Q6" s="21"/>
      <c r="R6" s="21"/>
      <c r="S6" s="21"/>
      <c r="T6" s="21"/>
    </row>
    <row r="7" spans="1:20" x14ac:dyDescent="0.3">
      <c r="A7" s="2" t="s">
        <v>4</v>
      </c>
      <c r="E7" s="47"/>
      <c r="F7" s="47"/>
      <c r="G7" s="47"/>
      <c r="H7" s="47"/>
      <c r="I7" s="47"/>
      <c r="J7" s="47"/>
      <c r="K7" s="47"/>
      <c r="L7" s="47"/>
      <c r="M7" s="47"/>
      <c r="N7" s="47"/>
      <c r="O7" s="21"/>
      <c r="P7" s="21"/>
      <c r="Q7" s="21"/>
      <c r="R7" s="21"/>
      <c r="S7" s="21"/>
      <c r="T7" s="21"/>
    </row>
    <row r="8" spans="1:20" x14ac:dyDescent="0.3">
      <c r="A8" t="s">
        <v>5</v>
      </c>
      <c r="B8" s="1" t="s">
        <v>100</v>
      </c>
      <c r="E8" s="47"/>
      <c r="F8" s="47"/>
      <c r="G8" s="47"/>
      <c r="H8" s="47"/>
      <c r="I8" s="47"/>
      <c r="J8" s="47"/>
      <c r="K8" s="47"/>
      <c r="L8" s="48"/>
      <c r="M8" s="48"/>
      <c r="N8" s="48"/>
      <c r="O8" s="52"/>
      <c r="P8" s="52"/>
      <c r="Q8" s="52"/>
      <c r="R8" s="52"/>
      <c r="S8" s="52"/>
      <c r="T8" s="52"/>
    </row>
    <row r="9" spans="1:20" x14ac:dyDescent="0.3">
      <c r="E9" s="47"/>
      <c r="F9" s="46"/>
      <c r="G9" s="46"/>
      <c r="H9" s="46"/>
      <c r="I9" s="47"/>
      <c r="J9" s="47"/>
      <c r="K9" s="47"/>
      <c r="L9" s="47"/>
      <c r="M9" s="47"/>
      <c r="N9" s="47"/>
      <c r="O9" s="21"/>
      <c r="P9" s="21"/>
      <c r="Q9" s="21"/>
      <c r="R9" s="21"/>
      <c r="S9" s="21"/>
      <c r="T9" s="21"/>
    </row>
    <row r="11" spans="1:20" x14ac:dyDescent="0.3">
      <c r="H11" s="8"/>
      <c r="L11" s="8"/>
    </row>
    <row r="12" spans="1:20" x14ac:dyDescent="0.3">
      <c r="A12" t="s">
        <v>6</v>
      </c>
      <c r="B12" s="1">
        <v>14000</v>
      </c>
      <c r="H12" s="13"/>
    </row>
    <row r="13" spans="1:20" x14ac:dyDescent="0.3">
      <c r="D13" s="4"/>
      <c r="H13" s="85"/>
    </row>
    <row r="14" spans="1:20" x14ac:dyDescent="0.3">
      <c r="D14" s="4"/>
    </row>
    <row r="16" spans="1:20" x14ac:dyDescent="0.3">
      <c r="A16" s="2" t="s">
        <v>7</v>
      </c>
    </row>
    <row r="17" spans="1:9" x14ac:dyDescent="0.3">
      <c r="A17" s="3" t="s">
        <v>8</v>
      </c>
      <c r="B17" s="21"/>
      <c r="C17" s="21"/>
      <c r="D17" s="21"/>
      <c r="E17" s="21"/>
      <c r="F17" s="21"/>
      <c r="G17" s="21"/>
      <c r="H17" s="21"/>
      <c r="I17" s="21"/>
    </row>
    <row r="18" spans="1:9" x14ac:dyDescent="0.3">
      <c r="B18" s="94" t="s">
        <v>21</v>
      </c>
      <c r="C18" s="21"/>
      <c r="D18" s="21"/>
      <c r="E18" s="21"/>
      <c r="F18" s="94"/>
      <c r="G18" s="21"/>
      <c r="H18" s="21"/>
      <c r="I18" s="21"/>
    </row>
    <row r="19" spans="1:9" ht="15.6" x14ac:dyDescent="0.3">
      <c r="A19" t="s">
        <v>9</v>
      </c>
      <c r="B19" s="52">
        <v>0</v>
      </c>
      <c r="C19" s="26">
        <v>45282</v>
      </c>
      <c r="D19" s="95">
        <v>0.15</v>
      </c>
      <c r="E19" s="21"/>
      <c r="F19" s="52"/>
      <c r="G19" s="26"/>
      <c r="H19" s="95"/>
      <c r="I19" s="21"/>
    </row>
    <row r="20" spans="1:9" ht="15.6" x14ac:dyDescent="0.3">
      <c r="A20" t="s">
        <v>10</v>
      </c>
      <c r="B20" s="26">
        <f>C19</f>
        <v>45282</v>
      </c>
      <c r="C20" s="26">
        <v>90563</v>
      </c>
      <c r="D20" s="67">
        <v>0.20499999999999999</v>
      </c>
      <c r="E20" s="21"/>
      <c r="F20" s="26"/>
      <c r="G20" s="26"/>
      <c r="H20" s="67"/>
      <c r="I20" s="21"/>
    </row>
    <row r="21" spans="1:9" ht="15.6" x14ac:dyDescent="0.3">
      <c r="A21" t="s">
        <v>10</v>
      </c>
      <c r="B21" s="26">
        <f>C20</f>
        <v>90563</v>
      </c>
      <c r="C21" s="26">
        <v>140388</v>
      </c>
      <c r="D21" s="67">
        <v>0.26</v>
      </c>
      <c r="E21" s="21"/>
      <c r="F21" s="26"/>
      <c r="G21" s="26"/>
      <c r="H21" s="67"/>
      <c r="I21" s="21"/>
    </row>
    <row r="22" spans="1:9" ht="15.6" x14ac:dyDescent="0.3">
      <c r="A22" t="s">
        <v>10</v>
      </c>
      <c r="B22" s="26">
        <f>C21</f>
        <v>140388</v>
      </c>
      <c r="C22" s="26">
        <v>200000</v>
      </c>
      <c r="D22" s="67">
        <v>0.28999999999999998</v>
      </c>
      <c r="E22" s="21"/>
      <c r="F22" s="26"/>
      <c r="G22" s="26"/>
      <c r="H22" s="67"/>
      <c r="I22" s="21"/>
    </row>
    <row r="23" spans="1:9" ht="15.6" x14ac:dyDescent="0.3">
      <c r="B23" s="26">
        <f>C22</f>
        <v>200000</v>
      </c>
      <c r="C23" s="21"/>
      <c r="D23" s="67">
        <v>0.33</v>
      </c>
      <c r="E23" s="21"/>
      <c r="F23" s="26"/>
      <c r="G23" s="21"/>
      <c r="H23" s="67"/>
      <c r="I23" s="21"/>
    </row>
    <row r="24" spans="1:9" x14ac:dyDescent="0.3">
      <c r="B24" s="21"/>
      <c r="C24" s="94"/>
      <c r="D24" s="21"/>
      <c r="E24" s="21"/>
      <c r="F24" s="52"/>
      <c r="G24" s="21"/>
      <c r="H24" s="21"/>
      <c r="I24" s="21"/>
    </row>
    <row r="25" spans="1:9" ht="15.6" x14ac:dyDescent="0.3">
      <c r="A25" t="s">
        <v>38</v>
      </c>
      <c r="B25" s="26">
        <v>11474</v>
      </c>
      <c r="C25" s="26"/>
      <c r="D25" s="21"/>
      <c r="E25" s="21"/>
      <c r="F25" s="21"/>
      <c r="G25" s="52"/>
      <c r="H25" s="12"/>
      <c r="I25" s="21"/>
    </row>
    <row r="26" spans="1:9" x14ac:dyDescent="0.3">
      <c r="B26" s="21"/>
      <c r="C26" s="21"/>
      <c r="D26" s="21"/>
      <c r="E26" s="21"/>
      <c r="F26" s="21"/>
      <c r="G26" s="21"/>
      <c r="H26" s="21"/>
      <c r="I26" s="21"/>
    </row>
    <row r="27" spans="1:9" x14ac:dyDescent="0.3">
      <c r="A27" s="3" t="s">
        <v>11</v>
      </c>
      <c r="B27" s="21"/>
      <c r="C27" s="21"/>
      <c r="D27" s="21"/>
      <c r="E27" s="21"/>
      <c r="F27" s="21"/>
      <c r="G27" s="21"/>
      <c r="H27" s="21"/>
      <c r="I27" s="21"/>
    </row>
    <row r="28" spans="1:9" x14ac:dyDescent="0.3">
      <c r="A28" s="10" t="s">
        <v>100</v>
      </c>
      <c r="B28" s="94" t="s">
        <v>21</v>
      </c>
      <c r="C28" s="21"/>
      <c r="D28" s="21"/>
      <c r="E28" s="21"/>
      <c r="F28" s="94"/>
      <c r="G28" s="21"/>
      <c r="H28" s="21"/>
      <c r="I28" s="21"/>
    </row>
    <row r="29" spans="1:9" ht="15.6" x14ac:dyDescent="0.3">
      <c r="A29" t="s">
        <v>9</v>
      </c>
      <c r="B29" s="21">
        <v>0</v>
      </c>
      <c r="C29" s="26">
        <v>40492</v>
      </c>
      <c r="D29" s="67">
        <v>9.6799999999999997E-2</v>
      </c>
      <c r="E29" s="21"/>
      <c r="F29" s="21"/>
      <c r="G29" s="26"/>
      <c r="H29" s="67"/>
      <c r="I29" s="21"/>
    </row>
    <row r="30" spans="1:9" ht="15.6" x14ac:dyDescent="0.3">
      <c r="A30" t="s">
        <v>10</v>
      </c>
      <c r="B30" s="26">
        <f>C29</f>
        <v>40492</v>
      </c>
      <c r="C30" s="26">
        <v>80985</v>
      </c>
      <c r="D30" s="67">
        <v>0.1482</v>
      </c>
      <c r="E30" s="21"/>
      <c r="F30" s="26"/>
      <c r="G30" s="26"/>
      <c r="H30" s="67"/>
      <c r="I30" s="21"/>
    </row>
    <row r="31" spans="1:9" ht="15.6" x14ac:dyDescent="0.3">
      <c r="A31" t="s">
        <v>10</v>
      </c>
      <c r="B31" s="26">
        <f>C30</f>
        <v>80985</v>
      </c>
      <c r="C31" s="26">
        <v>131664</v>
      </c>
      <c r="D31" s="67">
        <v>0.16520000000000001</v>
      </c>
      <c r="E31" s="21"/>
      <c r="F31" s="26"/>
      <c r="G31" s="26"/>
      <c r="H31" s="67"/>
      <c r="I31" s="21"/>
    </row>
    <row r="32" spans="1:9" ht="15.6" x14ac:dyDescent="0.3">
      <c r="A32" t="s">
        <v>10</v>
      </c>
      <c r="B32" s="26">
        <f>C31</f>
        <v>131664</v>
      </c>
      <c r="C32" s="26">
        <v>150000</v>
      </c>
      <c r="D32" s="67">
        <v>0.1784</v>
      </c>
      <c r="E32" s="21"/>
      <c r="F32" s="26"/>
      <c r="G32" s="26"/>
      <c r="H32" s="67"/>
      <c r="I32" s="21"/>
    </row>
    <row r="33" spans="1:14" ht="15.6" x14ac:dyDescent="0.3">
      <c r="B33" s="26">
        <f>C32</f>
        <v>150000</v>
      </c>
      <c r="C33" s="21"/>
      <c r="D33" s="67">
        <v>0.20300000000000001</v>
      </c>
      <c r="E33" s="21"/>
      <c r="F33" s="26"/>
      <c r="G33" s="21"/>
      <c r="H33" s="67"/>
      <c r="I33" s="21"/>
    </row>
    <row r="34" spans="1:14" x14ac:dyDescent="0.3">
      <c r="B34" s="21"/>
      <c r="C34" s="94"/>
      <c r="D34" s="21"/>
      <c r="E34" s="21"/>
      <c r="F34" s="21"/>
      <c r="G34" s="21"/>
      <c r="H34" s="45"/>
      <c r="I34" s="21"/>
    </row>
    <row r="35" spans="1:14" ht="15.6" x14ac:dyDescent="0.3">
      <c r="A35" t="s">
        <v>35</v>
      </c>
      <c r="B35" s="26">
        <v>9758</v>
      </c>
      <c r="C35" s="26"/>
      <c r="D35" s="21"/>
      <c r="E35" s="21"/>
      <c r="F35" s="21"/>
      <c r="G35" s="21"/>
      <c r="H35" s="45"/>
      <c r="I35" s="52"/>
      <c r="J35" s="4"/>
      <c r="K35" s="4"/>
      <c r="L35" s="4"/>
      <c r="N35" s="4"/>
    </row>
    <row r="36" spans="1:14" x14ac:dyDescent="0.3">
      <c r="B36" s="52"/>
      <c r="C36" s="52"/>
      <c r="D36" s="21" t="s">
        <v>37</v>
      </c>
      <c r="E36" s="12"/>
      <c r="F36" s="96"/>
      <c r="G36" s="21"/>
      <c r="H36" s="20"/>
      <c r="I36" s="21"/>
    </row>
    <row r="37" spans="1:14" x14ac:dyDescent="0.3">
      <c r="A37" s="3" t="s">
        <v>101</v>
      </c>
      <c r="B37" s="52"/>
      <c r="C37" s="52"/>
      <c r="D37" s="21"/>
      <c r="E37" s="21"/>
      <c r="F37" s="12"/>
      <c r="G37" s="96"/>
      <c r="H37" s="21"/>
      <c r="I37" s="20"/>
      <c r="J37" s="10" t="s">
        <v>91</v>
      </c>
    </row>
    <row r="38" spans="1:14" x14ac:dyDescent="0.3">
      <c r="A38" s="3"/>
      <c r="B38" s="4" t="s">
        <v>91</v>
      </c>
      <c r="C38" s="4" t="s">
        <v>99</v>
      </c>
      <c r="F38" s="3" t="s">
        <v>102</v>
      </c>
      <c r="G38" s="44"/>
      <c r="I38" s="68" t="s">
        <v>65</v>
      </c>
      <c r="J38" s="62" t="s">
        <v>64</v>
      </c>
      <c r="K38" s="62" t="s">
        <v>66</v>
      </c>
    </row>
    <row r="39" spans="1:14" ht="15.6" x14ac:dyDescent="0.3">
      <c r="A39" s="3"/>
      <c r="B39" t="s">
        <v>27</v>
      </c>
      <c r="C39" t="s">
        <v>28</v>
      </c>
      <c r="F39">
        <v>0</v>
      </c>
      <c r="G39" s="5">
        <f t="shared" ref="G39:H42" si="0">C29</f>
        <v>40492</v>
      </c>
      <c r="H39" s="7">
        <f t="shared" si="0"/>
        <v>9.6799999999999997E-2</v>
      </c>
      <c r="I39" s="13">
        <v>0</v>
      </c>
      <c r="J39" s="13">
        <f>IF(AND($B$12&gt;=F39,$B$12&lt;G39),($B$12-F39)*H39,0)</f>
        <v>1355.2</v>
      </c>
      <c r="K39" s="18">
        <f>(IF(J39=0,0,I39+J39))</f>
        <v>1355.2</v>
      </c>
    </row>
    <row r="40" spans="1:14" ht="15.6" x14ac:dyDescent="0.3">
      <c r="A40" s="3"/>
      <c r="B40" s="4">
        <f>$B$12</f>
        <v>14000</v>
      </c>
      <c r="C40" s="4">
        <f>$B$12-$B$4</f>
        <v>13000</v>
      </c>
      <c r="F40" s="5">
        <f>G39</f>
        <v>40492</v>
      </c>
      <c r="G40" s="5">
        <f t="shared" si="0"/>
        <v>80985</v>
      </c>
      <c r="H40" s="7">
        <f t="shared" si="0"/>
        <v>0.1482</v>
      </c>
      <c r="I40" s="12">
        <f>(G39-F39)*H39</f>
        <v>3919.6255999999998</v>
      </c>
      <c r="J40" s="13">
        <f t="shared" ref="J40:J42" si="1">IF(AND($B$12&gt;=F40,$B$12&lt;G40),($B$12-F40)*H40,0)</f>
        <v>0</v>
      </c>
      <c r="K40" s="18">
        <f>(IF(J40=0,0,I40+J40))</f>
        <v>0</v>
      </c>
    </row>
    <row r="41" spans="1:14" ht="15.6" x14ac:dyDescent="0.3">
      <c r="A41" s="27" t="s">
        <v>89</v>
      </c>
      <c r="B41" s="38">
        <v>-16076</v>
      </c>
      <c r="C41" s="38">
        <v>-16076</v>
      </c>
      <c r="F41" s="26">
        <f>G40</f>
        <v>80985</v>
      </c>
      <c r="G41" s="5">
        <f t="shared" si="0"/>
        <v>131664</v>
      </c>
      <c r="H41" s="7">
        <f t="shared" si="0"/>
        <v>0.16520000000000001</v>
      </c>
      <c r="I41" s="12">
        <f>((G40-F40)*H40)+I40</f>
        <v>9920.6882000000005</v>
      </c>
      <c r="J41" s="13">
        <f t="shared" si="1"/>
        <v>0</v>
      </c>
      <c r="K41" s="18">
        <f>(IF(J41=0,0,I41+J41))</f>
        <v>0</v>
      </c>
    </row>
    <row r="42" spans="1:14" ht="15.6" x14ac:dyDescent="0.3">
      <c r="A42" s="3"/>
      <c r="B42" s="4">
        <f>IF((B40+B41)&lt;=0,0,SUM(B40:B41))</f>
        <v>0</v>
      </c>
      <c r="C42" s="4">
        <f>IF((C40+C41)&lt;=0,0,SUM(C40:C41))</f>
        <v>0</v>
      </c>
      <c r="F42" s="5">
        <f>G41</f>
        <v>131664</v>
      </c>
      <c r="G42" s="5">
        <f t="shared" si="0"/>
        <v>150000</v>
      </c>
      <c r="H42" s="7">
        <f t="shared" si="0"/>
        <v>0.1784</v>
      </c>
      <c r="I42" s="12">
        <f t="shared" ref="I42:I43" si="2">((G41-F41)*H41)+I41</f>
        <v>18292.859</v>
      </c>
      <c r="J42" s="13">
        <f t="shared" si="1"/>
        <v>0</v>
      </c>
      <c r="K42" s="18">
        <f>(IF(J42=0,0,I42+J42))</f>
        <v>0</v>
      </c>
    </row>
    <row r="43" spans="1:14" ht="15.6" x14ac:dyDescent="0.3">
      <c r="A43" s="3"/>
      <c r="B43" s="69">
        <v>0.03</v>
      </c>
      <c r="C43" s="69">
        <v>0.03</v>
      </c>
      <c r="F43" s="5">
        <f>G42</f>
        <v>150000</v>
      </c>
      <c r="H43" s="7">
        <f>D33</f>
        <v>0.20300000000000001</v>
      </c>
      <c r="I43" s="12">
        <f t="shared" si="2"/>
        <v>21564.001400000001</v>
      </c>
      <c r="J43" s="13">
        <f>IF($B$12&gt;=F43,($B$12-F43)*H43,0)</f>
        <v>0</v>
      </c>
      <c r="K43" s="34">
        <f>(IF(J43=0,0,I43+J43))</f>
        <v>0</v>
      </c>
    </row>
    <row r="44" spans="1:14" x14ac:dyDescent="0.3">
      <c r="A44" s="3"/>
      <c r="B44" s="4">
        <f>B42*B43</f>
        <v>0</v>
      </c>
      <c r="C44" s="4">
        <f>C42*C43</f>
        <v>0</v>
      </c>
      <c r="F44" s="13"/>
      <c r="G44" s="44"/>
      <c r="I44" s="13"/>
      <c r="J44" s="13"/>
      <c r="K44" s="13">
        <f>SUM(K39:K43)</f>
        <v>1355.2</v>
      </c>
    </row>
    <row r="45" spans="1:14" x14ac:dyDescent="0.3">
      <c r="A45" s="3"/>
      <c r="B45" s="4"/>
      <c r="C45" s="4"/>
      <c r="F45" s="13"/>
      <c r="G45" s="44"/>
      <c r="H45" s="64" t="s">
        <v>35</v>
      </c>
      <c r="I45" s="13">
        <f>B35</f>
        <v>9758</v>
      </c>
      <c r="J45" s="16">
        <f>D29</f>
        <v>9.6799999999999997E-2</v>
      </c>
      <c r="K45" s="42">
        <f>IF($B$12&lt;I45,$B$12*J45,I45*J45)</f>
        <v>944.57439999999997</v>
      </c>
    </row>
    <row r="46" spans="1:14" x14ac:dyDescent="0.3">
      <c r="A46" s="27" t="s">
        <v>17</v>
      </c>
      <c r="B46" s="4">
        <v>624</v>
      </c>
      <c r="C46" s="4">
        <v>624</v>
      </c>
      <c r="F46" s="13"/>
      <c r="G46" s="44"/>
      <c r="H46" s="4"/>
      <c r="I46" s="4"/>
      <c r="J46" s="16"/>
      <c r="K46" s="13">
        <f>IF((K44-K45)&lt;=0,0,K44-K45)</f>
        <v>410.62560000000008</v>
      </c>
    </row>
    <row r="47" spans="1:14" x14ac:dyDescent="0.3">
      <c r="A47" s="3"/>
      <c r="B47" s="70">
        <f>B44</f>
        <v>0</v>
      </c>
      <c r="C47" s="70">
        <f>C44</f>
        <v>0</v>
      </c>
      <c r="F47" s="13"/>
      <c r="G47" s="44"/>
      <c r="I47" s="13"/>
      <c r="J47" s="13"/>
      <c r="K47" s="13"/>
    </row>
    <row r="48" spans="1:14" x14ac:dyDescent="0.3">
      <c r="A48" s="27" t="s">
        <v>95</v>
      </c>
      <c r="B48" s="4">
        <f>IF((B46-B47)&lt;=0,0,B46-B47)</f>
        <v>624</v>
      </c>
      <c r="C48" s="4">
        <f>IF((C46-C47)&lt;=0,0,C46-C47)</f>
        <v>624</v>
      </c>
      <c r="D48" s="4"/>
      <c r="F48" s="13"/>
      <c r="G48" s="44"/>
      <c r="I48" s="13"/>
      <c r="J48" s="13"/>
      <c r="K48" s="13"/>
    </row>
    <row r="49" spans="1:12" x14ac:dyDescent="0.3">
      <c r="A49" s="3"/>
      <c r="B49" s="4"/>
      <c r="C49" s="4"/>
      <c r="F49" s="13"/>
      <c r="G49" s="44"/>
      <c r="I49" s="16"/>
      <c r="J49" s="10" t="s">
        <v>99</v>
      </c>
    </row>
    <row r="50" spans="1:12" x14ac:dyDescent="0.3">
      <c r="A50" t="s">
        <v>93</v>
      </c>
      <c r="B50" s="4">
        <f>K46</f>
        <v>410.62560000000008</v>
      </c>
      <c r="C50" s="4">
        <f>K58</f>
        <v>313.82559999999989</v>
      </c>
      <c r="F50" s="3" t="s">
        <v>102</v>
      </c>
      <c r="G50" s="44"/>
      <c r="I50" s="68" t="s">
        <v>65</v>
      </c>
      <c r="J50" s="62" t="s">
        <v>64</v>
      </c>
      <c r="K50" s="62" t="s">
        <v>66</v>
      </c>
    </row>
    <row r="51" spans="1:12" ht="15.6" x14ac:dyDescent="0.3">
      <c r="B51" s="4"/>
      <c r="C51" s="4"/>
      <c r="F51">
        <v>0</v>
      </c>
      <c r="G51" s="5">
        <f t="shared" ref="G51:H54" si="3">C29</f>
        <v>40492</v>
      </c>
      <c r="H51" s="7">
        <f t="shared" si="3"/>
        <v>9.6799999999999997E-2</v>
      </c>
      <c r="I51" s="13">
        <v>0</v>
      </c>
      <c r="J51" s="13">
        <f>IF(AND(($B$12-$B$4)&gt;=F51,($B$12-$B$4)&lt;G51),($B$12-$B$4-F51)*H51,0)</f>
        <v>1258.3999999999999</v>
      </c>
      <c r="K51" s="18">
        <f t="shared" ref="K51:K55" si="4">(IF(J51=0,0,I51+J51))</f>
        <v>1258.3999999999999</v>
      </c>
    </row>
    <row r="52" spans="1:12" ht="15.6" x14ac:dyDescent="0.3">
      <c r="A52" s="27" t="s">
        <v>94</v>
      </c>
      <c r="B52" s="4">
        <f>MIN(B48,B50)</f>
        <v>410.62560000000008</v>
      </c>
      <c r="C52" s="4">
        <f>MIN(C48,C50)</f>
        <v>313.82559999999989</v>
      </c>
      <c r="D52" s="25"/>
      <c r="F52" s="5">
        <f>G51</f>
        <v>40492</v>
      </c>
      <c r="G52" s="5">
        <f t="shared" si="3"/>
        <v>80985</v>
      </c>
      <c r="H52" s="7">
        <f t="shared" si="3"/>
        <v>0.1482</v>
      </c>
      <c r="I52" s="12">
        <f>(G51-F51)*H51</f>
        <v>3919.6255999999998</v>
      </c>
      <c r="J52" s="13">
        <f>IF(AND(($B$12-$B$4)&gt;=F52,($B$12-$B$4)&lt;G52),($B$12-$B$4-F52)*H52,0)</f>
        <v>0</v>
      </c>
      <c r="K52" s="18">
        <f t="shared" si="4"/>
        <v>0</v>
      </c>
    </row>
    <row r="53" spans="1:12" ht="15.6" x14ac:dyDescent="0.3">
      <c r="A53" s="3"/>
      <c r="B53" s="4"/>
      <c r="C53" s="4"/>
      <c r="F53" s="26">
        <f>G52</f>
        <v>80985</v>
      </c>
      <c r="G53" s="5">
        <f t="shared" si="3"/>
        <v>131664</v>
      </c>
      <c r="H53" s="7">
        <f t="shared" si="3"/>
        <v>0.16520000000000001</v>
      </c>
      <c r="I53" s="12">
        <f>((G52-F52)*H52)+I52</f>
        <v>9920.6882000000005</v>
      </c>
      <c r="J53" s="13">
        <f>IF(AND(($B$12-$B$4)&gt;=F53,($B$12-$B$4)&lt;G53),($B$12-$B$4-F53)*H53,0)</f>
        <v>0</v>
      </c>
      <c r="K53" s="18">
        <f t="shared" si="4"/>
        <v>0</v>
      </c>
    </row>
    <row r="54" spans="1:12" ht="15.6" x14ac:dyDescent="0.3">
      <c r="A54" s="27" t="s">
        <v>101</v>
      </c>
      <c r="B54" s="35">
        <f>C52-B52</f>
        <v>-96.800000000000182</v>
      </c>
      <c r="C54" s="4"/>
      <c r="F54" s="5">
        <f>G53</f>
        <v>131664</v>
      </c>
      <c r="G54" s="5">
        <f t="shared" si="3"/>
        <v>150000</v>
      </c>
      <c r="H54" s="7">
        <f t="shared" si="3"/>
        <v>0.1784</v>
      </c>
      <c r="I54" s="12">
        <f t="shared" ref="I54:I55" si="5">((G53-F53)*H53)+I53</f>
        <v>18292.859</v>
      </c>
      <c r="J54" s="13">
        <f>IF(AND(($B$12-$B$4)&gt;=F54,($B$12-$B$4)&lt;G54),($B$12-$B$4-F54)*H54,0)</f>
        <v>0</v>
      </c>
      <c r="K54" s="18">
        <f t="shared" si="4"/>
        <v>0</v>
      </c>
    </row>
    <row r="55" spans="1:12" ht="15.6" x14ac:dyDescent="0.3">
      <c r="A55" s="3"/>
      <c r="B55" s="4"/>
      <c r="C55" s="4"/>
      <c r="F55" s="5">
        <f>G54</f>
        <v>150000</v>
      </c>
      <c r="H55" s="7">
        <f>D33</f>
        <v>0.20300000000000001</v>
      </c>
      <c r="I55" s="12">
        <f t="shared" si="5"/>
        <v>21564.001400000001</v>
      </c>
      <c r="J55" s="13">
        <f>IF(($B$12-$B$4)&gt;=F55,($B$12-$B$4-F55)*H55,0)</f>
        <v>0</v>
      </c>
      <c r="K55" s="34">
        <f t="shared" si="4"/>
        <v>0</v>
      </c>
    </row>
    <row r="56" spans="1:12" x14ac:dyDescent="0.3">
      <c r="A56" s="3"/>
      <c r="B56" s="4"/>
      <c r="C56" s="4"/>
      <c r="F56" s="13"/>
      <c r="G56" s="44"/>
      <c r="I56" s="16"/>
      <c r="K56" s="18">
        <f>SUM(K51:K55)</f>
        <v>1258.3999999999999</v>
      </c>
    </row>
    <row r="57" spans="1:12" x14ac:dyDescent="0.3">
      <c r="A57" s="3"/>
      <c r="B57" s="4"/>
      <c r="C57" s="4"/>
      <c r="F57" s="13"/>
      <c r="G57" s="44"/>
      <c r="H57" s="64" t="s">
        <v>35</v>
      </c>
      <c r="I57" s="13">
        <f>B35</f>
        <v>9758</v>
      </c>
      <c r="J57" s="16">
        <f>D29</f>
        <v>9.6799999999999997E-2</v>
      </c>
      <c r="K57" s="42">
        <f>IF(($B$12+$B$4)&lt;I57,($B$12+$B$4)*J57,I57*J57)</f>
        <v>944.57439999999997</v>
      </c>
    </row>
    <row r="58" spans="1:12" x14ac:dyDescent="0.3">
      <c r="A58" s="3"/>
      <c r="B58" s="4"/>
      <c r="C58" s="4"/>
      <c r="F58" s="13"/>
      <c r="G58" s="44"/>
      <c r="I58" s="16"/>
      <c r="K58" s="13">
        <f>IF((K56-K57)&lt;=0,0,K56-K57)</f>
        <v>313.82559999999989</v>
      </c>
    </row>
    <row r="59" spans="1:12" x14ac:dyDescent="0.3">
      <c r="B59" s="4"/>
      <c r="C59" s="4"/>
      <c r="E59" s="13"/>
      <c r="F59" s="44"/>
      <c r="H59" s="16"/>
    </row>
    <row r="60" spans="1:12" x14ac:dyDescent="0.3">
      <c r="A60" s="2" t="s">
        <v>12</v>
      </c>
      <c r="H60" s="18"/>
    </row>
    <row r="61" spans="1:12" x14ac:dyDescent="0.3">
      <c r="B61" s="11"/>
      <c r="C61" t="s">
        <v>13</v>
      </c>
      <c r="I61" s="18"/>
      <c r="J61" s="4"/>
      <c r="K61" s="13"/>
    </row>
    <row r="63" spans="1:12" x14ac:dyDescent="0.3">
      <c r="A63" t="s">
        <v>14</v>
      </c>
      <c r="B63" s="13">
        <f>IF(AND(B12&gt;=B19,B12&lt;=C19),B4*D19,IF(AND(B12&gt;B20,B12&lt;=C20),IF((B12-B20)&gt;B4,B4*D20,((B12-B20)*D20)+((B4-(B12-B20))*D19)),IF(AND(B12&gt;B21,B12&lt;=C21),IF((B12-B21)&gt;B4,B4*D21,IF((B12-B20)&gt;B4,(((B12-B21)*D21)+((B4-(B12-B21))*D20)),(((B12-B21)*D21))+((B21-B20)*D20)+((B4-(B12-B20))*D19))),IF(AND(B12&gt;B22,B12&lt;=C22),IF((B12-B22)&gt;B4,B4*D22,IF((B12-B21)&gt;B4,((B12-B22)*D22)+((B4-(B12-B22))*D21),IF((B12-B20)&gt;B4,((B12-B22)*D22)+((B22-B21)*D21)+((B4-(B12-B21))*D20),((B12-B22)*D22)+((B22-B21)*D21)+((B21-B20)*D20)+((B4-(B12-B20))*D19)))),IF(B12&gt;B23,IF((B12-B23)&gt;B4,B4*D23,IF((B12-B22)&gt;B4,((B12-B23)*D23)+((B4-(B12-B23))*D22),IF((B12-B21)&gt;B4,((B12-B23)*D23)+((B23-B22)*D22)+((B4-(B12-B22))*D21),IF((B12-B20)&gt;B4,((B12-B23)*D23)+((B23-B22)*D22)+((B22-B21)*D21)+((B4-(B12-B21))*D20),((B12-B23)*D23)+((B23-B22)*D22)+((B22-B21)*D21)+((B21-B20)*D20)+((B4-(B12-B20))*D19))))))))))</f>
        <v>150</v>
      </c>
      <c r="C63" t="s">
        <v>15</v>
      </c>
      <c r="H63" s="51"/>
      <c r="I63" s="51"/>
      <c r="J63" s="51"/>
      <c r="K63" s="51"/>
      <c r="L63" s="51"/>
    </row>
    <row r="64" spans="1:12" x14ac:dyDescent="0.3">
      <c r="B64" s="37">
        <f>-IF((B12&gt;=B25),IF((B12-B4)&gt;=B25,0,IF(((B12-B4)&lt;B25),((B25-(B12-B4))*D19))),IF(B12&lt;B25,B4*D19))</f>
        <v>0</v>
      </c>
      <c r="C64" t="s">
        <v>34</v>
      </c>
      <c r="H64" s="51"/>
      <c r="I64" s="4"/>
      <c r="J64" s="51"/>
      <c r="K64" s="51"/>
      <c r="L64" s="51"/>
    </row>
    <row r="65" spans="1:12" x14ac:dyDescent="0.3">
      <c r="B65" s="12">
        <f>IF(AND(B12&gt;=B29,B12&lt;=C29),B4*D29,IF(AND(B12&gt;B30,B12&lt;=C30),IF((B12-B30)&gt;B4,B4*D30,((B12-B30)*D30)+((B4-(B12-B30))*D29)),IF(AND(B12&gt;B31,B12&lt;=C31),IF((B12-B31)&gt;B4,B4*D31,IF((B12-B30)&gt;B4,(((B12-B31)*D31)+((B4-(B12-B31))*D30)),(((B12-B31)*D31))+((B31-B30)*D30)+((B4-(B12-B30))*D29))),IF(AND(B12&gt;B32,B12&lt;=C32),IF((B12-B32)&gt;B4,B4*D32,IF((B12-B31)&gt;B4,((B12-B32)*D32)+((B4-(B12-B32))*D31),IF((B12-B30)&gt;B4,((B12-B32)*D32)+((B32-B31)*D31)+((B4-(B12-B31))*D30),((B12-B32)*D32)+((B32-B31)*D31)+((B31-B30)*D30)+((B4-(B12-B30))*D29)))),IF(B12&gt;B33,IF((B12-B33)&gt;B4,B4*D33,IF((B12-B32)&gt;B4,((B12-B33)*D33)+((B4-(B12-B33))*D32),IF((B12-B31)&gt;B4,((B12-B33)*D33)+((B33-B32)*D32)+((B4-(B12-B32))*D31),IF((B12-B30)&gt;B4,((B12-B33)*D33)+((B33-B32)*D32)+((B32-B31)*D31)+((B4-(B12-B31))*D30),((B12-B33)*D33)+((B33-B32)*D32)+((B32-B31)*D31)+((B31-B30)*D30)+((B4-(B12-B30))*D29))))))))))</f>
        <v>96.8</v>
      </c>
      <c r="C65" t="s">
        <v>16</v>
      </c>
      <c r="H65" s="51"/>
      <c r="I65" s="18"/>
      <c r="J65" s="51"/>
      <c r="K65" s="51"/>
      <c r="L65" s="51"/>
    </row>
    <row r="66" spans="1:12" x14ac:dyDescent="0.3">
      <c r="B66" s="37">
        <f>-IF((B12&gt;=B35),IF((B12-B4)&gt;=B35,0,IF(((B12-B4)&lt;B35),((B35-(B12-B4))*D29))),IF(B12&lt;B35,B4*D29))</f>
        <v>0</v>
      </c>
      <c r="C66" t="s">
        <v>36</v>
      </c>
      <c r="H66" s="51"/>
      <c r="I66" s="51"/>
      <c r="J66" s="51"/>
      <c r="K66" s="51"/>
      <c r="L66" s="51"/>
    </row>
    <row r="67" spans="1:12" x14ac:dyDescent="0.3">
      <c r="B67" s="38">
        <f>B54</f>
        <v>-96.800000000000182</v>
      </c>
      <c r="C67" t="s">
        <v>103</v>
      </c>
      <c r="H67" s="51"/>
      <c r="I67" s="51"/>
      <c r="J67" s="51"/>
      <c r="K67" s="51"/>
      <c r="L67" s="51"/>
    </row>
    <row r="68" spans="1:12" x14ac:dyDescent="0.3">
      <c r="A68" t="s">
        <v>18</v>
      </c>
      <c r="B68" s="14">
        <f>SUM(B63:B67)</f>
        <v>149.99999999999983</v>
      </c>
      <c r="G68" s="51"/>
      <c r="H68" s="51"/>
      <c r="I68" s="51"/>
      <c r="J68" s="51"/>
      <c r="K68" s="51"/>
      <c r="L68" s="51"/>
    </row>
    <row r="69" spans="1:12" x14ac:dyDescent="0.3">
      <c r="G69" s="51"/>
      <c r="H69" s="51"/>
      <c r="I69" s="51"/>
      <c r="J69" s="51"/>
      <c r="K69" s="51"/>
      <c r="L69" s="51"/>
    </row>
    <row r="70" spans="1:12" x14ac:dyDescent="0.3">
      <c r="G70" s="51"/>
      <c r="H70" s="51"/>
      <c r="I70" s="51"/>
      <c r="J70" s="51"/>
      <c r="K70" s="51"/>
      <c r="L70" s="51"/>
    </row>
    <row r="71" spans="1:12" x14ac:dyDescent="0.3">
      <c r="G71" s="51"/>
      <c r="H71" s="51"/>
      <c r="I71" s="51"/>
      <c r="J71" s="51"/>
      <c r="K71" s="51"/>
      <c r="L71" s="51"/>
    </row>
    <row r="72" spans="1:12" x14ac:dyDescent="0.3">
      <c r="A72" s="19" t="s">
        <v>39</v>
      </c>
      <c r="B72" s="13"/>
      <c r="G72" s="51"/>
      <c r="H72" s="51"/>
      <c r="I72" s="51"/>
      <c r="J72" s="51"/>
      <c r="K72" s="51"/>
      <c r="L72" s="51"/>
    </row>
    <row r="73" spans="1:12" x14ac:dyDescent="0.3">
      <c r="A73" t="s">
        <v>116</v>
      </c>
      <c r="B73" s="39">
        <f>SUM(B63:B64)</f>
        <v>150</v>
      </c>
    </row>
    <row r="74" spans="1:12" x14ac:dyDescent="0.3">
      <c r="A74" t="s">
        <v>117</v>
      </c>
      <c r="B74" s="38">
        <f>SUM(B65:B67)</f>
        <v>-1.8474111129762605E-13</v>
      </c>
    </row>
    <row r="75" spans="1:12" x14ac:dyDescent="0.3">
      <c r="B75" s="39">
        <f>SUM(B73:B74)</f>
        <v>149.99999999999983</v>
      </c>
    </row>
    <row r="76" spans="1:12" x14ac:dyDescent="0.3">
      <c r="B76" s="13"/>
    </row>
    <row r="77" spans="1:12" x14ac:dyDescent="0.3">
      <c r="B77" s="15"/>
    </row>
    <row r="88" spans="1:1" x14ac:dyDescent="0.3">
      <c r="A88" s="3"/>
    </row>
  </sheetData>
  <dataValidations disablePrompts="1" count="1">
    <dataValidation type="list" allowBlank="1" showInputMessage="1" showErrorMessage="1" sqref="B8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topLeftCell="A7" zoomScale="85" zoomScaleNormal="85" workbookViewId="0">
      <selection activeCell="B17" sqref="B17:D34"/>
    </sheetView>
  </sheetViews>
  <sheetFormatPr defaultRowHeight="14.4" x14ac:dyDescent="0.3"/>
  <cols>
    <col min="1" max="1" width="33.6640625" customWidth="1"/>
    <col min="2" max="2" width="16" customWidth="1"/>
    <col min="3" max="3" width="14.6640625" customWidth="1"/>
    <col min="4" max="4" width="11.33203125" customWidth="1"/>
    <col min="5" max="5" width="10.5546875" bestFit="1" customWidth="1"/>
    <col min="6" max="7" width="10.5546875" customWidth="1"/>
    <col min="8" max="8" width="16.88671875" style="13" customWidth="1"/>
    <col min="9" max="9" width="14" customWidth="1"/>
    <col min="10" max="10" width="12.88671875" bestFit="1" customWidth="1"/>
    <col min="11" max="11" width="12" bestFit="1" customWidth="1"/>
    <col min="12" max="12" width="10.109375" bestFit="1" customWidth="1"/>
    <col min="13" max="13" width="12.33203125" bestFit="1" customWidth="1"/>
    <col min="17" max="17" width="9.5546875" bestFit="1" customWidth="1"/>
  </cols>
  <sheetData>
    <row r="1" spans="1:16" x14ac:dyDescent="0.3">
      <c r="B1" s="1"/>
      <c r="C1" t="s">
        <v>0</v>
      </c>
    </row>
    <row r="2" spans="1:16" x14ac:dyDescent="0.3">
      <c r="A2" s="2" t="s">
        <v>1</v>
      </c>
      <c r="E2" s="71"/>
      <c r="F2" s="21"/>
      <c r="G2" s="21"/>
      <c r="H2" s="12"/>
      <c r="I2" s="21"/>
      <c r="J2" s="21"/>
      <c r="K2" s="21"/>
      <c r="L2" s="21"/>
      <c r="M2" s="21"/>
      <c r="N2" s="21"/>
      <c r="O2" s="21"/>
      <c r="P2" s="21"/>
    </row>
    <row r="3" spans="1:16" x14ac:dyDescent="0.3">
      <c r="A3" s="3" t="s">
        <v>19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6" x14ac:dyDescent="0.3">
      <c r="A4" t="s">
        <v>19</v>
      </c>
      <c r="B4" s="1">
        <v>20000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6" x14ac:dyDescent="0.3">
      <c r="E5" s="21"/>
      <c r="F5" s="21"/>
      <c r="G5" s="12"/>
      <c r="H5" s="21"/>
      <c r="I5" s="21"/>
      <c r="J5" s="21"/>
      <c r="K5" s="21"/>
      <c r="L5" s="21"/>
      <c r="M5" s="21"/>
      <c r="N5" s="21"/>
      <c r="O5" s="21"/>
      <c r="P5" s="21"/>
    </row>
    <row r="6" spans="1:16" x14ac:dyDescent="0.3">
      <c r="E6" s="21"/>
      <c r="F6" s="21"/>
      <c r="G6" s="21"/>
      <c r="H6" s="12"/>
      <c r="I6" s="21"/>
      <c r="J6" s="21"/>
      <c r="K6" s="21"/>
      <c r="L6" s="21"/>
      <c r="M6" s="21"/>
      <c r="N6" s="21"/>
      <c r="O6" s="21"/>
      <c r="P6" s="21"/>
    </row>
    <row r="7" spans="1:16" x14ac:dyDescent="0.3">
      <c r="A7" s="2" t="s">
        <v>4</v>
      </c>
      <c r="E7" s="21"/>
      <c r="F7" s="21"/>
      <c r="G7" s="21"/>
      <c r="H7" s="12"/>
      <c r="I7" s="30"/>
      <c r="J7" s="21"/>
      <c r="K7" s="21"/>
      <c r="L7" s="21"/>
      <c r="M7" s="21"/>
      <c r="N7" s="21"/>
      <c r="O7" s="21"/>
      <c r="P7" s="21"/>
    </row>
    <row r="8" spans="1:16" x14ac:dyDescent="0.3">
      <c r="A8" t="s">
        <v>5</v>
      </c>
      <c r="B8" s="1" t="s">
        <v>100</v>
      </c>
      <c r="E8" s="21"/>
      <c r="F8" s="21"/>
      <c r="G8" s="21"/>
      <c r="H8" s="12"/>
      <c r="I8" s="53"/>
      <c r="J8" s="53"/>
      <c r="K8" s="21"/>
      <c r="L8" s="21"/>
      <c r="M8" s="21"/>
      <c r="N8" s="21"/>
      <c r="O8" s="21"/>
      <c r="P8" s="21"/>
    </row>
    <row r="9" spans="1:16" x14ac:dyDescent="0.3">
      <c r="E9" s="21"/>
      <c r="F9" s="21"/>
      <c r="G9" s="21"/>
      <c r="H9" s="12"/>
      <c r="I9" s="21"/>
      <c r="J9" s="21"/>
      <c r="K9" s="21"/>
      <c r="L9" s="21"/>
      <c r="M9" s="21"/>
      <c r="N9" s="21"/>
      <c r="O9" s="21"/>
      <c r="P9" s="21"/>
    </row>
    <row r="10" spans="1:16" x14ac:dyDescent="0.3">
      <c r="E10" s="21"/>
      <c r="F10" s="47"/>
      <c r="G10" s="47"/>
      <c r="H10" s="12"/>
      <c r="I10" s="21"/>
      <c r="J10" s="21"/>
      <c r="K10" s="21"/>
      <c r="L10" s="21"/>
      <c r="M10" s="21"/>
      <c r="N10" s="21"/>
      <c r="O10" s="21"/>
      <c r="P10" s="21"/>
    </row>
    <row r="11" spans="1:16" x14ac:dyDescent="0.3">
      <c r="E11" s="21"/>
      <c r="F11" s="21"/>
      <c r="G11" s="21"/>
      <c r="H11" s="45"/>
      <c r="I11" s="21"/>
      <c r="J11" s="21"/>
      <c r="K11" s="21"/>
      <c r="L11" s="21"/>
      <c r="M11" s="21"/>
      <c r="N11" s="21"/>
      <c r="O11" s="21"/>
      <c r="P11" s="21"/>
    </row>
    <row r="12" spans="1:16" x14ac:dyDescent="0.3">
      <c r="A12" t="s">
        <v>6</v>
      </c>
      <c r="B12" s="1">
        <v>30000</v>
      </c>
    </row>
    <row r="15" spans="1:16" x14ac:dyDescent="0.3">
      <c r="A15" s="2" t="s">
        <v>7</v>
      </c>
    </row>
    <row r="16" spans="1:16" x14ac:dyDescent="0.3">
      <c r="A16" s="3" t="s">
        <v>8</v>
      </c>
      <c r="F16" s="21"/>
      <c r="G16" s="21"/>
      <c r="H16" s="12"/>
      <c r="I16" s="21"/>
    </row>
    <row r="17" spans="1:14" x14ac:dyDescent="0.3">
      <c r="B17" s="94" t="s">
        <v>21</v>
      </c>
      <c r="C17" s="21"/>
      <c r="D17" s="21"/>
      <c r="F17" s="94"/>
      <c r="G17" s="21"/>
      <c r="H17" s="21"/>
      <c r="I17" s="21"/>
    </row>
    <row r="18" spans="1:14" ht="15.6" x14ac:dyDescent="0.3">
      <c r="A18" t="s">
        <v>9</v>
      </c>
      <c r="B18" s="52">
        <v>0</v>
      </c>
      <c r="C18" s="26">
        <v>45282</v>
      </c>
      <c r="D18" s="95">
        <v>0.15</v>
      </c>
      <c r="F18" s="52"/>
      <c r="G18" s="26"/>
      <c r="H18" s="95"/>
      <c r="I18" s="26"/>
      <c r="J18" s="6"/>
      <c r="K18" s="6"/>
      <c r="L18" s="4"/>
      <c r="M18" s="5"/>
      <c r="N18" s="6"/>
    </row>
    <row r="19" spans="1:14" ht="15.6" x14ac:dyDescent="0.3">
      <c r="A19" t="s">
        <v>10</v>
      </c>
      <c r="B19" s="26">
        <f>C18</f>
        <v>45282</v>
      </c>
      <c r="C19" s="26">
        <v>90563</v>
      </c>
      <c r="D19" s="67">
        <v>0.20499999999999999</v>
      </c>
      <c r="F19" s="26"/>
      <c r="G19" s="26"/>
      <c r="H19" s="67"/>
      <c r="I19" s="26"/>
      <c r="J19" s="7"/>
      <c r="K19" s="7"/>
      <c r="L19" s="5"/>
      <c r="M19" s="5"/>
      <c r="N19" s="7"/>
    </row>
    <row r="20" spans="1:14" ht="15.6" x14ac:dyDescent="0.3">
      <c r="A20" t="s">
        <v>10</v>
      </c>
      <c r="B20" s="26">
        <f>C19</f>
        <v>90563</v>
      </c>
      <c r="C20" s="26">
        <v>140388</v>
      </c>
      <c r="D20" s="67">
        <v>0.26</v>
      </c>
      <c r="F20" s="26"/>
      <c r="G20" s="26"/>
      <c r="H20" s="67"/>
      <c r="I20" s="26"/>
      <c r="J20" s="7"/>
      <c r="K20" s="7"/>
      <c r="L20" s="5"/>
      <c r="M20" s="5"/>
      <c r="N20" s="7"/>
    </row>
    <row r="21" spans="1:14" ht="15.6" x14ac:dyDescent="0.3">
      <c r="A21" t="s">
        <v>10</v>
      </c>
      <c r="B21" s="26">
        <f>C20</f>
        <v>140388</v>
      </c>
      <c r="C21" s="26">
        <v>200000</v>
      </c>
      <c r="D21" s="67">
        <v>0.28999999999999998</v>
      </c>
      <c r="F21" s="26"/>
      <c r="G21" s="26"/>
      <c r="H21" s="67"/>
      <c r="I21" s="97"/>
      <c r="J21" s="7"/>
      <c r="K21" s="7"/>
      <c r="L21" s="5"/>
      <c r="M21" s="5"/>
      <c r="N21" s="7"/>
    </row>
    <row r="22" spans="1:14" ht="15.6" x14ac:dyDescent="0.3">
      <c r="B22" s="26">
        <f>C21</f>
        <v>200000</v>
      </c>
      <c r="C22" s="21"/>
      <c r="D22" s="67">
        <v>0.33</v>
      </c>
      <c r="F22" s="26"/>
      <c r="G22" s="21"/>
      <c r="H22" s="67"/>
      <c r="I22" s="52"/>
      <c r="J22" s="7"/>
      <c r="K22" s="7"/>
      <c r="L22" s="5"/>
      <c r="N22" s="7"/>
    </row>
    <row r="23" spans="1:14" x14ac:dyDescent="0.3">
      <c r="B23" s="21"/>
      <c r="C23" s="94"/>
      <c r="D23" s="21"/>
      <c r="F23" s="21"/>
      <c r="G23" s="21"/>
      <c r="H23" s="12"/>
      <c r="I23" s="21"/>
    </row>
    <row r="24" spans="1:14" ht="15.6" x14ac:dyDescent="0.3">
      <c r="A24" t="s">
        <v>38</v>
      </c>
      <c r="B24" s="26">
        <v>11474</v>
      </c>
      <c r="C24" s="26"/>
      <c r="D24" s="21"/>
      <c r="F24" s="21"/>
      <c r="G24" s="52"/>
      <c r="H24" s="12"/>
      <c r="I24" s="21"/>
    </row>
    <row r="25" spans="1:14" x14ac:dyDescent="0.3">
      <c r="B25" s="21"/>
      <c r="C25" s="21"/>
      <c r="D25" s="21"/>
      <c r="F25" s="21"/>
      <c r="G25" s="21"/>
      <c r="H25" s="12"/>
      <c r="I25" s="21"/>
      <c r="J25" s="9"/>
    </row>
    <row r="26" spans="1:14" x14ac:dyDescent="0.3">
      <c r="A26" s="3" t="s">
        <v>11</v>
      </c>
      <c r="B26" s="21"/>
      <c r="C26" s="21"/>
      <c r="D26" s="21"/>
      <c r="F26" s="21"/>
      <c r="G26" s="21"/>
      <c r="H26" s="12"/>
      <c r="I26" s="21"/>
    </row>
    <row r="27" spans="1:14" x14ac:dyDescent="0.3">
      <c r="A27" s="10" t="s">
        <v>100</v>
      </c>
      <c r="B27" s="94" t="s">
        <v>21</v>
      </c>
      <c r="C27" s="21"/>
      <c r="D27" s="21"/>
      <c r="F27" s="94"/>
      <c r="G27" s="21"/>
      <c r="H27" s="21"/>
      <c r="I27" s="73"/>
      <c r="J27" s="10"/>
      <c r="K27" s="24"/>
    </row>
    <row r="28" spans="1:14" ht="15.6" x14ac:dyDescent="0.3">
      <c r="A28" t="s">
        <v>9</v>
      </c>
      <c r="B28" s="21">
        <v>0</v>
      </c>
      <c r="C28" s="26">
        <v>40492</v>
      </c>
      <c r="D28" s="67">
        <v>9.6799999999999997E-2</v>
      </c>
      <c r="F28" s="21"/>
      <c r="G28" s="26"/>
      <c r="H28" s="67"/>
      <c r="I28" s="26"/>
      <c r="J28" s="7"/>
    </row>
    <row r="29" spans="1:14" ht="15.6" x14ac:dyDescent="0.3">
      <c r="A29" t="s">
        <v>10</v>
      </c>
      <c r="B29" s="26">
        <f>C28</f>
        <v>40492</v>
      </c>
      <c r="C29" s="26">
        <v>80985</v>
      </c>
      <c r="D29" s="67">
        <v>0.1482</v>
      </c>
      <c r="F29" s="26"/>
      <c r="G29" s="26"/>
      <c r="H29" s="67"/>
      <c r="I29" s="26"/>
      <c r="J29" s="23"/>
      <c r="K29" s="18"/>
      <c r="L29" s="15"/>
    </row>
    <row r="30" spans="1:14" ht="15.6" x14ac:dyDescent="0.3">
      <c r="A30" t="s">
        <v>10</v>
      </c>
      <c r="B30" s="26">
        <f>C29</f>
        <v>80985</v>
      </c>
      <c r="C30" s="26">
        <v>131664</v>
      </c>
      <c r="D30" s="67">
        <v>0.16520000000000001</v>
      </c>
      <c r="F30" s="26"/>
      <c r="G30" s="26"/>
      <c r="H30" s="67"/>
      <c r="I30" s="52"/>
      <c r="J30" s="23"/>
      <c r="K30" s="4"/>
      <c r="L30" s="13"/>
      <c r="N30" s="18"/>
    </row>
    <row r="31" spans="1:14" ht="15.6" x14ac:dyDescent="0.3">
      <c r="A31" t="s">
        <v>10</v>
      </c>
      <c r="B31" s="26">
        <f>C30</f>
        <v>131664</v>
      </c>
      <c r="C31" s="26">
        <v>150000</v>
      </c>
      <c r="D31" s="67">
        <v>0.1784</v>
      </c>
      <c r="F31" s="26"/>
      <c r="G31" s="26"/>
      <c r="H31" s="67"/>
      <c r="I31" s="52"/>
      <c r="J31" s="23"/>
      <c r="K31" s="4"/>
      <c r="L31" s="13"/>
      <c r="N31" s="4"/>
    </row>
    <row r="32" spans="1:14" ht="15.6" x14ac:dyDescent="0.3">
      <c r="B32" s="26">
        <f>C31</f>
        <v>150000</v>
      </c>
      <c r="C32" s="21"/>
      <c r="D32" s="67">
        <v>0.20300000000000001</v>
      </c>
      <c r="F32" s="26"/>
      <c r="G32" s="21"/>
      <c r="H32" s="67"/>
      <c r="I32" s="52"/>
      <c r="J32" s="23"/>
      <c r="K32" s="4"/>
      <c r="L32" s="13"/>
    </row>
    <row r="33" spans="1:12" x14ac:dyDescent="0.3">
      <c r="B33" s="21"/>
      <c r="C33" s="94"/>
      <c r="D33" s="21"/>
      <c r="F33" s="21"/>
      <c r="G33" s="21"/>
      <c r="H33" s="45"/>
      <c r="I33" s="52"/>
      <c r="J33" s="25"/>
      <c r="K33" s="16"/>
      <c r="L33" s="25"/>
    </row>
    <row r="34" spans="1:12" ht="15.6" x14ac:dyDescent="0.3">
      <c r="A34" t="s">
        <v>36</v>
      </c>
      <c r="B34" s="26">
        <v>9758</v>
      </c>
      <c r="C34" s="26"/>
      <c r="D34" s="21"/>
      <c r="F34" s="21"/>
      <c r="G34" s="21"/>
      <c r="H34" s="45"/>
      <c r="I34" s="52"/>
      <c r="J34" s="25"/>
      <c r="K34" s="16"/>
      <c r="L34" s="25"/>
    </row>
    <row r="35" spans="1:12" x14ac:dyDescent="0.3">
      <c r="B35" s="4"/>
      <c r="C35" s="4"/>
      <c r="D35" t="s">
        <v>37</v>
      </c>
      <c r="E35" s="13"/>
      <c r="F35" s="44"/>
      <c r="H35" s="16"/>
    </row>
    <row r="36" spans="1:12" x14ac:dyDescent="0.3">
      <c r="A36" s="3" t="s">
        <v>101</v>
      </c>
      <c r="B36" s="4"/>
      <c r="C36" s="4"/>
      <c r="F36" s="13"/>
      <c r="G36" s="44"/>
      <c r="H36"/>
      <c r="I36" s="16"/>
      <c r="J36" s="10" t="s">
        <v>91</v>
      </c>
    </row>
    <row r="37" spans="1:12" x14ac:dyDescent="0.3">
      <c r="A37" s="3"/>
      <c r="B37" s="4" t="s">
        <v>91</v>
      </c>
      <c r="C37" s="4" t="s">
        <v>92</v>
      </c>
      <c r="F37" s="3" t="s">
        <v>102</v>
      </c>
      <c r="G37" s="44"/>
      <c r="H37"/>
      <c r="I37" s="68" t="s">
        <v>65</v>
      </c>
      <c r="J37" s="62" t="s">
        <v>64</v>
      </c>
      <c r="K37" s="62" t="s">
        <v>66</v>
      </c>
    </row>
    <row r="38" spans="1:12" ht="15.6" x14ac:dyDescent="0.3">
      <c r="A38" s="3"/>
      <c r="B38" t="s">
        <v>27</v>
      </c>
      <c r="C38" t="s">
        <v>28</v>
      </c>
      <c r="F38">
        <v>0</v>
      </c>
      <c r="G38" s="5">
        <f t="shared" ref="G38:H41" si="0">C28</f>
        <v>40492</v>
      </c>
      <c r="H38" s="7">
        <f t="shared" si="0"/>
        <v>9.6799999999999997E-2</v>
      </c>
      <c r="I38" s="13">
        <v>0</v>
      </c>
      <c r="J38" s="13">
        <f>IF(AND($B$12&gt;=F38,$B$12&lt;G38),($B$12-F38)*H38,0)</f>
        <v>2904</v>
      </c>
      <c r="K38" s="18">
        <f>(IF(J38=0,0,I38+J38))</f>
        <v>2904</v>
      </c>
    </row>
    <row r="39" spans="1:12" ht="15.6" x14ac:dyDescent="0.3">
      <c r="A39" s="3"/>
      <c r="B39" s="4">
        <f>$B$12</f>
        <v>30000</v>
      </c>
      <c r="C39" s="4">
        <f>$B$12+$B$4</f>
        <v>50000</v>
      </c>
      <c r="F39" s="5">
        <f>G38</f>
        <v>40492</v>
      </c>
      <c r="G39" s="5">
        <f t="shared" si="0"/>
        <v>80985</v>
      </c>
      <c r="H39" s="7">
        <f t="shared" si="0"/>
        <v>0.1482</v>
      </c>
      <c r="I39" s="12">
        <f>(G38-F38)*H38</f>
        <v>3919.6255999999998</v>
      </c>
      <c r="J39" s="13">
        <f t="shared" ref="J39:J41" si="1">IF(AND($B$12&gt;=F39,$B$12&lt;G39),($B$12-F39)*H39,0)</f>
        <v>0</v>
      </c>
      <c r="K39" s="18">
        <f>(IF(J39=0,0,I39+J39))</f>
        <v>0</v>
      </c>
    </row>
    <row r="40" spans="1:12" ht="15.6" x14ac:dyDescent="0.3">
      <c r="A40" s="27" t="s">
        <v>89</v>
      </c>
      <c r="B40" s="38">
        <v>-16076</v>
      </c>
      <c r="C40" s="38">
        <v>-16076</v>
      </c>
      <c r="F40" s="26">
        <f>G39</f>
        <v>80985</v>
      </c>
      <c r="G40" s="5">
        <f t="shared" si="0"/>
        <v>131664</v>
      </c>
      <c r="H40" s="7">
        <f t="shared" si="0"/>
        <v>0.16520000000000001</v>
      </c>
      <c r="I40" s="12">
        <f>((G39-F39)*H39)+I39</f>
        <v>9920.6882000000005</v>
      </c>
      <c r="J40" s="13">
        <f t="shared" si="1"/>
        <v>0</v>
      </c>
      <c r="K40" s="18">
        <f>(IF(J40=0,0,I40+J40))</f>
        <v>0</v>
      </c>
    </row>
    <row r="41" spans="1:12" ht="15.6" x14ac:dyDescent="0.3">
      <c r="A41" s="3"/>
      <c r="B41" s="4">
        <f>IF((B39+B40)&lt;=0,0,SUM(B39:B40))</f>
        <v>13924</v>
      </c>
      <c r="C41" s="4">
        <f>IF((C39+C40)&lt;=0,0,SUM(C39:C40))</f>
        <v>33924</v>
      </c>
      <c r="F41" s="5">
        <f>G40</f>
        <v>131664</v>
      </c>
      <c r="G41" s="5">
        <f t="shared" si="0"/>
        <v>150000</v>
      </c>
      <c r="H41" s="7">
        <f t="shared" si="0"/>
        <v>0.1784</v>
      </c>
      <c r="I41" s="12">
        <f t="shared" ref="I41:I42" si="2">((G40-F40)*H40)+I40</f>
        <v>18292.859</v>
      </c>
      <c r="J41" s="13">
        <f t="shared" si="1"/>
        <v>0</v>
      </c>
      <c r="K41" s="18">
        <f>(IF(J41=0,0,I41+J41))</f>
        <v>0</v>
      </c>
    </row>
    <row r="42" spans="1:12" ht="15.6" x14ac:dyDescent="0.3">
      <c r="A42" s="3"/>
      <c r="B42" s="69">
        <v>0.03</v>
      </c>
      <c r="C42" s="69">
        <v>0.03</v>
      </c>
      <c r="F42" s="5">
        <f>G41</f>
        <v>150000</v>
      </c>
      <c r="H42" s="7">
        <f>D32</f>
        <v>0.20300000000000001</v>
      </c>
      <c r="I42" s="12">
        <f t="shared" si="2"/>
        <v>21564.001400000001</v>
      </c>
      <c r="J42" s="13">
        <f>IF($B$12&gt;=F42,($B$12-F42)*H42,0)</f>
        <v>0</v>
      </c>
      <c r="K42" s="34">
        <f>(IF(J42=0,0,I42+J42))</f>
        <v>0</v>
      </c>
    </row>
    <row r="43" spans="1:12" x14ac:dyDescent="0.3">
      <c r="A43" s="3"/>
      <c r="B43" s="4">
        <f>B41*B42</f>
        <v>417.71999999999997</v>
      </c>
      <c r="C43" s="4">
        <f>C41*C42</f>
        <v>1017.7199999999999</v>
      </c>
      <c r="F43" s="13"/>
      <c r="G43" s="44"/>
      <c r="H43"/>
      <c r="I43" s="13"/>
      <c r="J43" s="13"/>
      <c r="K43" s="13">
        <f>SUM(K38:K42)</f>
        <v>2904</v>
      </c>
    </row>
    <row r="44" spans="1:12" x14ac:dyDescent="0.3">
      <c r="A44" s="3"/>
      <c r="B44" s="4"/>
      <c r="C44" s="4"/>
      <c r="F44" s="13"/>
      <c r="G44" s="44"/>
      <c r="H44" s="64" t="s">
        <v>35</v>
      </c>
      <c r="I44" s="13">
        <f>B34</f>
        <v>9758</v>
      </c>
      <c r="J44" s="16">
        <f>D28</f>
        <v>9.6799999999999997E-2</v>
      </c>
      <c r="K44" s="42">
        <f>IF($B$12&lt;I44,$B$12*J44,I44*J44)</f>
        <v>944.57439999999997</v>
      </c>
    </row>
    <row r="45" spans="1:12" x14ac:dyDescent="0.3">
      <c r="A45" s="27" t="s">
        <v>17</v>
      </c>
      <c r="B45" s="4">
        <v>624</v>
      </c>
      <c r="C45" s="4">
        <v>624</v>
      </c>
      <c r="F45" s="13"/>
      <c r="G45" s="44"/>
      <c r="H45" s="4"/>
      <c r="I45" s="4"/>
      <c r="J45" s="16"/>
      <c r="K45" s="13">
        <f>IF((K43-K44)&lt;=0,0,K43-K44)</f>
        <v>1959.4256</v>
      </c>
    </row>
    <row r="46" spans="1:12" x14ac:dyDescent="0.3">
      <c r="A46" s="3"/>
      <c r="B46" s="70">
        <f>B43</f>
        <v>417.71999999999997</v>
      </c>
      <c r="C46" s="70">
        <f>C43</f>
        <v>1017.7199999999999</v>
      </c>
      <c r="F46" s="13"/>
      <c r="G46" s="44"/>
      <c r="H46"/>
      <c r="I46" s="13"/>
      <c r="J46" s="13"/>
      <c r="K46" s="13"/>
    </row>
    <row r="47" spans="1:12" x14ac:dyDescent="0.3">
      <c r="A47" s="27" t="s">
        <v>95</v>
      </c>
      <c r="B47" s="4">
        <f>IF((B45-B46)&lt;=0,0,B45-B46)</f>
        <v>206.28000000000003</v>
      </c>
      <c r="C47" s="4">
        <f>IF((C45-C46)&lt;=0,0,C45-C46)</f>
        <v>0</v>
      </c>
      <c r="D47" s="4"/>
      <c r="F47" s="13"/>
      <c r="G47" s="44"/>
      <c r="H47"/>
      <c r="I47" s="13"/>
      <c r="J47" s="13"/>
      <c r="K47" s="13"/>
    </row>
    <row r="48" spans="1:12" x14ac:dyDescent="0.3">
      <c r="A48" s="3"/>
      <c r="B48" s="4"/>
      <c r="C48" s="4"/>
      <c r="F48" s="13"/>
      <c r="G48" s="44"/>
      <c r="H48"/>
      <c r="I48" s="16"/>
      <c r="J48" s="10" t="s">
        <v>92</v>
      </c>
    </row>
    <row r="49" spans="1:12" x14ac:dyDescent="0.3">
      <c r="A49" t="s">
        <v>93</v>
      </c>
      <c r="B49" s="4">
        <f>K45</f>
        <v>1959.4256</v>
      </c>
      <c r="C49" s="4">
        <f>K57</f>
        <v>4384.1368000000002</v>
      </c>
      <c r="F49" s="3" t="s">
        <v>102</v>
      </c>
      <c r="G49" s="44"/>
      <c r="H49"/>
      <c r="I49" s="68" t="s">
        <v>65</v>
      </c>
      <c r="J49" s="62" t="s">
        <v>64</v>
      </c>
      <c r="K49" s="62" t="s">
        <v>66</v>
      </c>
    </row>
    <row r="50" spans="1:12" ht="15.6" x14ac:dyDescent="0.3">
      <c r="B50" s="4"/>
      <c r="C50" s="4"/>
      <c r="F50">
        <v>0</v>
      </c>
      <c r="G50" s="5">
        <f t="shared" ref="G50:H53" si="3">C28</f>
        <v>40492</v>
      </c>
      <c r="H50" s="7">
        <f t="shared" si="3"/>
        <v>9.6799999999999997E-2</v>
      </c>
      <c r="I50" s="13">
        <v>0</v>
      </c>
      <c r="J50" s="13">
        <f>IF(AND(($B$12+$B$4)&gt;=F50,($B$12+$B$4)&lt;G50),($B$12+$B$4-F50)*H50,0)</f>
        <v>0</v>
      </c>
      <c r="K50" s="18">
        <f t="shared" ref="K50:K54" si="4">(IF(J50=0,0,I50+J50))</f>
        <v>0</v>
      </c>
    </row>
    <row r="51" spans="1:12" ht="15.6" x14ac:dyDescent="0.3">
      <c r="A51" s="27" t="s">
        <v>94</v>
      </c>
      <c r="B51" s="4">
        <f>MIN(B47,B49)</f>
        <v>206.28000000000003</v>
      </c>
      <c r="C51" s="4">
        <f>MIN(C47,C49)</f>
        <v>0</v>
      </c>
      <c r="D51" s="25"/>
      <c r="F51" s="5">
        <f>G50</f>
        <v>40492</v>
      </c>
      <c r="G51" s="5">
        <f t="shared" si="3"/>
        <v>80985</v>
      </c>
      <c r="H51" s="7">
        <f t="shared" si="3"/>
        <v>0.1482</v>
      </c>
      <c r="I51" s="12">
        <f>(G50-F50)*H50</f>
        <v>3919.6255999999998</v>
      </c>
      <c r="J51" s="13">
        <f t="shared" ref="J51:J53" si="5">IF(AND(($B$12+$B$4)&gt;=F51,($B$12+$B$4)&lt;G51),($B$12+$B$4-F51)*H51,0)</f>
        <v>1409.0855999999999</v>
      </c>
      <c r="K51" s="18">
        <f t="shared" si="4"/>
        <v>5328.7111999999997</v>
      </c>
    </row>
    <row r="52" spans="1:12" ht="15.6" x14ac:dyDescent="0.3">
      <c r="A52" s="3"/>
      <c r="B52" s="4"/>
      <c r="C52" s="4"/>
      <c r="F52" s="26">
        <f>G51</f>
        <v>80985</v>
      </c>
      <c r="G52" s="5">
        <f t="shared" si="3"/>
        <v>131664</v>
      </c>
      <c r="H52" s="7">
        <f t="shared" si="3"/>
        <v>0.16520000000000001</v>
      </c>
      <c r="I52" s="12">
        <f>((G51-F51)*H51)+I51</f>
        <v>9920.6882000000005</v>
      </c>
      <c r="J52" s="13">
        <f t="shared" si="5"/>
        <v>0</v>
      </c>
      <c r="K52" s="18">
        <f t="shared" si="4"/>
        <v>0</v>
      </c>
    </row>
    <row r="53" spans="1:12" ht="15.6" x14ac:dyDescent="0.3">
      <c r="A53" s="27" t="s">
        <v>101</v>
      </c>
      <c r="B53" s="35">
        <f>C51-B51</f>
        <v>-206.28000000000003</v>
      </c>
      <c r="C53" s="4"/>
      <c r="F53" s="5">
        <f>G52</f>
        <v>131664</v>
      </c>
      <c r="G53" s="5">
        <f t="shared" si="3"/>
        <v>150000</v>
      </c>
      <c r="H53" s="7">
        <f t="shared" si="3"/>
        <v>0.1784</v>
      </c>
      <c r="I53" s="12">
        <f t="shared" ref="I53:I54" si="6">((G52-F52)*H52)+I52</f>
        <v>18292.859</v>
      </c>
      <c r="J53" s="13">
        <f t="shared" si="5"/>
        <v>0</v>
      </c>
      <c r="K53" s="18">
        <f t="shared" si="4"/>
        <v>0</v>
      </c>
    </row>
    <row r="54" spans="1:12" ht="15.6" x14ac:dyDescent="0.3">
      <c r="A54" s="3"/>
      <c r="B54" s="4"/>
      <c r="C54" s="4"/>
      <c r="F54" s="5">
        <f>G53</f>
        <v>150000</v>
      </c>
      <c r="H54" s="7">
        <f>D32</f>
        <v>0.20300000000000001</v>
      </c>
      <c r="I54" s="12">
        <f t="shared" si="6"/>
        <v>21564.001400000001</v>
      </c>
      <c r="J54" s="13">
        <f>IF(($B$12+$B$4)&gt;=F54,($B$12+$B$4-F54)*H54,0)</f>
        <v>0</v>
      </c>
      <c r="K54" s="34">
        <f t="shared" si="4"/>
        <v>0</v>
      </c>
    </row>
    <row r="55" spans="1:12" x14ac:dyDescent="0.3">
      <c r="A55" s="3"/>
      <c r="B55" s="4"/>
      <c r="C55" s="4"/>
      <c r="F55" s="13"/>
      <c r="G55" s="44"/>
      <c r="H55"/>
      <c r="I55" s="16"/>
      <c r="K55" s="18">
        <f>SUM(K50:K54)</f>
        <v>5328.7111999999997</v>
      </c>
    </row>
    <row r="56" spans="1:12" x14ac:dyDescent="0.3">
      <c r="A56" s="3"/>
      <c r="B56" s="4"/>
      <c r="C56" s="4"/>
      <c r="F56" s="13"/>
      <c r="G56" s="44"/>
      <c r="H56" s="64" t="s">
        <v>35</v>
      </c>
      <c r="I56" s="13">
        <f>B34</f>
        <v>9758</v>
      </c>
      <c r="J56" s="16">
        <f>D28</f>
        <v>9.6799999999999997E-2</v>
      </c>
      <c r="K56" s="42">
        <f>IF(($B$12+$B$4)&lt;I56,($B$12+$B$4)*J56,I56*J56)</f>
        <v>944.57439999999997</v>
      </c>
    </row>
    <row r="57" spans="1:12" x14ac:dyDescent="0.3">
      <c r="A57" s="3"/>
      <c r="B57" s="4"/>
      <c r="C57" s="4"/>
      <c r="F57" s="13"/>
      <c r="G57" s="44"/>
      <c r="H57"/>
      <c r="I57" s="16"/>
      <c r="K57" s="13">
        <f>IF((K55-K56)&lt;=0,0,K55-K56)</f>
        <v>4384.1368000000002</v>
      </c>
    </row>
    <row r="58" spans="1:12" x14ac:dyDescent="0.3">
      <c r="A58" s="3"/>
      <c r="B58" s="4"/>
      <c r="C58" s="4"/>
    </row>
    <row r="59" spans="1:12" x14ac:dyDescent="0.3">
      <c r="A59" s="2" t="s">
        <v>12</v>
      </c>
      <c r="E59" s="36"/>
      <c r="F59" s="21"/>
      <c r="G59" s="4"/>
      <c r="H59" s="4"/>
      <c r="I59" s="16"/>
    </row>
    <row r="60" spans="1:12" x14ac:dyDescent="0.3">
      <c r="B60" s="11"/>
      <c r="C60" t="s">
        <v>13</v>
      </c>
      <c r="H60" s="36"/>
      <c r="J60" s="4"/>
      <c r="K60" s="4"/>
      <c r="L60" s="16"/>
    </row>
    <row r="61" spans="1:12" x14ac:dyDescent="0.3">
      <c r="H61" s="36"/>
      <c r="I61" s="18"/>
      <c r="J61" s="4"/>
      <c r="K61" s="4"/>
      <c r="L61" s="16"/>
    </row>
    <row r="62" spans="1:12" x14ac:dyDescent="0.3">
      <c r="A62" t="s">
        <v>20</v>
      </c>
      <c r="B62" s="17">
        <f>IF(AND((B4+B12)&gt;=B18,(B4+B12)&lt;=C18),B4*D18,IF(AND((B4+B12)&gt;B19,(B4+B12)&lt;=C19),IF((B4+B12-B19)&gt;B4,B4*D19,((B4+B12-B19)*D19)+((B4-(B4+B12-B19))*D18)),IF(AND((B4+B12)&gt;B20,(B4+B12)&lt;=C20),IF((B4+B12-B20)&gt;B4,B4*D20,IF((B4+B12-B19)&gt;B4,(((B4+B12-B20)*D20)+((B4-(B4+B12-B20))*D19)),((B4+B12-B20)*D20)+((C19-B19)*D19)+((B4-(B4+B12-B19))*D18))),IF(AND((B4+B12)&gt;B21,(B4+B12)&lt;=C21),IF((B4+B12-B21)&gt;B4,B4*D21,IF((B4+B12-B20)&gt;B4,((B4+B12-B21)*D21)+(((B4-(B4+B12-B21))*D20)),IF((B4+B12-B19)&gt;B4,(((B4+B12-B21)*D21)+((C20-B20)*D20)+((B4-(B4+B12-B20))*D19)),((B4+B12-B21)*D21)+((C20-B20)*D20)+((C19-B19)*D19)+((B4-(B4+B12-B19))*D18)))),IF((B4+B12)&gt;B22,IF((B4+B12-B22)&gt;B4,B4*D22,IF((B4+B12-B21)&gt;B4,(((B4+B12-B22)*D22)+((B4-(B4+B12-B22))*D21)),IF((B4+B12-B20)&gt;B4,(((B4+B12-B22)*D22)+((C21-B21)*D21)+((B4-(B4+B12-B21))*D20)),IF((B4+B12-B19)&gt;B4,(((B4+B12-B22)*D22)+((C21-B21)*D21)+((C20-B20)*D20)+((B4-(B4+B12-B20))*D19)),((B4+B12-B22)*D22)+((C21-B21)*D21)+((C20-B20)*D20)+((C19-B19)*D19)+((B4-(B4+B12-B19))*D18))))))))))</f>
        <v>3259.49</v>
      </c>
      <c r="C62" t="s">
        <v>15</v>
      </c>
      <c r="H62" s="43"/>
      <c r="K62" s="4"/>
      <c r="L62" s="16"/>
    </row>
    <row r="63" spans="1:12" x14ac:dyDescent="0.3">
      <c r="B63" s="37">
        <f>-IF(B12&gt;=B24,0,IF(B12&lt;B24,IF((B12+B4)&gt;B24,(B24-B12)*D18,B4*D18)))</f>
        <v>0</v>
      </c>
      <c r="C63" t="s">
        <v>34</v>
      </c>
      <c r="H63" s="43"/>
      <c r="K63" s="4"/>
      <c r="L63" s="16"/>
    </row>
    <row r="64" spans="1:12" x14ac:dyDescent="0.3">
      <c r="B64" s="12">
        <f>IF(AND((B4+B12)&gt;=B28,(B4+B12)&lt;=C28),B4*D28,IF(AND((B4+B12)&gt;B29,(B4+B12)&lt;=C29),IF((B4+B12-B29)&gt;B4,B4*D29,((B4+B12-B29)*D29)+((B4-(B4+B12-B29))*D28)),IF(AND((B4+B12)&gt;B30,(B4+B12)&lt;=C30),IF((B4+B12-B30)&gt;B4,B4*D30,IF((B4+B12-B29)&gt;B4,(((B4+B12-B30)*D30)+((B4-(B4+B12-B30))*D29)),((B4+B12-B30)*D30)+((C29-B29)*D29)+((B4-(B4+B12-B29))*D28))),IF(AND((B4+B12)&gt;B31,(B4+B12)&lt;=C31),IF((B4+B12-B31)&gt;B4,B4*D31,IF((B4+B12-B30)&gt;B4,(((B4+B12-B31)*D31)+((B4-(B4+B12-B31))*D30)),IF((B4+B12-B29)&gt;B4,(((B4+B12-B31)*D31)+((C30-B30)*D30)+((B4-(B4+B12-B30))*D29)),((B4+B12-B31)*D31)+((C30-B30)*D30)+((C29-B29)*D29)+((B4-(B4+B12-B29))*D28)))),IF((B4+B12)&gt;B32,IF((B4+B12-B32)&gt;B4,B4*D32,IF((B4+B12-B31)&gt;B4,(((B4+B12-B32)*D32)+((B4-(B4+B12-B32))*D31)),IF((B4+B12-B30)&gt;B4,(((B4+B12-B32)*D32)+((C31-B31)*D31)+((B4-(B4+B12-B31))*D30)),IF((B4+B12-B29)&gt;B4,(((B4+B12-B32)*D32)+((C31-B31)*D31)+((C30-B30)*D30)+((B4-(B4+B12-B30))*D29)),((B4+B12-B32)*D32)+((C31-B31)*D31)+((C30-B30)*D30)+((C29-B29)*D29)+((B4-(B4+B12-B29))*D28))))))))))</f>
        <v>2424.7111999999997</v>
      </c>
      <c r="C64" t="s">
        <v>16</v>
      </c>
    </row>
    <row r="65" spans="1:17" x14ac:dyDescent="0.3">
      <c r="B65" s="37">
        <f>-IF(B12&gt;=B34,0,IF(B12&lt;B34,IF((B12+B4)&gt;B34,(B34-B12)*D28,B4*D28)))</f>
        <v>0</v>
      </c>
      <c r="C65" t="s">
        <v>36</v>
      </c>
      <c r="I65" s="18"/>
    </row>
    <row r="66" spans="1:17" x14ac:dyDescent="0.3">
      <c r="B66" s="38">
        <f>-B53</f>
        <v>206.28000000000003</v>
      </c>
      <c r="C66" t="s">
        <v>103</v>
      </c>
      <c r="D66" s="8"/>
      <c r="E66" s="13"/>
      <c r="F66" s="46"/>
      <c r="G66" s="46"/>
      <c r="H66" s="46"/>
      <c r="I66" s="47"/>
      <c r="J66" s="47"/>
      <c r="K66" s="48"/>
      <c r="L66" s="48"/>
      <c r="M66" s="47"/>
    </row>
    <row r="67" spans="1:17" x14ac:dyDescent="0.3">
      <c r="A67" s="10" t="s">
        <v>22</v>
      </c>
      <c r="B67" s="45">
        <f>SUM(B62:B66)</f>
        <v>5890.4811999999993</v>
      </c>
      <c r="F67" s="47"/>
      <c r="G67" s="47"/>
      <c r="H67" s="46"/>
      <c r="I67" s="47"/>
      <c r="J67" s="47"/>
      <c r="K67" s="49"/>
      <c r="L67" s="48"/>
      <c r="M67" s="47"/>
    </row>
    <row r="68" spans="1:17" x14ac:dyDescent="0.3">
      <c r="E68" s="18"/>
      <c r="F68" s="49"/>
      <c r="G68" s="47"/>
      <c r="H68" s="46"/>
      <c r="I68" s="49"/>
      <c r="J68" s="49"/>
      <c r="K68" s="47"/>
      <c r="L68" s="47"/>
      <c r="M68" s="47"/>
      <c r="Q68" s="15"/>
    </row>
    <row r="69" spans="1:17" x14ac:dyDescent="0.3">
      <c r="B69" s="13"/>
      <c r="F69" s="47"/>
      <c r="G69" s="47"/>
      <c r="H69" s="46"/>
      <c r="I69" s="47"/>
      <c r="J69" s="47"/>
      <c r="K69" s="47"/>
      <c r="L69" s="47"/>
      <c r="M69" s="47"/>
    </row>
    <row r="70" spans="1:17" x14ac:dyDescent="0.3">
      <c r="A70" s="19" t="s">
        <v>39</v>
      </c>
      <c r="B70" s="13"/>
      <c r="F70" s="47"/>
      <c r="G70" s="47"/>
      <c r="H70" s="46"/>
      <c r="I70" s="46"/>
      <c r="J70" s="49"/>
      <c r="K70" s="47"/>
      <c r="L70" s="47"/>
      <c r="M70" s="47"/>
    </row>
    <row r="71" spans="1:17" x14ac:dyDescent="0.3">
      <c r="A71" t="s">
        <v>118</v>
      </c>
      <c r="B71" s="13">
        <f>SUM(B62:B63)</f>
        <v>3259.49</v>
      </c>
      <c r="F71" s="47"/>
      <c r="G71" s="47"/>
      <c r="H71" s="46"/>
      <c r="I71" s="47"/>
      <c r="J71" s="47"/>
      <c r="K71" s="47"/>
      <c r="L71" s="47"/>
      <c r="M71" s="47"/>
    </row>
    <row r="72" spans="1:17" x14ac:dyDescent="0.3">
      <c r="A72" t="s">
        <v>119</v>
      </c>
      <c r="B72" s="34">
        <f>SUM(B64:B66)</f>
        <v>2630.9911999999999</v>
      </c>
      <c r="F72" s="47"/>
      <c r="G72" s="47"/>
      <c r="H72" s="46"/>
      <c r="I72" s="49"/>
      <c r="J72" s="49"/>
      <c r="K72" s="47"/>
      <c r="L72" s="47"/>
      <c r="M72" s="47"/>
    </row>
    <row r="73" spans="1:17" x14ac:dyDescent="0.3">
      <c r="B73" s="13">
        <f>SUM(B71:B72)</f>
        <v>5890.4812000000002</v>
      </c>
      <c r="F73" s="47"/>
      <c r="G73" s="47"/>
      <c r="H73" s="46"/>
      <c r="I73" s="47"/>
      <c r="J73" s="47"/>
      <c r="K73" s="47"/>
      <c r="L73" s="47"/>
      <c r="M73" s="47"/>
    </row>
    <row r="74" spans="1:17" x14ac:dyDescent="0.3">
      <c r="B74" s="13"/>
      <c r="F74" s="47"/>
      <c r="G74" s="47"/>
      <c r="H74" s="46"/>
      <c r="I74" s="46"/>
      <c r="J74" s="49"/>
      <c r="K74" s="47"/>
      <c r="L74" s="47"/>
      <c r="M74" s="47"/>
    </row>
    <row r="75" spans="1:17" x14ac:dyDescent="0.3">
      <c r="B75" s="13"/>
      <c r="F75" s="47"/>
      <c r="G75" s="47"/>
      <c r="H75" s="46"/>
      <c r="I75" s="47"/>
      <c r="J75" s="47"/>
      <c r="K75" s="47"/>
      <c r="L75" s="47"/>
      <c r="M75" s="47"/>
    </row>
    <row r="76" spans="1:17" x14ac:dyDescent="0.3">
      <c r="B76" s="13"/>
      <c r="F76" s="47"/>
      <c r="G76" s="47"/>
      <c r="H76" s="46"/>
      <c r="I76" s="49"/>
      <c r="J76" s="49"/>
      <c r="K76" s="47"/>
      <c r="L76" s="47"/>
      <c r="M76" s="47"/>
    </row>
    <row r="77" spans="1:17" x14ac:dyDescent="0.3">
      <c r="B77" s="13"/>
      <c r="F77" s="47"/>
      <c r="G77" s="47"/>
      <c r="H77" s="46"/>
      <c r="I77" s="47"/>
      <c r="J77" s="47"/>
      <c r="K77" s="47"/>
      <c r="L77" s="47"/>
      <c r="M77" s="47"/>
    </row>
    <row r="78" spans="1:17" x14ac:dyDescent="0.3">
      <c r="B78" s="15"/>
      <c r="F78" s="47"/>
      <c r="G78" s="47"/>
      <c r="H78" s="50"/>
      <c r="I78" s="47"/>
      <c r="J78" s="47"/>
      <c r="K78" s="47"/>
      <c r="L78" s="47"/>
      <c r="M78" s="47"/>
    </row>
    <row r="79" spans="1:17" x14ac:dyDescent="0.3">
      <c r="F79" s="47"/>
      <c r="G79" s="47"/>
      <c r="H79" s="46"/>
      <c r="I79" s="47"/>
      <c r="J79" s="47"/>
      <c r="K79" s="47"/>
      <c r="L79" s="47"/>
      <c r="M79" s="47"/>
    </row>
    <row r="80" spans="1:17" x14ac:dyDescent="0.3">
      <c r="F80" s="47"/>
      <c r="G80" s="47"/>
      <c r="H80" s="46"/>
      <c r="I80" s="48"/>
      <c r="J80" s="48"/>
      <c r="K80" s="47"/>
      <c r="L80" s="47"/>
      <c r="M80" s="47"/>
    </row>
    <row r="81" spans="6:13" x14ac:dyDescent="0.3">
      <c r="F81" s="47"/>
      <c r="G81" s="47"/>
      <c r="H81" s="46"/>
      <c r="I81" s="47"/>
      <c r="J81" s="47"/>
      <c r="K81" s="47"/>
      <c r="L81" s="47"/>
      <c r="M81" s="47"/>
    </row>
    <row r="82" spans="6:13" x14ac:dyDescent="0.3">
      <c r="H82" s="12"/>
    </row>
    <row r="84" spans="6:13" x14ac:dyDescent="0.3">
      <c r="H84" s="40"/>
      <c r="M84" s="2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0"/>
  <sheetViews>
    <sheetView topLeftCell="A10" zoomScale="85" zoomScaleNormal="85" workbookViewId="0">
      <selection activeCell="B21" sqref="B21:D38"/>
    </sheetView>
  </sheetViews>
  <sheetFormatPr defaultRowHeight="14.4" x14ac:dyDescent="0.3"/>
  <cols>
    <col min="1" max="1" width="39" customWidth="1"/>
    <col min="2" max="2" width="14.109375" customWidth="1"/>
    <col min="3" max="3" width="11.6640625" customWidth="1"/>
    <col min="4" max="4" width="11.88671875" customWidth="1"/>
    <col min="5" max="5" width="10.5546875" bestFit="1" customWidth="1"/>
    <col min="6" max="7" width="10.5546875" customWidth="1"/>
    <col min="8" max="8" width="16.88671875" style="13" customWidth="1"/>
    <col min="9" max="9" width="11.6640625" bestFit="1" customWidth="1"/>
    <col min="10" max="10" width="13.5546875" bestFit="1" customWidth="1"/>
    <col min="11" max="11" width="12" bestFit="1" customWidth="1"/>
    <col min="12" max="12" width="11.33203125" bestFit="1" customWidth="1"/>
    <col min="13" max="13" width="12.33203125" bestFit="1" customWidth="1"/>
    <col min="17" max="17" width="9.5546875" bestFit="1" customWidth="1"/>
  </cols>
  <sheetData>
    <row r="1" spans="1:14" x14ac:dyDescent="0.3">
      <c r="B1" s="1"/>
      <c r="C1" t="s">
        <v>0</v>
      </c>
      <c r="E1" t="s">
        <v>24</v>
      </c>
      <c r="F1" t="s">
        <v>30</v>
      </c>
      <c r="I1" s="29" t="s">
        <v>33</v>
      </c>
    </row>
    <row r="2" spans="1:14" x14ac:dyDescent="0.3">
      <c r="A2" s="2" t="s">
        <v>1</v>
      </c>
      <c r="E2" t="s">
        <v>25</v>
      </c>
      <c r="F2" t="s">
        <v>29</v>
      </c>
      <c r="I2" s="29" t="s">
        <v>73</v>
      </c>
    </row>
    <row r="3" spans="1:14" x14ac:dyDescent="0.3">
      <c r="A3" s="3" t="s">
        <v>26</v>
      </c>
      <c r="H3" s="46"/>
      <c r="I3" s="46"/>
      <c r="J3" s="49"/>
      <c r="K3" s="47"/>
      <c r="L3" s="21"/>
      <c r="M3" s="21"/>
      <c r="N3" s="21"/>
    </row>
    <row r="4" spans="1:14" x14ac:dyDescent="0.3">
      <c r="E4" t="s">
        <v>58</v>
      </c>
      <c r="F4" t="s">
        <v>24</v>
      </c>
      <c r="H4" s="47"/>
      <c r="I4" s="46"/>
      <c r="J4" s="46"/>
      <c r="K4" s="49"/>
      <c r="L4" s="21"/>
      <c r="M4" s="21"/>
      <c r="N4" s="21"/>
    </row>
    <row r="5" spans="1:14" x14ac:dyDescent="0.3">
      <c r="A5" t="s">
        <v>26</v>
      </c>
      <c r="B5" s="56">
        <v>2000</v>
      </c>
      <c r="E5" t="s">
        <v>59</v>
      </c>
      <c r="F5" t="s">
        <v>25</v>
      </c>
      <c r="H5" s="21"/>
      <c r="I5" s="37"/>
      <c r="J5" s="37"/>
      <c r="K5" s="37"/>
      <c r="L5" s="21"/>
      <c r="M5" s="21"/>
      <c r="N5" s="21"/>
    </row>
    <row r="6" spans="1:14" ht="28.8" x14ac:dyDescent="0.3">
      <c r="A6" s="27" t="s">
        <v>42</v>
      </c>
      <c r="B6" s="33" t="s">
        <v>29</v>
      </c>
      <c r="E6" s="29"/>
      <c r="F6" t="s">
        <v>63</v>
      </c>
      <c r="H6" s="21"/>
      <c r="I6" s="12"/>
      <c r="J6" s="37"/>
      <c r="K6" s="37"/>
      <c r="L6" s="21"/>
      <c r="M6" s="21"/>
      <c r="N6" s="21"/>
    </row>
    <row r="7" spans="1:14" x14ac:dyDescent="0.3">
      <c r="A7" s="27" t="s">
        <v>41</v>
      </c>
      <c r="B7" s="33" t="s">
        <v>25</v>
      </c>
      <c r="E7" s="29"/>
      <c r="F7" s="29"/>
      <c r="H7" s="21"/>
      <c r="I7" s="46"/>
      <c r="J7" s="47"/>
      <c r="K7" s="39"/>
      <c r="L7" s="21"/>
      <c r="M7" s="21"/>
      <c r="N7" s="21"/>
    </row>
    <row r="8" spans="1:14" x14ac:dyDescent="0.3">
      <c r="A8" s="27"/>
      <c r="E8" s="47"/>
      <c r="F8" s="47"/>
      <c r="G8" s="47"/>
      <c r="H8" s="47"/>
      <c r="I8" s="49"/>
      <c r="J8" s="46"/>
      <c r="K8" s="46"/>
      <c r="L8" s="21"/>
      <c r="M8" s="21"/>
      <c r="N8" s="21"/>
    </row>
    <row r="9" spans="1:14" x14ac:dyDescent="0.3">
      <c r="A9" s="29" t="s">
        <v>62</v>
      </c>
      <c r="D9" s="47"/>
      <c r="E9" s="47"/>
      <c r="F9" s="46"/>
      <c r="G9" s="47"/>
      <c r="H9" s="79"/>
      <c r="I9" s="79"/>
      <c r="J9" s="47"/>
      <c r="K9" s="47"/>
      <c r="L9" s="47"/>
      <c r="M9" s="47"/>
      <c r="N9" s="21"/>
    </row>
    <row r="10" spans="1:14" x14ac:dyDescent="0.3">
      <c r="A10" s="27" t="s">
        <v>60</v>
      </c>
      <c r="B10" s="1" t="s">
        <v>58</v>
      </c>
      <c r="D10" s="47"/>
      <c r="E10" s="47"/>
      <c r="F10" s="46"/>
      <c r="G10" s="47"/>
      <c r="H10" s="79"/>
      <c r="I10" s="79"/>
      <c r="J10" s="83"/>
      <c r="K10" s="83"/>
      <c r="L10" s="83"/>
      <c r="M10" s="83"/>
      <c r="N10" s="21"/>
    </row>
    <row r="11" spans="1:14" x14ac:dyDescent="0.3">
      <c r="A11" s="27" t="s">
        <v>61</v>
      </c>
      <c r="B11" s="1">
        <v>200</v>
      </c>
      <c r="D11" s="47"/>
      <c r="E11" s="47"/>
      <c r="F11" s="46"/>
      <c r="G11" s="47"/>
      <c r="H11" s="79"/>
      <c r="I11" s="79"/>
      <c r="J11" s="83"/>
      <c r="K11" s="83"/>
      <c r="L11" s="83"/>
      <c r="M11" s="83"/>
      <c r="N11" s="21"/>
    </row>
    <row r="12" spans="1:14" s="21" customFormat="1" x14ac:dyDescent="0.3">
      <c r="A12" s="57"/>
      <c r="B12"/>
      <c r="D12" s="47"/>
      <c r="E12" s="47"/>
      <c r="F12" s="46"/>
      <c r="G12" s="47"/>
      <c r="H12" s="79"/>
      <c r="I12" s="79"/>
      <c r="J12" s="83"/>
      <c r="K12" s="83"/>
      <c r="L12" s="83"/>
      <c r="M12" s="83"/>
    </row>
    <row r="13" spans="1:14" x14ac:dyDescent="0.3">
      <c r="A13" s="2" t="s">
        <v>4</v>
      </c>
      <c r="D13" s="47"/>
      <c r="E13" s="47"/>
      <c r="F13" s="46"/>
      <c r="G13" s="79"/>
      <c r="H13" s="79"/>
      <c r="I13" s="79"/>
      <c r="J13" s="39"/>
      <c r="K13" s="39"/>
      <c r="L13" s="47"/>
      <c r="M13" s="47"/>
      <c r="N13" s="21"/>
    </row>
    <row r="14" spans="1:14" x14ac:dyDescent="0.3">
      <c r="A14" t="s">
        <v>5</v>
      </c>
      <c r="B14" s="1" t="s">
        <v>100</v>
      </c>
      <c r="D14" s="47"/>
      <c r="E14" s="47"/>
      <c r="F14" s="46"/>
      <c r="G14" s="47"/>
      <c r="H14" s="79"/>
      <c r="I14" s="79"/>
      <c r="J14" s="47"/>
      <c r="K14" s="47"/>
      <c r="L14" s="47"/>
      <c r="M14" s="47"/>
      <c r="N14" s="21"/>
    </row>
    <row r="15" spans="1:14" x14ac:dyDescent="0.3">
      <c r="D15" s="47"/>
      <c r="E15" s="47"/>
      <c r="F15" s="47"/>
      <c r="G15" s="47"/>
      <c r="H15" s="79"/>
      <c r="I15" s="79"/>
      <c r="J15" s="47"/>
      <c r="K15" s="47"/>
      <c r="L15" s="47"/>
      <c r="M15" s="47"/>
      <c r="N15" s="21"/>
    </row>
    <row r="16" spans="1:14" x14ac:dyDescent="0.3">
      <c r="D16" s="47"/>
      <c r="E16" s="47"/>
      <c r="F16" s="81"/>
      <c r="G16" s="47"/>
      <c r="H16" s="79"/>
      <c r="I16" s="79"/>
      <c r="J16" s="47"/>
      <c r="K16" s="47"/>
      <c r="L16" s="47"/>
      <c r="M16" s="47"/>
      <c r="N16" s="21"/>
    </row>
    <row r="17" spans="1:14" x14ac:dyDescent="0.3">
      <c r="D17" s="47"/>
      <c r="E17" s="47"/>
      <c r="F17" s="47"/>
      <c r="G17" s="79"/>
      <c r="H17" s="79"/>
      <c r="I17" s="79"/>
      <c r="J17" s="47"/>
      <c r="K17" s="47"/>
      <c r="L17" s="47"/>
      <c r="M17" s="47"/>
      <c r="N17" s="21"/>
    </row>
    <row r="18" spans="1:14" x14ac:dyDescent="0.3">
      <c r="A18" t="s">
        <v>6</v>
      </c>
      <c r="B18" s="1">
        <v>139000</v>
      </c>
      <c r="L18" s="21"/>
      <c r="M18" s="21"/>
      <c r="N18" s="21"/>
    </row>
    <row r="19" spans="1:14" x14ac:dyDescent="0.3">
      <c r="A19" s="2" t="s">
        <v>7</v>
      </c>
    </row>
    <row r="20" spans="1:14" x14ac:dyDescent="0.3">
      <c r="A20" s="3" t="s">
        <v>8</v>
      </c>
    </row>
    <row r="21" spans="1:14" x14ac:dyDescent="0.3">
      <c r="B21" s="94" t="s">
        <v>21</v>
      </c>
      <c r="C21" s="21"/>
      <c r="D21" s="21"/>
      <c r="F21" s="94"/>
      <c r="G21" s="21"/>
      <c r="H21" s="21"/>
    </row>
    <row r="22" spans="1:14" ht="15.6" x14ac:dyDescent="0.3">
      <c r="A22" t="s">
        <v>9</v>
      </c>
      <c r="B22" s="52">
        <v>0</v>
      </c>
      <c r="C22" s="26">
        <v>45282</v>
      </c>
      <c r="D22" s="95">
        <v>0.15</v>
      </c>
      <c r="F22" s="52"/>
      <c r="G22" s="26"/>
      <c r="H22" s="95"/>
      <c r="N22" s="6"/>
    </row>
    <row r="23" spans="1:14" ht="15.6" x14ac:dyDescent="0.3">
      <c r="A23" t="s">
        <v>10</v>
      </c>
      <c r="B23" s="26">
        <f>C22</f>
        <v>45282</v>
      </c>
      <c r="C23" s="26">
        <v>90563</v>
      </c>
      <c r="D23" s="67">
        <v>0.20499999999999999</v>
      </c>
      <c r="F23" s="26"/>
      <c r="G23" s="26"/>
      <c r="H23" s="67"/>
      <c r="N23" s="7"/>
    </row>
    <row r="24" spans="1:14" ht="15.6" x14ac:dyDescent="0.3">
      <c r="A24" t="s">
        <v>10</v>
      </c>
      <c r="B24" s="26">
        <f>C23</f>
        <v>90563</v>
      </c>
      <c r="C24" s="26">
        <v>140388</v>
      </c>
      <c r="D24" s="67">
        <v>0.26</v>
      </c>
      <c r="F24" s="26"/>
      <c r="G24" s="26"/>
      <c r="H24" s="67"/>
      <c r="N24" s="7"/>
    </row>
    <row r="25" spans="1:14" ht="15.6" x14ac:dyDescent="0.3">
      <c r="A25" t="s">
        <v>10</v>
      </c>
      <c r="B25" s="26">
        <f>C24</f>
        <v>140388</v>
      </c>
      <c r="C25" s="26">
        <v>200000</v>
      </c>
      <c r="D25" s="67">
        <v>0.28999999999999998</v>
      </c>
      <c r="F25" s="26"/>
      <c r="G25" s="26"/>
      <c r="H25" s="67"/>
      <c r="N25" s="7"/>
    </row>
    <row r="26" spans="1:14" ht="15.6" x14ac:dyDescent="0.3">
      <c r="B26" s="26">
        <f>C25</f>
        <v>200000</v>
      </c>
      <c r="C26" s="21"/>
      <c r="D26" s="67">
        <v>0.33</v>
      </c>
      <c r="F26" s="26"/>
      <c r="G26" s="21"/>
      <c r="H26" s="67"/>
      <c r="N26" s="7"/>
    </row>
    <row r="27" spans="1:14" x14ac:dyDescent="0.3">
      <c r="B27" s="21"/>
      <c r="C27" s="94"/>
      <c r="D27" s="21"/>
      <c r="F27" s="21"/>
      <c r="G27" s="21"/>
      <c r="H27" s="12"/>
    </row>
    <row r="28" spans="1:14" ht="15.6" x14ac:dyDescent="0.3">
      <c r="A28" t="s">
        <v>38</v>
      </c>
      <c r="B28" s="26">
        <v>11474</v>
      </c>
      <c r="C28" s="26"/>
      <c r="D28" s="21"/>
      <c r="F28" s="21"/>
      <c r="G28" s="52"/>
      <c r="H28" s="12"/>
    </row>
    <row r="29" spans="1:14" x14ac:dyDescent="0.3">
      <c r="B29" s="21"/>
      <c r="C29" s="21"/>
      <c r="D29" s="21"/>
      <c r="F29" s="21"/>
      <c r="G29" s="21"/>
      <c r="H29" s="12"/>
    </row>
    <row r="30" spans="1:14" x14ac:dyDescent="0.3">
      <c r="A30" s="3" t="s">
        <v>11</v>
      </c>
      <c r="B30" s="21"/>
      <c r="C30" s="21"/>
      <c r="D30" s="21"/>
      <c r="F30" s="21"/>
      <c r="G30" s="21"/>
      <c r="H30" s="12"/>
    </row>
    <row r="31" spans="1:14" x14ac:dyDescent="0.3">
      <c r="A31" s="10" t="s">
        <v>100</v>
      </c>
      <c r="B31" s="94" t="s">
        <v>21</v>
      </c>
      <c r="C31" s="21"/>
      <c r="D31" s="21"/>
      <c r="F31" s="94"/>
      <c r="G31" s="21"/>
      <c r="H31" s="21"/>
      <c r="I31" s="47"/>
      <c r="J31" s="31"/>
      <c r="K31" s="73"/>
    </row>
    <row r="32" spans="1:14" ht="15.6" x14ac:dyDescent="0.3">
      <c r="A32" t="s">
        <v>9</v>
      </c>
      <c r="B32" s="21">
        <v>0</v>
      </c>
      <c r="C32" s="26">
        <v>40492</v>
      </c>
      <c r="D32" s="67">
        <v>9.6799999999999997E-2</v>
      </c>
      <c r="F32" s="21"/>
      <c r="G32" s="26"/>
      <c r="H32" s="67"/>
      <c r="I32" s="47"/>
      <c r="J32" s="67"/>
      <c r="K32" s="21"/>
    </row>
    <row r="33" spans="1:14" ht="15.6" x14ac:dyDescent="0.3">
      <c r="A33" t="s">
        <v>10</v>
      </c>
      <c r="B33" s="26">
        <f>C32</f>
        <v>40492</v>
      </c>
      <c r="C33" s="26">
        <v>80985</v>
      </c>
      <c r="D33" s="67">
        <v>0.1482</v>
      </c>
      <c r="F33" s="26"/>
      <c r="G33" s="26"/>
      <c r="H33" s="67"/>
      <c r="I33" s="47"/>
      <c r="J33" s="74"/>
      <c r="K33" s="53"/>
      <c r="L33" s="15"/>
    </row>
    <row r="34" spans="1:14" ht="15.6" x14ac:dyDescent="0.3">
      <c r="A34" t="s">
        <v>10</v>
      </c>
      <c r="B34" s="26">
        <f>C33</f>
        <v>80985</v>
      </c>
      <c r="C34" s="26">
        <v>131664</v>
      </c>
      <c r="D34" s="67">
        <v>0.16520000000000001</v>
      </c>
      <c r="F34" s="26"/>
      <c r="G34" s="26"/>
      <c r="H34" s="67"/>
      <c r="I34" s="47"/>
      <c r="J34" s="74"/>
      <c r="K34" s="52"/>
      <c r="L34" s="13"/>
      <c r="N34" s="18"/>
    </row>
    <row r="35" spans="1:14" ht="15.6" x14ac:dyDescent="0.3">
      <c r="A35" t="s">
        <v>10</v>
      </c>
      <c r="B35" s="26">
        <f>C34</f>
        <v>131664</v>
      </c>
      <c r="C35" s="26">
        <v>150000</v>
      </c>
      <c r="D35" s="67">
        <v>0.1784</v>
      </c>
      <c r="F35" s="26"/>
      <c r="G35" s="26"/>
      <c r="H35" s="67"/>
      <c r="I35" s="47"/>
      <c r="J35" s="74"/>
      <c r="K35" s="52"/>
      <c r="L35" s="13"/>
      <c r="N35" s="4"/>
    </row>
    <row r="36" spans="1:14" ht="15.6" x14ac:dyDescent="0.3">
      <c r="B36" s="26">
        <f>C35</f>
        <v>150000</v>
      </c>
      <c r="C36" s="21"/>
      <c r="D36" s="67">
        <v>0.20300000000000001</v>
      </c>
      <c r="F36" s="26"/>
      <c r="G36" s="21"/>
      <c r="H36" s="67"/>
      <c r="I36" s="47"/>
      <c r="J36" s="74"/>
      <c r="K36" s="52"/>
      <c r="L36" s="13"/>
    </row>
    <row r="37" spans="1:14" x14ac:dyDescent="0.3">
      <c r="B37" s="21"/>
      <c r="C37" s="94"/>
      <c r="D37" s="21"/>
      <c r="F37" s="21"/>
      <c r="G37" s="21"/>
      <c r="H37" s="45"/>
      <c r="I37" s="47"/>
      <c r="J37" s="75"/>
      <c r="K37" s="20"/>
      <c r="L37" s="25"/>
    </row>
    <row r="38" spans="1:14" ht="15.6" x14ac:dyDescent="0.3">
      <c r="A38" t="s">
        <v>36</v>
      </c>
      <c r="B38" s="26">
        <v>9758</v>
      </c>
      <c r="C38" s="26"/>
      <c r="D38" s="21"/>
      <c r="H38" s="41"/>
      <c r="I38" s="47"/>
      <c r="J38" s="75"/>
      <c r="K38" s="20"/>
      <c r="L38" s="25"/>
    </row>
    <row r="39" spans="1:14" x14ac:dyDescent="0.3">
      <c r="B39" s="4"/>
      <c r="C39" s="4"/>
      <c r="D39" t="s">
        <v>37</v>
      </c>
      <c r="E39" s="13"/>
      <c r="F39" s="44"/>
      <c r="H39" s="16"/>
      <c r="I39" s="47"/>
      <c r="J39" s="21"/>
      <c r="K39" s="21"/>
    </row>
    <row r="40" spans="1:14" x14ac:dyDescent="0.3">
      <c r="A40" s="3" t="s">
        <v>101</v>
      </c>
      <c r="B40" s="4"/>
      <c r="C40" s="4"/>
      <c r="F40" s="13"/>
      <c r="G40" s="44"/>
      <c r="H40"/>
      <c r="I40" s="47"/>
      <c r="J40" s="31" t="s">
        <v>91</v>
      </c>
      <c r="K40" s="21"/>
    </row>
    <row r="41" spans="1:14" x14ac:dyDescent="0.3">
      <c r="A41" s="3"/>
      <c r="B41" s="4" t="s">
        <v>91</v>
      </c>
      <c r="C41" s="4" t="s">
        <v>97</v>
      </c>
      <c r="F41" s="3" t="s">
        <v>102</v>
      </c>
      <c r="G41" s="44"/>
      <c r="H41"/>
      <c r="I41" s="47" t="s">
        <v>65</v>
      </c>
      <c r="J41" s="76" t="s">
        <v>64</v>
      </c>
      <c r="K41" s="76" t="s">
        <v>66</v>
      </c>
    </row>
    <row r="42" spans="1:14" ht="15.6" x14ac:dyDescent="0.3">
      <c r="A42" s="3"/>
      <c r="B42" t="s">
        <v>27</v>
      </c>
      <c r="C42" t="s">
        <v>28</v>
      </c>
      <c r="F42">
        <v>0</v>
      </c>
      <c r="G42" s="5">
        <f t="shared" ref="G42:H45" si="0">C32</f>
        <v>40492</v>
      </c>
      <c r="H42" s="7">
        <f t="shared" si="0"/>
        <v>9.6799999999999997E-2</v>
      </c>
      <c r="I42" s="12">
        <v>0</v>
      </c>
      <c r="J42" s="12">
        <f>IF(AND($B$18&gt;=F42,$B$18&lt;G42),($B$18-F42)*H42,0)</f>
        <v>0</v>
      </c>
      <c r="K42" s="53">
        <f>(IF(J42=0,0,I42+J42))</f>
        <v>0</v>
      </c>
    </row>
    <row r="43" spans="1:14" ht="15.6" x14ac:dyDescent="0.3">
      <c r="A43" s="3"/>
      <c r="B43" s="4">
        <f>$B$18</f>
        <v>139000</v>
      </c>
      <c r="C43" s="4">
        <f ca="1">$B$18+$B$5+$B$85</f>
        <v>141000</v>
      </c>
      <c r="F43" s="5">
        <f>G42</f>
        <v>40492</v>
      </c>
      <c r="G43" s="5">
        <f t="shared" si="0"/>
        <v>80985</v>
      </c>
      <c r="H43" s="7">
        <f t="shared" si="0"/>
        <v>0.1482</v>
      </c>
      <c r="I43" s="12">
        <f>(G42-F42)*H42</f>
        <v>3919.6255999999998</v>
      </c>
      <c r="J43" s="12">
        <f>IF(AND($B$18&gt;=F43,$B$18&lt;G43),($B$18-F43)*H43,0)</f>
        <v>0</v>
      </c>
      <c r="K43" s="53">
        <f>(IF(J43=0,0,I43+J43))</f>
        <v>0</v>
      </c>
    </row>
    <row r="44" spans="1:14" ht="15.6" x14ac:dyDescent="0.3">
      <c r="A44" s="27" t="s">
        <v>89</v>
      </c>
      <c r="B44" s="38">
        <v>-16076</v>
      </c>
      <c r="C44" s="38">
        <v>-16076</v>
      </c>
      <c r="F44" s="26">
        <f>G43</f>
        <v>80985</v>
      </c>
      <c r="G44" s="5">
        <f t="shared" si="0"/>
        <v>131664</v>
      </c>
      <c r="H44" s="7">
        <f t="shared" si="0"/>
        <v>0.16520000000000001</v>
      </c>
      <c r="I44" s="12">
        <f>((G43-F43)*H43)+I43</f>
        <v>9920.6882000000005</v>
      </c>
      <c r="J44" s="12">
        <f>IF(AND($B$18&gt;=F44,$B$18&lt;G44),($B$18-F44)*H44,0)</f>
        <v>0</v>
      </c>
      <c r="K44" s="53">
        <f>(IF(J44=0,0,I44+J44))</f>
        <v>0</v>
      </c>
    </row>
    <row r="45" spans="1:14" ht="15.6" x14ac:dyDescent="0.3">
      <c r="A45" s="3"/>
      <c r="B45" s="4">
        <f>IF((B43+B44)&lt;=0,0,SUM(B43:B44))</f>
        <v>122924</v>
      </c>
      <c r="C45" s="4">
        <f ca="1">IF((C43+C44)&lt;=0,0,SUM(C43:C44))</f>
        <v>124924</v>
      </c>
      <c r="F45" s="5">
        <f>G44</f>
        <v>131664</v>
      </c>
      <c r="G45" s="5">
        <f t="shared" si="0"/>
        <v>150000</v>
      </c>
      <c r="H45" s="7">
        <f t="shared" si="0"/>
        <v>0.1784</v>
      </c>
      <c r="I45" s="12">
        <f t="shared" ref="I45:I46" si="1">((G44-F44)*H44)+I44</f>
        <v>18292.859</v>
      </c>
      <c r="J45" s="12">
        <f>IF(AND($B$18&gt;=F45,$B$18&lt;G45),($B$18-F45)*H45,0)</f>
        <v>1308.7424000000001</v>
      </c>
      <c r="K45" s="53">
        <f>(IF(J45=0,0,I45+J45))</f>
        <v>19601.6014</v>
      </c>
    </row>
    <row r="46" spans="1:14" ht="15.6" x14ac:dyDescent="0.3">
      <c r="A46" s="3"/>
      <c r="B46" s="69">
        <v>0.03</v>
      </c>
      <c r="C46" s="69">
        <v>0.03</v>
      </c>
      <c r="F46" s="5">
        <f>G45</f>
        <v>150000</v>
      </c>
      <c r="H46" s="7">
        <f>D36</f>
        <v>0.20300000000000001</v>
      </c>
      <c r="I46" s="12">
        <f t="shared" si="1"/>
        <v>21564.001400000001</v>
      </c>
      <c r="J46" s="12">
        <f>IF($B$18&gt;=F46,($B$18-F46)*H46,0)</f>
        <v>0</v>
      </c>
      <c r="K46" s="77">
        <f>(IF(J46=0,0,I46+J46))</f>
        <v>0</v>
      </c>
    </row>
    <row r="47" spans="1:14" x14ac:dyDescent="0.3">
      <c r="A47" s="3"/>
      <c r="B47" s="4">
        <f>B45*B46</f>
        <v>3687.72</v>
      </c>
      <c r="C47" s="4">
        <f ca="1">C45*C46</f>
        <v>3747.72</v>
      </c>
      <c r="F47" s="13"/>
      <c r="G47" s="44"/>
      <c r="H47"/>
      <c r="I47" s="12"/>
      <c r="J47" s="12"/>
      <c r="K47" s="12">
        <f>SUM(K42:K46)</f>
        <v>19601.6014</v>
      </c>
    </row>
    <row r="48" spans="1:14" x14ac:dyDescent="0.3">
      <c r="A48" s="3"/>
      <c r="B48" s="4"/>
      <c r="C48" s="4"/>
      <c r="F48" s="13"/>
      <c r="G48" s="44"/>
      <c r="H48" s="64" t="s">
        <v>35</v>
      </c>
      <c r="I48" s="12">
        <f>B38</f>
        <v>9758</v>
      </c>
      <c r="J48" s="20">
        <f>D32</f>
        <v>9.6799999999999997E-2</v>
      </c>
      <c r="K48" s="54">
        <f>IF($B$18&lt;I48,$B$18*J48,I48*J48)</f>
        <v>944.57439999999997</v>
      </c>
    </row>
    <row r="49" spans="1:17" x14ac:dyDescent="0.3">
      <c r="A49" s="27" t="s">
        <v>17</v>
      </c>
      <c r="B49" s="4">
        <v>624</v>
      </c>
      <c r="C49" s="4">
        <v>624</v>
      </c>
      <c r="F49" s="13"/>
      <c r="G49" s="44"/>
      <c r="H49" s="4"/>
      <c r="I49" s="47"/>
      <c r="J49" s="20"/>
      <c r="K49" s="13">
        <f>IF((K47-K48)&lt;=0,0,K47-K48)</f>
        <v>18657.026999999998</v>
      </c>
    </row>
    <row r="50" spans="1:17" x14ac:dyDescent="0.3">
      <c r="A50" s="3"/>
      <c r="B50" s="70">
        <f>B47</f>
        <v>3687.72</v>
      </c>
      <c r="C50" s="70">
        <f ca="1">C47</f>
        <v>3747.72</v>
      </c>
      <c r="F50" s="13"/>
      <c r="G50" s="44"/>
      <c r="H50"/>
      <c r="I50" s="47"/>
      <c r="J50" s="12"/>
      <c r="K50" s="12"/>
    </row>
    <row r="51" spans="1:17" x14ac:dyDescent="0.3">
      <c r="A51" s="27" t="s">
        <v>95</v>
      </c>
      <c r="B51" s="4">
        <f>IF((B49-B50)&lt;=0,0,B49-B50)</f>
        <v>0</v>
      </c>
      <c r="C51" s="4">
        <f ca="1">IF((C49-C50)&lt;=0,0,C49-C50)</f>
        <v>0</v>
      </c>
      <c r="D51" s="4"/>
      <c r="F51" s="13"/>
      <c r="G51" s="44"/>
      <c r="H51"/>
      <c r="I51" s="47"/>
      <c r="J51" s="12"/>
      <c r="K51" s="12"/>
    </row>
    <row r="52" spans="1:17" x14ac:dyDescent="0.3">
      <c r="A52" s="3"/>
      <c r="B52" s="4"/>
      <c r="C52" s="4"/>
    </row>
    <row r="53" spans="1:17" x14ac:dyDescent="0.3">
      <c r="A53" t="s">
        <v>93</v>
      </c>
      <c r="B53" s="4">
        <f>K49</f>
        <v>18657.026999999998</v>
      </c>
      <c r="C53" s="4">
        <f ca="1">K73</f>
        <v>19013.826999999997</v>
      </c>
    </row>
    <row r="54" spans="1:17" x14ac:dyDescent="0.3">
      <c r="B54" s="4"/>
      <c r="C54" s="4"/>
    </row>
    <row r="55" spans="1:17" x14ac:dyDescent="0.3">
      <c r="A55" s="27" t="s">
        <v>94</v>
      </c>
      <c r="B55" s="4">
        <f>MIN(B51,B53)</f>
        <v>0</v>
      </c>
      <c r="C55" s="4">
        <f ca="1">MIN(C51,C53)</f>
        <v>0</v>
      </c>
      <c r="D55" s="25"/>
    </row>
    <row r="56" spans="1:17" x14ac:dyDescent="0.3">
      <c r="A56" s="3"/>
      <c r="B56" s="4"/>
      <c r="C56" s="4"/>
    </row>
    <row r="57" spans="1:17" x14ac:dyDescent="0.3">
      <c r="A57" s="27" t="s">
        <v>101</v>
      </c>
      <c r="B57" s="35">
        <f ca="1">C55-B55</f>
        <v>0</v>
      </c>
      <c r="C57" s="4"/>
    </row>
    <row r="58" spans="1:17" x14ac:dyDescent="0.3">
      <c r="A58" s="3"/>
      <c r="B58" s="4"/>
      <c r="C58" s="4"/>
      <c r="D58" s="21"/>
    </row>
    <row r="59" spans="1:17" x14ac:dyDescent="0.3">
      <c r="A59" s="3" t="s">
        <v>50</v>
      </c>
      <c r="B59" s="37"/>
      <c r="C59" s="4"/>
      <c r="D59" s="21"/>
      <c r="E59" s="13"/>
      <c r="F59" s="18"/>
      <c r="G59" s="4"/>
      <c r="I59" s="47"/>
      <c r="J59" s="21"/>
      <c r="K59" s="21"/>
      <c r="Q59" s="18"/>
    </row>
    <row r="60" spans="1:17" x14ac:dyDescent="0.3">
      <c r="B60" s="37"/>
      <c r="C60" s="72" t="s">
        <v>90</v>
      </c>
      <c r="D60" s="94"/>
      <c r="E60" s="13"/>
      <c r="F60" s="13"/>
      <c r="G60" s="44"/>
      <c r="H60"/>
      <c r="I60" s="47"/>
      <c r="J60" s="31" t="s">
        <v>97</v>
      </c>
      <c r="K60" s="21"/>
      <c r="Q60" s="18"/>
    </row>
    <row r="61" spans="1:17" x14ac:dyDescent="0.3">
      <c r="A61" s="27" t="s">
        <v>96</v>
      </c>
      <c r="B61" s="32">
        <v>0.38</v>
      </c>
      <c r="D61" s="98"/>
      <c r="E61" s="29"/>
      <c r="F61" s="3" t="s">
        <v>102</v>
      </c>
      <c r="G61" s="44"/>
      <c r="H61"/>
      <c r="I61" s="47" t="s">
        <v>65</v>
      </c>
      <c r="J61" s="76" t="s">
        <v>64</v>
      </c>
      <c r="K61" s="76" t="s">
        <v>66</v>
      </c>
    </row>
    <row r="62" spans="1:17" ht="15.6" x14ac:dyDescent="0.3">
      <c r="A62" s="27" t="s">
        <v>44</v>
      </c>
      <c r="B62" s="32">
        <v>0.17</v>
      </c>
      <c r="D62" s="98"/>
      <c r="E62" s="29"/>
      <c r="F62">
        <v>0</v>
      </c>
      <c r="G62" s="5">
        <f t="shared" ref="G62:H65" si="2">C32</f>
        <v>40492</v>
      </c>
      <c r="H62" s="7">
        <f t="shared" si="2"/>
        <v>9.6799999999999997E-2</v>
      </c>
      <c r="I62" s="12">
        <v>0</v>
      </c>
      <c r="J62" s="12">
        <f ca="1">IF(AND(($B$18+$B$5+$B$85)&gt;=F62,($B$18+$B$5+$B$85)&lt;G62),($B$18+$B$5+$B$85-F62)*H62,0)</f>
        <v>0</v>
      </c>
      <c r="K62" s="53">
        <f t="shared" ref="K62:K66" ca="1" si="3">(IF(J62=0,0,I62+J62))</f>
        <v>0</v>
      </c>
    </row>
    <row r="63" spans="1:17" ht="15.6" x14ac:dyDescent="0.3">
      <c r="A63" s="27" t="s">
        <v>43</v>
      </c>
      <c r="B63" s="13">
        <f>IF(AND(B6="canadian corporation",B7="yes"),B5*B61,0)</f>
        <v>0</v>
      </c>
      <c r="D63" s="21"/>
      <c r="E63" s="29"/>
      <c r="F63" s="5">
        <f>G62</f>
        <v>40492</v>
      </c>
      <c r="G63" s="5">
        <f t="shared" si="2"/>
        <v>80985</v>
      </c>
      <c r="H63" s="7">
        <f t="shared" si="2"/>
        <v>0.1482</v>
      </c>
      <c r="I63" s="12">
        <f>(G62-F62)*H62</f>
        <v>3919.6255999999998</v>
      </c>
      <c r="J63" s="12">
        <f ca="1">IF(AND(($B$18+$B$5+$B$85)&gt;=F63,($B$18+$B$5+$B$85)&lt;G63),($B$18+$B$5+$B$85-F63)*H63,0)</f>
        <v>0</v>
      </c>
      <c r="K63" s="53">
        <f t="shared" ca="1" si="3"/>
        <v>0</v>
      </c>
    </row>
    <row r="64" spans="1:17" ht="15.6" x14ac:dyDescent="0.3">
      <c r="A64" s="27" t="s">
        <v>45</v>
      </c>
      <c r="B64" s="13">
        <f>IF(AND(B6="canadian corporation",B7="no"),B5*B62,0)</f>
        <v>0</v>
      </c>
      <c r="D64" s="21"/>
      <c r="E64" s="29"/>
      <c r="F64" s="26">
        <f>G63</f>
        <v>80985</v>
      </c>
      <c r="G64" s="5">
        <f t="shared" si="2"/>
        <v>131664</v>
      </c>
      <c r="H64" s="7">
        <f t="shared" si="2"/>
        <v>0.16520000000000001</v>
      </c>
      <c r="I64" s="12">
        <f>((G63-F63)*H63)+I63</f>
        <v>9920.6882000000005</v>
      </c>
      <c r="J64" s="12">
        <f ca="1">IF(AND(($B$18+$B$5+$B$85)&gt;=F64,($B$18+$B$5+$B$85)&lt;G64),($B$18+$B$5+$B$85-F64)*H64,0)</f>
        <v>0</v>
      </c>
      <c r="K64" s="53">
        <f t="shared" ca="1" si="3"/>
        <v>0</v>
      </c>
    </row>
    <row r="65" spans="1:17" ht="15.6" x14ac:dyDescent="0.3">
      <c r="A65" s="27" t="s">
        <v>46</v>
      </c>
      <c r="B65" s="42">
        <f>IF(B6="non-canadian corporation",B5,0)</f>
        <v>2000</v>
      </c>
      <c r="D65" s="21"/>
      <c r="E65" s="29"/>
      <c r="F65" s="5">
        <f>G64</f>
        <v>131664</v>
      </c>
      <c r="G65" s="5">
        <f t="shared" si="2"/>
        <v>150000</v>
      </c>
      <c r="H65" s="7">
        <f t="shared" si="2"/>
        <v>0.1784</v>
      </c>
      <c r="I65" s="12">
        <f t="shared" ref="I65:I66" si="4">((G64-F64)*H64)+I64</f>
        <v>18292.859</v>
      </c>
      <c r="J65" s="12">
        <f ca="1">IF(AND(($B$18+$B$5+$B$85)&gt;=F65,($B$18+$B$5+$B$85)&lt;G65),($B$18+$B$5+$B$85-F65)*H65,0)</f>
        <v>1665.5424</v>
      </c>
      <c r="K65" s="53">
        <f t="shared" ca="1" si="3"/>
        <v>19958.401399999999</v>
      </c>
    </row>
    <row r="66" spans="1:17" ht="15.6" x14ac:dyDescent="0.3">
      <c r="B66" s="18">
        <f>SUM(B63:B65)</f>
        <v>2000</v>
      </c>
      <c r="D66" s="21"/>
      <c r="F66" s="5">
        <f>G65</f>
        <v>150000</v>
      </c>
      <c r="H66" s="7">
        <f>D36</f>
        <v>0.20300000000000001</v>
      </c>
      <c r="I66" s="12">
        <f t="shared" si="4"/>
        <v>21564.001400000001</v>
      </c>
      <c r="J66" s="12">
        <f ca="1">IF(($B$18+$B$5+$B$85)&gt;=F66,($B$18+$B$5+$B$85-F66)*H66,0)</f>
        <v>0</v>
      </c>
      <c r="K66" s="77">
        <f t="shared" ca="1" si="3"/>
        <v>0</v>
      </c>
    </row>
    <row r="67" spans="1:17" x14ac:dyDescent="0.3">
      <c r="B67" s="18"/>
      <c r="D67" s="21"/>
      <c r="F67" s="13"/>
      <c r="G67" s="44"/>
      <c r="H67"/>
      <c r="I67" s="47"/>
      <c r="J67" s="21"/>
      <c r="K67" s="53">
        <f ca="1">SUM(K62:K66)</f>
        <v>19958.401399999999</v>
      </c>
    </row>
    <row r="68" spans="1:17" x14ac:dyDescent="0.3">
      <c r="A68" s="19" t="s">
        <v>40</v>
      </c>
      <c r="B68" s="37"/>
      <c r="C68" s="4"/>
      <c r="D68" s="21"/>
      <c r="E68" s="13"/>
      <c r="F68" s="13"/>
      <c r="G68" s="44"/>
      <c r="H68" s="64" t="s">
        <v>35</v>
      </c>
      <c r="I68" s="12">
        <f>B38</f>
        <v>9758</v>
      </c>
      <c r="J68" s="20">
        <f>D32</f>
        <v>9.6799999999999997E-2</v>
      </c>
      <c r="K68" s="54">
        <f ca="1">IF(($B$18+$B$5+$B$85)&lt;I68,($B$18+$B$5+$B$85)*J68,I68*J68)</f>
        <v>944.57439999999997</v>
      </c>
      <c r="Q68" s="18"/>
    </row>
    <row r="69" spans="1:17" x14ac:dyDescent="0.3">
      <c r="A69" t="s">
        <v>47</v>
      </c>
      <c r="B69" s="37">
        <f ca="1">MIN(J89,IF(B63&gt;0,B5*C69,0))</f>
        <v>0</v>
      </c>
      <c r="C69" s="55">
        <v>0.1502</v>
      </c>
      <c r="D69" s="99"/>
      <c r="E69" s="13"/>
      <c r="F69" s="13"/>
      <c r="G69" s="44"/>
      <c r="H69"/>
      <c r="I69" s="47"/>
      <c r="J69" s="21"/>
      <c r="K69" s="13">
        <f ca="1">IF((K67-K68)&lt;=0,0,K67-K68)</f>
        <v>19013.826999999997</v>
      </c>
      <c r="Q69" s="18"/>
    </row>
    <row r="70" spans="1:17" x14ac:dyDescent="0.3">
      <c r="A70" t="s">
        <v>48</v>
      </c>
      <c r="B70" s="38">
        <f ca="1">MIN(J89,IF(B64&gt;0,B5*C70,0))</f>
        <v>0</v>
      </c>
      <c r="C70" s="55">
        <v>0.105217</v>
      </c>
      <c r="D70" s="99"/>
      <c r="E70" s="13"/>
      <c r="F70" s="44"/>
      <c r="H70" s="64" t="s">
        <v>104</v>
      </c>
      <c r="I70" s="47"/>
      <c r="J70" s="21"/>
      <c r="K70" s="78">
        <f ca="1">MIN(B76,K69)</f>
        <v>0</v>
      </c>
      <c r="Q70" s="18"/>
    </row>
    <row r="71" spans="1:17" x14ac:dyDescent="0.3">
      <c r="B71" s="37">
        <f ca="1">SUM(B69:B70)</f>
        <v>0</v>
      </c>
      <c r="C71" s="4"/>
      <c r="D71" s="21"/>
      <c r="E71" s="13"/>
      <c r="I71" s="47"/>
      <c r="J71" s="21"/>
      <c r="K71" s="12">
        <f ca="1">K69-K70</f>
        <v>19013.826999999997</v>
      </c>
      <c r="Q71" s="18"/>
    </row>
    <row r="72" spans="1:17" x14ac:dyDescent="0.3">
      <c r="B72" s="37"/>
      <c r="C72" s="4"/>
      <c r="D72" s="21"/>
      <c r="E72" s="13"/>
      <c r="H72" s="64" t="s">
        <v>105</v>
      </c>
      <c r="I72" s="47"/>
      <c r="J72" s="21"/>
      <c r="K72" s="78">
        <f ca="1">MIN(B117,K71)</f>
        <v>0</v>
      </c>
      <c r="Q72" s="18"/>
    </row>
    <row r="73" spans="1:17" x14ac:dyDescent="0.3">
      <c r="A73" s="19" t="s">
        <v>106</v>
      </c>
      <c r="B73" s="37"/>
      <c r="C73" s="4"/>
      <c r="D73" s="21"/>
      <c r="E73" s="13"/>
      <c r="I73" s="47"/>
      <c r="J73" s="21"/>
      <c r="K73" s="12">
        <f ca="1">K71-K72</f>
        <v>19013.826999999997</v>
      </c>
      <c r="Q73" s="18"/>
    </row>
    <row r="74" spans="1:17" x14ac:dyDescent="0.3">
      <c r="A74" t="s">
        <v>47</v>
      </c>
      <c r="B74" s="37">
        <f ca="1">MIN(K69,IF(B63&gt;0,B5*C74,0))</f>
        <v>0</v>
      </c>
      <c r="C74" s="55">
        <v>0.12</v>
      </c>
      <c r="D74" s="99"/>
      <c r="I74" s="47"/>
      <c r="J74" s="21"/>
      <c r="K74" s="21"/>
      <c r="Q74" s="18"/>
    </row>
    <row r="75" spans="1:17" x14ac:dyDescent="0.3">
      <c r="A75" t="s">
        <v>48</v>
      </c>
      <c r="B75" s="38">
        <f ca="1">MIN(K69,IF(B64&gt;0,B5*C75,0))</f>
        <v>0</v>
      </c>
      <c r="C75" s="58">
        <v>0.04</v>
      </c>
      <c r="D75" s="100"/>
      <c r="I75" s="47"/>
      <c r="J75" s="21"/>
      <c r="K75" s="21"/>
      <c r="Q75" s="18"/>
    </row>
    <row r="76" spans="1:17" x14ac:dyDescent="0.3">
      <c r="B76" s="37">
        <f ca="1">SUM(B74:B75)</f>
        <v>0</v>
      </c>
      <c r="C76" s="4"/>
      <c r="D76" s="21"/>
      <c r="I76" s="47"/>
      <c r="J76" s="21"/>
      <c r="K76" s="21"/>
      <c r="Q76" s="18"/>
    </row>
    <row r="77" spans="1:17" x14ac:dyDescent="0.3">
      <c r="B77" s="37"/>
      <c r="C77" s="4"/>
      <c r="I77" s="47"/>
      <c r="J77" s="21"/>
      <c r="K77" s="21"/>
      <c r="Q77" s="18"/>
    </row>
    <row r="78" spans="1:17" x14ac:dyDescent="0.3">
      <c r="A78" s="3" t="s">
        <v>53</v>
      </c>
      <c r="B78" s="37"/>
      <c r="C78" s="4"/>
      <c r="I78" s="47"/>
      <c r="J78" s="21"/>
      <c r="K78" s="21"/>
      <c r="Q78" s="18"/>
    </row>
    <row r="79" spans="1:17" x14ac:dyDescent="0.3">
      <c r="B79" s="37"/>
      <c r="C79" s="4"/>
      <c r="I79" s="47"/>
      <c r="J79" s="21"/>
      <c r="K79" s="21"/>
      <c r="Q79" s="18"/>
    </row>
    <row r="80" spans="1:17" x14ac:dyDescent="0.3">
      <c r="A80" s="19" t="s">
        <v>54</v>
      </c>
      <c r="B80" s="37"/>
      <c r="C80" s="4"/>
      <c r="H80" s="12"/>
      <c r="I80" s="47"/>
      <c r="J80" s="21"/>
      <c r="K80" s="21"/>
      <c r="Q80" s="18"/>
    </row>
    <row r="81" spans="1:17" x14ac:dyDescent="0.3">
      <c r="A81" t="s">
        <v>74</v>
      </c>
      <c r="B81" s="37">
        <f>$B$5</f>
        <v>2000</v>
      </c>
      <c r="C81" s="60" t="s">
        <v>31</v>
      </c>
      <c r="D81" s="19" t="s">
        <v>55</v>
      </c>
      <c r="E81" s="13"/>
      <c r="F81" s="18"/>
      <c r="G81" s="4"/>
      <c r="H81" s="68" t="s">
        <v>65</v>
      </c>
      <c r="I81" s="47" t="s">
        <v>64</v>
      </c>
      <c r="J81" s="76" t="s">
        <v>66</v>
      </c>
      <c r="K81" s="21"/>
      <c r="Q81" s="18"/>
    </row>
    <row r="82" spans="1:17" ht="15.6" x14ac:dyDescent="0.3">
      <c r="A82" t="s">
        <v>75</v>
      </c>
      <c r="B82" s="37">
        <f>IF($B$10="US",-IF(($B$11/$B$5)&gt;15%,$B$11-($B$5*15%),0),0)</f>
        <v>0</v>
      </c>
      <c r="C82" s="60" t="s">
        <v>32</v>
      </c>
      <c r="D82" t="s">
        <v>9</v>
      </c>
      <c r="E82" s="4">
        <v>0</v>
      </c>
      <c r="F82" s="5">
        <f t="shared" ref="F82:G85" si="5">C22</f>
        <v>45282</v>
      </c>
      <c r="G82" s="6">
        <f t="shared" si="5"/>
        <v>0.15</v>
      </c>
      <c r="H82" s="12">
        <v>0</v>
      </c>
      <c r="I82" s="12">
        <f ca="1">IF(AND(($B$18+$B$5+$B$85)&gt;=E82,($B$18+$B$5+$B$85)&lt;F82),($B$18+$B$5+$B$85-E82)*G82,0)</f>
        <v>0</v>
      </c>
      <c r="J82" s="12">
        <f ca="1">(IF(I82=0,0,H82+I82))</f>
        <v>0</v>
      </c>
      <c r="K82" s="21"/>
      <c r="Q82" s="18"/>
    </row>
    <row r="83" spans="1:17" ht="15.6" x14ac:dyDescent="0.3">
      <c r="A83" t="s">
        <v>76</v>
      </c>
      <c r="B83" s="37">
        <f>IF(B6="Canadian Corporation",0,IF($B$10="non-US",-IF(($B$11/$B$5)&gt;15%,$B$11-($B$5*15%),0),0))</f>
        <v>0</v>
      </c>
      <c r="C83" s="4"/>
      <c r="D83" t="s">
        <v>10</v>
      </c>
      <c r="E83" s="5">
        <f>F82</f>
        <v>45282</v>
      </c>
      <c r="F83" s="5">
        <f t="shared" si="5"/>
        <v>90563</v>
      </c>
      <c r="G83" s="6">
        <f t="shared" si="5"/>
        <v>0.20499999999999999</v>
      </c>
      <c r="H83" s="12">
        <f>(F82-E82)*G82</f>
        <v>6792.3</v>
      </c>
      <c r="I83" s="12">
        <f ca="1">IF(AND(($B$18+$B$5+$B$85)&gt;=E83,($B$18+$B$5+$B$85)&lt;F83),($B$18+$B$5+$B$85-E83)*G83,0)</f>
        <v>0</v>
      </c>
      <c r="J83" s="12">
        <f t="shared" ref="J83:J86" ca="1" si="6">(IF(I83=0,0,H83+I83))</f>
        <v>0</v>
      </c>
      <c r="K83" s="21"/>
      <c r="Q83" s="18"/>
    </row>
    <row r="84" spans="1:17" ht="15.6" x14ac:dyDescent="0.3">
      <c r="A84" t="s">
        <v>81</v>
      </c>
      <c r="B84" s="38">
        <f ca="1">-B119</f>
        <v>0</v>
      </c>
      <c r="C84" s="4"/>
      <c r="D84" t="s">
        <v>10</v>
      </c>
      <c r="E84" s="5">
        <f>F83</f>
        <v>90563</v>
      </c>
      <c r="F84" s="5">
        <f t="shared" si="5"/>
        <v>140388</v>
      </c>
      <c r="G84" s="6">
        <f t="shared" si="5"/>
        <v>0.26</v>
      </c>
      <c r="H84" s="12">
        <f>((F83-E83)*G83)+H83</f>
        <v>16074.904999999999</v>
      </c>
      <c r="I84" s="12">
        <f ca="1">IF(AND(($B$18+$B$5+$B$85)&gt;=E84,($B$18+$B$5+$B$85)&lt;F84),($B$18+$B$5+$B$85-E84)*G84,0)</f>
        <v>0</v>
      </c>
      <c r="J84" s="12">
        <f t="shared" ca="1" si="6"/>
        <v>0</v>
      </c>
      <c r="K84" s="21"/>
      <c r="Q84" s="18"/>
    </row>
    <row r="85" spans="1:17" ht="15.6" x14ac:dyDescent="0.3">
      <c r="A85" t="s">
        <v>83</v>
      </c>
      <c r="B85" s="38">
        <f ca="1">SUM(B83:B84)</f>
        <v>0</v>
      </c>
      <c r="C85" s="60" t="s">
        <v>82</v>
      </c>
      <c r="D85" t="s">
        <v>10</v>
      </c>
      <c r="E85" s="5">
        <f>F84</f>
        <v>140388</v>
      </c>
      <c r="F85" s="5">
        <f t="shared" si="5"/>
        <v>200000</v>
      </c>
      <c r="G85" s="6">
        <f t="shared" si="5"/>
        <v>0.28999999999999998</v>
      </c>
      <c r="H85" s="12">
        <f>((F84-E84)*G84)+H84</f>
        <v>29029.404999999999</v>
      </c>
      <c r="I85" s="12">
        <f ca="1">IF(AND(($B$18+$B$5+$B$85)&gt;=E85,($B$18+$B$5+$B$85)&lt;F85),($B$18+$B$5+$B$85-E85)*G85,0)</f>
        <v>177.48</v>
      </c>
      <c r="J85" s="12">
        <f t="shared" ca="1" si="6"/>
        <v>29206.884999999998</v>
      </c>
      <c r="K85" s="21"/>
      <c r="Q85" s="18"/>
    </row>
    <row r="86" spans="1:17" ht="15.6" x14ac:dyDescent="0.3">
      <c r="A86" t="s">
        <v>56</v>
      </c>
      <c r="B86" s="37">
        <f ca="1">B81+B82+B85</f>
        <v>2000</v>
      </c>
      <c r="C86" s="60" t="s">
        <v>84</v>
      </c>
      <c r="E86" s="5">
        <f>F85</f>
        <v>200000</v>
      </c>
      <c r="G86" s="6">
        <f>D26</f>
        <v>0.33</v>
      </c>
      <c r="H86" s="12">
        <f>((F85-E85)*G85)+H85</f>
        <v>46316.884999999995</v>
      </c>
      <c r="I86" s="12">
        <f ca="1">IF(($B$18+$B$5+$B$85)&gt;=E86,($B$18+$B$5+$B$85-E86)*G86,0)</f>
        <v>0</v>
      </c>
      <c r="J86" s="54">
        <f t="shared" ca="1" si="6"/>
        <v>0</v>
      </c>
      <c r="K86" s="21"/>
      <c r="Q86" s="18"/>
    </row>
    <row r="87" spans="1:17" x14ac:dyDescent="0.3">
      <c r="B87" s="37"/>
      <c r="C87" s="4"/>
      <c r="E87" s="13"/>
      <c r="F87" s="18"/>
      <c r="G87" s="4"/>
      <c r="H87" s="16"/>
      <c r="I87" s="47"/>
      <c r="J87" s="12">
        <f ca="1">SUM(J82:J86)</f>
        <v>29206.884999999998</v>
      </c>
      <c r="K87" s="21"/>
      <c r="Q87" s="18"/>
    </row>
    <row r="88" spans="1:17" x14ac:dyDescent="0.3">
      <c r="A88" t="s">
        <v>6</v>
      </c>
      <c r="B88" s="39">
        <f>$B$5+$B$18</f>
        <v>141000</v>
      </c>
      <c r="C88" s="60" t="s">
        <v>31</v>
      </c>
      <c r="G88" s="64" t="s">
        <v>35</v>
      </c>
      <c r="H88" s="13">
        <f>B28</f>
        <v>11474</v>
      </c>
      <c r="I88" s="81">
        <f>D22</f>
        <v>0.15</v>
      </c>
      <c r="J88" s="54">
        <f ca="1">IF(($B$5+$B$18+B85)&lt;H88,($B$5+$B$18+B85)*I88,H88*I88)</f>
        <v>1721.1</v>
      </c>
      <c r="K88" s="21"/>
      <c r="Q88" s="18"/>
    </row>
    <row r="89" spans="1:17" x14ac:dyDescent="0.3">
      <c r="A89" t="s">
        <v>76</v>
      </c>
      <c r="B89" s="39">
        <f>IF($B$10="non-US",-IF(($B$11/$B$5)&gt;15%,$B$11-($B$5*15%),0),0)</f>
        <v>0</v>
      </c>
      <c r="C89" s="4"/>
      <c r="G89" s="64"/>
      <c r="I89" s="47"/>
      <c r="J89" s="13">
        <f ca="1">IF((J87-J88)&lt;=0,0,J87-J88)</f>
        <v>27485.785</v>
      </c>
      <c r="K89" s="21"/>
      <c r="Q89" s="18"/>
    </row>
    <row r="90" spans="1:17" x14ac:dyDescent="0.3">
      <c r="A90" t="s">
        <v>81</v>
      </c>
      <c r="B90" s="38">
        <f ca="1">B84</f>
        <v>0</v>
      </c>
      <c r="C90" s="4"/>
      <c r="G90" s="64"/>
      <c r="I90" s="47"/>
      <c r="J90" s="46"/>
      <c r="K90" s="21"/>
      <c r="Q90" s="18"/>
    </row>
    <row r="91" spans="1:17" x14ac:dyDescent="0.3">
      <c r="A91" t="s">
        <v>83</v>
      </c>
      <c r="B91" s="38">
        <f ca="1">SUM(B89:B90)</f>
        <v>0</v>
      </c>
      <c r="C91" s="60" t="s">
        <v>32</v>
      </c>
      <c r="E91" s="13"/>
      <c r="F91" s="18"/>
      <c r="I91" s="47"/>
      <c r="J91" s="21"/>
      <c r="K91" s="21"/>
      <c r="Q91" s="18"/>
    </row>
    <row r="92" spans="1:17" x14ac:dyDescent="0.3">
      <c r="A92" t="s">
        <v>77</v>
      </c>
      <c r="B92" s="37">
        <f ca="1">B88+B91</f>
        <v>141000</v>
      </c>
      <c r="C92" s="60" t="s">
        <v>85</v>
      </c>
      <c r="I92" s="47"/>
      <c r="J92" s="21"/>
      <c r="K92" s="21"/>
      <c r="Q92" s="18"/>
    </row>
    <row r="93" spans="1:17" x14ac:dyDescent="0.3">
      <c r="B93" s="37"/>
      <c r="C93" s="4"/>
      <c r="I93" s="47"/>
      <c r="J93" s="21"/>
      <c r="K93" s="21"/>
      <c r="Q93" s="18"/>
    </row>
    <row r="94" spans="1:17" x14ac:dyDescent="0.3">
      <c r="A94" t="s">
        <v>57</v>
      </c>
      <c r="B94" s="59">
        <f ca="1">B86/B92</f>
        <v>1.4184397163120567E-2</v>
      </c>
      <c r="C94" s="4"/>
      <c r="I94" s="47"/>
      <c r="J94" s="21"/>
      <c r="K94" s="21"/>
      <c r="Q94" s="18"/>
    </row>
    <row r="95" spans="1:17" x14ac:dyDescent="0.3">
      <c r="B95" s="37"/>
      <c r="C95" s="4"/>
      <c r="I95" s="47"/>
      <c r="J95" s="21"/>
      <c r="K95" s="21"/>
      <c r="Q95" s="18"/>
    </row>
    <row r="96" spans="1:17" x14ac:dyDescent="0.3">
      <c r="A96" t="s">
        <v>55</v>
      </c>
      <c r="B96" s="37">
        <f ca="1">J89</f>
        <v>27485.785</v>
      </c>
      <c r="C96" s="4"/>
      <c r="I96" s="47"/>
      <c r="J96" s="21"/>
      <c r="K96" s="21"/>
      <c r="Q96" s="18"/>
    </row>
    <row r="97" spans="1:17" x14ac:dyDescent="0.3">
      <c r="B97" s="37"/>
      <c r="C97" s="4"/>
      <c r="E97" s="66"/>
      <c r="F97" s="39"/>
      <c r="G97" s="4"/>
      <c r="H97" s="61"/>
      <c r="I97" s="47"/>
      <c r="J97" s="76"/>
      <c r="K97" s="21"/>
      <c r="Q97" s="18"/>
    </row>
    <row r="98" spans="1:17" ht="15.6" x14ac:dyDescent="0.3">
      <c r="A98" t="s">
        <v>67</v>
      </c>
      <c r="B98" s="37">
        <f ca="1">B96*B94</f>
        <v>389.86929078014185</v>
      </c>
      <c r="C98" s="60" t="s">
        <v>31</v>
      </c>
      <c r="E98" s="4"/>
      <c r="G98" s="6"/>
      <c r="H98" s="39"/>
      <c r="I98" s="47"/>
      <c r="J98" s="39"/>
      <c r="K98" s="21"/>
      <c r="Q98" s="18"/>
    </row>
    <row r="99" spans="1:17" ht="15.6" x14ac:dyDescent="0.3">
      <c r="A99" t="s">
        <v>68</v>
      </c>
      <c r="B99" s="37">
        <f>IF(B6="Canadian Corporation",0,MIN($B$11,$B$5*15%))</f>
        <v>200</v>
      </c>
      <c r="C99" s="60" t="s">
        <v>32</v>
      </c>
      <c r="E99" s="5"/>
      <c r="G99" s="7"/>
      <c r="H99" s="39"/>
      <c r="I99" s="47"/>
      <c r="J99" s="39"/>
      <c r="K99" s="21"/>
      <c r="Q99" s="18"/>
    </row>
    <row r="100" spans="1:17" ht="15.6" x14ac:dyDescent="0.3">
      <c r="B100" s="37"/>
      <c r="C100" s="4"/>
      <c r="E100" s="5"/>
      <c r="G100" s="7"/>
      <c r="H100" s="39"/>
      <c r="I100" s="47"/>
      <c r="J100" s="39"/>
      <c r="K100" s="21"/>
      <c r="Q100" s="18"/>
    </row>
    <row r="101" spans="1:17" ht="15.6" x14ac:dyDescent="0.3">
      <c r="A101" t="s">
        <v>69</v>
      </c>
      <c r="B101" s="63">
        <f ca="1">MIN(B98,B99)</f>
        <v>200</v>
      </c>
      <c r="C101" s="60" t="s">
        <v>87</v>
      </c>
      <c r="E101" s="5"/>
      <c r="G101" s="7"/>
      <c r="H101" s="39"/>
      <c r="I101" s="47"/>
      <c r="J101" s="39"/>
      <c r="K101" s="21"/>
      <c r="Q101" s="18"/>
    </row>
    <row r="102" spans="1:17" ht="15.6" x14ac:dyDescent="0.3">
      <c r="B102" s="63"/>
      <c r="C102" s="4"/>
      <c r="E102" s="5"/>
      <c r="F102" s="5"/>
      <c r="G102" s="7"/>
      <c r="H102" s="39"/>
      <c r="I102" s="47"/>
      <c r="J102" s="39"/>
      <c r="K102" s="21"/>
      <c r="Q102" s="18"/>
    </row>
    <row r="103" spans="1:17" ht="15.6" x14ac:dyDescent="0.3">
      <c r="B103" s="63"/>
      <c r="C103" s="4"/>
      <c r="E103" s="13"/>
      <c r="F103" s="5"/>
      <c r="G103" s="4"/>
      <c r="H103" s="16"/>
      <c r="I103" s="47"/>
      <c r="J103" s="39"/>
      <c r="K103" s="21"/>
      <c r="Q103" s="18"/>
    </row>
    <row r="104" spans="1:17" x14ac:dyDescent="0.3">
      <c r="A104" s="19" t="s">
        <v>70</v>
      </c>
      <c r="B104" s="37"/>
      <c r="C104" s="4"/>
      <c r="H104" s="12"/>
      <c r="I104" s="47"/>
      <c r="J104" s="21"/>
      <c r="K104" s="21"/>
      <c r="L104" s="19"/>
      <c r="Q104" s="18"/>
    </row>
    <row r="105" spans="1:17" x14ac:dyDescent="0.3">
      <c r="A105" t="s">
        <v>56</v>
      </c>
      <c r="B105" s="37">
        <f ca="1">B86</f>
        <v>2000</v>
      </c>
      <c r="C105" s="4"/>
      <c r="D105" s="19" t="s">
        <v>71</v>
      </c>
      <c r="E105" s="13"/>
      <c r="F105" s="18"/>
      <c r="G105" s="4"/>
      <c r="H105" s="68" t="s">
        <v>65</v>
      </c>
      <c r="I105" s="47" t="s">
        <v>64</v>
      </c>
      <c r="J105" s="76" t="s">
        <v>66</v>
      </c>
      <c r="K105" s="53"/>
      <c r="Q105" s="18"/>
    </row>
    <row r="106" spans="1:17" ht="15.6" x14ac:dyDescent="0.3">
      <c r="A106" t="s">
        <v>23</v>
      </c>
      <c r="B106" s="39">
        <f ca="1">B92</f>
        <v>141000</v>
      </c>
      <c r="C106" s="4"/>
      <c r="D106" t="s">
        <v>9</v>
      </c>
      <c r="E106">
        <v>0</v>
      </c>
      <c r="F106" s="5">
        <f t="shared" ref="F106:G109" si="7">C32</f>
        <v>40492</v>
      </c>
      <c r="G106" s="7">
        <f t="shared" si="7"/>
        <v>9.6799999999999997E-2</v>
      </c>
      <c r="H106" s="12">
        <v>0</v>
      </c>
      <c r="I106" s="46">
        <f ca="1">IF(AND(($B$18+$B$5+$B$85)&gt;=E106,($B$18+$B$5+$B$85)&lt;F106),($B$18+$B$5+$B$85-E106)*G106,0)</f>
        <v>0</v>
      </c>
      <c r="J106" s="12">
        <f ca="1">(IF(I106=0,0,H106+I106))</f>
        <v>0</v>
      </c>
      <c r="K106" s="21"/>
      <c r="Q106" s="18"/>
    </row>
    <row r="107" spans="1:17" ht="15.6" x14ac:dyDescent="0.3">
      <c r="A107" t="s">
        <v>57</v>
      </c>
      <c r="B107" s="59">
        <f ca="1">B105/B106</f>
        <v>1.4184397163120567E-2</v>
      </c>
      <c r="C107" s="4"/>
      <c r="D107" t="s">
        <v>10</v>
      </c>
      <c r="E107" s="5">
        <f>F106</f>
        <v>40492</v>
      </c>
      <c r="F107" s="5">
        <f t="shared" si="7"/>
        <v>80985</v>
      </c>
      <c r="G107" s="7">
        <f t="shared" si="7"/>
        <v>0.1482</v>
      </c>
      <c r="H107" s="12">
        <f>(F106-E106)*G106</f>
        <v>3919.6255999999998</v>
      </c>
      <c r="I107" s="46">
        <f ca="1">IF(AND(($B$18+$B$5+$B$85)&gt;=E107,($B$18+$B$5+$B$85)&lt;F107),($B$18+$B$5+$B$85-E107)*G107,0)</f>
        <v>0</v>
      </c>
      <c r="J107" s="12">
        <f t="shared" ref="J107:J110" ca="1" si="8">(IF(I107=0,0,H107+I107))</f>
        <v>0</v>
      </c>
      <c r="K107" s="21"/>
      <c r="Q107" s="18"/>
    </row>
    <row r="108" spans="1:17" ht="15.6" x14ac:dyDescent="0.3">
      <c r="B108" s="37"/>
      <c r="C108" s="4"/>
      <c r="D108" t="s">
        <v>10</v>
      </c>
      <c r="E108" s="26">
        <f>F107</f>
        <v>80985</v>
      </c>
      <c r="F108" s="5">
        <f t="shared" si="7"/>
        <v>131664</v>
      </c>
      <c r="G108" s="7">
        <f t="shared" si="7"/>
        <v>0.16520000000000001</v>
      </c>
      <c r="H108" s="12">
        <f>((F107-E107)*G107)+H107</f>
        <v>9920.6882000000005</v>
      </c>
      <c r="I108" s="46">
        <f ca="1">IF(AND(($B$18+$B$5+$B$85)&gt;=E108,($B$18+$B$5+$B$85)&lt;F108),($B$18+$B$5+$B$85-E108)*G108,0)</f>
        <v>0</v>
      </c>
      <c r="J108" s="12">
        <f t="shared" ca="1" si="8"/>
        <v>0</v>
      </c>
      <c r="K108" s="21"/>
      <c r="Q108" s="18"/>
    </row>
    <row r="109" spans="1:17" ht="15.6" x14ac:dyDescent="0.3">
      <c r="A109" t="s">
        <v>71</v>
      </c>
      <c r="B109" s="37">
        <f ca="1">J113</f>
        <v>19013.826999999997</v>
      </c>
      <c r="C109" s="4"/>
      <c r="D109" t="s">
        <v>10</v>
      </c>
      <c r="E109" s="5">
        <f>F108</f>
        <v>131664</v>
      </c>
      <c r="F109" s="5">
        <f t="shared" si="7"/>
        <v>150000</v>
      </c>
      <c r="G109" s="7">
        <f t="shared" si="7"/>
        <v>0.1784</v>
      </c>
      <c r="H109" s="12">
        <f>((F108-E108)*G108)+H108</f>
        <v>18292.859</v>
      </c>
      <c r="I109" s="46">
        <f ca="1">IF(AND(($B$18+$B$5+$B$85)&gt;=E109,($B$18+$B$5+$B$85)&lt;F109),($B$18+$B$5+$B$85-E109)*G109,0)</f>
        <v>1665.5424</v>
      </c>
      <c r="J109" s="12">
        <f ca="1">(IF(I109=0,0,H109+I109))</f>
        <v>19958.401399999999</v>
      </c>
      <c r="K109" s="21"/>
      <c r="Q109" s="18"/>
    </row>
    <row r="110" spans="1:17" ht="15.6" x14ac:dyDescent="0.3">
      <c r="B110" s="37"/>
      <c r="C110" s="4"/>
      <c r="E110" s="5">
        <f>F109</f>
        <v>150000</v>
      </c>
      <c r="G110" s="7">
        <f>D36</f>
        <v>0.20300000000000001</v>
      </c>
      <c r="H110" s="12">
        <f>((F109-E109)*G109)+H109</f>
        <v>21564.001400000001</v>
      </c>
      <c r="I110" s="46">
        <f ca="1">IF(($B$18+$B$5+$B$85)&gt;=E110,($B$18+$B$5+$B$85-E110)*G110,0)</f>
        <v>0</v>
      </c>
      <c r="J110" s="54">
        <f t="shared" ca="1" si="8"/>
        <v>0</v>
      </c>
      <c r="K110" s="21"/>
      <c r="Q110" s="18"/>
    </row>
    <row r="111" spans="1:17" x14ac:dyDescent="0.3">
      <c r="A111" t="s">
        <v>67</v>
      </c>
      <c r="B111" s="37">
        <f ca="1">B109*B107</f>
        <v>269.69967375886523</v>
      </c>
      <c r="C111" s="60" t="s">
        <v>31</v>
      </c>
      <c r="E111" s="13"/>
      <c r="F111" s="18"/>
      <c r="G111" s="4"/>
      <c r="H111" s="20"/>
      <c r="I111" s="47"/>
      <c r="J111" s="53">
        <f ca="1">SUM(J106:J110)</f>
        <v>19958.401399999999</v>
      </c>
      <c r="K111" s="21"/>
      <c r="Q111" s="18"/>
    </row>
    <row r="112" spans="1:17" x14ac:dyDescent="0.3">
      <c r="B112" s="37"/>
      <c r="C112" s="60"/>
      <c r="E112" s="13"/>
      <c r="F112" s="18"/>
      <c r="G112" s="64" t="s">
        <v>35</v>
      </c>
      <c r="H112" s="13">
        <f>B38</f>
        <v>9758</v>
      </c>
      <c r="I112" s="81">
        <f>D32</f>
        <v>9.6799999999999997E-2</v>
      </c>
      <c r="J112" s="54">
        <f ca="1">IF(($B$5+$B$18+$B$85)&lt;H112,($B$5+$B$18+$B$85)*I112,H112*I112)</f>
        <v>944.57439999999997</v>
      </c>
      <c r="K112" s="21"/>
      <c r="Q112" s="18"/>
    </row>
    <row r="113" spans="1:12" x14ac:dyDescent="0.3">
      <c r="A113" t="s">
        <v>68</v>
      </c>
      <c r="B113" s="37">
        <f>B99</f>
        <v>200</v>
      </c>
      <c r="E113" s="36"/>
      <c r="F113" s="21"/>
      <c r="G113" s="4"/>
      <c r="H113" s="4"/>
      <c r="I113" s="47"/>
      <c r="J113" s="13">
        <f ca="1">IF((J111-J112)&lt;=0,0,J111-J112)</f>
        <v>19013.826999999997</v>
      </c>
      <c r="K113" s="21"/>
    </row>
    <row r="114" spans="1:12" x14ac:dyDescent="0.3">
      <c r="A114" t="s">
        <v>78</v>
      </c>
      <c r="B114" s="38">
        <f ca="1">-B101</f>
        <v>-200</v>
      </c>
      <c r="C114" s="60"/>
      <c r="F114" s="39"/>
      <c r="G114" s="65"/>
      <c r="H114" s="18"/>
      <c r="I114" s="47"/>
      <c r="J114" s="49"/>
      <c r="K114" s="21"/>
    </row>
    <row r="115" spans="1:12" x14ac:dyDescent="0.3">
      <c r="B115" s="37">
        <f ca="1">SUM(B113:B114)</f>
        <v>0</v>
      </c>
      <c r="C115" s="60" t="s">
        <v>32</v>
      </c>
      <c r="G115" s="18"/>
      <c r="H115" s="18"/>
      <c r="I115" s="47"/>
      <c r="J115" s="12"/>
      <c r="K115" s="21"/>
    </row>
    <row r="116" spans="1:12" x14ac:dyDescent="0.3">
      <c r="B116" s="37"/>
      <c r="C116" s="4"/>
      <c r="H116" s="18"/>
      <c r="I116" s="47"/>
      <c r="J116" s="53"/>
      <c r="K116" s="52"/>
      <c r="L116" s="16"/>
    </row>
    <row r="117" spans="1:12" x14ac:dyDescent="0.3">
      <c r="A117" t="s">
        <v>72</v>
      </c>
      <c r="B117" s="63">
        <f ca="1">MIN(B111,B115)</f>
        <v>0</v>
      </c>
      <c r="C117" s="60" t="s">
        <v>87</v>
      </c>
      <c r="I117" s="47"/>
      <c r="J117" s="21"/>
      <c r="K117" s="52"/>
      <c r="L117" s="16"/>
    </row>
    <row r="118" spans="1:12" x14ac:dyDescent="0.3">
      <c r="B118" s="37"/>
      <c r="C118" s="4"/>
      <c r="I118" s="47"/>
      <c r="J118" s="21"/>
      <c r="K118" s="52"/>
      <c r="L118" s="16"/>
    </row>
    <row r="119" spans="1:12" x14ac:dyDescent="0.3">
      <c r="A119" t="s">
        <v>86</v>
      </c>
      <c r="B119" s="63">
        <f ca="1">B99-B101-B117</f>
        <v>0</v>
      </c>
      <c r="C119" s="60" t="s">
        <v>88</v>
      </c>
      <c r="G119" s="18"/>
      <c r="H119" s="18"/>
      <c r="I119" s="47"/>
      <c r="J119" s="53"/>
      <c r="K119" s="52"/>
      <c r="L119" s="16"/>
    </row>
    <row r="120" spans="1:12" x14ac:dyDescent="0.3">
      <c r="B120" s="37"/>
      <c r="C120" s="4"/>
      <c r="G120" s="18"/>
      <c r="H120" s="18"/>
      <c r="I120" s="47"/>
      <c r="J120" s="53"/>
      <c r="K120" s="52"/>
      <c r="L120" s="16"/>
    </row>
    <row r="121" spans="1:12" x14ac:dyDescent="0.3">
      <c r="A121" s="2" t="s">
        <v>12</v>
      </c>
      <c r="G121" s="18"/>
      <c r="H121" s="49"/>
      <c r="I121" s="79"/>
      <c r="J121" s="49"/>
      <c r="K121" s="48"/>
      <c r="L121" s="16"/>
    </row>
    <row r="122" spans="1:12" x14ac:dyDescent="0.3">
      <c r="B122" s="11"/>
      <c r="C122" t="s">
        <v>13</v>
      </c>
      <c r="G122" s="18"/>
      <c r="H122" s="49"/>
      <c r="I122" s="84"/>
      <c r="J122" s="49"/>
      <c r="K122" s="48"/>
      <c r="L122" s="16"/>
    </row>
    <row r="123" spans="1:12" x14ac:dyDescent="0.3">
      <c r="B123" s="37"/>
      <c r="C123" s="4"/>
      <c r="H123" s="46"/>
      <c r="I123" s="47"/>
      <c r="J123" s="47"/>
      <c r="K123" s="47"/>
      <c r="L123" s="16"/>
    </row>
    <row r="124" spans="1:12" x14ac:dyDescent="0.3">
      <c r="A124" t="s">
        <v>20</v>
      </c>
      <c r="B124" s="37">
        <f ca="1">IF(AND((B5+B85+B18)&gt;=B22,(B5+B85+B18)&lt;=C22),(B5+B85)*D22,IF(AND((B5+B85+B18)&gt;B23,(B5+B85+B18)&lt;=C23),IF((B5+B85+B18-B23)&gt;(B5+B85),(B5+B85)*D23,((B5+B85+B18-B23)*D23)+((B5+B85-(B5+B85+B18-B23))*D22)),IF(AND((B5+B85+B18)&gt;B24,(B5+B85+B18)&lt;=C24),IF((B5+B85+B18-B24)&gt;(B5+B85),(B5+B85)*D24,IF((B5+B85+B18-B23)&gt;(B5+B85),(((B5+B85+B18-B24)*D24)+((B5+B85-(B5+B85+B18-B24))*D23)),((B5+B85+B18-B24)*D24)+((C23-B23)*D23)+((B5+B85-(B5+B85+B18-B23))*D22))),IF(AND((B5+B85+B18)&gt;B25,(B5+B85+B18)&lt;=C25),IF((B5+B85+B18-B25)&gt;(B5+B85),(B5+B85)*D25,IF((B5+B85+B18-B24)&gt;(B5+B85),((B5+B85+B18-B25)*D25)+(((B5+B85-(B5+B85+B18-B25))*D24)),IF((B5+B85+B18-B23)&gt;(B5+B85),(((B5+B85+B18-B25)*D25)+((C24-B24)*D24)+((B5+B85-(B5+B85+B18-B24))*D23)),((B5+B85+B18-B25)*D25)+((C24-B24)*D24)+((C23-B23)*D23)+((B5+B85-(B5+B85+B18-B23))*D22)))),IF((B5+B85+B18)&gt;B26,IF((B5+B85+B18-B26)&gt;(B5+B85),(B5+B85)*D26,IF((B5+B85+B18-B25)&gt;(B5+B85),(((B5+B85+B18-B26)*D26)+((B5+B85-(B5+B85+B18-B26))*D25)),IF((B5+B85+B18-B24)&gt;(B5+B85),(((B5+B85+B18-B26)*D26)+((C25-B25)*D25)+((B5+B85-(B5+B85+B18-B25))*D24)),IF((B5+B85+B18-B23)&gt;(B5+B85),(((B5+B85+B18-B26)*D26)+((C25-B25)*D25)+((C24-B24)*D24)+((B5+B85-(B5+B85+B18-B24))*D23)),((B5+B85+B18-B26)*D26)+((C25-B25)*D25)+((C24-B24)*D24)+((C23-B23)*D23)+((B5+B85-(B5+B85+B18-B23))*D22))))))))))</f>
        <v>538.36</v>
      </c>
      <c r="C124" t="s">
        <v>15</v>
      </c>
      <c r="G124" s="28"/>
      <c r="H124" s="47"/>
      <c r="I124" s="47"/>
      <c r="J124" s="47"/>
      <c r="K124" s="47"/>
      <c r="L124" s="13"/>
    </row>
    <row r="125" spans="1:12" x14ac:dyDescent="0.3">
      <c r="B125" s="37">
        <f>-IF(B18&gt;=B28,0,IF(B18&lt;B28,IF((B18+B5+B85)&gt;B28,(B28-B18)*D22,((B5+B85)*D22))))</f>
        <v>0</v>
      </c>
      <c r="C125" t="s">
        <v>34</v>
      </c>
      <c r="G125" s="28"/>
      <c r="H125" s="80"/>
      <c r="I125" s="47"/>
      <c r="J125" s="49"/>
      <c r="K125" s="48"/>
      <c r="L125" s="16"/>
    </row>
    <row r="126" spans="1:12" x14ac:dyDescent="0.3">
      <c r="B126" s="37">
        <f ca="1">-B71</f>
        <v>0</v>
      </c>
      <c r="C126" t="s">
        <v>49</v>
      </c>
      <c r="G126" s="28"/>
      <c r="H126" s="21"/>
      <c r="I126" s="53"/>
      <c r="J126" s="53"/>
      <c r="K126" s="52"/>
      <c r="L126" s="16"/>
    </row>
    <row r="127" spans="1:12" x14ac:dyDescent="0.3">
      <c r="B127" s="37">
        <f ca="1">IF(B101=0,0,-MIN(B101,SUM(B124:B126)))</f>
        <v>-200</v>
      </c>
      <c r="C127" t="s">
        <v>79</v>
      </c>
      <c r="G127" s="28"/>
      <c r="H127" s="21"/>
      <c r="I127" s="53"/>
      <c r="J127" s="53"/>
      <c r="K127" s="52"/>
      <c r="L127" s="16"/>
    </row>
    <row r="128" spans="1:12" x14ac:dyDescent="0.3">
      <c r="B128" s="37">
        <f ca="1">IF(AND((B5+B85+B18)&gt;=B32,(B5+B85+B18)&lt;=C32),(B5+B85)*D32,IF(AND((B5+B85+B18)&gt;B33,(B5+B85+B18)&lt;=C33),IF((B5+B85+B18-B33)&gt;(B5+B85),(B5+B85)*D33,((B5+B85+B18-B33)*D33)+((B5+B85-(B5+B85+B18-B33))*D32)),IF(AND((B5+B85+B18)&gt;B34,(B5+B85+B18)&lt;=C34),IF((B5+B85+B18-B34)&gt;(B5+B85),(B5+B85)*D34,IF((B5+B85+B18-B33)&gt;(B5+B85),(((B5+B85+B18-B34)*D34)+((B5+B85-(B5+B85+B18-B34))*D33)),((B5+B85+B18-B34)*D34)+((C33-B33)*D33)+((B5+B85-(B5+B85+B18-B33))*D32))),IF(AND((B5+B85+B18)&gt;B35,(B5+B85+B18)&lt;=C35),IF((B5+B85+B18-B35)&gt;(B5+B85),(B5+B85)*D35,IF((B5+B85+B18-B34)&gt;(B5+B85),(((B5+B85+B18-B35)*D35)+((B5+B85-(B5+B85+B18-B35))*D34)),IF((B5+B85+B18-B33)&gt;(B5+B85),(((B5+B85+B18-B35)*D35)+((C34-B34)*D34)+((B5+B85-(B5+B85+B18-B34))*D33)),((B5+B85+B18-B35)*D35)+((C34-B34)*D34)+((C33-B33)*D33)+((B5+B85-(B5+B85+B18-B33))*D32)))),IF((B5+B85+B18)&gt;B36,IF((B5+B85+B18-B36)&gt;(B5+B85),(B5+B85)*D36,IF((B5+B85+B18-B35)&gt;(B5+B85),(((B5+B85+B18-B36)*D36)+((B5+B85-(B5+B85+B18-B36))*D35)),IF((B5+B85+B18-B34)&gt;(B5+B85),(((B5+B85+B18-B36)*D36)+((C35-B35)*D35)+((B5+B85-(B5+B85+B18-B35))*D34)),IF((B5+B85+B18-B33)&gt;(B5+B85),(((B5+B85+B18-B36)*D36)+((C35-B35)*D35)+((C34-B34)*D34)+((B5+B85-(B5+B85+B18-B34))*D33)),((B5+B85+B18-B36)*D36)+((C35-B35)*D35)+((C34-B34)*D34)+((C33-B33)*D33)+((B5+B85-(B5+B85+B18-B33))*D32))))))))))</f>
        <v>356.8</v>
      </c>
      <c r="C128" t="s">
        <v>16</v>
      </c>
      <c r="G128" s="28"/>
      <c r="H128" s="21"/>
      <c r="I128" s="53"/>
      <c r="J128" s="53"/>
      <c r="K128" s="21"/>
    </row>
    <row r="129" spans="1:17" x14ac:dyDescent="0.3">
      <c r="B129" s="37">
        <f>-IF(B18&gt;=B38,0,IF(B18&lt;B38,IF((B18+B5+B85)&gt;B38,(B38-B18)*D32,((B5+B85)*D32))))</f>
        <v>0</v>
      </c>
      <c r="C129" t="s">
        <v>36</v>
      </c>
      <c r="G129" s="28"/>
      <c r="H129"/>
      <c r="I129" s="21"/>
      <c r="J129" s="53"/>
      <c r="K129" s="52"/>
      <c r="L129" s="13"/>
    </row>
    <row r="130" spans="1:17" x14ac:dyDescent="0.3">
      <c r="B130" s="37">
        <f ca="1">-B76</f>
        <v>0</v>
      </c>
      <c r="C130" t="s">
        <v>51</v>
      </c>
      <c r="G130" s="28"/>
      <c r="H130"/>
      <c r="I130" s="21"/>
      <c r="J130" s="21"/>
      <c r="K130" s="21"/>
    </row>
    <row r="131" spans="1:17" x14ac:dyDescent="0.3">
      <c r="B131" s="37">
        <f ca="1">IF(B117=0,0,-MIN(B117,SUM(B128,B129,B130)))</f>
        <v>0</v>
      </c>
      <c r="C131" t="s">
        <v>80</v>
      </c>
      <c r="G131" s="28"/>
      <c r="H131"/>
      <c r="I131" s="12"/>
      <c r="J131" s="53"/>
      <c r="K131" s="21"/>
      <c r="L131" s="13"/>
    </row>
    <row r="132" spans="1:17" x14ac:dyDescent="0.3">
      <c r="B132" s="38">
        <f ca="1">-B57</f>
        <v>0</v>
      </c>
      <c r="C132" t="s">
        <v>103</v>
      </c>
      <c r="D132" s="8"/>
      <c r="E132" s="13"/>
      <c r="F132" s="46"/>
      <c r="I132" s="21"/>
      <c r="J132" s="21"/>
      <c r="K132" s="48"/>
      <c r="L132" s="48"/>
      <c r="M132" s="47"/>
    </row>
    <row r="133" spans="1:17" x14ac:dyDescent="0.3">
      <c r="A133" s="10" t="s">
        <v>22</v>
      </c>
      <c r="B133" s="82">
        <f ca="1">SUM(B124:B132)</f>
        <v>695.16000000000008</v>
      </c>
      <c r="F133" s="47"/>
      <c r="I133" s="21"/>
      <c r="J133" s="21"/>
      <c r="K133" s="49"/>
      <c r="L133" s="48"/>
      <c r="M133" s="47"/>
    </row>
    <row r="134" spans="1:17" x14ac:dyDescent="0.3">
      <c r="E134" s="18"/>
      <c r="F134" s="49"/>
      <c r="K134" s="47"/>
      <c r="L134" s="47"/>
      <c r="M134" s="47"/>
      <c r="Q134" s="15"/>
    </row>
    <row r="135" spans="1:17" x14ac:dyDescent="0.3">
      <c r="B135" s="13"/>
      <c r="F135" s="47"/>
      <c r="K135" s="47"/>
      <c r="L135" s="47"/>
      <c r="M135" s="47"/>
    </row>
    <row r="136" spans="1:17" x14ac:dyDescent="0.3">
      <c r="A136" s="19" t="s">
        <v>39</v>
      </c>
      <c r="B136" s="13"/>
      <c r="F136" s="47"/>
      <c r="K136" s="47"/>
      <c r="L136" s="47"/>
      <c r="M136" s="47"/>
    </row>
    <row r="137" spans="1:17" x14ac:dyDescent="0.3">
      <c r="A137" t="s">
        <v>118</v>
      </c>
      <c r="B137" s="37">
        <f ca="1">SUM(B124:B127)</f>
        <v>338.36</v>
      </c>
      <c r="F137" s="47"/>
      <c r="K137" s="47"/>
      <c r="L137" s="47"/>
      <c r="M137" s="47"/>
    </row>
    <row r="138" spans="1:17" x14ac:dyDescent="0.3">
      <c r="A138" t="s">
        <v>119</v>
      </c>
      <c r="B138" s="38">
        <f ca="1">SUM(B128:B132)</f>
        <v>356.8</v>
      </c>
      <c r="F138" s="47"/>
      <c r="K138" s="47"/>
      <c r="L138" s="47"/>
      <c r="M138" s="47"/>
    </row>
    <row r="139" spans="1:17" x14ac:dyDescent="0.3">
      <c r="B139" s="37">
        <f ca="1">SUM(B137:B138)</f>
        <v>695.16000000000008</v>
      </c>
      <c r="F139" s="47"/>
      <c r="K139" s="47"/>
      <c r="L139" s="47"/>
      <c r="M139" s="47"/>
    </row>
    <row r="140" spans="1:17" x14ac:dyDescent="0.3">
      <c r="B140" s="13"/>
      <c r="F140" s="47"/>
      <c r="K140" s="47"/>
      <c r="L140" s="47"/>
      <c r="M140" s="47"/>
    </row>
    <row r="141" spans="1:17" x14ac:dyDescent="0.3">
      <c r="B141" s="13"/>
      <c r="F141" s="47"/>
      <c r="K141" s="47"/>
      <c r="L141" s="47"/>
      <c r="M141" s="47"/>
    </row>
    <row r="142" spans="1:17" x14ac:dyDescent="0.3">
      <c r="B142" s="13"/>
      <c r="F142" s="47"/>
      <c r="K142" s="47"/>
      <c r="L142" s="47"/>
      <c r="M142" s="47"/>
    </row>
    <row r="143" spans="1:17" x14ac:dyDescent="0.3">
      <c r="B143" s="13"/>
      <c r="F143" s="47"/>
      <c r="K143" s="47"/>
      <c r="L143" s="47"/>
      <c r="M143" s="47"/>
    </row>
    <row r="144" spans="1:17" x14ac:dyDescent="0.3">
      <c r="B144" s="15"/>
      <c r="F144" s="47"/>
      <c r="K144" s="49"/>
      <c r="L144" s="47"/>
      <c r="M144" s="49"/>
      <c r="N144" s="18"/>
    </row>
    <row r="145" spans="6:13" x14ac:dyDescent="0.3">
      <c r="F145" s="47"/>
      <c r="K145" s="47"/>
      <c r="L145" s="47"/>
      <c r="M145" s="47"/>
    </row>
    <row r="146" spans="6:13" x14ac:dyDescent="0.3">
      <c r="F146" s="47"/>
      <c r="K146" s="47"/>
      <c r="L146" s="47"/>
      <c r="M146" s="47"/>
    </row>
    <row r="147" spans="6:13" x14ac:dyDescent="0.3">
      <c r="F147" s="47"/>
      <c r="G147" s="47"/>
      <c r="H147" s="46"/>
      <c r="I147" s="47"/>
      <c r="J147" s="47"/>
      <c r="K147" s="47"/>
      <c r="L147" s="47"/>
      <c r="M147" s="47"/>
    </row>
    <row r="148" spans="6:13" x14ac:dyDescent="0.3">
      <c r="H148" s="12"/>
    </row>
    <row r="150" spans="6:13" x14ac:dyDescent="0.3">
      <c r="H150" s="40"/>
      <c r="M150" s="22"/>
    </row>
  </sheetData>
  <dataValidations count="4">
    <dataValidation type="list" allowBlank="1" showInputMessage="1" showErrorMessage="1" sqref="B7">
      <formula1>$E$1:$E$2</formula1>
    </dataValidation>
    <dataValidation type="list" allowBlank="1" showInputMessage="1" showErrorMessage="1" sqref="B6">
      <formula1>$F$1:$F$2</formula1>
    </dataValidation>
    <dataValidation type="list" allowBlank="1" showInputMessage="1" showErrorMessage="1" sqref="B10">
      <formula1>$E$4:$E$5</formula1>
    </dataValidation>
    <dataValidation type="list" allowBlank="1" showInputMessage="1" showErrorMessage="1" sqref="B14">
      <formula1>$H$1:$H$18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1"/>
  <sheetViews>
    <sheetView topLeftCell="A10" zoomScale="85" zoomScaleNormal="85" workbookViewId="0">
      <selection activeCell="B17" sqref="B17:D34"/>
    </sheetView>
  </sheetViews>
  <sheetFormatPr defaultRowHeight="14.4" x14ac:dyDescent="0.3"/>
  <cols>
    <col min="1" max="1" width="39" customWidth="1"/>
    <col min="2" max="2" width="14.109375" customWidth="1"/>
    <col min="3" max="3" width="11.6640625" customWidth="1"/>
    <col min="4" max="4" width="11.88671875" customWidth="1"/>
    <col min="5" max="5" width="10.5546875" bestFit="1" customWidth="1"/>
    <col min="6" max="7" width="10.5546875" customWidth="1"/>
    <col min="8" max="8" width="16.88671875" style="13" customWidth="1"/>
    <col min="9" max="9" width="11.6640625" bestFit="1" customWidth="1"/>
    <col min="10" max="10" width="13.5546875" bestFit="1" customWidth="1"/>
    <col min="11" max="11" width="12" bestFit="1" customWidth="1"/>
    <col min="12" max="12" width="11.33203125" bestFit="1" customWidth="1"/>
    <col min="13" max="13" width="12.33203125" bestFit="1" customWidth="1"/>
    <col min="17" max="17" width="9.5546875" bestFit="1" customWidth="1"/>
  </cols>
  <sheetData>
    <row r="1" spans="1:14" x14ac:dyDescent="0.3">
      <c r="B1" s="1"/>
      <c r="C1" t="s">
        <v>0</v>
      </c>
      <c r="E1" t="s">
        <v>24</v>
      </c>
      <c r="F1" t="s">
        <v>30</v>
      </c>
      <c r="I1" s="29" t="s">
        <v>33</v>
      </c>
    </row>
    <row r="2" spans="1:14" x14ac:dyDescent="0.3">
      <c r="A2" s="2" t="s">
        <v>1</v>
      </c>
      <c r="E2" t="s">
        <v>25</v>
      </c>
      <c r="F2" t="s">
        <v>29</v>
      </c>
      <c r="I2" s="29" t="s">
        <v>73</v>
      </c>
    </row>
    <row r="3" spans="1:14" x14ac:dyDescent="0.3">
      <c r="A3" s="3" t="s">
        <v>98</v>
      </c>
      <c r="H3" s="46"/>
      <c r="I3" s="46"/>
      <c r="J3" s="49"/>
      <c r="K3" s="47"/>
      <c r="L3" s="21"/>
      <c r="M3" s="21"/>
      <c r="N3" s="21"/>
    </row>
    <row r="4" spans="1:14" x14ac:dyDescent="0.3">
      <c r="E4" t="s">
        <v>58</v>
      </c>
      <c r="F4" t="s">
        <v>24</v>
      </c>
      <c r="H4" s="47"/>
      <c r="I4" s="46"/>
      <c r="J4" s="46"/>
      <c r="K4" s="49"/>
      <c r="L4" s="21"/>
      <c r="M4" s="21"/>
      <c r="N4" s="21"/>
    </row>
    <row r="5" spans="1:14" x14ac:dyDescent="0.3">
      <c r="A5" t="s">
        <v>52</v>
      </c>
      <c r="B5" s="56">
        <v>2000</v>
      </c>
      <c r="E5" t="s">
        <v>59</v>
      </c>
      <c r="F5" t="s">
        <v>25</v>
      </c>
      <c r="H5" s="21"/>
      <c r="I5" s="37"/>
      <c r="J5" s="37"/>
      <c r="K5" s="37"/>
      <c r="L5" s="21"/>
      <c r="M5" s="21"/>
      <c r="N5" s="21"/>
    </row>
    <row r="6" spans="1:14" x14ac:dyDescent="0.3">
      <c r="A6" s="27" t="s">
        <v>60</v>
      </c>
      <c r="B6" s="1" t="s">
        <v>58</v>
      </c>
      <c r="D6" s="47"/>
      <c r="E6" s="47"/>
      <c r="F6" s="46"/>
      <c r="G6" s="47"/>
      <c r="H6" s="79"/>
      <c r="I6" s="79"/>
      <c r="J6" s="83"/>
      <c r="K6" s="83"/>
      <c r="L6" s="83"/>
      <c r="M6" s="83"/>
      <c r="N6" s="21"/>
    </row>
    <row r="7" spans="1:14" x14ac:dyDescent="0.3">
      <c r="A7" s="27" t="s">
        <v>61</v>
      </c>
      <c r="B7" s="1">
        <v>200</v>
      </c>
      <c r="D7" s="47"/>
      <c r="E7" s="47"/>
      <c r="F7" s="46"/>
      <c r="G7" s="47"/>
      <c r="H7" s="79"/>
      <c r="I7" s="79"/>
      <c r="J7" s="83"/>
      <c r="K7" s="83"/>
      <c r="L7" s="83"/>
      <c r="M7" s="83"/>
      <c r="N7" s="21"/>
    </row>
    <row r="8" spans="1:14" s="21" customFormat="1" x14ac:dyDescent="0.3">
      <c r="A8" s="57"/>
      <c r="B8"/>
      <c r="D8" s="47"/>
      <c r="E8" s="47"/>
      <c r="F8" s="46"/>
      <c r="G8" s="47"/>
      <c r="H8" s="79"/>
      <c r="I8" s="79"/>
      <c r="J8" s="83"/>
      <c r="K8" s="83"/>
      <c r="L8" s="83"/>
      <c r="M8" s="83"/>
    </row>
    <row r="9" spans="1:14" x14ac:dyDescent="0.3">
      <c r="A9" s="2" t="s">
        <v>4</v>
      </c>
      <c r="D9" s="47"/>
      <c r="E9" s="47"/>
      <c r="F9" s="46"/>
      <c r="G9" s="79"/>
      <c r="H9" s="79"/>
      <c r="I9" s="79"/>
      <c r="J9" s="39"/>
      <c r="K9" s="39"/>
      <c r="L9" s="47"/>
      <c r="M9" s="47"/>
      <c r="N9" s="21"/>
    </row>
    <row r="10" spans="1:14" x14ac:dyDescent="0.3">
      <c r="A10" t="s">
        <v>5</v>
      </c>
      <c r="B10" s="1" t="s">
        <v>100</v>
      </c>
      <c r="D10" s="47"/>
      <c r="E10" s="47"/>
      <c r="F10" s="46"/>
      <c r="G10" s="47"/>
      <c r="H10" s="79"/>
      <c r="I10" s="79"/>
      <c r="J10" s="47"/>
      <c r="K10" s="47"/>
      <c r="L10" s="47"/>
      <c r="M10" s="47"/>
      <c r="N10" s="21"/>
    </row>
    <row r="11" spans="1:14" x14ac:dyDescent="0.3">
      <c r="D11" s="47"/>
      <c r="E11" s="47"/>
      <c r="F11" s="47"/>
      <c r="G11" s="47"/>
      <c r="H11" s="79"/>
      <c r="I11" s="79"/>
      <c r="J11" s="47"/>
      <c r="K11" s="47"/>
      <c r="L11" s="47"/>
      <c r="M11" s="47"/>
      <c r="N11" s="21"/>
    </row>
    <row r="12" spans="1:14" x14ac:dyDescent="0.3">
      <c r="D12" s="47"/>
      <c r="E12" s="47"/>
      <c r="F12" s="81"/>
      <c r="G12" s="47"/>
      <c r="H12" s="79"/>
      <c r="I12" s="79"/>
      <c r="J12" s="47"/>
      <c r="K12" s="47"/>
      <c r="L12" s="47"/>
      <c r="M12" s="47"/>
      <c r="N12" s="21"/>
    </row>
    <row r="13" spans="1:14" x14ac:dyDescent="0.3">
      <c r="D13" s="47"/>
      <c r="E13" s="47"/>
      <c r="F13" s="47"/>
      <c r="G13" s="79"/>
      <c r="H13" s="79"/>
      <c r="I13" s="79"/>
      <c r="J13" s="47"/>
      <c r="K13" s="47"/>
      <c r="L13" s="47"/>
      <c r="M13" s="47"/>
      <c r="N13" s="21"/>
    </row>
    <row r="14" spans="1:14" x14ac:dyDescent="0.3">
      <c r="A14" t="s">
        <v>6</v>
      </c>
      <c r="B14" s="1">
        <v>139000</v>
      </c>
      <c r="L14" s="21"/>
      <c r="M14" s="21"/>
      <c r="N14" s="21"/>
    </row>
    <row r="15" spans="1:14" x14ac:dyDescent="0.3">
      <c r="A15" s="2" t="s">
        <v>7</v>
      </c>
    </row>
    <row r="16" spans="1:14" x14ac:dyDescent="0.3">
      <c r="A16" s="3" t="s">
        <v>8</v>
      </c>
    </row>
    <row r="17" spans="1:14" x14ac:dyDescent="0.3">
      <c r="B17" s="94" t="s">
        <v>21</v>
      </c>
      <c r="C17" s="21"/>
      <c r="D17" s="21"/>
      <c r="F17" s="94"/>
      <c r="G17" s="21"/>
      <c r="H17" s="21"/>
    </row>
    <row r="18" spans="1:14" ht="15.6" x14ac:dyDescent="0.3">
      <c r="A18" t="s">
        <v>9</v>
      </c>
      <c r="B18" s="52">
        <v>0</v>
      </c>
      <c r="C18" s="26">
        <v>45282</v>
      </c>
      <c r="D18" s="95">
        <v>0.15</v>
      </c>
      <c r="F18" s="52"/>
      <c r="G18" s="26"/>
      <c r="H18" s="95"/>
      <c r="N18" s="6"/>
    </row>
    <row r="19" spans="1:14" ht="15.6" x14ac:dyDescent="0.3">
      <c r="A19" t="s">
        <v>10</v>
      </c>
      <c r="B19" s="26">
        <f>C18</f>
        <v>45282</v>
      </c>
      <c r="C19" s="26">
        <v>90563</v>
      </c>
      <c r="D19" s="67">
        <v>0.20499999999999999</v>
      </c>
      <c r="F19" s="26"/>
      <c r="G19" s="26"/>
      <c r="H19" s="67"/>
      <c r="N19" s="7"/>
    </row>
    <row r="20" spans="1:14" ht="15.6" x14ac:dyDescent="0.3">
      <c r="A20" t="s">
        <v>10</v>
      </c>
      <c r="B20" s="26">
        <f>C19</f>
        <v>90563</v>
      </c>
      <c r="C20" s="26">
        <v>140388</v>
      </c>
      <c r="D20" s="67">
        <v>0.26</v>
      </c>
      <c r="F20" s="26"/>
      <c r="G20" s="26"/>
      <c r="H20" s="67"/>
      <c r="N20" s="7"/>
    </row>
    <row r="21" spans="1:14" ht="15.6" x14ac:dyDescent="0.3">
      <c r="A21" t="s">
        <v>10</v>
      </c>
      <c r="B21" s="26">
        <f>C20</f>
        <v>140388</v>
      </c>
      <c r="C21" s="26">
        <v>200000</v>
      </c>
      <c r="D21" s="67">
        <v>0.28999999999999998</v>
      </c>
      <c r="F21" s="26"/>
      <c r="G21" s="26"/>
      <c r="H21" s="67"/>
      <c r="N21" s="7"/>
    </row>
    <row r="22" spans="1:14" ht="15.6" x14ac:dyDescent="0.3">
      <c r="B22" s="26">
        <f>C21</f>
        <v>200000</v>
      </c>
      <c r="C22" s="21"/>
      <c r="D22" s="67">
        <v>0.33</v>
      </c>
      <c r="F22" s="26"/>
      <c r="G22" s="21"/>
      <c r="H22" s="67"/>
      <c r="N22" s="7"/>
    </row>
    <row r="23" spans="1:14" x14ac:dyDescent="0.3">
      <c r="B23" s="21"/>
      <c r="C23" s="94"/>
      <c r="D23" s="21"/>
      <c r="F23" s="21"/>
      <c r="G23" s="21"/>
      <c r="H23" s="12"/>
    </row>
    <row r="24" spans="1:14" ht="15.6" x14ac:dyDescent="0.3">
      <c r="A24" t="s">
        <v>38</v>
      </c>
      <c r="B24" s="26">
        <v>11474</v>
      </c>
      <c r="C24" s="26"/>
      <c r="D24" s="21"/>
      <c r="F24" s="21"/>
      <c r="G24" s="52"/>
      <c r="H24" s="12"/>
    </row>
    <row r="25" spans="1:14" x14ac:dyDescent="0.3">
      <c r="B25" s="21"/>
      <c r="C25" s="21"/>
      <c r="D25" s="21"/>
      <c r="F25" s="21"/>
      <c r="G25" s="21"/>
      <c r="H25" s="12"/>
    </row>
    <row r="26" spans="1:14" x14ac:dyDescent="0.3">
      <c r="A26" s="3" t="s">
        <v>11</v>
      </c>
      <c r="B26" s="21"/>
      <c r="C26" s="21"/>
      <c r="D26" s="21"/>
      <c r="F26" s="21"/>
      <c r="G26" s="21"/>
      <c r="H26" s="12"/>
    </row>
    <row r="27" spans="1:14" x14ac:dyDescent="0.3">
      <c r="A27" s="10" t="s">
        <v>100</v>
      </c>
      <c r="B27" s="94" t="s">
        <v>21</v>
      </c>
      <c r="C27" s="21"/>
      <c r="D27" s="21"/>
      <c r="F27" s="94"/>
      <c r="G27" s="21"/>
      <c r="H27" s="21"/>
      <c r="I27" s="47"/>
      <c r="J27" s="31"/>
      <c r="K27" s="73"/>
    </row>
    <row r="28" spans="1:14" ht="15.6" x14ac:dyDescent="0.3">
      <c r="A28" t="s">
        <v>9</v>
      </c>
      <c r="B28" s="21">
        <v>0</v>
      </c>
      <c r="C28" s="26">
        <v>40492</v>
      </c>
      <c r="D28" s="67">
        <v>9.6799999999999997E-2</v>
      </c>
      <c r="F28" s="21"/>
      <c r="G28" s="26"/>
      <c r="H28" s="67"/>
      <c r="I28" s="47"/>
      <c r="J28" s="67"/>
      <c r="K28" s="21"/>
    </row>
    <row r="29" spans="1:14" ht="15.6" x14ac:dyDescent="0.3">
      <c r="A29" t="s">
        <v>10</v>
      </c>
      <c r="B29" s="26">
        <f>C28</f>
        <v>40492</v>
      </c>
      <c r="C29" s="26">
        <v>80985</v>
      </c>
      <c r="D29" s="67">
        <v>0.1482</v>
      </c>
      <c r="F29" s="26"/>
      <c r="G29" s="26"/>
      <c r="H29" s="67"/>
      <c r="I29" s="47"/>
      <c r="J29" s="74"/>
      <c r="K29" s="53"/>
      <c r="L29" s="15"/>
    </row>
    <row r="30" spans="1:14" ht="15.6" x14ac:dyDescent="0.3">
      <c r="A30" t="s">
        <v>10</v>
      </c>
      <c r="B30" s="26">
        <f>C29</f>
        <v>80985</v>
      </c>
      <c r="C30" s="26">
        <v>131664</v>
      </c>
      <c r="D30" s="67">
        <v>0.16520000000000001</v>
      </c>
      <c r="F30" s="26"/>
      <c r="G30" s="26"/>
      <c r="H30" s="67"/>
      <c r="I30" s="47"/>
      <c r="J30" s="74"/>
      <c r="K30" s="52"/>
      <c r="L30" s="13"/>
      <c r="N30" s="18"/>
    </row>
    <row r="31" spans="1:14" ht="15.6" x14ac:dyDescent="0.3">
      <c r="A31" t="s">
        <v>10</v>
      </c>
      <c r="B31" s="26">
        <f>C30</f>
        <v>131664</v>
      </c>
      <c r="C31" s="26">
        <v>150000</v>
      </c>
      <c r="D31" s="67">
        <v>0.1784</v>
      </c>
      <c r="F31" s="26"/>
      <c r="G31" s="26"/>
      <c r="H31" s="67"/>
      <c r="I31" s="47"/>
      <c r="J31" s="74"/>
      <c r="K31" s="52"/>
      <c r="L31" s="13"/>
      <c r="N31" s="4"/>
    </row>
    <row r="32" spans="1:14" ht="15.6" x14ac:dyDescent="0.3">
      <c r="B32" s="26">
        <f>C31</f>
        <v>150000</v>
      </c>
      <c r="C32" s="21"/>
      <c r="D32" s="67">
        <v>0.20300000000000001</v>
      </c>
      <c r="F32" s="26"/>
      <c r="G32" s="21"/>
      <c r="H32" s="67"/>
      <c r="I32" s="47"/>
      <c r="J32" s="74"/>
      <c r="K32" s="52"/>
      <c r="L32" s="13"/>
    </row>
    <row r="33" spans="1:12" x14ac:dyDescent="0.3">
      <c r="B33" s="21"/>
      <c r="C33" s="94"/>
      <c r="D33" s="21"/>
      <c r="F33" s="21"/>
      <c r="G33" s="21"/>
      <c r="H33" s="45"/>
      <c r="I33" s="47"/>
      <c r="J33" s="75"/>
      <c r="K33" s="20"/>
      <c r="L33" s="25"/>
    </row>
    <row r="34" spans="1:12" ht="15.6" x14ac:dyDescent="0.3">
      <c r="A34" t="s">
        <v>36</v>
      </c>
      <c r="B34" s="26">
        <v>9758</v>
      </c>
      <c r="C34" s="26"/>
      <c r="D34" s="21"/>
      <c r="F34" s="21"/>
      <c r="G34" s="21"/>
      <c r="H34" s="45"/>
      <c r="I34" s="47"/>
      <c r="J34" s="75"/>
      <c r="K34" s="20"/>
      <c r="L34" s="25"/>
    </row>
    <row r="35" spans="1:12" x14ac:dyDescent="0.3">
      <c r="B35" s="4"/>
      <c r="C35" s="4"/>
      <c r="D35" t="s">
        <v>37</v>
      </c>
      <c r="E35" s="13"/>
      <c r="F35" s="44"/>
      <c r="H35" s="16"/>
      <c r="I35" s="47"/>
      <c r="J35" s="21"/>
      <c r="K35" s="21"/>
    </row>
    <row r="36" spans="1:12" x14ac:dyDescent="0.3">
      <c r="A36" s="3" t="s">
        <v>101</v>
      </c>
      <c r="B36" s="4"/>
      <c r="C36" s="4"/>
      <c r="F36" s="13"/>
      <c r="G36" s="44"/>
      <c r="H36"/>
      <c r="I36" s="47"/>
      <c r="J36" s="31" t="s">
        <v>91</v>
      </c>
      <c r="K36" s="21"/>
    </row>
    <row r="37" spans="1:12" x14ac:dyDescent="0.3">
      <c r="A37" s="3"/>
      <c r="B37" s="4" t="s">
        <v>91</v>
      </c>
      <c r="C37" s="4" t="s">
        <v>97</v>
      </c>
      <c r="F37" s="3" t="s">
        <v>102</v>
      </c>
      <c r="G37" s="44"/>
      <c r="H37"/>
      <c r="I37" s="47" t="s">
        <v>65</v>
      </c>
      <c r="J37" s="76" t="s">
        <v>64</v>
      </c>
      <c r="K37" s="76" t="s">
        <v>66</v>
      </c>
    </row>
    <row r="38" spans="1:12" ht="15.6" x14ac:dyDescent="0.3">
      <c r="A38" s="3"/>
      <c r="B38" t="s">
        <v>27</v>
      </c>
      <c r="C38" t="s">
        <v>28</v>
      </c>
      <c r="F38">
        <v>0</v>
      </c>
      <c r="G38" s="5">
        <f t="shared" ref="G38:H41" si="0">C28</f>
        <v>40492</v>
      </c>
      <c r="H38" s="7">
        <f t="shared" si="0"/>
        <v>9.6799999999999997E-2</v>
      </c>
      <c r="I38" s="12">
        <v>0</v>
      </c>
      <c r="J38" s="12">
        <f>IF(AND($B$14&gt;=F38,$B$14&lt;G38),($B$14-F38)*H38,0)</f>
        <v>0</v>
      </c>
      <c r="K38" s="53">
        <f>(IF(J38=0,0,I38+J38))</f>
        <v>0</v>
      </c>
    </row>
    <row r="39" spans="1:12" ht="15.6" x14ac:dyDescent="0.3">
      <c r="A39" s="3"/>
      <c r="B39" s="4">
        <f>$B$14</f>
        <v>139000</v>
      </c>
      <c r="C39" s="4">
        <f ca="1">$B$14+$B$5+$B$68</f>
        <v>141000</v>
      </c>
      <c r="F39" s="5">
        <f>G38</f>
        <v>40492</v>
      </c>
      <c r="G39" s="5">
        <f t="shared" si="0"/>
        <v>80985</v>
      </c>
      <c r="H39" s="7">
        <f t="shared" si="0"/>
        <v>0.1482</v>
      </c>
      <c r="I39" s="12">
        <f>(G38-F38)*H38</f>
        <v>3919.6255999999998</v>
      </c>
      <c r="J39" s="12">
        <f>IF(AND($B$14&gt;=F39,$B$14&lt;G39),($B$14-F39)*H39,0)</f>
        <v>0</v>
      </c>
      <c r="K39" s="53">
        <f>(IF(J39=0,0,I39+J39))</f>
        <v>0</v>
      </c>
    </row>
    <row r="40" spans="1:12" ht="15.6" x14ac:dyDescent="0.3">
      <c r="A40" s="27" t="s">
        <v>89</v>
      </c>
      <c r="B40" s="38">
        <v>-16076</v>
      </c>
      <c r="C40" s="38">
        <v>-16076</v>
      </c>
      <c r="F40" s="26">
        <f>G39</f>
        <v>80985</v>
      </c>
      <c r="G40" s="5">
        <f t="shared" si="0"/>
        <v>131664</v>
      </c>
      <c r="H40" s="7">
        <f t="shared" si="0"/>
        <v>0.16520000000000001</v>
      </c>
      <c r="I40" s="12">
        <f>((G39-F39)*H39)+I39</f>
        <v>9920.6882000000005</v>
      </c>
      <c r="J40" s="12">
        <f>IF(AND($B$14&gt;=F40,$B$14&lt;G40),($B$14-F40)*H40,0)</f>
        <v>0</v>
      </c>
      <c r="K40" s="53">
        <f>(IF(J40=0,0,I40+J40))</f>
        <v>0</v>
      </c>
    </row>
    <row r="41" spans="1:12" ht="15.6" x14ac:dyDescent="0.3">
      <c r="A41" s="3"/>
      <c r="B41" s="4">
        <f>IF((B39+B40)&lt;=0,0,SUM(B39:B40))</f>
        <v>122924</v>
      </c>
      <c r="C41" s="4">
        <f ca="1">IF((C39+C40)&lt;=0,0,SUM(C39:C40))</f>
        <v>124924</v>
      </c>
      <c r="F41" s="5">
        <f>G40</f>
        <v>131664</v>
      </c>
      <c r="G41" s="5">
        <f t="shared" si="0"/>
        <v>150000</v>
      </c>
      <c r="H41" s="7">
        <f t="shared" si="0"/>
        <v>0.1784</v>
      </c>
      <c r="I41" s="12">
        <f t="shared" ref="I41:I42" si="1">((G40-F40)*H40)+I40</f>
        <v>18292.859</v>
      </c>
      <c r="J41" s="12">
        <f>IF(AND($B$14&gt;=F41,$B$14&lt;G41),($B$14-F41)*H41,0)</f>
        <v>1308.7424000000001</v>
      </c>
      <c r="K41" s="53">
        <f>(IF(J41=0,0,I41+J41))</f>
        <v>19601.6014</v>
      </c>
    </row>
    <row r="42" spans="1:12" ht="15.6" x14ac:dyDescent="0.3">
      <c r="A42" s="3"/>
      <c r="B42" s="69">
        <v>0.03</v>
      </c>
      <c r="C42" s="69">
        <v>0.03</v>
      </c>
      <c r="F42" s="5">
        <f>G41</f>
        <v>150000</v>
      </c>
      <c r="H42" s="7">
        <f>D32</f>
        <v>0.20300000000000001</v>
      </c>
      <c r="I42" s="12">
        <f t="shared" si="1"/>
        <v>21564.001400000001</v>
      </c>
      <c r="J42" s="12">
        <f>IF($B$14&gt;=F42,($B$14-F42)*H42,0)</f>
        <v>0</v>
      </c>
      <c r="K42" s="77">
        <f>(IF(J42=0,0,I42+J42))</f>
        <v>0</v>
      </c>
    </row>
    <row r="43" spans="1:12" x14ac:dyDescent="0.3">
      <c r="A43" s="3"/>
      <c r="B43" s="4">
        <f>B41*B42</f>
        <v>3687.72</v>
      </c>
      <c r="C43" s="4">
        <f ca="1">C41*C42</f>
        <v>3747.72</v>
      </c>
      <c r="F43" s="13"/>
      <c r="G43" s="44"/>
      <c r="H43"/>
      <c r="I43" s="12"/>
      <c r="J43" s="12"/>
      <c r="K43" s="12">
        <f>SUM(K38:K42)</f>
        <v>19601.6014</v>
      </c>
    </row>
    <row r="44" spans="1:12" x14ac:dyDescent="0.3">
      <c r="A44" s="3"/>
      <c r="B44" s="4"/>
      <c r="C44" s="4"/>
      <c r="F44" s="13"/>
      <c r="G44" s="44"/>
      <c r="H44" s="64" t="s">
        <v>35</v>
      </c>
      <c r="I44" s="12">
        <f>B34</f>
        <v>9758</v>
      </c>
      <c r="J44" s="20">
        <f>D28</f>
        <v>9.6799999999999997E-2</v>
      </c>
      <c r="K44" s="54">
        <f>IF($B$14&lt;I44,$B$14*J44,I44*J44)</f>
        <v>944.57439999999997</v>
      </c>
    </row>
    <row r="45" spans="1:12" x14ac:dyDescent="0.3">
      <c r="A45" s="27" t="s">
        <v>17</v>
      </c>
      <c r="B45" s="4">
        <v>624</v>
      </c>
      <c r="C45" s="4">
        <v>624</v>
      </c>
      <c r="F45" s="13"/>
      <c r="G45" s="44"/>
      <c r="H45" s="4"/>
      <c r="I45" s="47"/>
      <c r="J45" s="20"/>
      <c r="K45" s="13">
        <f>IF((K43-K44)&lt;=0,0,K43-K44)</f>
        <v>18657.026999999998</v>
      </c>
    </row>
    <row r="46" spans="1:12" x14ac:dyDescent="0.3">
      <c r="A46" s="3"/>
      <c r="B46" s="70">
        <f>B43</f>
        <v>3687.72</v>
      </c>
      <c r="C46" s="70">
        <f ca="1">C43</f>
        <v>3747.72</v>
      </c>
      <c r="F46" s="13"/>
      <c r="G46" s="44"/>
      <c r="H46"/>
      <c r="I46" s="47"/>
      <c r="J46" s="12"/>
      <c r="K46" s="12"/>
    </row>
    <row r="47" spans="1:12" x14ac:dyDescent="0.3">
      <c r="A47" s="27" t="s">
        <v>95</v>
      </c>
      <c r="B47" s="4">
        <f>IF((B45-B46)&lt;=0,0,B45-B46)</f>
        <v>0</v>
      </c>
      <c r="C47" s="4">
        <f ca="1">IF((C45-C46)&lt;=0,0,C45-C46)</f>
        <v>0</v>
      </c>
      <c r="D47" s="4"/>
      <c r="F47" s="13"/>
      <c r="G47" s="44"/>
      <c r="H47"/>
      <c r="I47" s="47"/>
      <c r="J47" s="12"/>
      <c r="K47" s="12"/>
    </row>
    <row r="48" spans="1:12" x14ac:dyDescent="0.3">
      <c r="A48" s="3"/>
      <c r="B48" s="4"/>
      <c r="C48" s="4"/>
      <c r="F48" s="13"/>
      <c r="G48" s="44"/>
      <c r="H48"/>
      <c r="I48" s="47"/>
      <c r="J48" s="31" t="s">
        <v>97</v>
      </c>
      <c r="K48" s="21"/>
    </row>
    <row r="49" spans="1:17" x14ac:dyDescent="0.3">
      <c r="A49" t="s">
        <v>93</v>
      </c>
      <c r="B49" s="4">
        <f>K45</f>
        <v>18657.026999999998</v>
      </c>
      <c r="C49" s="4">
        <f ca="1">K59</f>
        <v>19013.826999999997</v>
      </c>
      <c r="F49" s="3" t="s">
        <v>102</v>
      </c>
      <c r="G49" s="44"/>
      <c r="H49"/>
      <c r="I49" s="47" t="s">
        <v>65</v>
      </c>
      <c r="J49" s="76" t="s">
        <v>64</v>
      </c>
      <c r="K49" s="76" t="s">
        <v>66</v>
      </c>
    </row>
    <row r="50" spans="1:17" ht="15.6" x14ac:dyDescent="0.3">
      <c r="B50" s="4"/>
      <c r="C50" s="4"/>
      <c r="F50">
        <v>0</v>
      </c>
      <c r="G50" s="5">
        <f t="shared" ref="G50:H53" si="2">C28</f>
        <v>40492</v>
      </c>
      <c r="H50" s="7">
        <f t="shared" si="2"/>
        <v>9.6799999999999997E-2</v>
      </c>
      <c r="I50" s="12">
        <v>0</v>
      </c>
      <c r="J50" s="12">
        <f ca="1">IF(AND(($B$14+$B$5+$B$68)&gt;=F50,($B$14+$B$5+$B$68)&lt;G50),($B$14+$B$5+$B$68-F50)*H50,0)</f>
        <v>0</v>
      </c>
      <c r="K50" s="53">
        <f t="shared" ref="K50:K54" ca="1" si="3">(IF(J50=0,0,I50+J50))</f>
        <v>0</v>
      </c>
    </row>
    <row r="51" spans="1:17" ht="15.6" x14ac:dyDescent="0.3">
      <c r="A51" s="27" t="s">
        <v>94</v>
      </c>
      <c r="B51" s="4">
        <f>MIN(B47,B49)</f>
        <v>0</v>
      </c>
      <c r="C51" s="4">
        <f ca="1">MIN(C47,C49)</f>
        <v>0</v>
      </c>
      <c r="D51" s="25"/>
      <c r="F51" s="5">
        <f>G50</f>
        <v>40492</v>
      </c>
      <c r="G51" s="5">
        <f t="shared" si="2"/>
        <v>80985</v>
      </c>
      <c r="H51" s="7">
        <f t="shared" si="2"/>
        <v>0.1482</v>
      </c>
      <c r="I51" s="12">
        <f>(G50-F50)*H50</f>
        <v>3919.6255999999998</v>
      </c>
      <c r="J51" s="12">
        <f ca="1">IF(AND(($B$14+$B$5+$B$68)&gt;=F51,($B$14+$B$5+$B$68)&lt;G51),($B$14+$B$5+$B$68-F51)*H51,0)</f>
        <v>0</v>
      </c>
      <c r="K51" s="53">
        <f t="shared" ca="1" si="3"/>
        <v>0</v>
      </c>
    </row>
    <row r="52" spans="1:17" ht="15.6" x14ac:dyDescent="0.3">
      <c r="A52" s="3"/>
      <c r="B52" s="4"/>
      <c r="C52" s="4"/>
      <c r="F52" s="26">
        <f>G51</f>
        <v>80985</v>
      </c>
      <c r="G52" s="5">
        <f t="shared" si="2"/>
        <v>131664</v>
      </c>
      <c r="H52" s="7">
        <f t="shared" si="2"/>
        <v>0.16520000000000001</v>
      </c>
      <c r="I52" s="12">
        <f>((G51-F51)*H51)+I51</f>
        <v>9920.6882000000005</v>
      </c>
      <c r="J52" s="12">
        <f ca="1">IF(AND(($B$14+$B$5+$B$68)&gt;=F52,($B$14+$B$5+$B$68)&lt;G52),($B$14+$B$5+$B$68-F52)*H52,0)</f>
        <v>0</v>
      </c>
      <c r="K52" s="53">
        <f t="shared" ca="1" si="3"/>
        <v>0</v>
      </c>
    </row>
    <row r="53" spans="1:17" ht="15.6" x14ac:dyDescent="0.3">
      <c r="A53" s="27" t="s">
        <v>101</v>
      </c>
      <c r="B53" s="35">
        <f ca="1">C51-B51</f>
        <v>0</v>
      </c>
      <c r="C53" s="4"/>
      <c r="F53" s="5">
        <f>G52</f>
        <v>131664</v>
      </c>
      <c r="G53" s="5">
        <f t="shared" si="2"/>
        <v>150000</v>
      </c>
      <c r="H53" s="7">
        <f t="shared" si="2"/>
        <v>0.1784</v>
      </c>
      <c r="I53" s="12">
        <f t="shared" ref="I53:I54" si="4">((G52-F52)*H52)+I52</f>
        <v>18292.859</v>
      </c>
      <c r="J53" s="12">
        <f ca="1">IF(AND(($B$14+$B$5+$B$68)&gt;=F53,($B$14+$B$5+$B$68)&lt;G53),($B$14+$B$5+$B$68-F53)*H53,0)</f>
        <v>1665.5424</v>
      </c>
      <c r="K53" s="53">
        <f t="shared" ca="1" si="3"/>
        <v>19958.401399999999</v>
      </c>
    </row>
    <row r="54" spans="1:17" ht="15.6" x14ac:dyDescent="0.3">
      <c r="A54" s="3"/>
      <c r="B54" s="4"/>
      <c r="C54" s="4"/>
      <c r="F54" s="5">
        <f>G53</f>
        <v>150000</v>
      </c>
      <c r="H54" s="7">
        <f>D32</f>
        <v>0.20300000000000001</v>
      </c>
      <c r="I54" s="12">
        <f t="shared" si="4"/>
        <v>21564.001400000001</v>
      </c>
      <c r="J54" s="12">
        <f ca="1">IF(($B$14+$B$5+$B$68)&gt;=F54,($B$14+$B$5+$B$68-F54)*H54,0)</f>
        <v>0</v>
      </c>
      <c r="K54" s="77">
        <f t="shared" ca="1" si="3"/>
        <v>0</v>
      </c>
    </row>
    <row r="55" spans="1:17" x14ac:dyDescent="0.3">
      <c r="A55" s="3"/>
      <c r="B55" s="4"/>
      <c r="C55" s="4"/>
      <c r="F55" s="13"/>
      <c r="G55" s="44"/>
      <c r="H55"/>
      <c r="I55" s="47"/>
      <c r="J55" s="21"/>
      <c r="K55" s="53">
        <f ca="1">SUM(K50:K54)</f>
        <v>19958.401399999999</v>
      </c>
    </row>
    <row r="56" spans="1:17" x14ac:dyDescent="0.3">
      <c r="A56" s="3"/>
      <c r="B56" s="4"/>
      <c r="C56" s="4"/>
      <c r="F56" s="13"/>
      <c r="G56" s="44"/>
      <c r="H56" s="64" t="s">
        <v>35</v>
      </c>
      <c r="I56" s="12">
        <f>B34</f>
        <v>9758</v>
      </c>
      <c r="J56" s="20">
        <f>D28</f>
        <v>9.6799999999999997E-2</v>
      </c>
      <c r="K56" s="54">
        <f ca="1">IF(($B$14+$B$5+$B$68)&lt;I56,($B$14+$B$5+$B$68)*J56,I56*J56)</f>
        <v>944.57439999999997</v>
      </c>
    </row>
    <row r="57" spans="1:17" x14ac:dyDescent="0.3">
      <c r="A57" s="3"/>
      <c r="B57" s="4"/>
      <c r="C57" s="4"/>
      <c r="F57" s="13"/>
      <c r="G57" s="44"/>
      <c r="H57"/>
      <c r="I57" s="47"/>
      <c r="J57" s="21"/>
      <c r="K57" s="13">
        <f ca="1">IF((K55-K56)&lt;=0,0,K55-K56)</f>
        <v>19013.826999999997</v>
      </c>
    </row>
    <row r="58" spans="1:17" x14ac:dyDescent="0.3">
      <c r="B58" s="4"/>
      <c r="C58" s="4"/>
      <c r="E58" s="13"/>
      <c r="F58" s="44"/>
      <c r="H58" s="64" t="s">
        <v>105</v>
      </c>
      <c r="I58" s="47"/>
      <c r="J58" s="21"/>
      <c r="K58" s="78">
        <f ca="1">MIN(B100,K57)</f>
        <v>0</v>
      </c>
    </row>
    <row r="59" spans="1:17" x14ac:dyDescent="0.3">
      <c r="A59" s="86"/>
      <c r="B59" s="4"/>
      <c r="C59" s="4"/>
      <c r="I59" s="47"/>
      <c r="J59" s="21"/>
      <c r="K59" s="12">
        <f ca="1">K57-K58</f>
        <v>19013.826999999997</v>
      </c>
    </row>
    <row r="60" spans="1:17" x14ac:dyDescent="0.3">
      <c r="B60" s="4"/>
      <c r="C60" s="4"/>
      <c r="E60" s="13"/>
      <c r="F60" s="44"/>
      <c r="H60" s="16"/>
      <c r="I60" s="47"/>
      <c r="J60" s="21"/>
      <c r="K60" s="21"/>
    </row>
    <row r="61" spans="1:17" x14ac:dyDescent="0.3">
      <c r="A61" s="3" t="s">
        <v>53</v>
      </c>
      <c r="B61" s="37"/>
      <c r="C61" s="4"/>
      <c r="I61" s="47"/>
      <c r="J61" s="21"/>
      <c r="K61" s="21"/>
      <c r="Q61" s="18"/>
    </row>
    <row r="62" spans="1:17" x14ac:dyDescent="0.3">
      <c r="B62" s="37"/>
      <c r="C62" s="4"/>
      <c r="I62" s="47"/>
      <c r="J62" s="21"/>
      <c r="K62" s="21"/>
      <c r="Q62" s="18"/>
    </row>
    <row r="63" spans="1:17" x14ac:dyDescent="0.3">
      <c r="A63" s="19" t="s">
        <v>54</v>
      </c>
      <c r="B63" s="37"/>
      <c r="C63" s="4"/>
      <c r="H63" s="12"/>
      <c r="I63" s="47"/>
      <c r="J63" s="21"/>
      <c r="K63" s="21"/>
      <c r="Q63" s="18"/>
    </row>
    <row r="64" spans="1:17" x14ac:dyDescent="0.3">
      <c r="A64" t="s">
        <v>74</v>
      </c>
      <c r="B64" s="37">
        <f>$B$5</f>
        <v>2000</v>
      </c>
      <c r="C64" s="60" t="s">
        <v>31</v>
      </c>
      <c r="D64" s="19" t="s">
        <v>55</v>
      </c>
      <c r="E64" s="13"/>
      <c r="F64" s="18"/>
      <c r="G64" s="4"/>
      <c r="H64" s="68" t="s">
        <v>65</v>
      </c>
      <c r="I64" s="47" t="s">
        <v>64</v>
      </c>
      <c r="J64" s="76" t="s">
        <v>66</v>
      </c>
      <c r="K64" s="21"/>
      <c r="Q64" s="18"/>
    </row>
    <row r="65" spans="1:17" ht="15.6" x14ac:dyDescent="0.3">
      <c r="A65" t="s">
        <v>75</v>
      </c>
      <c r="B65" s="37">
        <f>IF($B$6="US",-IF(($B$7/$B$5)&gt;15%,$B$7-($B$5*15%),0),0)</f>
        <v>0</v>
      </c>
      <c r="C65" s="60" t="s">
        <v>32</v>
      </c>
      <c r="D65" t="s">
        <v>9</v>
      </c>
      <c r="E65" s="4">
        <v>0</v>
      </c>
      <c r="F65" s="5">
        <f t="shared" ref="F65:G68" si="5">C18</f>
        <v>45282</v>
      </c>
      <c r="G65" s="6">
        <f t="shared" si="5"/>
        <v>0.15</v>
      </c>
      <c r="H65" s="12">
        <v>0</v>
      </c>
      <c r="I65" s="12">
        <f ca="1">IF(AND(($B$14+$B$5+$B$68)&gt;=E65,($B$14+$B$5+$B$68)&lt;F65),($B$14+$B$5+$B$68-E65)*G65,0)</f>
        <v>0</v>
      </c>
      <c r="J65" s="12">
        <f ca="1">(IF(I65=0,0,H65+I65))</f>
        <v>0</v>
      </c>
      <c r="K65" s="21"/>
      <c r="Q65" s="18"/>
    </row>
    <row r="66" spans="1:17" ht="15.6" x14ac:dyDescent="0.3">
      <c r="A66" t="s">
        <v>76</v>
      </c>
      <c r="B66" s="37">
        <f>IF($B$6="non-US",-IF(($B$7/$B$5)&gt;15%,$B$7-($B$5*15%),0),0)</f>
        <v>0</v>
      </c>
      <c r="C66" s="4"/>
      <c r="D66" t="s">
        <v>10</v>
      </c>
      <c r="E66" s="5">
        <f>F65</f>
        <v>45282</v>
      </c>
      <c r="F66" s="5">
        <f t="shared" si="5"/>
        <v>90563</v>
      </c>
      <c r="G66" s="6">
        <f t="shared" si="5"/>
        <v>0.20499999999999999</v>
      </c>
      <c r="H66" s="12">
        <f>(F65-E65)*G65</f>
        <v>6792.3</v>
      </c>
      <c r="I66" s="12">
        <f ca="1">IF(AND(($B$14+$B$5+$B$68)&gt;=E66,($B$14+$B$5+$B$68)&lt;F66),($B$14+$B$5+$B$68-E66)*G66,0)</f>
        <v>0</v>
      </c>
      <c r="J66" s="12">
        <f t="shared" ref="J66:J69" ca="1" si="6">(IF(I66=0,0,H66+I66))</f>
        <v>0</v>
      </c>
      <c r="K66" s="21"/>
      <c r="Q66" s="18"/>
    </row>
    <row r="67" spans="1:17" ht="15.6" x14ac:dyDescent="0.3">
      <c r="A67" t="s">
        <v>81</v>
      </c>
      <c r="B67" s="38">
        <f ca="1">-B102</f>
        <v>0</v>
      </c>
      <c r="C67" s="4"/>
      <c r="D67" t="s">
        <v>10</v>
      </c>
      <c r="E67" s="5">
        <f>F66</f>
        <v>90563</v>
      </c>
      <c r="F67" s="5">
        <f t="shared" si="5"/>
        <v>140388</v>
      </c>
      <c r="G67" s="6">
        <f t="shared" si="5"/>
        <v>0.26</v>
      </c>
      <c r="H67" s="12">
        <f>((F66-E66)*G66)+H66</f>
        <v>16074.904999999999</v>
      </c>
      <c r="I67" s="12">
        <f ca="1">IF(AND(($B$14+$B$5+$B$68)&gt;=E67,($B$14+$B$5+$B$68)&lt;F67),($B$14+$B$5+$B$68-E67)*G67,0)</f>
        <v>0</v>
      </c>
      <c r="J67" s="12">
        <f t="shared" ca="1" si="6"/>
        <v>0</v>
      </c>
      <c r="K67" s="21"/>
      <c r="Q67" s="18"/>
    </row>
    <row r="68" spans="1:17" ht="15.6" x14ac:dyDescent="0.3">
      <c r="A68" t="s">
        <v>83</v>
      </c>
      <c r="B68" s="38">
        <f ca="1">SUM(B66:B67)</f>
        <v>0</v>
      </c>
      <c r="C68" s="60" t="s">
        <v>82</v>
      </c>
      <c r="D68" t="s">
        <v>10</v>
      </c>
      <c r="E68" s="5">
        <f>F67</f>
        <v>140388</v>
      </c>
      <c r="F68" s="5">
        <f t="shared" si="5"/>
        <v>200000</v>
      </c>
      <c r="G68" s="6">
        <f t="shared" si="5"/>
        <v>0.28999999999999998</v>
      </c>
      <c r="H68" s="12">
        <f>((F67-E67)*G67)+H67</f>
        <v>29029.404999999999</v>
      </c>
      <c r="I68" s="12">
        <f ca="1">IF(AND(($B$14+$B$5+$B$68)&gt;=E68,($B$14+$B$5+$B$68)&lt;F68),($B$14+$B$5+$B$68-E68)*G68,0)</f>
        <v>177.48</v>
      </c>
      <c r="J68" s="12">
        <f t="shared" ca="1" si="6"/>
        <v>29206.884999999998</v>
      </c>
      <c r="K68" s="21"/>
      <c r="Q68" s="18"/>
    </row>
    <row r="69" spans="1:17" ht="15.6" x14ac:dyDescent="0.3">
      <c r="A69" t="s">
        <v>56</v>
      </c>
      <c r="B69" s="37">
        <f ca="1">B64+B65+B68</f>
        <v>2000</v>
      </c>
      <c r="C69" s="60" t="s">
        <v>84</v>
      </c>
      <c r="E69" s="5">
        <f>F68</f>
        <v>200000</v>
      </c>
      <c r="G69" s="6">
        <f>D22</f>
        <v>0.33</v>
      </c>
      <c r="H69" s="12">
        <f>((F68-E68)*G68)+H68</f>
        <v>46316.884999999995</v>
      </c>
      <c r="I69" s="12">
        <f ca="1">IF(($B$14+$B$5+$B$68)&gt;=E69,($B$14+$B$5+$B$68-E69)*G69,0)</f>
        <v>0</v>
      </c>
      <c r="J69" s="54">
        <f t="shared" ca="1" si="6"/>
        <v>0</v>
      </c>
      <c r="K69" s="21"/>
      <c r="Q69" s="18"/>
    </row>
    <row r="70" spans="1:17" x14ac:dyDescent="0.3">
      <c r="B70" s="37"/>
      <c r="C70" s="4"/>
      <c r="E70" s="13"/>
      <c r="F70" s="18"/>
      <c r="G70" s="4"/>
      <c r="H70" s="16"/>
      <c r="I70" s="47"/>
      <c r="J70" s="12">
        <f ca="1">SUM(J65:J69)</f>
        <v>29206.884999999998</v>
      </c>
      <c r="K70" s="21"/>
      <c r="Q70" s="18"/>
    </row>
    <row r="71" spans="1:17" x14ac:dyDescent="0.3">
      <c r="A71" t="s">
        <v>6</v>
      </c>
      <c r="B71" s="39">
        <f>$B$5+$B$14</f>
        <v>141000</v>
      </c>
      <c r="C71" s="60" t="s">
        <v>31</v>
      </c>
      <c r="G71" s="64" t="s">
        <v>35</v>
      </c>
      <c r="H71" s="13">
        <f>B24</f>
        <v>11474</v>
      </c>
      <c r="I71" s="81">
        <f>D18</f>
        <v>0.15</v>
      </c>
      <c r="J71" s="54">
        <f ca="1">IF(($B$5+$B$14+B68)&lt;H71,($B$5+$B$14+B68)*I71,H71*I71)</f>
        <v>1721.1</v>
      </c>
      <c r="K71" s="21"/>
      <c r="Q71" s="18"/>
    </row>
    <row r="72" spans="1:17" x14ac:dyDescent="0.3">
      <c r="A72" t="s">
        <v>76</v>
      </c>
      <c r="B72" s="39">
        <f>IF($B$6="non-US",-IF(($B$7/$B$5)&gt;15%,$B$7-($B$5*15%),0),0)</f>
        <v>0</v>
      </c>
      <c r="C72" s="4"/>
      <c r="G72" s="64"/>
      <c r="I72" s="47"/>
      <c r="J72" s="13">
        <f ca="1">IF((J70-J71)&lt;=0,0,J70-J71)</f>
        <v>27485.785</v>
      </c>
      <c r="K72" s="21"/>
      <c r="Q72" s="18"/>
    </row>
    <row r="73" spans="1:17" x14ac:dyDescent="0.3">
      <c r="A73" t="s">
        <v>81</v>
      </c>
      <c r="B73" s="38">
        <f ca="1">B67</f>
        <v>0</v>
      </c>
      <c r="C73" s="4"/>
      <c r="G73" s="64"/>
      <c r="I73" s="47"/>
      <c r="J73" s="46"/>
      <c r="K73" s="21"/>
      <c r="Q73" s="18"/>
    </row>
    <row r="74" spans="1:17" x14ac:dyDescent="0.3">
      <c r="A74" t="s">
        <v>83</v>
      </c>
      <c r="B74" s="38">
        <f ca="1">SUM(B72:B73)</f>
        <v>0</v>
      </c>
      <c r="C74" s="60" t="s">
        <v>32</v>
      </c>
      <c r="E74" s="13"/>
      <c r="F74" s="18"/>
      <c r="I74" s="47"/>
      <c r="J74" s="21"/>
      <c r="K74" s="21"/>
      <c r="Q74" s="18"/>
    </row>
    <row r="75" spans="1:17" x14ac:dyDescent="0.3">
      <c r="A75" t="s">
        <v>77</v>
      </c>
      <c r="B75" s="37">
        <f ca="1">B71+B74</f>
        <v>141000</v>
      </c>
      <c r="C75" s="60" t="s">
        <v>85</v>
      </c>
      <c r="I75" s="47"/>
      <c r="J75" s="21"/>
      <c r="K75" s="21"/>
      <c r="Q75" s="18"/>
    </row>
    <row r="76" spans="1:17" x14ac:dyDescent="0.3">
      <c r="B76" s="37"/>
      <c r="C76" s="4"/>
      <c r="I76" s="47"/>
      <c r="J76" s="21"/>
      <c r="K76" s="21"/>
      <c r="Q76" s="18"/>
    </row>
    <row r="77" spans="1:17" x14ac:dyDescent="0.3">
      <c r="A77" t="s">
        <v>57</v>
      </c>
      <c r="B77" s="59">
        <f ca="1">B69/B75</f>
        <v>1.4184397163120567E-2</v>
      </c>
      <c r="C77" s="4"/>
      <c r="I77" s="47"/>
      <c r="J77" s="21"/>
      <c r="K77" s="21"/>
      <c r="Q77" s="18"/>
    </row>
    <row r="78" spans="1:17" x14ac:dyDescent="0.3">
      <c r="B78" s="37"/>
      <c r="C78" s="4"/>
      <c r="I78" s="47"/>
      <c r="J78" s="21"/>
      <c r="K78" s="21"/>
      <c r="Q78" s="18"/>
    </row>
    <row r="79" spans="1:17" x14ac:dyDescent="0.3">
      <c r="A79" t="s">
        <v>55</v>
      </c>
      <c r="B79" s="37">
        <f ca="1">J72</f>
        <v>27485.785</v>
      </c>
      <c r="C79" s="4"/>
      <c r="I79" s="47"/>
      <c r="J79" s="21"/>
      <c r="K79" s="21"/>
      <c r="Q79" s="18"/>
    </row>
    <row r="80" spans="1:17" x14ac:dyDescent="0.3">
      <c r="B80" s="37"/>
      <c r="C80" s="4"/>
      <c r="E80" s="66"/>
      <c r="F80" s="39"/>
      <c r="G80" s="4"/>
      <c r="H80" s="61"/>
      <c r="I80" s="47"/>
      <c r="J80" s="76"/>
      <c r="K80" s="21"/>
      <c r="Q80" s="18"/>
    </row>
    <row r="81" spans="1:17" ht="15.6" x14ac:dyDescent="0.3">
      <c r="A81" t="s">
        <v>67</v>
      </c>
      <c r="B81" s="37">
        <f ca="1">B79*B77</f>
        <v>389.86929078014185</v>
      </c>
      <c r="C81" s="60" t="s">
        <v>31</v>
      </c>
      <c r="E81" s="4"/>
      <c r="G81" s="6"/>
      <c r="H81" s="39"/>
      <c r="I81" s="47"/>
      <c r="J81" s="39"/>
      <c r="K81" s="21"/>
      <c r="Q81" s="18"/>
    </row>
    <row r="82" spans="1:17" ht="15.6" x14ac:dyDescent="0.3">
      <c r="A82" t="s">
        <v>68</v>
      </c>
      <c r="B82" s="37">
        <f>MIN($B$7,$B$5*15%)</f>
        <v>200</v>
      </c>
      <c r="C82" s="60" t="s">
        <v>32</v>
      </c>
      <c r="E82" s="5"/>
      <c r="G82" s="7"/>
      <c r="H82" s="39"/>
      <c r="I82" s="47"/>
      <c r="J82" s="39"/>
      <c r="K82" s="21"/>
      <c r="Q82" s="18"/>
    </row>
    <row r="83" spans="1:17" ht="15.6" x14ac:dyDescent="0.3">
      <c r="B83" s="37"/>
      <c r="C83" s="4"/>
      <c r="E83" s="5"/>
      <c r="G83" s="7"/>
      <c r="H83" s="39"/>
      <c r="I83" s="47"/>
      <c r="J83" s="39"/>
      <c r="K83" s="21"/>
      <c r="Q83" s="18"/>
    </row>
    <row r="84" spans="1:17" ht="15.6" x14ac:dyDescent="0.3">
      <c r="A84" t="s">
        <v>69</v>
      </c>
      <c r="B84" s="63">
        <f ca="1">MIN(B81,B82)</f>
        <v>200</v>
      </c>
      <c r="C84" s="60" t="s">
        <v>87</v>
      </c>
      <c r="E84" s="5"/>
      <c r="G84" s="7"/>
      <c r="H84" s="39"/>
      <c r="I84" s="47"/>
      <c r="J84" s="39"/>
      <c r="K84" s="21"/>
      <c r="Q84" s="18"/>
    </row>
    <row r="85" spans="1:17" ht="15.6" x14ac:dyDescent="0.3">
      <c r="B85" s="63"/>
      <c r="C85" s="4"/>
      <c r="E85" s="5"/>
      <c r="F85" s="5"/>
      <c r="G85" s="7"/>
      <c r="H85" s="39"/>
      <c r="I85" s="47"/>
      <c r="J85" s="39"/>
      <c r="K85" s="21"/>
      <c r="Q85" s="18"/>
    </row>
    <row r="86" spans="1:17" ht="15.6" x14ac:dyDescent="0.3">
      <c r="B86" s="63"/>
      <c r="C86" s="4"/>
      <c r="E86" s="13"/>
      <c r="F86" s="5"/>
      <c r="G86" s="4"/>
      <c r="H86" s="16"/>
      <c r="I86" s="47"/>
      <c r="J86" s="39"/>
      <c r="K86" s="21"/>
      <c r="Q86" s="18"/>
    </row>
    <row r="87" spans="1:17" x14ac:dyDescent="0.3">
      <c r="A87" s="19" t="s">
        <v>70</v>
      </c>
      <c r="B87" s="37"/>
      <c r="C87" s="4"/>
      <c r="H87" s="12"/>
      <c r="I87" s="47"/>
      <c r="J87" s="21"/>
      <c r="K87" s="21"/>
      <c r="L87" s="19"/>
      <c r="Q87" s="18"/>
    </row>
    <row r="88" spans="1:17" x14ac:dyDescent="0.3">
      <c r="A88" t="s">
        <v>56</v>
      </c>
      <c r="B88" s="37">
        <f ca="1">B69</f>
        <v>2000</v>
      </c>
      <c r="C88" s="4"/>
      <c r="D88" s="19" t="s">
        <v>71</v>
      </c>
      <c r="E88" s="13"/>
      <c r="F88" s="18"/>
      <c r="G88" s="4"/>
      <c r="H88" s="68" t="s">
        <v>65</v>
      </c>
      <c r="I88" s="47" t="s">
        <v>64</v>
      </c>
      <c r="J88" s="76" t="s">
        <v>66</v>
      </c>
      <c r="K88" s="53"/>
      <c r="Q88" s="18"/>
    </row>
    <row r="89" spans="1:17" ht="15.6" x14ac:dyDescent="0.3">
      <c r="A89" t="s">
        <v>23</v>
      </c>
      <c r="B89" s="39">
        <f ca="1">B75</f>
        <v>141000</v>
      </c>
      <c r="C89" s="4"/>
      <c r="D89" t="s">
        <v>9</v>
      </c>
      <c r="E89">
        <v>0</v>
      </c>
      <c r="F89" s="5">
        <f t="shared" ref="F89:G92" si="7">C28</f>
        <v>40492</v>
      </c>
      <c r="G89" s="7">
        <f t="shared" si="7"/>
        <v>9.6799999999999997E-2</v>
      </c>
      <c r="H89" s="12">
        <v>0</v>
      </c>
      <c r="I89" s="46">
        <f ca="1">IF(AND(($B$14+$B$5+$B$68)&gt;=E89,($B$14+$B$5+$B$68)&lt;F89),($B$14+$B$5+$B$68-E89)*G89,0)</f>
        <v>0</v>
      </c>
      <c r="J89" s="12">
        <f ca="1">(IF(I89=0,0,H89+I89))</f>
        <v>0</v>
      </c>
      <c r="K89" s="21"/>
      <c r="Q89" s="18"/>
    </row>
    <row r="90" spans="1:17" ht="15.6" x14ac:dyDescent="0.3">
      <c r="A90" t="s">
        <v>57</v>
      </c>
      <c r="B90" s="59">
        <f ca="1">B88/B89</f>
        <v>1.4184397163120567E-2</v>
      </c>
      <c r="C90" s="4"/>
      <c r="D90" t="s">
        <v>10</v>
      </c>
      <c r="E90" s="5">
        <f>F89</f>
        <v>40492</v>
      </c>
      <c r="F90" s="5">
        <f t="shared" si="7"/>
        <v>80985</v>
      </c>
      <c r="G90" s="7">
        <f t="shared" si="7"/>
        <v>0.1482</v>
      </c>
      <c r="H90" s="12">
        <f>(F89-E89)*G89</f>
        <v>3919.6255999999998</v>
      </c>
      <c r="I90" s="46">
        <f ca="1">IF(AND(($B$14+$B$5+$B$68)&gt;=E90,($B$14+$B$5+$B$68)&lt;F90),($B$14+$B$5+$B$68-E90)*G90,0)</f>
        <v>0</v>
      </c>
      <c r="J90" s="12">
        <f t="shared" ref="J90:J93" ca="1" si="8">(IF(I90=0,0,H90+I90))</f>
        <v>0</v>
      </c>
      <c r="K90" s="21"/>
      <c r="Q90" s="18"/>
    </row>
    <row r="91" spans="1:17" ht="15.6" x14ac:dyDescent="0.3">
      <c r="B91" s="37"/>
      <c r="C91" s="4"/>
      <c r="D91" t="s">
        <v>10</v>
      </c>
      <c r="E91" s="26">
        <f>F90</f>
        <v>80985</v>
      </c>
      <c r="F91" s="5">
        <f t="shared" si="7"/>
        <v>131664</v>
      </c>
      <c r="G91" s="7">
        <f t="shared" si="7"/>
        <v>0.16520000000000001</v>
      </c>
      <c r="H91" s="12">
        <f>((F90-E90)*G90)+H90</f>
        <v>9920.6882000000005</v>
      </c>
      <c r="I91" s="46">
        <f ca="1">IF(AND(($B$14+$B$5+$B$68)&gt;=E91,($B$14+$B$5+$B$68)&lt;F91),($B$14+$B$5+$B$68-E91)*G91,0)</f>
        <v>0</v>
      </c>
      <c r="J91" s="12">
        <f t="shared" ca="1" si="8"/>
        <v>0</v>
      </c>
      <c r="K91" s="21"/>
      <c r="Q91" s="18"/>
    </row>
    <row r="92" spans="1:17" ht="15.6" x14ac:dyDescent="0.3">
      <c r="A92" t="s">
        <v>71</v>
      </c>
      <c r="B92" s="37">
        <f ca="1">J96</f>
        <v>19013.826999999997</v>
      </c>
      <c r="C92" s="4"/>
      <c r="D92" t="s">
        <v>10</v>
      </c>
      <c r="E92" s="5">
        <f>F91</f>
        <v>131664</v>
      </c>
      <c r="F92" s="5">
        <f t="shared" si="7"/>
        <v>150000</v>
      </c>
      <c r="G92" s="7">
        <f t="shared" si="7"/>
        <v>0.1784</v>
      </c>
      <c r="H92" s="12">
        <f>((F91-E91)*G91)+H91</f>
        <v>18292.859</v>
      </c>
      <c r="I92" s="46">
        <f ca="1">IF(AND(($B$14+$B$5+$B$68)&gt;=E92,($B$14+$B$5+$B$68)&lt;F92),($B$14+$B$5+$B$68-E92)*G92,0)</f>
        <v>1665.5424</v>
      </c>
      <c r="J92" s="12">
        <f ca="1">(IF(I92=0,0,H92+I92))</f>
        <v>19958.401399999999</v>
      </c>
      <c r="K92" s="21"/>
      <c r="Q92" s="18"/>
    </row>
    <row r="93" spans="1:17" ht="15.6" x14ac:dyDescent="0.3">
      <c r="B93" s="37"/>
      <c r="C93" s="4"/>
      <c r="E93" s="5">
        <f>F92</f>
        <v>150000</v>
      </c>
      <c r="G93" s="7">
        <f>D32</f>
        <v>0.20300000000000001</v>
      </c>
      <c r="H93" s="12">
        <f>((F92-E92)*G92)+H92</f>
        <v>21564.001400000001</v>
      </c>
      <c r="I93" s="46">
        <f ca="1">IF(($B$14+$B$5+$B$68)&gt;=E93,($B$14+$B$5+$B$68-E93)*G93,0)</f>
        <v>0</v>
      </c>
      <c r="J93" s="54">
        <f t="shared" ca="1" si="8"/>
        <v>0</v>
      </c>
      <c r="K93" s="21"/>
      <c r="Q93" s="18"/>
    </row>
    <row r="94" spans="1:17" x14ac:dyDescent="0.3">
      <c r="A94" t="s">
        <v>67</v>
      </c>
      <c r="B94" s="37">
        <f ca="1">B92*B90</f>
        <v>269.69967375886523</v>
      </c>
      <c r="C94" s="60" t="s">
        <v>31</v>
      </c>
      <c r="E94" s="13"/>
      <c r="F94" s="18"/>
      <c r="G94" s="4"/>
      <c r="H94" s="20"/>
      <c r="I94" s="47"/>
      <c r="J94" s="53">
        <f ca="1">SUM(J89:J93)</f>
        <v>19958.401399999999</v>
      </c>
      <c r="K94" s="21"/>
      <c r="Q94" s="18"/>
    </row>
    <row r="95" spans="1:17" x14ac:dyDescent="0.3">
      <c r="B95" s="37"/>
      <c r="C95" s="60"/>
      <c r="E95" s="13"/>
      <c r="F95" s="18"/>
      <c r="G95" s="64" t="s">
        <v>35</v>
      </c>
      <c r="H95" s="13">
        <f>B34</f>
        <v>9758</v>
      </c>
      <c r="I95" s="81">
        <f>D28</f>
        <v>9.6799999999999997E-2</v>
      </c>
      <c r="J95" s="54">
        <f ca="1">IF(($B$5+$B$14+$B$68)&lt;H95,($B$5+$B$14+$B$68)*I95,H95*I95)</f>
        <v>944.57439999999997</v>
      </c>
      <c r="K95" s="21"/>
      <c r="Q95" s="18"/>
    </row>
    <row r="96" spans="1:17" x14ac:dyDescent="0.3">
      <c r="A96" t="s">
        <v>68</v>
      </c>
      <c r="B96" s="37">
        <f>B82</f>
        <v>200</v>
      </c>
      <c r="E96" s="36"/>
      <c r="F96" s="21"/>
      <c r="G96" s="4"/>
      <c r="H96" s="4"/>
      <c r="I96" s="47"/>
      <c r="J96" s="13">
        <f ca="1">IF((J94-J95)&lt;=0,0,J94-J95)</f>
        <v>19013.826999999997</v>
      </c>
      <c r="K96" s="21"/>
    </row>
    <row r="97" spans="1:12" x14ac:dyDescent="0.3">
      <c r="A97" t="s">
        <v>78</v>
      </c>
      <c r="B97" s="38">
        <f ca="1">-B84</f>
        <v>-200</v>
      </c>
      <c r="C97" s="60"/>
      <c r="F97" s="39"/>
      <c r="G97" s="65"/>
      <c r="H97" s="18"/>
      <c r="I97" s="47"/>
      <c r="J97" s="49"/>
      <c r="K97" s="21"/>
    </row>
    <row r="98" spans="1:12" x14ac:dyDescent="0.3">
      <c r="B98" s="37">
        <f ca="1">SUM(B96:B97)</f>
        <v>0</v>
      </c>
      <c r="C98" s="60" t="s">
        <v>32</v>
      </c>
      <c r="G98" s="18"/>
      <c r="H98" s="18"/>
      <c r="I98" s="47"/>
      <c r="J98" s="12"/>
      <c r="K98" s="21"/>
    </row>
    <row r="99" spans="1:12" x14ac:dyDescent="0.3">
      <c r="B99" s="37"/>
      <c r="C99" s="4"/>
      <c r="H99" s="18"/>
      <c r="I99" s="47"/>
      <c r="J99" s="53"/>
      <c r="K99" s="52"/>
      <c r="L99" s="16"/>
    </row>
    <row r="100" spans="1:12" x14ac:dyDescent="0.3">
      <c r="A100" t="s">
        <v>72</v>
      </c>
      <c r="B100" s="63">
        <f ca="1">MIN(B94,B98)</f>
        <v>0</v>
      </c>
      <c r="C100" s="60" t="s">
        <v>87</v>
      </c>
      <c r="I100" s="47"/>
      <c r="J100" s="21"/>
      <c r="K100" s="52"/>
      <c r="L100" s="16"/>
    </row>
    <row r="101" spans="1:12" x14ac:dyDescent="0.3">
      <c r="B101" s="37"/>
      <c r="C101" s="4"/>
      <c r="I101" s="47"/>
      <c r="J101" s="21"/>
      <c r="K101" s="52"/>
      <c r="L101" s="16"/>
    </row>
    <row r="102" spans="1:12" x14ac:dyDescent="0.3">
      <c r="A102" t="s">
        <v>86</v>
      </c>
      <c r="B102" s="63">
        <f ca="1">B82-B84-B100</f>
        <v>0</v>
      </c>
      <c r="C102" s="60" t="s">
        <v>88</v>
      </c>
      <c r="G102" s="18"/>
      <c r="H102" s="18"/>
      <c r="I102" s="47"/>
      <c r="J102" s="53"/>
      <c r="K102" s="52"/>
      <c r="L102" s="16"/>
    </row>
    <row r="103" spans="1:12" x14ac:dyDescent="0.3">
      <c r="B103" s="37"/>
      <c r="C103" s="4"/>
      <c r="G103" s="18"/>
      <c r="H103" s="18"/>
      <c r="I103" s="47"/>
      <c r="J103" s="53"/>
      <c r="K103" s="52"/>
      <c r="L103" s="16"/>
    </row>
    <row r="104" spans="1:12" x14ac:dyDescent="0.3">
      <c r="A104" s="2" t="s">
        <v>12</v>
      </c>
      <c r="G104" s="18"/>
      <c r="H104" s="49"/>
      <c r="I104" s="79"/>
      <c r="J104" s="49"/>
      <c r="K104" s="48"/>
      <c r="L104" s="16"/>
    </row>
    <row r="105" spans="1:12" x14ac:dyDescent="0.3">
      <c r="B105" s="11"/>
      <c r="C105" t="s">
        <v>13</v>
      </c>
      <c r="G105" s="18"/>
      <c r="H105" s="49"/>
      <c r="I105" s="84"/>
      <c r="J105" s="49"/>
      <c r="K105" s="48"/>
      <c r="L105" s="16"/>
    </row>
    <row r="106" spans="1:12" x14ac:dyDescent="0.3">
      <c r="B106" s="37"/>
      <c r="C106" s="4"/>
      <c r="H106" s="46"/>
      <c r="I106" s="47"/>
      <c r="J106" s="47"/>
      <c r="K106" s="47"/>
      <c r="L106" s="16"/>
    </row>
    <row r="107" spans="1:12" x14ac:dyDescent="0.3">
      <c r="A107" t="s">
        <v>20</v>
      </c>
      <c r="B107" s="37">
        <f ca="1">IF(AND((B5+B68+B14)&gt;=B18,(B5+B68+B14)&lt;=C18),(B5+B68)*D18,IF(AND((B5+B68+B14)&gt;B19,(B5+B68+B14)&lt;=C19),IF((B5+B68+B14-B19)&gt;(B5+B68),(B5+B68)*D19,((B5+B68+B14-B19)*D19)+((B5+B68-(B5+B68+B14-B19))*D18)),IF(AND((B5+B68+B14)&gt;B20,(B5+B68+B14)&lt;=C20),IF((B5+B68+B14-B20)&gt;(B5+B68),(B5+B68)*D20,IF((B5+B68+B14-B19)&gt;(B5+B68),(((B5+B68+B14-B20)*D20)+((B5+B68-(B5+B68+B14-B20))*D19)),((B5+B68+B14-B20)*D20)+((C19-B19)*D19)+((B5+B68-(B5+B68+B14-B19))*D18))),IF(AND((B5+B68+B14)&gt;B21,(B5+B68+B14)&lt;=C21),IF((B5+B68+B14-B21)&gt;(B5+B68),(B5+B68)*D21,IF((B5+B68+B14-B20)&gt;(B5+B68),((B5+B68+B14-B21)*D21)+(((B5+B68-(B5+B68+B14-B21))*D20)),IF((B5+B68+B14-B19)&gt;(B5+B68),(((B5+B68+B14-B21)*D21)+((C20-B20)*D20)+((B5+B68-(B5+B68+B14-B20))*D19)),((B5+B68+B14-B21)*D21)+((C20-B20)*D20)+((C19-B19)*D19)+((B5+B68-(B5+B68+B14-B19))*D18)))),IF((B5+B68+B14)&gt;B22,IF((B5+B68+B14-B22)&gt;(B5+B68),(B5+B68)*D22,IF((B5+B68+B14-B21)&gt;(B5+B68),(((B5+B68+B14-B22)*D22)+((B5+B68-(B5+B68+B14-B22))*D21)),IF((B5+B68+B14-B20)&gt;(B5+B68),(((B5+B68+B14-B22)*D22)+((C21-B21)*D21)+((B5+B68-(B5+B68+B14-B21))*D20)),IF((B5+B68+B14-B19)&gt;(B5+B68),(((B5+B68+B14-B22)*D22)+((C21-B21)*D21)+((C20-B20)*D20)+((B5+B68-(B5+B68+B14-B20))*D19)),((B5+B68+B14-B22)*D22)+((C21-B21)*D21)+((C20-B20)*D20)+((C19-B19)*D19)+((B5+B68-(B5+B68+B14-B19))*D18))))))))))</f>
        <v>538.36</v>
      </c>
      <c r="C107" t="s">
        <v>15</v>
      </c>
      <c r="G107" s="28"/>
      <c r="H107" s="47"/>
      <c r="I107" s="47"/>
      <c r="J107" s="47"/>
      <c r="K107" s="47"/>
      <c r="L107" s="13"/>
    </row>
    <row r="108" spans="1:12" x14ac:dyDescent="0.3">
      <c r="B108" s="37">
        <f>-IF(B14&gt;=B24,0,IF(B14&lt;B24,IF((B14+B5+B68)&gt;B24,(B24-B14)*D18,((B5+B68)*D18))))</f>
        <v>0</v>
      </c>
      <c r="C108" t="s">
        <v>34</v>
      </c>
      <c r="G108" s="28"/>
      <c r="H108" s="80"/>
      <c r="I108" s="47"/>
      <c r="J108" s="49"/>
      <c r="K108" s="48"/>
      <c r="L108" s="16"/>
    </row>
    <row r="109" spans="1:12" x14ac:dyDescent="0.3">
      <c r="B109" s="37">
        <f ca="1">IF(B84=0,0,-MIN(B84,SUM(B107:B108)))</f>
        <v>-200</v>
      </c>
      <c r="C109" t="s">
        <v>79</v>
      </c>
      <c r="G109" s="28"/>
      <c r="H109" s="21"/>
      <c r="I109" s="53"/>
      <c r="J109" s="53"/>
      <c r="K109" s="52"/>
      <c r="L109" s="16"/>
    </row>
    <row r="110" spans="1:12" x14ac:dyDescent="0.3">
      <c r="B110" s="37">
        <f ca="1">IF(AND((B5+B68+B14)&gt;=B28,(B5+B68+B14)&lt;=C28),(B5+B68)*D28,IF(AND((B5+B68+B14)&gt;B29,(B5+B68+B14)&lt;=C29),IF((B5+B68+B14-B29)&gt;(B5+B68),(B5+B68)*D29,((B5+B68+B14-B29)*D29)+((B5+B68-(B5+B68+B14-B29))*D28)),IF(AND((B5+B68+B14)&gt;B30,(B5+B68+B14)&lt;=C30),IF((B5+B68+B14-B30)&gt;(B5+B68),(B5+B68)*D30,IF((B5+B68+B14-B29)&gt;(B5+B68),(((B5+B68+B14-B30)*D30)+((B5+B68-(B5+B68+B14-B30))*D29)),((B5+B68+B14-B30)*D30)+((C29-B29)*D29)+((B5+B68-(B5+B68+B14-B29))*D28))),IF(AND((B5+B68+B14)&gt;B31,(B5+B68+B14)&lt;=C31),IF((B5+B68+B14-B31)&gt;(B5+B68),(B5+B68)*D31,IF((B5+B68+B14-B30)&gt;(B5+B68),(((B5+B68+B14-B31)*D31)+((B5+B68-(B5+B68+B14-B31))*D30)),IF((B5+B68+B14-B29)&gt;(B5+B68),(((B5+B68+B14-B31)*D31)+((C30-B30)*D30)+((B5+B68-(B5+B68+B14-B30))*D29)),((B5+B68+B14-B31)*D31)+((C30-B30)*D30)+((C29-B29)*D29)+((B5+B68-(B5+B68+B14-B29))*D28)))),IF((B5+B68+B14)&gt;B32,IF((B5+B68+B14-B32)&gt;(B5+B68),(B5+B68)*D32,IF((B5+B68+B14-B31)&gt;(B5+B68),(((B5+B68+B14-B32)*D32)+((B5+B68-(B5+B68+B14-B32))*D31)),IF((B5+B68+B14-B30)&gt;(B5+B68),(((B5+B68+B14-B32)*D32)+((C31-B31)*D31)+((B5+B68-(B5+B68+B14-B31))*D30)),IF((B5+B68+B14-B29)&gt;(B5+B68),(((B5+B68+B14-B32)*D32)+((C31-B31)*D31)+((C30-B30)*D30)+((B5+B68-(B5+B68+B14-B30))*D29)),((B5+B68+B14-B32)*D32)+((C31-B31)*D31)+((C30-B30)*D30)+((C29-B29)*D29)+((B5+B68-(B5+B68+B14-B29))*D28))))))))))</f>
        <v>356.8</v>
      </c>
      <c r="C110" t="s">
        <v>16</v>
      </c>
      <c r="G110" s="28"/>
      <c r="H110" s="21"/>
      <c r="I110" s="53"/>
      <c r="J110" s="53"/>
      <c r="K110" s="21"/>
    </row>
    <row r="111" spans="1:12" x14ac:dyDescent="0.3">
      <c r="B111" s="37">
        <f>-IF(B14&gt;=B34,0,IF(B14&lt;B34,IF((B14+B5+B68)&gt;B34,(B34-B14)*D28,((B5+B68)*D28))))</f>
        <v>0</v>
      </c>
      <c r="C111" t="s">
        <v>36</v>
      </c>
      <c r="G111" s="28"/>
      <c r="H111"/>
      <c r="I111" s="21"/>
      <c r="J111" s="53"/>
      <c r="K111" s="52"/>
      <c r="L111" s="13"/>
    </row>
    <row r="112" spans="1:12" x14ac:dyDescent="0.3">
      <c r="B112" s="37">
        <f ca="1">IF(B100=0,0,-MIN(B100,SUM(B110,B111)))</f>
        <v>0</v>
      </c>
      <c r="C112" t="s">
        <v>80</v>
      </c>
      <c r="G112" s="28"/>
      <c r="H112"/>
      <c r="I112" s="12"/>
      <c r="J112" s="53"/>
      <c r="K112" s="21"/>
      <c r="L112" s="13"/>
    </row>
    <row r="113" spans="1:17" x14ac:dyDescent="0.3">
      <c r="B113" s="38">
        <f ca="1">-B53</f>
        <v>0</v>
      </c>
      <c r="C113" t="s">
        <v>103</v>
      </c>
      <c r="D113" s="8"/>
      <c r="E113" s="13"/>
      <c r="F113" s="46"/>
      <c r="I113" s="21"/>
      <c r="J113" s="21"/>
      <c r="K113" s="48"/>
      <c r="L113" s="48"/>
      <c r="M113" s="47"/>
    </row>
    <row r="114" spans="1:17" x14ac:dyDescent="0.3">
      <c r="A114" s="10" t="s">
        <v>22</v>
      </c>
      <c r="B114" s="82">
        <f ca="1">SUM(B107:B113)</f>
        <v>695.16000000000008</v>
      </c>
      <c r="F114" s="47"/>
      <c r="I114" s="21"/>
      <c r="J114" s="21"/>
      <c r="K114" s="49"/>
      <c r="L114" s="48"/>
      <c r="M114" s="47"/>
    </row>
    <row r="115" spans="1:17" x14ac:dyDescent="0.3">
      <c r="E115" s="18"/>
      <c r="F115" s="49"/>
      <c r="K115" s="47"/>
      <c r="L115" s="47"/>
      <c r="M115" s="47"/>
      <c r="Q115" s="15"/>
    </row>
    <row r="116" spans="1:17" x14ac:dyDescent="0.3">
      <c r="B116" s="13"/>
      <c r="F116" s="47"/>
      <c r="K116" s="47"/>
      <c r="L116" s="47"/>
      <c r="M116" s="47"/>
    </row>
    <row r="117" spans="1:17" x14ac:dyDescent="0.3">
      <c r="A117" s="19" t="s">
        <v>39</v>
      </c>
      <c r="B117" s="13"/>
      <c r="F117" s="47"/>
      <c r="K117" s="47"/>
      <c r="L117" s="47"/>
      <c r="M117" s="47"/>
    </row>
    <row r="118" spans="1:17" x14ac:dyDescent="0.3">
      <c r="A118" t="s">
        <v>118</v>
      </c>
      <c r="B118" s="37">
        <f ca="1">SUM(B107:B109)</f>
        <v>338.36</v>
      </c>
      <c r="F118" s="47"/>
      <c r="K118" s="47"/>
      <c r="L118" s="47"/>
      <c r="M118" s="47"/>
    </row>
    <row r="119" spans="1:17" x14ac:dyDescent="0.3">
      <c r="A119" t="s">
        <v>119</v>
      </c>
      <c r="B119" s="38">
        <f ca="1">SUM(B110:B113)</f>
        <v>356.8</v>
      </c>
      <c r="F119" s="47"/>
      <c r="K119" s="47"/>
      <c r="L119" s="47"/>
      <c r="M119" s="47"/>
    </row>
    <row r="120" spans="1:17" x14ac:dyDescent="0.3">
      <c r="B120" s="37">
        <f ca="1">SUM(B118:B119)</f>
        <v>695.16000000000008</v>
      </c>
      <c r="F120" s="47"/>
      <c r="K120" s="47"/>
      <c r="L120" s="47"/>
      <c r="M120" s="47"/>
    </row>
    <row r="121" spans="1:17" x14ac:dyDescent="0.3">
      <c r="B121" s="13"/>
      <c r="F121" s="47"/>
      <c r="K121" s="47"/>
      <c r="L121" s="47"/>
      <c r="M121" s="47"/>
    </row>
    <row r="122" spans="1:17" x14ac:dyDescent="0.3">
      <c r="B122" s="13"/>
      <c r="F122" s="47"/>
      <c r="K122" s="47"/>
      <c r="L122" s="47"/>
      <c r="M122" s="47"/>
    </row>
    <row r="123" spans="1:17" x14ac:dyDescent="0.3">
      <c r="B123" s="13"/>
      <c r="F123" s="47"/>
      <c r="K123" s="47"/>
      <c r="L123" s="47"/>
      <c r="M123" s="47"/>
    </row>
    <row r="124" spans="1:17" x14ac:dyDescent="0.3">
      <c r="B124" s="13"/>
      <c r="F124" s="47"/>
      <c r="K124" s="47"/>
      <c r="L124" s="47"/>
      <c r="M124" s="47"/>
    </row>
    <row r="125" spans="1:17" x14ac:dyDescent="0.3">
      <c r="B125" s="15"/>
      <c r="F125" s="47"/>
      <c r="K125" s="49"/>
      <c r="L125" s="47"/>
      <c r="M125" s="49"/>
      <c r="N125" s="18"/>
    </row>
    <row r="126" spans="1:17" x14ac:dyDescent="0.3">
      <c r="F126" s="47"/>
      <c r="K126" s="47"/>
      <c r="L126" s="47"/>
      <c r="M126" s="47"/>
    </row>
    <row r="127" spans="1:17" x14ac:dyDescent="0.3">
      <c r="F127" s="47"/>
      <c r="K127" s="47"/>
      <c r="L127" s="47"/>
      <c r="M127" s="47"/>
    </row>
    <row r="128" spans="1:17" x14ac:dyDescent="0.3">
      <c r="F128" s="47"/>
      <c r="G128" s="47"/>
      <c r="H128" s="46"/>
      <c r="I128" s="47"/>
      <c r="J128" s="47"/>
      <c r="K128" s="47"/>
      <c r="L128" s="47"/>
      <c r="M128" s="47"/>
    </row>
    <row r="129" spans="8:13" x14ac:dyDescent="0.3">
      <c r="H129" s="12"/>
    </row>
    <row r="131" spans="8:13" x14ac:dyDescent="0.3">
      <c r="H131" s="40"/>
      <c r="M131" s="22"/>
    </row>
  </sheetData>
  <dataValidations count="2">
    <dataValidation type="list" allowBlank="1" showInputMessage="1" showErrorMessage="1" sqref="B6">
      <formula1>$E$4:$E$5</formula1>
    </dataValidation>
    <dataValidation type="list" allowBlank="1" showInputMessage="1" showErrorMessage="1" sqref="B10">
      <formula1>$H$1:$H$18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abSelected="1" zoomScale="85" zoomScaleNormal="85" workbookViewId="0">
      <selection activeCell="D12" sqref="D12"/>
    </sheetView>
  </sheetViews>
  <sheetFormatPr defaultRowHeight="14.4" x14ac:dyDescent="0.3"/>
  <cols>
    <col min="1" max="1" width="33.6640625" customWidth="1"/>
    <col min="2" max="2" width="16" customWidth="1"/>
    <col min="3" max="3" width="14.6640625" customWidth="1"/>
    <col min="4" max="4" width="11.33203125" customWidth="1"/>
    <col min="5" max="5" width="10.5546875" bestFit="1" customWidth="1"/>
    <col min="6" max="7" width="10.5546875" customWidth="1"/>
    <col min="8" max="8" width="16.88671875" style="13" customWidth="1"/>
    <col min="9" max="9" width="14" customWidth="1"/>
    <col min="10" max="10" width="12.88671875" bestFit="1" customWidth="1"/>
    <col min="11" max="11" width="12" bestFit="1" customWidth="1"/>
    <col min="12" max="12" width="10.109375" bestFit="1" customWidth="1"/>
    <col min="13" max="13" width="12.33203125" bestFit="1" customWidth="1"/>
    <col min="17" max="17" width="9.5546875" bestFit="1" customWidth="1"/>
  </cols>
  <sheetData>
    <row r="1" spans="1:16" x14ac:dyDescent="0.3">
      <c r="B1" s="1"/>
      <c r="C1" t="s">
        <v>0</v>
      </c>
    </row>
    <row r="2" spans="1:16" x14ac:dyDescent="0.3">
      <c r="A2" s="2" t="s">
        <v>1</v>
      </c>
      <c r="E2" s="71"/>
      <c r="F2" s="21"/>
      <c r="G2" s="21"/>
      <c r="H2" s="12"/>
      <c r="I2" s="21"/>
      <c r="J2" s="21"/>
      <c r="K2" s="21"/>
      <c r="L2" s="21"/>
      <c r="M2" s="21"/>
      <c r="N2" s="21"/>
      <c r="O2" s="21"/>
      <c r="P2" s="21"/>
    </row>
    <row r="3" spans="1:16" x14ac:dyDescent="0.3">
      <c r="A3" s="3" t="s">
        <v>107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6" x14ac:dyDescent="0.3">
      <c r="A4" t="s">
        <v>108</v>
      </c>
      <c r="B4" s="1">
        <v>1000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6" x14ac:dyDescent="0.3">
      <c r="E5" s="21"/>
      <c r="F5" s="21"/>
      <c r="G5" s="12"/>
      <c r="H5" s="21"/>
      <c r="I5" s="21"/>
      <c r="J5" s="21"/>
      <c r="K5" s="21"/>
      <c r="L5" s="21"/>
      <c r="M5" s="21"/>
      <c r="N5" s="21"/>
      <c r="O5" s="21"/>
      <c r="P5" s="21"/>
    </row>
    <row r="6" spans="1:16" x14ac:dyDescent="0.3">
      <c r="E6" s="21"/>
      <c r="F6" s="21"/>
      <c r="G6" s="21"/>
      <c r="H6" s="12"/>
      <c r="I6" s="21"/>
      <c r="J6" s="21"/>
      <c r="K6" s="21"/>
      <c r="L6" s="21"/>
      <c r="M6" s="21"/>
      <c r="N6" s="21"/>
      <c r="O6" s="21"/>
      <c r="P6" s="21"/>
    </row>
    <row r="7" spans="1:16" x14ac:dyDescent="0.3">
      <c r="A7" s="2" t="s">
        <v>4</v>
      </c>
      <c r="E7" s="21"/>
      <c r="F7" s="21"/>
      <c r="G7" s="21"/>
      <c r="H7" s="12"/>
      <c r="I7" s="30"/>
      <c r="J7" s="21"/>
      <c r="K7" s="21"/>
      <c r="L7" s="21"/>
      <c r="M7" s="21"/>
      <c r="N7" s="21"/>
      <c r="O7" s="21"/>
      <c r="P7" s="21"/>
    </row>
    <row r="8" spans="1:16" x14ac:dyDescent="0.3">
      <c r="A8" t="s">
        <v>5</v>
      </c>
      <c r="B8" s="1" t="s">
        <v>100</v>
      </c>
      <c r="E8" s="21"/>
      <c r="F8" s="21"/>
      <c r="G8" s="21"/>
      <c r="H8" s="12"/>
      <c r="I8" s="53"/>
      <c r="J8" s="53"/>
      <c r="K8" s="21"/>
      <c r="L8" s="21"/>
      <c r="M8" s="21"/>
      <c r="N8" s="21"/>
      <c r="O8" s="21"/>
      <c r="P8" s="21"/>
    </row>
    <row r="9" spans="1:16" x14ac:dyDescent="0.3">
      <c r="E9" s="21"/>
      <c r="F9" s="21"/>
      <c r="G9" s="21"/>
      <c r="H9" s="12"/>
      <c r="I9" s="21"/>
      <c r="J9" s="21"/>
      <c r="K9" s="21"/>
      <c r="L9" s="21"/>
      <c r="M9" s="21"/>
      <c r="N9" s="21"/>
      <c r="O9" s="21"/>
      <c r="P9" s="21"/>
    </row>
    <row r="10" spans="1:16" x14ac:dyDescent="0.3">
      <c r="E10" s="21"/>
      <c r="F10" s="47"/>
      <c r="G10" s="47"/>
      <c r="H10" s="12"/>
      <c r="I10" s="21"/>
      <c r="J10" s="21"/>
      <c r="K10" s="21"/>
      <c r="L10" s="21"/>
      <c r="M10" s="21"/>
      <c r="N10" s="21"/>
      <c r="O10" s="21"/>
      <c r="P10" s="21"/>
    </row>
    <row r="11" spans="1:16" x14ac:dyDescent="0.3">
      <c r="E11" s="21"/>
      <c r="F11" s="21"/>
      <c r="G11" s="21"/>
      <c r="H11" s="45"/>
      <c r="I11" s="21"/>
      <c r="J11" s="21"/>
      <c r="K11" s="21"/>
      <c r="L11" s="21"/>
      <c r="M11" s="21"/>
      <c r="N11" s="21"/>
      <c r="O11" s="21"/>
      <c r="P11" s="21"/>
    </row>
    <row r="12" spans="1:16" x14ac:dyDescent="0.3">
      <c r="A12" t="s">
        <v>6</v>
      </c>
      <c r="B12" s="1">
        <v>72809</v>
      </c>
    </row>
    <row r="15" spans="1:16" x14ac:dyDescent="0.3">
      <c r="A15" s="2" t="s">
        <v>7</v>
      </c>
    </row>
    <row r="16" spans="1:16" x14ac:dyDescent="0.3">
      <c r="A16" s="3" t="s">
        <v>8</v>
      </c>
    </row>
    <row r="17" spans="1:14" x14ac:dyDescent="0.3">
      <c r="B17" s="94" t="s">
        <v>21</v>
      </c>
      <c r="C17" s="21"/>
      <c r="D17" s="21"/>
      <c r="E17" s="21"/>
      <c r="F17" s="94"/>
      <c r="G17" s="21"/>
      <c r="H17" s="21"/>
      <c r="I17" s="21"/>
    </row>
    <row r="18" spans="1:14" ht="15.6" x14ac:dyDescent="0.3">
      <c r="A18" t="s">
        <v>9</v>
      </c>
      <c r="B18" s="52">
        <v>0</v>
      </c>
      <c r="C18" s="26">
        <v>45282</v>
      </c>
      <c r="D18" s="95">
        <v>0.15</v>
      </c>
      <c r="E18" s="21"/>
      <c r="F18" s="52"/>
      <c r="G18" s="26"/>
      <c r="H18" s="95"/>
      <c r="I18" s="26"/>
      <c r="J18" s="6"/>
      <c r="K18" s="6"/>
      <c r="L18" s="4"/>
      <c r="M18" s="5"/>
      <c r="N18" s="6"/>
    </row>
    <row r="19" spans="1:14" ht="15.6" x14ac:dyDescent="0.3">
      <c r="A19" t="s">
        <v>10</v>
      </c>
      <c r="B19" s="26">
        <f>C18</f>
        <v>45282</v>
      </c>
      <c r="C19" s="26">
        <v>90563</v>
      </c>
      <c r="D19" s="67">
        <v>0.20499999999999999</v>
      </c>
      <c r="E19" s="21"/>
      <c r="F19" s="26"/>
      <c r="G19" s="26"/>
      <c r="H19" s="67"/>
      <c r="I19" s="26"/>
      <c r="J19" s="7"/>
      <c r="K19" s="7"/>
      <c r="L19" s="5"/>
      <c r="M19" s="5"/>
      <c r="N19" s="7"/>
    </row>
    <row r="20" spans="1:14" ht="15.6" x14ac:dyDescent="0.3">
      <c r="A20" t="s">
        <v>10</v>
      </c>
      <c r="B20" s="26">
        <f>C19</f>
        <v>90563</v>
      </c>
      <c r="C20" s="26">
        <v>140388</v>
      </c>
      <c r="D20" s="67">
        <v>0.26</v>
      </c>
      <c r="E20" s="21"/>
      <c r="F20" s="26"/>
      <c r="G20" s="26"/>
      <c r="H20" s="67"/>
      <c r="I20" s="26"/>
      <c r="J20" s="7"/>
      <c r="K20" s="7"/>
      <c r="L20" s="5"/>
      <c r="M20" s="5"/>
      <c r="N20" s="7"/>
    </row>
    <row r="21" spans="1:14" ht="15.6" x14ac:dyDescent="0.3">
      <c r="A21" t="s">
        <v>10</v>
      </c>
      <c r="B21" s="26">
        <f>C20</f>
        <v>140388</v>
      </c>
      <c r="C21" s="26">
        <v>200000</v>
      </c>
      <c r="D21" s="67">
        <v>0.28999999999999998</v>
      </c>
      <c r="E21" s="21"/>
      <c r="F21" s="26"/>
      <c r="G21" s="26"/>
      <c r="H21" s="67"/>
      <c r="I21" s="97"/>
      <c r="J21" s="7"/>
      <c r="K21" s="7"/>
      <c r="L21" s="5"/>
      <c r="M21" s="5"/>
      <c r="N21" s="7"/>
    </row>
    <row r="22" spans="1:14" ht="15.6" x14ac:dyDescent="0.3">
      <c r="B22" s="26">
        <f>C21</f>
        <v>200000</v>
      </c>
      <c r="C22" s="21"/>
      <c r="D22" s="67">
        <v>0.33</v>
      </c>
      <c r="E22" s="21"/>
      <c r="F22" s="26"/>
      <c r="G22" s="21"/>
      <c r="H22" s="67"/>
      <c r="I22" s="52"/>
      <c r="J22" s="7"/>
      <c r="K22" s="7"/>
      <c r="L22" s="5"/>
      <c r="N22" s="7"/>
    </row>
    <row r="23" spans="1:14" x14ac:dyDescent="0.3">
      <c r="B23" s="21"/>
      <c r="C23" s="94"/>
      <c r="D23" s="21"/>
      <c r="E23" s="21"/>
      <c r="F23" s="21"/>
      <c r="G23" s="21"/>
      <c r="H23" s="12"/>
      <c r="I23" s="21"/>
    </row>
    <row r="24" spans="1:14" ht="15.6" x14ac:dyDescent="0.3">
      <c r="A24" t="s">
        <v>38</v>
      </c>
      <c r="B24" s="26">
        <v>11474</v>
      </c>
      <c r="C24" s="26"/>
      <c r="D24" s="21"/>
      <c r="E24" s="21"/>
      <c r="F24" s="21"/>
      <c r="G24" s="52"/>
      <c r="H24" s="12"/>
      <c r="I24" s="21"/>
    </row>
    <row r="25" spans="1:14" x14ac:dyDescent="0.3">
      <c r="B25" s="21"/>
      <c r="C25" s="21"/>
      <c r="D25" s="21"/>
      <c r="E25" s="21"/>
      <c r="F25" s="21"/>
      <c r="G25" s="21"/>
      <c r="H25" s="12"/>
      <c r="I25" s="21"/>
      <c r="J25" s="9"/>
    </row>
    <row r="26" spans="1:14" x14ac:dyDescent="0.3">
      <c r="A26" s="3" t="s">
        <v>11</v>
      </c>
      <c r="B26" s="21"/>
      <c r="C26" s="21"/>
      <c r="D26" s="21"/>
      <c r="E26" s="21"/>
      <c r="F26" s="21"/>
      <c r="G26" s="21"/>
      <c r="H26" s="12"/>
      <c r="I26" s="21"/>
    </row>
    <row r="27" spans="1:14" x14ac:dyDescent="0.3">
      <c r="A27" s="10" t="s">
        <v>100</v>
      </c>
      <c r="B27" s="94" t="s">
        <v>21</v>
      </c>
      <c r="C27" s="21"/>
      <c r="D27" s="21"/>
      <c r="E27" s="21"/>
      <c r="F27" s="94"/>
      <c r="G27" s="21"/>
      <c r="H27" s="21"/>
      <c r="I27" s="73"/>
      <c r="J27" s="10"/>
      <c r="K27" s="24"/>
    </row>
    <row r="28" spans="1:14" ht="15.6" x14ac:dyDescent="0.3">
      <c r="A28" t="s">
        <v>9</v>
      </c>
      <c r="B28" s="21">
        <v>0</v>
      </c>
      <c r="C28" s="26">
        <v>40492</v>
      </c>
      <c r="D28" s="67">
        <v>9.6799999999999997E-2</v>
      </c>
      <c r="E28" s="21"/>
      <c r="F28" s="21"/>
      <c r="G28" s="26"/>
      <c r="H28" s="67"/>
      <c r="I28" s="26"/>
      <c r="J28" s="7"/>
    </row>
    <row r="29" spans="1:14" ht="15.6" x14ac:dyDescent="0.3">
      <c r="A29" t="s">
        <v>10</v>
      </c>
      <c r="B29" s="26">
        <f>C28</f>
        <v>40492</v>
      </c>
      <c r="C29" s="26">
        <v>80985</v>
      </c>
      <c r="D29" s="67">
        <v>0.1482</v>
      </c>
      <c r="E29" s="21"/>
      <c r="F29" s="26"/>
      <c r="G29" s="26"/>
      <c r="H29" s="67"/>
      <c r="I29" s="26"/>
      <c r="J29" s="23"/>
      <c r="K29" s="18"/>
      <c r="L29" s="15"/>
    </row>
    <row r="30" spans="1:14" ht="15.6" x14ac:dyDescent="0.3">
      <c r="A30" t="s">
        <v>10</v>
      </c>
      <c r="B30" s="26">
        <f>C29</f>
        <v>80985</v>
      </c>
      <c r="C30" s="26">
        <v>131664</v>
      </c>
      <c r="D30" s="67">
        <v>0.16520000000000001</v>
      </c>
      <c r="E30" s="21"/>
      <c r="F30" s="26"/>
      <c r="G30" s="26"/>
      <c r="H30" s="67"/>
      <c r="I30" s="52"/>
      <c r="J30" s="23"/>
      <c r="K30" s="4"/>
      <c r="L30" s="13"/>
      <c r="N30" s="18"/>
    </row>
    <row r="31" spans="1:14" ht="15.6" x14ac:dyDescent="0.3">
      <c r="A31" t="s">
        <v>10</v>
      </c>
      <c r="B31" s="26">
        <f>C30</f>
        <v>131664</v>
      </c>
      <c r="C31" s="26">
        <v>150000</v>
      </c>
      <c r="D31" s="67">
        <v>0.1784</v>
      </c>
      <c r="E31" s="21"/>
      <c r="F31" s="26"/>
      <c r="G31" s="26"/>
      <c r="H31" s="67"/>
      <c r="I31" s="52"/>
      <c r="J31" s="23"/>
      <c r="K31" s="4"/>
      <c r="L31" s="13"/>
      <c r="N31" s="4"/>
    </row>
    <row r="32" spans="1:14" ht="15.6" x14ac:dyDescent="0.3">
      <c r="B32" s="26">
        <f>C31</f>
        <v>150000</v>
      </c>
      <c r="C32" s="21"/>
      <c r="D32" s="67">
        <v>0.20300000000000001</v>
      </c>
      <c r="E32" s="21"/>
      <c r="F32" s="26"/>
      <c r="G32" s="21"/>
      <c r="H32" s="67"/>
      <c r="I32" s="52"/>
      <c r="J32" s="23"/>
      <c r="K32" s="4"/>
      <c r="L32" s="13"/>
    </row>
    <row r="33" spans="1:12" x14ac:dyDescent="0.3">
      <c r="B33" s="21"/>
      <c r="C33" s="94"/>
      <c r="D33" s="21"/>
      <c r="E33" s="21"/>
      <c r="F33" s="21"/>
      <c r="G33" s="21"/>
      <c r="H33" s="45"/>
      <c r="I33" s="52"/>
      <c r="J33" s="25"/>
      <c r="K33" s="16"/>
      <c r="L33" s="25"/>
    </row>
    <row r="34" spans="1:12" ht="15.6" x14ac:dyDescent="0.3">
      <c r="A34" t="s">
        <v>36</v>
      </c>
      <c r="B34" s="26">
        <v>9758</v>
      </c>
      <c r="C34" s="26"/>
      <c r="D34" s="21"/>
      <c r="H34" s="41"/>
      <c r="I34" s="4"/>
      <c r="J34" s="25"/>
      <c r="K34" s="16"/>
      <c r="L34" s="25"/>
    </row>
    <row r="35" spans="1:12" x14ac:dyDescent="0.3">
      <c r="B35" s="4"/>
      <c r="C35" s="4"/>
      <c r="D35" t="s">
        <v>37</v>
      </c>
      <c r="E35" s="13"/>
      <c r="F35" s="44"/>
      <c r="H35" s="16"/>
    </row>
    <row r="36" spans="1:12" x14ac:dyDescent="0.3">
      <c r="A36" s="3" t="s">
        <v>101</v>
      </c>
      <c r="B36" s="4"/>
      <c r="C36" s="4"/>
      <c r="F36" s="13"/>
      <c r="G36" s="44"/>
      <c r="H36"/>
      <c r="I36" s="16"/>
      <c r="J36" s="10" t="s">
        <v>91</v>
      </c>
    </row>
    <row r="37" spans="1:12" x14ac:dyDescent="0.3">
      <c r="A37" s="3"/>
      <c r="B37" s="4" t="s">
        <v>91</v>
      </c>
      <c r="C37" s="25" t="s">
        <v>115</v>
      </c>
      <c r="F37" s="3" t="s">
        <v>102</v>
      </c>
      <c r="G37" s="44"/>
      <c r="H37"/>
      <c r="I37" s="68" t="s">
        <v>65</v>
      </c>
      <c r="J37" s="62" t="s">
        <v>64</v>
      </c>
      <c r="K37" s="62" t="s">
        <v>66</v>
      </c>
    </row>
    <row r="38" spans="1:12" ht="15.6" x14ac:dyDescent="0.3">
      <c r="A38" s="3"/>
      <c r="B38" t="s">
        <v>27</v>
      </c>
      <c r="C38" t="s">
        <v>28</v>
      </c>
      <c r="F38">
        <v>0</v>
      </c>
      <c r="G38" s="5">
        <f t="shared" ref="G38:H41" si="0">C28</f>
        <v>40492</v>
      </c>
      <c r="H38" s="7">
        <f t="shared" si="0"/>
        <v>9.6799999999999997E-2</v>
      </c>
      <c r="I38" s="13">
        <v>0</v>
      </c>
      <c r="J38" s="13">
        <f>IF(AND($B$12&gt;=F38,$B$12&lt;G38),($B$12-F38)*H38,0)</f>
        <v>0</v>
      </c>
      <c r="K38" s="18">
        <f>(IF(J38=0,0,I38+J38))</f>
        <v>0</v>
      </c>
    </row>
    <row r="39" spans="1:12" ht="15.6" x14ac:dyDescent="0.3">
      <c r="A39" s="3"/>
      <c r="B39" s="4">
        <f>$B$12</f>
        <v>72809</v>
      </c>
      <c r="C39" s="4">
        <f>$B$12+$B$4-$B$66</f>
        <v>73659</v>
      </c>
      <c r="F39" s="5">
        <f>G38</f>
        <v>40492</v>
      </c>
      <c r="G39" s="5">
        <f t="shared" si="0"/>
        <v>80985</v>
      </c>
      <c r="H39" s="7">
        <f t="shared" si="0"/>
        <v>0.1482</v>
      </c>
      <c r="I39" s="12">
        <f>(G38-F38)*H38</f>
        <v>3919.6255999999998</v>
      </c>
      <c r="J39" s="13">
        <f t="shared" ref="J39:J41" si="1">IF(AND($B$12&gt;=F39,$B$12&lt;G39),($B$12-F39)*H39,0)</f>
        <v>4789.3793999999998</v>
      </c>
      <c r="K39" s="18">
        <f>(IF(J39=0,0,I39+J39))</f>
        <v>8709.0049999999992</v>
      </c>
    </row>
    <row r="40" spans="1:12" ht="15.6" x14ac:dyDescent="0.3">
      <c r="A40" s="27" t="s">
        <v>89</v>
      </c>
      <c r="B40" s="38">
        <v>-16076</v>
      </c>
      <c r="C40" s="38">
        <v>-16076</v>
      </c>
      <c r="F40" s="26">
        <f>G39</f>
        <v>80985</v>
      </c>
      <c r="G40" s="5">
        <f t="shared" si="0"/>
        <v>131664</v>
      </c>
      <c r="H40" s="7">
        <f t="shared" si="0"/>
        <v>0.16520000000000001</v>
      </c>
      <c r="I40" s="12">
        <f>((G39-F39)*H39)+I39</f>
        <v>9920.6882000000005</v>
      </c>
      <c r="J40" s="13">
        <f t="shared" si="1"/>
        <v>0</v>
      </c>
      <c r="K40" s="18">
        <f>(IF(J40=0,0,I40+J40))</f>
        <v>0</v>
      </c>
    </row>
    <row r="41" spans="1:12" ht="15.6" x14ac:dyDescent="0.3">
      <c r="A41" s="3"/>
      <c r="B41" s="4">
        <f>IF((B39+B40)&lt;=0,0,SUM(B39:B40))</f>
        <v>56733</v>
      </c>
      <c r="C41" s="4">
        <f>IF((C39+C40)&lt;=0,0,SUM(C39:C40))</f>
        <v>57583</v>
      </c>
      <c r="F41" s="5">
        <f>G40</f>
        <v>131664</v>
      </c>
      <c r="G41" s="5">
        <f t="shared" si="0"/>
        <v>150000</v>
      </c>
      <c r="H41" s="7">
        <f t="shared" si="0"/>
        <v>0.1784</v>
      </c>
      <c r="I41" s="12">
        <f t="shared" ref="I41:I42" si="2">((G40-F40)*H40)+I40</f>
        <v>18292.859</v>
      </c>
      <c r="J41" s="13">
        <f t="shared" si="1"/>
        <v>0</v>
      </c>
      <c r="K41" s="18">
        <f>(IF(J41=0,0,I41+J41))</f>
        <v>0</v>
      </c>
    </row>
    <row r="42" spans="1:12" ht="15.6" x14ac:dyDescent="0.3">
      <c r="A42" s="3"/>
      <c r="B42" s="69">
        <v>0.03</v>
      </c>
      <c r="C42" s="69">
        <v>0.03</v>
      </c>
      <c r="F42" s="5">
        <f>G41</f>
        <v>150000</v>
      </c>
      <c r="H42" s="7">
        <f>D32</f>
        <v>0.20300000000000001</v>
      </c>
      <c r="I42" s="12">
        <f t="shared" si="2"/>
        <v>21564.001400000001</v>
      </c>
      <c r="J42" s="13">
        <f>IF($B$12&gt;=F42,($B$12-F42)*H42,0)</f>
        <v>0</v>
      </c>
      <c r="K42" s="34">
        <f>(IF(J42=0,0,I42+J42))</f>
        <v>0</v>
      </c>
    </row>
    <row r="43" spans="1:12" x14ac:dyDescent="0.3">
      <c r="A43" s="3"/>
      <c r="B43" s="4">
        <f>B41*B42</f>
        <v>1701.99</v>
      </c>
      <c r="C43" s="4">
        <f>C41*C42</f>
        <v>1727.49</v>
      </c>
      <c r="F43" s="13"/>
      <c r="G43" s="44"/>
      <c r="H43"/>
      <c r="I43" s="13"/>
      <c r="J43" s="13"/>
      <c r="K43" s="13">
        <f>SUM(K38:K42)</f>
        <v>8709.0049999999992</v>
      </c>
    </row>
    <row r="44" spans="1:12" x14ac:dyDescent="0.3">
      <c r="A44" s="3"/>
      <c r="B44" s="4"/>
      <c r="C44" s="4"/>
      <c r="F44" s="13"/>
      <c r="G44" s="44"/>
      <c r="H44" s="64" t="s">
        <v>35</v>
      </c>
      <c r="I44" s="13">
        <f>B34</f>
        <v>9758</v>
      </c>
      <c r="J44" s="16">
        <f>D28</f>
        <v>9.6799999999999997E-2</v>
      </c>
      <c r="K44" s="42">
        <f>IF($B$12&lt;I44,$B$12*J44,I44*J44)</f>
        <v>944.57439999999997</v>
      </c>
    </row>
    <row r="45" spans="1:12" x14ac:dyDescent="0.3">
      <c r="A45" s="27" t="s">
        <v>17</v>
      </c>
      <c r="B45" s="4">
        <v>624</v>
      </c>
      <c r="C45" s="4">
        <v>624</v>
      </c>
      <c r="F45" s="13"/>
      <c r="G45" s="44"/>
      <c r="H45" s="4"/>
      <c r="I45" s="4"/>
      <c r="J45" s="16"/>
      <c r="K45" s="13">
        <f>IF((K43-K44)&lt;=0,0,K43-K44)</f>
        <v>7764.4305999999997</v>
      </c>
    </row>
    <row r="46" spans="1:12" x14ac:dyDescent="0.3">
      <c r="A46" s="3"/>
      <c r="B46" s="70">
        <f>B43</f>
        <v>1701.99</v>
      </c>
      <c r="C46" s="70">
        <f>C43</f>
        <v>1727.49</v>
      </c>
      <c r="F46" s="13"/>
      <c r="G46" s="44"/>
      <c r="H46"/>
      <c r="I46" s="13"/>
      <c r="J46" s="13"/>
      <c r="K46" s="13"/>
    </row>
    <row r="47" spans="1:12" x14ac:dyDescent="0.3">
      <c r="A47" s="27" t="s">
        <v>95</v>
      </c>
      <c r="B47" s="4">
        <f>IF((B45-B46)&lt;=0,0,B45-B46)</f>
        <v>0</v>
      </c>
      <c r="C47" s="4">
        <f>IF((C45-C46)&lt;=0,0,C45-C46)</f>
        <v>0</v>
      </c>
      <c r="D47" s="4"/>
      <c r="F47" s="13"/>
      <c r="G47" s="44"/>
      <c r="H47"/>
      <c r="I47" s="13"/>
      <c r="J47" s="13"/>
      <c r="K47" s="13"/>
    </row>
    <row r="48" spans="1:12" x14ac:dyDescent="0.3">
      <c r="A48" s="3"/>
      <c r="B48" s="4"/>
      <c r="C48" s="4"/>
      <c r="F48" s="13"/>
      <c r="G48" s="44"/>
      <c r="H48"/>
      <c r="I48" s="16"/>
      <c r="J48" s="10" t="s">
        <v>115</v>
      </c>
    </row>
    <row r="49" spans="1:11" x14ac:dyDescent="0.3">
      <c r="A49" t="s">
        <v>93</v>
      </c>
      <c r="B49" s="4">
        <f>K45</f>
        <v>7764.4305999999997</v>
      </c>
      <c r="C49" s="4">
        <f>K57</f>
        <v>7890.4006000000008</v>
      </c>
      <c r="F49" s="3" t="s">
        <v>102</v>
      </c>
      <c r="G49" s="44"/>
      <c r="H49"/>
      <c r="I49" s="68" t="s">
        <v>65</v>
      </c>
      <c r="J49" s="62" t="s">
        <v>64</v>
      </c>
      <c r="K49" s="62" t="s">
        <v>66</v>
      </c>
    </row>
    <row r="50" spans="1:11" ht="15.6" x14ac:dyDescent="0.3">
      <c r="B50" s="4"/>
      <c r="C50" s="4"/>
      <c r="F50">
        <v>0</v>
      </c>
      <c r="G50" s="5">
        <f t="shared" ref="G50:H53" si="3">C28</f>
        <v>40492</v>
      </c>
      <c r="H50" s="7">
        <f t="shared" si="3"/>
        <v>9.6799999999999997E-2</v>
      </c>
      <c r="I50" s="13">
        <v>0</v>
      </c>
      <c r="J50" s="13">
        <f>IF(AND(($B$12+$B$4-$B$66)&gt;=F50,($B$12+$B$4-$B$66)&lt;G50),($B$12+$B$4-$B$66-F50)*H50,0)</f>
        <v>0</v>
      </c>
      <c r="K50" s="18">
        <f t="shared" ref="K50:K54" si="4">(IF(J50=0,0,I50+J50))</f>
        <v>0</v>
      </c>
    </row>
    <row r="51" spans="1:11" ht="15.6" x14ac:dyDescent="0.3">
      <c r="A51" s="27" t="s">
        <v>94</v>
      </c>
      <c r="B51" s="4">
        <f>MIN(B47,B49)</f>
        <v>0</v>
      </c>
      <c r="C51" s="4">
        <f>MIN(C47,C49)</f>
        <v>0</v>
      </c>
      <c r="D51" s="25"/>
      <c r="F51" s="5">
        <f>G50</f>
        <v>40492</v>
      </c>
      <c r="G51" s="5">
        <f t="shared" si="3"/>
        <v>80985</v>
      </c>
      <c r="H51" s="7">
        <f t="shared" si="3"/>
        <v>0.1482</v>
      </c>
      <c r="I51" s="12">
        <f>(G50-F50)*H50</f>
        <v>3919.6255999999998</v>
      </c>
      <c r="J51" s="13">
        <f>IF(AND(($B$12+$B$4-$B$66)&gt;=F51,($B$12+$B$4-$B$66)&lt;G51),($B$12+$B$4-$B$66-F51)*H51,0)</f>
        <v>4915.3494000000001</v>
      </c>
      <c r="K51" s="18">
        <f t="shared" si="4"/>
        <v>8834.9750000000004</v>
      </c>
    </row>
    <row r="52" spans="1:11" ht="15.6" x14ac:dyDescent="0.3">
      <c r="A52" s="3"/>
      <c r="B52" s="4"/>
      <c r="C52" s="4"/>
      <c r="F52" s="26">
        <f>G51</f>
        <v>80985</v>
      </c>
      <c r="G52" s="5">
        <f t="shared" si="3"/>
        <v>131664</v>
      </c>
      <c r="H52" s="7">
        <f t="shared" si="3"/>
        <v>0.16520000000000001</v>
      </c>
      <c r="I52" s="12">
        <f>((G51-F51)*H51)+I51</f>
        <v>9920.6882000000005</v>
      </c>
      <c r="J52" s="13">
        <f>IF(AND(($B$12+$B$4-$B$66)&gt;=F52,($B$12+$B$4-$B$66)&lt;G52),($B$12+$B$4-$B$66-F52)*H52,0)</f>
        <v>0</v>
      </c>
      <c r="K52" s="18">
        <f t="shared" si="4"/>
        <v>0</v>
      </c>
    </row>
    <row r="53" spans="1:11" ht="15.6" x14ac:dyDescent="0.3">
      <c r="A53" s="27" t="s">
        <v>101</v>
      </c>
      <c r="B53" s="35">
        <f>C51-B51</f>
        <v>0</v>
      </c>
      <c r="C53" s="4"/>
      <c r="F53" s="5">
        <f>G52</f>
        <v>131664</v>
      </c>
      <c r="G53" s="5">
        <f t="shared" si="3"/>
        <v>150000</v>
      </c>
      <c r="H53" s="7">
        <f t="shared" si="3"/>
        <v>0.1784</v>
      </c>
      <c r="I53" s="12">
        <f t="shared" ref="I53:I54" si="5">((G52-F52)*H52)+I52</f>
        <v>18292.859</v>
      </c>
      <c r="J53" s="13">
        <f>IF(AND(($B$12+$B$4-$B$66)&gt;=F53,($B$12+$B$4-$B$66)&lt;G53),($B$12+$B$4-$B$66-F53)*H53,0)</f>
        <v>0</v>
      </c>
      <c r="K53" s="18">
        <f t="shared" si="4"/>
        <v>0</v>
      </c>
    </row>
    <row r="54" spans="1:11" ht="15.6" x14ac:dyDescent="0.3">
      <c r="A54" s="3"/>
      <c r="B54" s="4"/>
      <c r="C54" s="4"/>
      <c r="F54" s="5">
        <f>G53</f>
        <v>150000</v>
      </c>
      <c r="H54" s="7">
        <f>D32</f>
        <v>0.20300000000000001</v>
      </c>
      <c r="I54" s="12">
        <f t="shared" si="5"/>
        <v>21564.001400000001</v>
      </c>
      <c r="J54" s="13">
        <f>IF(($B$12+$B$4-$B$66)&gt;=F54,($B$12+$B$4-$B$66-F54)*H54,0)</f>
        <v>0</v>
      </c>
      <c r="K54" s="34">
        <f t="shared" si="4"/>
        <v>0</v>
      </c>
    </row>
    <row r="55" spans="1:11" x14ac:dyDescent="0.3">
      <c r="A55" s="3"/>
      <c r="B55" s="4"/>
      <c r="C55" s="4"/>
      <c r="F55" s="13"/>
      <c r="G55" s="44"/>
      <c r="H55"/>
      <c r="I55" s="16"/>
      <c r="K55" s="18">
        <f>SUM(K50:K54)</f>
        <v>8834.9750000000004</v>
      </c>
    </row>
    <row r="56" spans="1:11" x14ac:dyDescent="0.3">
      <c r="A56" s="3"/>
      <c r="B56" s="4"/>
      <c r="C56" s="4"/>
      <c r="F56" s="13"/>
      <c r="G56" s="44"/>
      <c r="H56" s="64" t="s">
        <v>35</v>
      </c>
      <c r="I56" s="13">
        <f>B34</f>
        <v>9758</v>
      </c>
      <c r="J56" s="16">
        <f>D28</f>
        <v>9.6799999999999997E-2</v>
      </c>
      <c r="K56" s="42">
        <f>IF(($B$12+$B$4)&lt;I56,($B$12+$B$4)*J56,I56*J56)</f>
        <v>944.57439999999997</v>
      </c>
    </row>
    <row r="57" spans="1:11" x14ac:dyDescent="0.3">
      <c r="A57" s="3"/>
      <c r="B57" s="4"/>
      <c r="C57" s="4"/>
      <c r="F57" s="13"/>
      <c r="G57" s="44"/>
      <c r="H57"/>
      <c r="I57" s="16"/>
      <c r="K57" s="13">
        <f>IF((K55-K56)&lt;=0,0,K55-K56)</f>
        <v>7890.4006000000008</v>
      </c>
    </row>
    <row r="58" spans="1:11" x14ac:dyDescent="0.3">
      <c r="A58" s="3"/>
      <c r="B58" s="4"/>
      <c r="C58" s="4"/>
    </row>
    <row r="59" spans="1:11" x14ac:dyDescent="0.3">
      <c r="A59" s="3" t="s">
        <v>109</v>
      </c>
      <c r="B59" s="4"/>
      <c r="C59" s="4"/>
    </row>
    <row r="60" spans="1:11" x14ac:dyDescent="0.3">
      <c r="A60" s="3"/>
      <c r="B60" s="4"/>
      <c r="C60" s="4"/>
    </row>
    <row r="61" spans="1:11" x14ac:dyDescent="0.3">
      <c r="A61" s="27" t="s">
        <v>110</v>
      </c>
      <c r="B61" s="4">
        <v>72809</v>
      </c>
      <c r="C61" s="4"/>
    </row>
    <row r="62" spans="1:11" x14ac:dyDescent="0.3">
      <c r="A62" s="27" t="s">
        <v>111</v>
      </c>
      <c r="B62" s="87">
        <v>0.15</v>
      </c>
      <c r="C62" s="4"/>
    </row>
    <row r="63" spans="1:11" x14ac:dyDescent="0.3">
      <c r="A63" s="3"/>
      <c r="B63" s="4"/>
      <c r="C63" s="4"/>
    </row>
    <row r="64" spans="1:11" ht="28.8" x14ac:dyDescent="0.3">
      <c r="A64" s="88" t="s">
        <v>112</v>
      </c>
      <c r="B64" s="4">
        <f>IF(B12&gt;B61,B4*B62,0)</f>
        <v>0</v>
      </c>
      <c r="C64" s="4"/>
    </row>
    <row r="65" spans="1:17" ht="28.8" x14ac:dyDescent="0.3">
      <c r="A65" s="88" t="s">
        <v>113</v>
      </c>
      <c r="B65" s="70">
        <f>IF(AND(B12&lt;=B61,(B4+B12)&gt;=B61),(B4+B12-B61)*B62,0)</f>
        <v>150</v>
      </c>
      <c r="C65" s="4"/>
    </row>
    <row r="66" spans="1:17" x14ac:dyDescent="0.3">
      <c r="A66" s="27" t="s">
        <v>114</v>
      </c>
      <c r="B66" s="4">
        <f>SUM(B64:B65)</f>
        <v>150</v>
      </c>
      <c r="C66" s="4"/>
    </row>
    <row r="67" spans="1:17" x14ac:dyDescent="0.3">
      <c r="A67" s="3"/>
      <c r="B67" s="4"/>
      <c r="C67" s="4"/>
    </row>
    <row r="68" spans="1:17" x14ac:dyDescent="0.3">
      <c r="A68" s="2" t="s">
        <v>12</v>
      </c>
      <c r="E68" s="36"/>
      <c r="F68" s="21"/>
      <c r="G68" s="4"/>
      <c r="H68" s="4"/>
      <c r="I68" s="16"/>
    </row>
    <row r="69" spans="1:17" x14ac:dyDescent="0.3">
      <c r="B69" s="11"/>
      <c r="C69" t="s">
        <v>13</v>
      </c>
      <c r="H69" s="36"/>
      <c r="J69" s="4"/>
      <c r="K69" s="4"/>
      <c r="L69" s="16"/>
    </row>
    <row r="70" spans="1:17" x14ac:dyDescent="0.3">
      <c r="H70" s="36"/>
      <c r="I70" s="18"/>
      <c r="J70" s="4"/>
      <c r="K70" s="4"/>
      <c r="L70" s="16"/>
    </row>
    <row r="71" spans="1:17" x14ac:dyDescent="0.3">
      <c r="A71" t="s">
        <v>20</v>
      </c>
      <c r="B71" s="17">
        <f>IF(AND((B4-B66+B12)&gt;=B18,(B4-B66+B12)&lt;=C18),(B4-B66)*D18,IF(AND((B4-B66+B12)&gt;B19,(B4-B66+B12)&lt;=C19),IF((B4-B66+B12-B19)&gt;(B4-B66),(B4-B66)*D19,((B4-B66+B12-B19)*D19)+((B4-B66-(B4-B66+B12-B19))*D18)),IF(AND((B4-B66+B12)&gt;B20,(B4-B66+B12)&lt;=C20),IF((B4-B66+B12-B20)&gt;(B4-B66),(B4-B66)*D20,IF((B4-B66+B12-B19)&gt;(B4-B66),(((B4-B66+B12-B20)*D20)+((B4-B66-(B4-B66+B12-B20))*D19)),((B4-B66+B12-B20)*D20)+((C19-B19)*D19)+((B4-B66-(B4-B66+B12-B19))*D18))),IF(AND((B4-B66+B12)&gt;B21,(B4-B66+B12)&lt;=C21),IF((B4-B66+B12-B21)&gt;(B4-B66),(B4-B66)*D21,IF((B4-B66+B12-B20)&gt;(B4-B66),((B4-B66+B12-B21)*D21)+(((B4-B66-(B4-B66+B12-B21))*D20)),IF((B4-B66+B12-B19)&gt;(B4-B66),(((B4-B66+B12-B21)*D21)+((C20-B20)*D20)+((B4-B66-(B4-B66+B12-B20))*D19)),((B4-B66+B12-B21)*D21)+((C20-B20)*D20)+((C19-B19)*D19)+((B4-B66-(B4-B66+B12-B19))*D18)))),IF((B4-B66+B12)&gt;B22,IF((B4-B66+B12-B22)&gt;(B4-B66),(B4-B66)*D22,IF((B4-B66+B12-B21)&gt;(B4-B66),(((B4-B66+B12-B22)*D22)+((B4-B66-(B4-B66+B12-B22))*D21)),IF((B4-B66+B12-B20)&gt;(B4-B66),(((B4-B66+B12-B22)*D22)+((C21-B21)*D21)+((B4-B66-(B4-B66+B12-B21))*D20)),IF((B4-B66+B12-B19)&gt;(B4-B66),(((B4-B66+B12-B22)*D22)+((C21-B21)*D21)+((C20-B20)*D20)+((B4-B66-(B4-B66+B12-B20))*D19)),((B4-B66+B12-B22)*D22)+((C21-B21)*D21)+((C20-B20)*D20)+((C19-B19)*D19)+((B4-B66-(B4-B66+B12-B19))*D18))))))))))</f>
        <v>174.25</v>
      </c>
      <c r="C71" t="s">
        <v>15</v>
      </c>
      <c r="H71" s="43"/>
      <c r="K71" s="4"/>
      <c r="L71" s="16"/>
    </row>
    <row r="72" spans="1:17" x14ac:dyDescent="0.3">
      <c r="B72" s="37">
        <f>-IF(B12&gt;=B24,0,IF(B12&lt;B24,IF((B12+B4-B66)&gt;B24,(B24-B12)*D18,(B4-B66)*D18)))</f>
        <v>0</v>
      </c>
      <c r="C72" t="s">
        <v>34</v>
      </c>
      <c r="H72" s="43"/>
      <c r="K72" s="4"/>
      <c r="L72" s="16"/>
    </row>
    <row r="73" spans="1:17" x14ac:dyDescent="0.3">
      <c r="B73" s="12">
        <f>IF(AND((B4-B66+B12)&gt;=B28,(B4-B66+B12)&lt;=C28),(B4-B66)*D28,IF(AND((B4-B66+B12)&gt;B29,(B4-B66+B12)&lt;=C29),IF((B4-B66+B12-B29)&gt;(B4-B66),(B4-B66)*D29,((B4-B66+B12-B29)*D29)+((B4-B66-(B4-B66+B12-B29))*D28)),IF(AND((B4-B66+B12)&gt;B30,(B4-B66+B12)&lt;=C30),IF((B4-B66+B12-B30)&gt;(B4-B66),(B4-B66)*D30,IF((B4-B66+B12-B29)&gt;(B4-B66),(((B4-B66+B12-B30)*D30)+((B4-B66-(B4-B66+B12-B30))*D29)),((B4-B66+B12-B30)*D30)+((C29-B29)*D29)+((B4-B66-(B4-B66+B12-B29))*D28))),IF(AND((B4-B66+B12)&gt;B31,(B4-B66+B12)&lt;=C31),IF((B4-B66+B12-B31)&gt;(B4-B66),(B4-B66)*D31,IF((B4-B66+B12-B30)&gt;(B4-B66),(((B4-B66+B12-B31)*D31)+((B4-B66-(B4-B66+B12-B31))*D30)),IF((B4-B66+B12-B29)&gt;(B4-B66),(((B4-B66+B12-B31)*D31)+((C30-B30)*D30)+((B4-B66-(B4-B66+B12-B30))*D29)),((B4-B66+B12-B31)*D31)+((C30-B30)*D30)+((C29-B29)*D29)+((B4-B66-(B4-B66+B12-B29))*D28)))),IF((B4-B66+B12)&gt;B32,IF((B4-B66+B12-B32)&gt;(B4-B66),(B4-B66)*D32,IF((B4-B66+B12-B31)&gt;(B4-B66),(((B4-B66+B12-B32)*D32)+((B4-B66-(B4-B66+B12-B32))*D31)),IF((B4-B66+B12-B30)&gt;(B4-B66),(((B4-B66+B12-B32)*D32)+((C31-B31)*D31)+((B4-B66-(B4-B66+B12-B31))*D30)),IF((B4-B66+B12-B29)&gt;(B4-B66),(((B4-B66+B12-B32)*D32)+((C31-B31)*D31)+((C30-B30)*D30)+((B4-B66-(B4-B66+B12-B30))*D29)),((B4-B66+B12-B32)*D32)+((C31-B31)*D31)+((C30-B30)*D30)+((C29-B29)*D29)+((B4-B66-(B4-B66+B12-B29))*D28))))))))))</f>
        <v>125.97</v>
      </c>
      <c r="C73" t="s">
        <v>16</v>
      </c>
    </row>
    <row r="74" spans="1:17" x14ac:dyDescent="0.3">
      <c r="B74" s="37">
        <f>-IF(B12&gt;=B34,0,IF(B12&lt;B34,IF((B12+B4-B66)&gt;B34,(B34-B12)*D28,(B4-B66)*D28)))</f>
        <v>0</v>
      </c>
      <c r="C74" t="s">
        <v>36</v>
      </c>
      <c r="I74" s="18"/>
    </row>
    <row r="75" spans="1:17" x14ac:dyDescent="0.3">
      <c r="B75" s="39">
        <f>-B53</f>
        <v>0</v>
      </c>
      <c r="C75" t="s">
        <v>103</v>
      </c>
      <c r="D75" s="8"/>
      <c r="E75" s="13"/>
      <c r="F75" s="46"/>
      <c r="G75" s="46"/>
      <c r="H75" s="46"/>
      <c r="I75" s="47"/>
      <c r="J75" s="47"/>
      <c r="K75" s="48"/>
      <c r="L75" s="48"/>
      <c r="M75" s="47"/>
    </row>
    <row r="76" spans="1:17" x14ac:dyDescent="0.3">
      <c r="B76" s="90">
        <f>B66</f>
        <v>150</v>
      </c>
      <c r="C76" s="91" t="s">
        <v>109</v>
      </c>
      <c r="D76" s="8"/>
      <c r="E76" s="13"/>
      <c r="F76" s="46"/>
      <c r="G76" s="46"/>
      <c r="H76" s="46"/>
      <c r="I76" s="47"/>
      <c r="J76" s="47"/>
      <c r="K76" s="48"/>
      <c r="L76" s="48"/>
      <c r="M76" s="47"/>
    </row>
    <row r="77" spans="1:17" x14ac:dyDescent="0.3">
      <c r="A77" s="10" t="s">
        <v>22</v>
      </c>
      <c r="B77" s="45">
        <f>SUM(B71:B76)</f>
        <v>450.22</v>
      </c>
      <c r="F77" s="47"/>
      <c r="G77" s="47"/>
      <c r="H77" s="46"/>
      <c r="I77" s="47"/>
      <c r="J77" s="47"/>
      <c r="K77" s="49"/>
      <c r="L77" s="48"/>
      <c r="M77" s="47"/>
    </row>
    <row r="78" spans="1:17" x14ac:dyDescent="0.3">
      <c r="E78" s="18"/>
      <c r="F78" s="49"/>
      <c r="G78" s="47"/>
      <c r="H78" s="46"/>
      <c r="I78" s="49"/>
      <c r="J78" s="49"/>
      <c r="K78" s="47"/>
      <c r="L78" s="47"/>
      <c r="M78" s="47"/>
      <c r="Q78" s="15"/>
    </row>
    <row r="79" spans="1:17" x14ac:dyDescent="0.3">
      <c r="B79" s="13"/>
      <c r="F79" s="47"/>
      <c r="G79" s="47"/>
      <c r="H79" s="46"/>
      <c r="I79" s="47"/>
      <c r="J79" s="47"/>
      <c r="K79" s="47"/>
      <c r="L79" s="47"/>
      <c r="M79" s="47"/>
    </row>
    <row r="80" spans="1:17" x14ac:dyDescent="0.3">
      <c r="A80" s="19" t="s">
        <v>39</v>
      </c>
      <c r="B80" s="13"/>
      <c r="F80" s="47"/>
      <c r="G80" s="47"/>
      <c r="H80" s="46"/>
      <c r="I80" s="46"/>
      <c r="J80" s="49"/>
      <c r="K80" s="47"/>
      <c r="L80" s="47"/>
      <c r="M80" s="47"/>
    </row>
    <row r="81" spans="1:13" x14ac:dyDescent="0.3">
      <c r="A81" t="s">
        <v>118</v>
      </c>
      <c r="B81" s="13">
        <f>SUM(B71:B72)</f>
        <v>174.25</v>
      </c>
      <c r="F81" s="47"/>
      <c r="G81" s="47"/>
      <c r="H81" s="46"/>
      <c r="I81" s="47"/>
      <c r="J81" s="47"/>
      <c r="K81" s="47"/>
      <c r="L81" s="47"/>
      <c r="M81" s="47"/>
    </row>
    <row r="82" spans="1:13" x14ac:dyDescent="0.3">
      <c r="A82" t="s">
        <v>119</v>
      </c>
      <c r="B82" s="89">
        <f>SUM(B73:B75)</f>
        <v>125.97</v>
      </c>
      <c r="F82" s="47"/>
      <c r="G82" s="47"/>
      <c r="H82" s="46"/>
      <c r="I82" s="49"/>
      <c r="J82" s="49"/>
      <c r="K82" s="47"/>
      <c r="L82" s="47"/>
      <c r="M82" s="47"/>
    </row>
    <row r="83" spans="1:13" x14ac:dyDescent="0.3">
      <c r="A83" s="92" t="s">
        <v>109</v>
      </c>
      <c r="B83" s="93">
        <f>B76</f>
        <v>150</v>
      </c>
      <c r="F83" s="47"/>
      <c r="G83" s="47"/>
      <c r="H83" s="46"/>
      <c r="I83" s="49"/>
      <c r="J83" s="49"/>
      <c r="K83" s="47"/>
      <c r="L83" s="47"/>
      <c r="M83" s="47"/>
    </row>
    <row r="84" spans="1:13" x14ac:dyDescent="0.3">
      <c r="B84" s="13">
        <f>SUM(B81:B83)</f>
        <v>450.22</v>
      </c>
      <c r="F84" s="47"/>
      <c r="G84" s="47"/>
      <c r="H84" s="46"/>
      <c r="I84" s="47"/>
      <c r="J84" s="47"/>
      <c r="K84" s="47"/>
      <c r="L84" s="47"/>
      <c r="M84" s="47"/>
    </row>
    <row r="85" spans="1:13" x14ac:dyDescent="0.3">
      <c r="B85" s="13"/>
      <c r="F85" s="47"/>
      <c r="G85" s="47"/>
      <c r="H85" s="46"/>
      <c r="I85" s="46"/>
      <c r="J85" s="49"/>
      <c r="K85" s="47"/>
      <c r="L85" s="47"/>
      <c r="M85" s="47"/>
    </row>
    <row r="86" spans="1:13" x14ac:dyDescent="0.3">
      <c r="B86" s="13"/>
      <c r="F86" s="47"/>
      <c r="G86" s="47"/>
      <c r="H86" s="46"/>
      <c r="I86" s="47"/>
      <c r="J86" s="47"/>
      <c r="K86" s="47"/>
      <c r="L86" s="47"/>
      <c r="M86" s="47"/>
    </row>
    <row r="87" spans="1:13" x14ac:dyDescent="0.3">
      <c r="B87" s="13"/>
      <c r="F87" s="47"/>
      <c r="G87" s="47"/>
      <c r="H87" s="46"/>
      <c r="I87" s="49"/>
      <c r="J87" s="49"/>
      <c r="K87" s="47"/>
      <c r="L87" s="47"/>
      <c r="M87" s="47"/>
    </row>
    <row r="88" spans="1:13" x14ac:dyDescent="0.3">
      <c r="B88" s="13"/>
      <c r="F88" s="47"/>
      <c r="G88" s="47"/>
      <c r="H88" s="46"/>
      <c r="I88" s="47"/>
      <c r="J88" s="47"/>
      <c r="K88" s="47"/>
      <c r="L88" s="47"/>
      <c r="M88" s="47"/>
    </row>
    <row r="89" spans="1:13" x14ac:dyDescent="0.3">
      <c r="B89" s="15"/>
      <c r="F89" s="47"/>
      <c r="G89" s="47"/>
      <c r="H89" s="50"/>
      <c r="I89" s="47"/>
      <c r="J89" s="47"/>
      <c r="K89" s="47"/>
      <c r="L89" s="47"/>
      <c r="M89" s="47"/>
    </row>
    <row r="90" spans="1:13" x14ac:dyDescent="0.3">
      <c r="F90" s="47"/>
      <c r="G90" s="47"/>
      <c r="H90" s="46"/>
      <c r="I90" s="47"/>
      <c r="J90" s="47"/>
      <c r="K90" s="47"/>
      <c r="L90" s="47"/>
      <c r="M90" s="47"/>
    </row>
    <row r="91" spans="1:13" x14ac:dyDescent="0.3">
      <c r="F91" s="47"/>
      <c r="G91" s="47"/>
      <c r="H91" s="46"/>
      <c r="I91" s="48"/>
      <c r="J91" s="48"/>
      <c r="K91" s="47"/>
      <c r="L91" s="47"/>
      <c r="M91" s="47"/>
    </row>
    <row r="92" spans="1:13" x14ac:dyDescent="0.3">
      <c r="F92" s="47"/>
      <c r="G92" s="47"/>
      <c r="H92" s="46"/>
      <c r="I92" s="47"/>
      <c r="J92" s="47"/>
      <c r="K92" s="47"/>
      <c r="L92" s="47"/>
      <c r="M92" s="47"/>
    </row>
    <row r="93" spans="1:13" x14ac:dyDescent="0.3">
      <c r="H93" s="12"/>
    </row>
    <row r="95" spans="1:13" x14ac:dyDescent="0.3">
      <c r="H95" s="40"/>
      <c r="M95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RRSP (Deduction)</vt:lpstr>
      <vt:lpstr>Interest Inc (Income)</vt:lpstr>
      <vt:lpstr>Dividend Inc</vt:lpstr>
      <vt:lpstr>Foreign Investment Inc</vt:lpstr>
      <vt:lpstr>Old Age Security Pension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William Chong</cp:lastModifiedBy>
  <dcterms:created xsi:type="dcterms:W3CDTF">2016-07-05T04:18:43Z</dcterms:created>
  <dcterms:modified xsi:type="dcterms:W3CDTF">2016-11-14T23:44:57Z</dcterms:modified>
</cp:coreProperties>
</file>