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"/>
    </mc:Choice>
  </mc:AlternateContent>
  <bookViews>
    <workbookView xWindow="0" yWindow="0" windowWidth="23040" windowHeight="8832" tabRatio="839"/>
  </bookViews>
  <sheets>
    <sheet name="Summary" sheetId="1" r:id="rId1"/>
    <sheet name="Age" sheetId="2" r:id="rId2"/>
    <sheet name="Spousal or common-law" sheetId="3" r:id="rId3"/>
    <sheet name="Eligible dependant" sheetId="4" r:id="rId4"/>
    <sheet name="CPP" sheetId="8" r:id="rId5"/>
    <sheet name="EI" sheetId="9" r:id="rId6"/>
    <sheet name="Volunteer firefighter" sheetId="10" r:id="rId7"/>
    <sheet name="Canada employment" sheetId="11" r:id="rId8"/>
    <sheet name="Public transit" sheetId="12" r:id="rId9"/>
    <sheet name="Home buyers" sheetId="14" r:id="rId10"/>
    <sheet name="Adoption" sheetId="15" r:id="rId11"/>
    <sheet name="Pension" sheetId="16" r:id="rId12"/>
    <sheet name="Caregiver" sheetId="5" r:id="rId13"/>
    <sheet name="Disability" sheetId="7" r:id="rId14"/>
    <sheet name="Student loan interest" sheetId="17" r:id="rId15"/>
    <sheet name="Tuition credit" sheetId="18" r:id="rId16"/>
    <sheet name="Medical expense" sheetId="6" r:id="rId17"/>
    <sheet name="Donation" sheetId="19" r:id="rId18"/>
    <sheet name="Federal political contribution" sheetId="20" r:id="rId19"/>
    <sheet name="Prov,Ter political contribution" sheetId="21" r:id="rId20"/>
    <sheet name="Education coaching" sheetId="22" r:id="rId21"/>
  </sheets>
  <definedNames>
    <definedName name="_xlnm._FilterDatabase" localSheetId="17" hidden="1">Donation!$D$7</definedName>
    <definedName name="_xlnm._FilterDatabase" localSheetId="18" hidden="1">'Federal political contribution'!#REF!</definedName>
    <definedName name="_xlnm._FilterDatabase" localSheetId="19" hidden="1">'Prov,Ter political contribution'!#REF!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2" l="1"/>
  <c r="O13" i="22"/>
  <c r="N13" i="22"/>
  <c r="M13" i="22"/>
  <c r="L13" i="22"/>
  <c r="K13" i="22"/>
  <c r="J13" i="22"/>
  <c r="I13" i="22"/>
  <c r="H13" i="22"/>
  <c r="G13" i="22"/>
  <c r="F13" i="22"/>
  <c r="E13" i="22"/>
  <c r="C13" i="22"/>
  <c r="F10" i="22"/>
  <c r="C15" i="22"/>
  <c r="P10" i="22"/>
  <c r="C36" i="21"/>
  <c r="I13" i="21"/>
  <c r="N24" i="21"/>
  <c r="M24" i="21"/>
  <c r="L24" i="21"/>
  <c r="K24" i="21"/>
  <c r="G24" i="21"/>
  <c r="F24" i="21"/>
  <c r="E24" i="21"/>
  <c r="D24" i="21"/>
  <c r="N17" i="21"/>
  <c r="M17" i="21"/>
  <c r="L17" i="21"/>
  <c r="K17" i="21"/>
  <c r="J17" i="21"/>
  <c r="H17" i="21"/>
  <c r="G17" i="21"/>
  <c r="F17" i="21"/>
  <c r="E17" i="21"/>
  <c r="D17" i="21"/>
  <c r="P13" i="22" l="1"/>
  <c r="C17" i="22"/>
  <c r="C24" i="21"/>
  <c r="C17" i="21"/>
  <c r="N27" i="21"/>
  <c r="N26" i="21"/>
  <c r="N28" i="21" s="1"/>
  <c r="N20" i="21"/>
  <c r="N22" i="21" s="1"/>
  <c r="N13" i="21"/>
  <c r="N15" i="21" s="1"/>
  <c r="M27" i="21"/>
  <c r="L27" i="21"/>
  <c r="K27" i="21"/>
  <c r="G27" i="21"/>
  <c r="F27" i="21"/>
  <c r="E27" i="21"/>
  <c r="D27" i="21"/>
  <c r="M26" i="21"/>
  <c r="L26" i="21"/>
  <c r="K26" i="21"/>
  <c r="G26" i="21"/>
  <c r="F26" i="21"/>
  <c r="E26" i="21"/>
  <c r="D26" i="21"/>
  <c r="M20" i="21"/>
  <c r="M22" i="21" s="1"/>
  <c r="L20" i="21"/>
  <c r="L22" i="21" s="1"/>
  <c r="K20" i="21"/>
  <c r="K22" i="21" s="1"/>
  <c r="J20" i="21"/>
  <c r="J22" i="21" s="1"/>
  <c r="H20" i="21"/>
  <c r="H22" i="21" s="1"/>
  <c r="G20" i="21"/>
  <c r="G22" i="21" s="1"/>
  <c r="F20" i="21"/>
  <c r="F22" i="21" s="1"/>
  <c r="E20" i="21"/>
  <c r="E22" i="21" s="1"/>
  <c r="D20" i="21"/>
  <c r="D22" i="21" s="1"/>
  <c r="M13" i="21"/>
  <c r="M15" i="21" s="1"/>
  <c r="L13" i="21"/>
  <c r="L15" i="21" s="1"/>
  <c r="K13" i="21"/>
  <c r="K15" i="21" s="1"/>
  <c r="J13" i="21"/>
  <c r="J15" i="21" s="1"/>
  <c r="I15" i="21"/>
  <c r="H13" i="21"/>
  <c r="H15" i="21" s="1"/>
  <c r="G13" i="21"/>
  <c r="G15" i="21" s="1"/>
  <c r="F13" i="21"/>
  <c r="F15" i="21" s="1"/>
  <c r="E13" i="21"/>
  <c r="E15" i="21" s="1"/>
  <c r="D13" i="21"/>
  <c r="D15" i="21" s="1"/>
  <c r="C27" i="21"/>
  <c r="C26" i="21"/>
  <c r="C28" i="21" s="1"/>
  <c r="C20" i="21"/>
  <c r="C22" i="21" s="1"/>
  <c r="C13" i="21"/>
  <c r="C15" i="21" s="1"/>
  <c r="C19" i="20"/>
  <c r="C15" i="20"/>
  <c r="C11" i="20"/>
  <c r="C20" i="20"/>
  <c r="C26" i="19"/>
  <c r="P16" i="19"/>
  <c r="P26" i="19" s="1"/>
  <c r="O16" i="19"/>
  <c r="O26" i="19" s="1"/>
  <c r="N16" i="19"/>
  <c r="N26" i="19" s="1"/>
  <c r="M16" i="19"/>
  <c r="M26" i="19" s="1"/>
  <c r="K16" i="19"/>
  <c r="K26" i="19" s="1"/>
  <c r="J16" i="19"/>
  <c r="J26" i="19" s="1"/>
  <c r="I16" i="19"/>
  <c r="I26" i="19" s="1"/>
  <c r="H16" i="19"/>
  <c r="H26" i="19" s="1"/>
  <c r="G16" i="19"/>
  <c r="G26" i="19" s="1"/>
  <c r="F16" i="19"/>
  <c r="F26" i="19" s="1"/>
  <c r="E16" i="19"/>
  <c r="E18" i="19" s="1"/>
  <c r="E24" i="19" s="1"/>
  <c r="P18" i="19"/>
  <c r="P24" i="19" s="1"/>
  <c r="O18" i="19"/>
  <c r="O24" i="19" s="1"/>
  <c r="N18" i="19"/>
  <c r="N24" i="19" s="1"/>
  <c r="M18" i="19"/>
  <c r="M24" i="19" s="1"/>
  <c r="K18" i="19"/>
  <c r="K24" i="19" s="1"/>
  <c r="J18" i="19"/>
  <c r="J24" i="19" s="1"/>
  <c r="I18" i="19"/>
  <c r="I24" i="19" s="1"/>
  <c r="H18" i="19"/>
  <c r="H24" i="19" s="1"/>
  <c r="G18" i="19"/>
  <c r="G24" i="19" s="1"/>
  <c r="F18" i="19"/>
  <c r="F24" i="19" s="1"/>
  <c r="C29" i="19"/>
  <c r="C30" i="19" s="1"/>
  <c r="C2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C22" i="19"/>
  <c r="C35" i="19"/>
  <c r="C37" i="19" s="1"/>
  <c r="C14" i="19"/>
  <c r="C16" i="19" s="1"/>
  <c r="G28" i="21" l="1"/>
  <c r="G30" i="21" s="1"/>
  <c r="G34" i="21" s="1"/>
  <c r="K28" i="21"/>
  <c r="K30" i="21" s="1"/>
  <c r="K34" i="21" s="1"/>
  <c r="D28" i="21"/>
  <c r="D30" i="21" s="1"/>
  <c r="D34" i="21" s="1"/>
  <c r="H30" i="21"/>
  <c r="H34" i="21" s="1"/>
  <c r="L28" i="21"/>
  <c r="L30" i="21" s="1"/>
  <c r="L34" i="21" s="1"/>
  <c r="E28" i="21"/>
  <c r="E30" i="21" s="1"/>
  <c r="E34" i="21" s="1"/>
  <c r="I30" i="21"/>
  <c r="I34" i="21" s="1"/>
  <c r="M28" i="21"/>
  <c r="M30" i="21" s="1"/>
  <c r="M34" i="21" s="1"/>
  <c r="F28" i="21"/>
  <c r="F30" i="21" s="1"/>
  <c r="F34" i="21" s="1"/>
  <c r="J30" i="21"/>
  <c r="J34" i="21" s="1"/>
  <c r="C30" i="21"/>
  <c r="C34" i="21" s="1"/>
  <c r="N30" i="21"/>
  <c r="N34" i="21" s="1"/>
  <c r="L16" i="19"/>
  <c r="E26" i="19"/>
  <c r="J32" i="19"/>
  <c r="N32" i="19"/>
  <c r="C18" i="19"/>
  <c r="C24" i="19" s="1"/>
  <c r="H32" i="19"/>
  <c r="P19" i="18"/>
  <c r="P21" i="18" s="1"/>
  <c r="O19" i="18"/>
  <c r="N19" i="18"/>
  <c r="M19" i="18"/>
  <c r="M21" i="18" s="1"/>
  <c r="L19" i="18"/>
  <c r="L21" i="18" s="1"/>
  <c r="K19" i="18"/>
  <c r="J19" i="18"/>
  <c r="I19" i="18"/>
  <c r="I21" i="18" s="1"/>
  <c r="H19" i="18"/>
  <c r="H21" i="18" s="1"/>
  <c r="G19" i="18"/>
  <c r="F19" i="18"/>
  <c r="E19" i="18"/>
  <c r="E21" i="18" s="1"/>
  <c r="C19" i="18"/>
  <c r="C21" i="18" s="1"/>
  <c r="E15" i="18"/>
  <c r="C8" i="18"/>
  <c r="C13" i="20" l="1"/>
  <c r="L18" i="19"/>
  <c r="L24" i="19" s="1"/>
  <c r="O32" i="19"/>
  <c r="O39" i="19" s="1"/>
  <c r="K32" i="19"/>
  <c r="K39" i="19" s="1"/>
  <c r="F32" i="19"/>
  <c r="F39" i="19" s="1"/>
  <c r="N39" i="19"/>
  <c r="M32" i="19"/>
  <c r="I32" i="19"/>
  <c r="E32" i="19"/>
  <c r="C32" i="19"/>
  <c r="C39" i="19" s="1"/>
  <c r="H39" i="19"/>
  <c r="J39" i="19"/>
  <c r="P32" i="19"/>
  <c r="E23" i="18"/>
  <c r="E26" i="18" s="1"/>
  <c r="F21" i="18"/>
  <c r="J21" i="18"/>
  <c r="N21" i="18"/>
  <c r="N23" i="18" s="1"/>
  <c r="N26" i="18" s="1"/>
  <c r="G21" i="18"/>
  <c r="K21" i="18"/>
  <c r="O21" i="18"/>
  <c r="O23" i="18" s="1"/>
  <c r="O26" i="18" s="1"/>
  <c r="P15" i="18"/>
  <c r="O15" i="18"/>
  <c r="N15" i="18"/>
  <c r="M15" i="18"/>
  <c r="L15" i="18"/>
  <c r="K15" i="18"/>
  <c r="J15" i="18"/>
  <c r="I15" i="18"/>
  <c r="H15" i="18"/>
  <c r="G15" i="18"/>
  <c r="F15" i="18"/>
  <c r="C15" i="18"/>
  <c r="O11" i="17"/>
  <c r="N11" i="17"/>
  <c r="M11" i="17"/>
  <c r="L11" i="17"/>
  <c r="L14" i="17" s="1"/>
  <c r="K11" i="17"/>
  <c r="J11" i="17"/>
  <c r="I11" i="17"/>
  <c r="H11" i="17"/>
  <c r="H14" i="17" s="1"/>
  <c r="G11" i="17"/>
  <c r="F11" i="17"/>
  <c r="F14" i="17" s="1"/>
  <c r="E11" i="17"/>
  <c r="E14" i="17" s="1"/>
  <c r="P11" i="17"/>
  <c r="P14" i="17" s="1"/>
  <c r="C11" i="17"/>
  <c r="C14" i="17" s="1"/>
  <c r="C16" i="17" s="1"/>
  <c r="O14" i="17"/>
  <c r="N14" i="17"/>
  <c r="M14" i="17"/>
  <c r="K14" i="17"/>
  <c r="J14" i="17"/>
  <c r="I14" i="17"/>
  <c r="G14" i="17"/>
  <c r="C14" i="16"/>
  <c r="C17" i="16" s="1"/>
  <c r="C19" i="16" s="1"/>
  <c r="P12" i="16"/>
  <c r="P14" i="16" s="1"/>
  <c r="P17" i="16" s="1"/>
  <c r="O12" i="16"/>
  <c r="O14" i="16" s="1"/>
  <c r="O17" i="16" s="1"/>
  <c r="N12" i="16"/>
  <c r="N14" i="16" s="1"/>
  <c r="N17" i="16" s="1"/>
  <c r="M12" i="16"/>
  <c r="M14" i="16" s="1"/>
  <c r="M17" i="16" s="1"/>
  <c r="L12" i="16"/>
  <c r="L14" i="16" s="1"/>
  <c r="L17" i="16" s="1"/>
  <c r="K12" i="16"/>
  <c r="K14" i="16" s="1"/>
  <c r="K17" i="16" s="1"/>
  <c r="J12" i="16"/>
  <c r="J14" i="16" s="1"/>
  <c r="J17" i="16" s="1"/>
  <c r="I12" i="16"/>
  <c r="I14" i="16" s="1"/>
  <c r="I17" i="16" s="1"/>
  <c r="H12" i="16"/>
  <c r="H14" i="16" s="1"/>
  <c r="H17" i="16" s="1"/>
  <c r="G12" i="16"/>
  <c r="G14" i="16" s="1"/>
  <c r="G17" i="16" s="1"/>
  <c r="C20" i="16" s="1"/>
  <c r="F12" i="16"/>
  <c r="F14" i="16" s="1"/>
  <c r="F17" i="16" s="1"/>
  <c r="E12" i="16"/>
  <c r="E14" i="16" s="1"/>
  <c r="E17" i="16" s="1"/>
  <c r="C12" i="16"/>
  <c r="C12" i="15"/>
  <c r="C20" i="15"/>
  <c r="G17" i="15"/>
  <c r="P14" i="15"/>
  <c r="P17" i="15" s="1"/>
  <c r="F14" i="15"/>
  <c r="F17" i="15" s="1"/>
  <c r="P12" i="15"/>
  <c r="O12" i="15"/>
  <c r="O14" i="15" s="1"/>
  <c r="N12" i="15"/>
  <c r="N14" i="15" s="1"/>
  <c r="M12" i="15"/>
  <c r="M14" i="15" s="1"/>
  <c r="M17" i="15" s="1"/>
  <c r="L12" i="15"/>
  <c r="L14" i="15" s="1"/>
  <c r="K12" i="15"/>
  <c r="K14" i="15" s="1"/>
  <c r="J12" i="15"/>
  <c r="J14" i="15" s="1"/>
  <c r="I12" i="15"/>
  <c r="I14" i="15" s="1"/>
  <c r="I17" i="15" s="1"/>
  <c r="H12" i="15"/>
  <c r="H14" i="15" s="1"/>
  <c r="G12" i="15"/>
  <c r="G14" i="15" s="1"/>
  <c r="F12" i="15"/>
  <c r="E12" i="15"/>
  <c r="E14" i="15" s="1"/>
  <c r="E17" i="15" s="1"/>
  <c r="C14" i="15"/>
  <c r="C17" i="15" s="1"/>
  <c r="C19" i="15" s="1"/>
  <c r="O10" i="15"/>
  <c r="N10" i="15"/>
  <c r="L10" i="15"/>
  <c r="K10" i="15"/>
  <c r="J10" i="15"/>
  <c r="H10" i="15"/>
  <c r="C21" i="20" l="1"/>
  <c r="L26" i="19"/>
  <c r="L32" i="19"/>
  <c r="L39" i="19" s="1"/>
  <c r="C42" i="19" s="1"/>
  <c r="G32" i="19"/>
  <c r="G39" i="19" s="1"/>
  <c r="E39" i="19"/>
  <c r="I39" i="19"/>
  <c r="M39" i="19"/>
  <c r="P39" i="19"/>
  <c r="C41" i="19"/>
  <c r="C43" i="19" s="1"/>
  <c r="J23" i="18"/>
  <c r="J26" i="18" s="1"/>
  <c r="K23" i="18"/>
  <c r="K26" i="18" s="1"/>
  <c r="C29" i="18" s="1"/>
  <c r="F23" i="18"/>
  <c r="F26" i="18" s="1"/>
  <c r="C28" i="18"/>
  <c r="C30" i="18" s="1"/>
  <c r="H23" i="18"/>
  <c r="H26" i="18" s="1"/>
  <c r="L23" i="18"/>
  <c r="L26" i="18" s="1"/>
  <c r="M23" i="18"/>
  <c r="M26" i="18" s="1"/>
  <c r="C23" i="18"/>
  <c r="C26" i="18" s="1"/>
  <c r="P23" i="18"/>
  <c r="P26" i="18" s="1"/>
  <c r="I23" i="18"/>
  <c r="I26" i="18" s="1"/>
  <c r="G23" i="18"/>
  <c r="G26" i="18" s="1"/>
  <c r="C17" i="17"/>
  <c r="C18" i="17" s="1"/>
  <c r="C21" i="16"/>
  <c r="K17" i="15"/>
  <c r="H17" i="15"/>
  <c r="L17" i="15"/>
  <c r="O17" i="15"/>
  <c r="J17" i="15"/>
  <c r="N17" i="15"/>
  <c r="C21" i="15"/>
  <c r="C7" i="14"/>
  <c r="O15" i="14" s="1"/>
  <c r="O18" i="14" s="1"/>
  <c r="C21" i="14" s="1"/>
  <c r="K18" i="14"/>
  <c r="I18" i="14"/>
  <c r="G18" i="14"/>
  <c r="E18" i="14"/>
  <c r="C17" i="20" l="1"/>
  <c r="C22" i="14"/>
  <c r="C15" i="14"/>
  <c r="M18" i="14"/>
  <c r="C18" i="14"/>
  <c r="C20" i="14" s="1"/>
  <c r="H18" i="14"/>
  <c r="L18" i="14"/>
  <c r="P18" i="14"/>
  <c r="F18" i="14"/>
  <c r="J18" i="14"/>
  <c r="N18" i="14"/>
  <c r="C23" i="20" l="1"/>
  <c r="C27" i="20" s="1"/>
  <c r="C18" i="12"/>
  <c r="O15" i="12"/>
  <c r="N15" i="12"/>
  <c r="M15" i="12"/>
  <c r="L15" i="12"/>
  <c r="K15" i="12"/>
  <c r="J15" i="12"/>
  <c r="I15" i="12"/>
  <c r="H15" i="12"/>
  <c r="G15" i="12"/>
  <c r="F15" i="12"/>
  <c r="E15" i="12"/>
  <c r="P12" i="12"/>
  <c r="P15" i="12" s="1"/>
  <c r="C12" i="12"/>
  <c r="C15" i="12" s="1"/>
  <c r="C17" i="12" s="1"/>
  <c r="E15" i="11"/>
  <c r="P10" i="11"/>
  <c r="C12" i="11"/>
  <c r="C15" i="11" s="1"/>
  <c r="C17" i="11" s="1"/>
  <c r="P12" i="11"/>
  <c r="P15" i="11" s="1"/>
  <c r="O12" i="11"/>
  <c r="O15" i="11" s="1"/>
  <c r="N12" i="11"/>
  <c r="N15" i="11" s="1"/>
  <c r="M12" i="11"/>
  <c r="M15" i="11" s="1"/>
  <c r="L12" i="11"/>
  <c r="L15" i="11" s="1"/>
  <c r="K12" i="11"/>
  <c r="K15" i="11" s="1"/>
  <c r="J12" i="11"/>
  <c r="J15" i="11" s="1"/>
  <c r="I12" i="11"/>
  <c r="I15" i="11" s="1"/>
  <c r="H12" i="11"/>
  <c r="H15" i="11" s="1"/>
  <c r="G12" i="11"/>
  <c r="G15" i="11" s="1"/>
  <c r="F12" i="11"/>
  <c r="F15" i="11" s="1"/>
  <c r="E12" i="11"/>
  <c r="C23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N14" i="10"/>
  <c r="L18" i="10"/>
  <c r="C7" i="10"/>
  <c r="K18" i="10" s="1"/>
  <c r="I14" i="10"/>
  <c r="C16" i="10"/>
  <c r="C20" i="10"/>
  <c r="C12" i="9"/>
  <c r="C15" i="9"/>
  <c r="C17" i="9" s="1"/>
  <c r="P10" i="9"/>
  <c r="P12" i="9" s="1"/>
  <c r="P15" i="9" s="1"/>
  <c r="O10" i="9"/>
  <c r="O12" i="9" s="1"/>
  <c r="O15" i="9" s="1"/>
  <c r="N10" i="9"/>
  <c r="N12" i="9" s="1"/>
  <c r="N15" i="9" s="1"/>
  <c r="M10" i="9"/>
  <c r="M12" i="9" s="1"/>
  <c r="M15" i="9" s="1"/>
  <c r="C18" i="9" s="1"/>
  <c r="L10" i="9"/>
  <c r="L12" i="9" s="1"/>
  <c r="L15" i="9" s="1"/>
  <c r="K10" i="9"/>
  <c r="K12" i="9" s="1"/>
  <c r="K15" i="9" s="1"/>
  <c r="J10" i="9"/>
  <c r="J12" i="9" s="1"/>
  <c r="J15" i="9" s="1"/>
  <c r="I10" i="9"/>
  <c r="I12" i="9" s="1"/>
  <c r="I15" i="9" s="1"/>
  <c r="H10" i="9"/>
  <c r="H12" i="9" s="1"/>
  <c r="H15" i="9" s="1"/>
  <c r="G10" i="9"/>
  <c r="G12" i="9" s="1"/>
  <c r="G15" i="9" s="1"/>
  <c r="F10" i="9"/>
  <c r="F12" i="9" s="1"/>
  <c r="F15" i="9" s="1"/>
  <c r="E10" i="9"/>
  <c r="E12" i="9" s="1"/>
  <c r="E15" i="9" s="1"/>
  <c r="C18" i="8"/>
  <c r="P10" i="8"/>
  <c r="O10" i="8"/>
  <c r="N10" i="8"/>
  <c r="M10" i="8"/>
  <c r="L10" i="8"/>
  <c r="K10" i="8"/>
  <c r="J10" i="8"/>
  <c r="I10" i="8"/>
  <c r="H10" i="8"/>
  <c r="G10" i="8"/>
  <c r="F10" i="8"/>
  <c r="E10" i="8"/>
  <c r="P12" i="8"/>
  <c r="O12" i="8"/>
  <c r="N12" i="8"/>
  <c r="M12" i="8"/>
  <c r="L12" i="8"/>
  <c r="K12" i="8"/>
  <c r="J12" i="8"/>
  <c r="I12" i="8"/>
  <c r="H12" i="8"/>
  <c r="G12" i="8"/>
  <c r="F12" i="8"/>
  <c r="E12" i="8"/>
  <c r="C12" i="8"/>
  <c r="C19" i="12" l="1"/>
  <c r="C18" i="11"/>
  <c r="C19" i="11"/>
  <c r="G14" i="10"/>
  <c r="C22" i="10"/>
  <c r="C24" i="10" s="1"/>
  <c r="C19" i="9"/>
  <c r="L15" i="8"/>
  <c r="K15" i="8"/>
  <c r="J15" i="8"/>
  <c r="H15" i="8"/>
  <c r="G15" i="8"/>
  <c r="F15" i="8"/>
  <c r="P15" i="8" l="1"/>
  <c r="N15" i="8"/>
  <c r="C15" i="8"/>
  <c r="C17" i="8" s="1"/>
  <c r="O15" i="8"/>
  <c r="E15" i="8"/>
  <c r="I15" i="8"/>
  <c r="M15" i="8"/>
  <c r="P21" i="7"/>
  <c r="O21" i="7"/>
  <c r="N21" i="7"/>
  <c r="M21" i="7"/>
  <c r="L21" i="7"/>
  <c r="K21" i="7"/>
  <c r="J21" i="7"/>
  <c r="I21" i="7"/>
  <c r="H21" i="7"/>
  <c r="G21" i="7"/>
  <c r="F21" i="7"/>
  <c r="E21" i="7"/>
  <c r="P20" i="7"/>
  <c r="O20" i="7"/>
  <c r="N20" i="7"/>
  <c r="M20" i="7"/>
  <c r="L20" i="7"/>
  <c r="K20" i="7"/>
  <c r="J20" i="7"/>
  <c r="I20" i="7"/>
  <c r="H20" i="7"/>
  <c r="G20" i="7"/>
  <c r="F20" i="7"/>
  <c r="E20" i="7"/>
  <c r="C21" i="7"/>
  <c r="C20" i="7"/>
  <c r="C19" i="8" l="1"/>
  <c r="K22" i="7"/>
  <c r="K25" i="7" s="1"/>
  <c r="J22" i="7"/>
  <c r="J25" i="7" s="1"/>
  <c r="G22" i="7"/>
  <c r="G25" i="7" s="1"/>
  <c r="F22" i="7"/>
  <c r="F25" i="7" s="1"/>
  <c r="P22" i="7"/>
  <c r="P25" i="7" s="1"/>
  <c r="O22" i="7"/>
  <c r="O25" i="7" s="1"/>
  <c r="N22" i="7"/>
  <c r="N25" i="7" s="1"/>
  <c r="L22" i="7"/>
  <c r="L25" i="7" s="1"/>
  <c r="H22" i="7"/>
  <c r="H25" i="7" s="1"/>
  <c r="P28" i="4"/>
  <c r="C28" i="4"/>
  <c r="P25" i="5"/>
  <c r="C25" i="5"/>
  <c r="P30" i="5"/>
  <c r="C30" i="5"/>
  <c r="C9" i="7"/>
  <c r="C22" i="7" l="1"/>
  <c r="C25" i="7" s="1"/>
  <c r="E22" i="7"/>
  <c r="E25" i="7" s="1"/>
  <c r="I22" i="7"/>
  <c r="I25" i="7" s="1"/>
  <c r="M22" i="7"/>
  <c r="M25" i="7" s="1"/>
  <c r="C28" i="7" s="1"/>
  <c r="P37" i="6"/>
  <c r="O37" i="6"/>
  <c r="N37" i="6"/>
  <c r="L37" i="6"/>
  <c r="K37" i="6"/>
  <c r="J37" i="6"/>
  <c r="H37" i="6"/>
  <c r="G37" i="6"/>
  <c r="F37" i="6"/>
  <c r="E37" i="6"/>
  <c r="J34" i="6"/>
  <c r="P30" i="6"/>
  <c r="N30" i="6"/>
  <c r="M30" i="6"/>
  <c r="L30" i="6"/>
  <c r="J30" i="6"/>
  <c r="I30" i="6"/>
  <c r="H30" i="6"/>
  <c r="F30" i="6"/>
  <c r="P29" i="6"/>
  <c r="O29" i="6"/>
  <c r="O30" i="6" s="1"/>
  <c r="N29" i="6"/>
  <c r="M29" i="6"/>
  <c r="L29" i="6"/>
  <c r="K29" i="6"/>
  <c r="K30" i="6" s="1"/>
  <c r="J29" i="6"/>
  <c r="I29" i="6"/>
  <c r="H29" i="6"/>
  <c r="G29" i="6"/>
  <c r="G30" i="6" s="1"/>
  <c r="F29" i="6"/>
  <c r="P26" i="6"/>
  <c r="O26" i="6"/>
  <c r="N26" i="6"/>
  <c r="N32" i="6" s="1"/>
  <c r="N34" i="6" s="1"/>
  <c r="M26" i="6"/>
  <c r="L26" i="6"/>
  <c r="L32" i="6" s="1"/>
  <c r="K26" i="6"/>
  <c r="J26" i="6"/>
  <c r="J32" i="6" s="1"/>
  <c r="I26" i="6"/>
  <c r="H26" i="6"/>
  <c r="H32" i="6" s="1"/>
  <c r="G26" i="6"/>
  <c r="F26" i="6"/>
  <c r="F32" i="6" s="1"/>
  <c r="E30" i="6"/>
  <c r="E29" i="6"/>
  <c r="E26" i="6"/>
  <c r="C26" i="6"/>
  <c r="C32" i="6" s="1"/>
  <c r="P17" i="6"/>
  <c r="P23" i="6" s="1"/>
  <c r="O17" i="6"/>
  <c r="N17" i="6"/>
  <c r="N23" i="6" s="1"/>
  <c r="M17" i="6"/>
  <c r="M23" i="6" s="1"/>
  <c r="L17" i="6"/>
  <c r="L23" i="6" s="1"/>
  <c r="K17" i="6"/>
  <c r="J17" i="6"/>
  <c r="J23" i="6" s="1"/>
  <c r="I17" i="6"/>
  <c r="I23" i="6" s="1"/>
  <c r="H17" i="6"/>
  <c r="H23" i="6" s="1"/>
  <c r="G17" i="6"/>
  <c r="F17" i="6"/>
  <c r="F23" i="6" s="1"/>
  <c r="F34" i="6" s="1"/>
  <c r="O23" i="6"/>
  <c r="K23" i="6"/>
  <c r="G23" i="6"/>
  <c r="E17" i="6"/>
  <c r="E23" i="6" s="1"/>
  <c r="P21" i="6"/>
  <c r="O21" i="6"/>
  <c r="M21" i="6"/>
  <c r="L21" i="6"/>
  <c r="K21" i="6"/>
  <c r="I21" i="6"/>
  <c r="H21" i="6"/>
  <c r="G21" i="6"/>
  <c r="P20" i="6"/>
  <c r="O20" i="6"/>
  <c r="N20" i="6"/>
  <c r="N21" i="6" s="1"/>
  <c r="M20" i="6"/>
  <c r="L20" i="6"/>
  <c r="K20" i="6"/>
  <c r="J20" i="6"/>
  <c r="J21" i="6" s="1"/>
  <c r="I20" i="6"/>
  <c r="H20" i="6"/>
  <c r="G20" i="6"/>
  <c r="F20" i="6"/>
  <c r="F21" i="6" s="1"/>
  <c r="E20" i="6"/>
  <c r="E21" i="6" s="1"/>
  <c r="C17" i="6"/>
  <c r="C29" i="6"/>
  <c r="C30" i="6"/>
  <c r="C20" i="6"/>
  <c r="C21" i="6" s="1"/>
  <c r="P35" i="5"/>
  <c r="O35" i="5"/>
  <c r="N35" i="5"/>
  <c r="M35" i="5"/>
  <c r="L35" i="5"/>
  <c r="K35" i="5"/>
  <c r="J35" i="5"/>
  <c r="I35" i="5"/>
  <c r="G35" i="5"/>
  <c r="E35" i="5"/>
  <c r="G32" i="5"/>
  <c r="P31" i="5"/>
  <c r="O31" i="5"/>
  <c r="N31" i="5"/>
  <c r="M31" i="5"/>
  <c r="L31" i="5"/>
  <c r="K31" i="5"/>
  <c r="J31" i="5"/>
  <c r="I31" i="5"/>
  <c r="H31" i="5"/>
  <c r="G31" i="5"/>
  <c r="F31" i="5"/>
  <c r="E31" i="5"/>
  <c r="E32" i="5" s="1"/>
  <c r="C6" i="5"/>
  <c r="C31" i="5"/>
  <c r="C16" i="5"/>
  <c r="P26" i="5"/>
  <c r="O26" i="5"/>
  <c r="O27" i="5" s="1"/>
  <c r="O32" i="5" s="1"/>
  <c r="N26" i="5"/>
  <c r="N27" i="5" s="1"/>
  <c r="M26" i="5"/>
  <c r="M27" i="5" s="1"/>
  <c r="L26" i="5"/>
  <c r="L27" i="5" s="1"/>
  <c r="K26" i="5"/>
  <c r="K27" i="5" s="1"/>
  <c r="J26" i="5"/>
  <c r="J27" i="5" s="1"/>
  <c r="I26" i="5"/>
  <c r="I27" i="5" s="1"/>
  <c r="H26" i="5"/>
  <c r="H27" i="5" s="1"/>
  <c r="G26" i="5"/>
  <c r="G27" i="5" s="1"/>
  <c r="F26" i="5"/>
  <c r="F27" i="5" s="1"/>
  <c r="E26" i="5"/>
  <c r="E27" i="5" s="1"/>
  <c r="C26" i="5"/>
  <c r="C27" i="5" s="1"/>
  <c r="P30" i="4"/>
  <c r="C30" i="4"/>
  <c r="O30" i="4"/>
  <c r="N30" i="4"/>
  <c r="M30" i="4"/>
  <c r="L30" i="4"/>
  <c r="K30" i="4"/>
  <c r="J30" i="4"/>
  <c r="I30" i="4"/>
  <c r="H30" i="4"/>
  <c r="G30" i="4"/>
  <c r="F30" i="4"/>
  <c r="E30" i="4"/>
  <c r="C19" i="4"/>
  <c r="O17" i="3"/>
  <c r="N17" i="3"/>
  <c r="M17" i="3"/>
  <c r="L17" i="3"/>
  <c r="K17" i="3"/>
  <c r="J17" i="3"/>
  <c r="I17" i="3"/>
  <c r="H17" i="3"/>
  <c r="G17" i="3"/>
  <c r="F17" i="3"/>
  <c r="E17" i="3"/>
  <c r="P15" i="3"/>
  <c r="P17" i="3" s="1"/>
  <c r="C15" i="3"/>
  <c r="C17" i="3" s="1"/>
  <c r="H34" i="6" l="1"/>
  <c r="L34" i="6"/>
  <c r="E32" i="6"/>
  <c r="E34" i="6"/>
  <c r="M32" i="6"/>
  <c r="M34" i="6" s="1"/>
  <c r="M37" i="6" s="1"/>
  <c r="I32" i="6"/>
  <c r="I34" i="6" s="1"/>
  <c r="I37" i="6" s="1"/>
  <c r="P32" i="6"/>
  <c r="P34" i="6" s="1"/>
  <c r="G32" i="6"/>
  <c r="G34" i="6" s="1"/>
  <c r="K32" i="6"/>
  <c r="K34" i="6" s="1"/>
  <c r="O32" i="6"/>
  <c r="O34" i="6" s="1"/>
  <c r="C23" i="6"/>
  <c r="C34" i="6" s="1"/>
  <c r="C37" i="6" s="1"/>
  <c r="C39" i="6" s="1"/>
  <c r="P27" i="5"/>
  <c r="I32" i="5"/>
  <c r="M32" i="5"/>
  <c r="F32" i="5"/>
  <c r="J32" i="5"/>
  <c r="N32" i="5"/>
  <c r="K32" i="5"/>
  <c r="H32" i="5"/>
  <c r="H35" i="5" s="1"/>
  <c r="C38" i="5" s="1"/>
  <c r="L32" i="5"/>
  <c r="P32" i="5"/>
  <c r="C32" i="5"/>
  <c r="C35" i="5" s="1"/>
  <c r="C37" i="5" s="1"/>
  <c r="F35" i="5"/>
  <c r="E29" i="4"/>
  <c r="C6" i="4"/>
  <c r="P36" i="4"/>
  <c r="O36" i="4"/>
  <c r="N36" i="4"/>
  <c r="M36" i="4"/>
  <c r="L36" i="4"/>
  <c r="K36" i="4"/>
  <c r="J36" i="4"/>
  <c r="I36" i="4"/>
  <c r="H36" i="4"/>
  <c r="G36" i="4"/>
  <c r="E36" i="4"/>
  <c r="P29" i="4"/>
  <c r="O29" i="4"/>
  <c r="O33" i="4" s="1"/>
  <c r="N29" i="4"/>
  <c r="N33" i="4" s="1"/>
  <c r="M29" i="4"/>
  <c r="M33" i="4" s="1"/>
  <c r="L29" i="4"/>
  <c r="K29" i="4"/>
  <c r="K33" i="4" s="1"/>
  <c r="J29" i="4"/>
  <c r="I29" i="4"/>
  <c r="I33" i="4" s="1"/>
  <c r="H29" i="4"/>
  <c r="H33" i="4" s="1"/>
  <c r="G29" i="4"/>
  <c r="F29" i="4"/>
  <c r="F33" i="4" s="1"/>
  <c r="F36" i="4" s="1"/>
  <c r="C39" i="4" s="1"/>
  <c r="C29" i="4"/>
  <c r="C36" i="4" s="1"/>
  <c r="C38" i="4" s="1"/>
  <c r="C27" i="7" l="1"/>
  <c r="C40" i="6"/>
  <c r="C41" i="6" s="1"/>
  <c r="C39" i="5"/>
  <c r="C40" i="4"/>
  <c r="O23" i="3"/>
  <c r="N23" i="3"/>
  <c r="M23" i="3"/>
  <c r="K23" i="3"/>
  <c r="H23" i="3"/>
  <c r="F23" i="3"/>
  <c r="C16" i="3"/>
  <c r="P16" i="3"/>
  <c r="O16" i="3"/>
  <c r="O20" i="3" s="1"/>
  <c r="N16" i="3"/>
  <c r="N20" i="3" s="1"/>
  <c r="M16" i="3"/>
  <c r="M20" i="3" s="1"/>
  <c r="L16" i="3"/>
  <c r="K16" i="3"/>
  <c r="K20" i="3" s="1"/>
  <c r="J16" i="3"/>
  <c r="I16" i="3"/>
  <c r="I20" i="3" s="1"/>
  <c r="I23" i="3" s="1"/>
  <c r="C26" i="3" s="1"/>
  <c r="H16" i="3"/>
  <c r="H20" i="3" s="1"/>
  <c r="G16" i="3"/>
  <c r="F16" i="3"/>
  <c r="F20" i="3" s="1"/>
  <c r="E16" i="3"/>
  <c r="P14" i="2"/>
  <c r="P16" i="2" s="1"/>
  <c r="P18" i="2" s="1"/>
  <c r="P20" i="2" s="1"/>
  <c r="O14" i="2"/>
  <c r="O16" i="2" s="1"/>
  <c r="O18" i="2" s="1"/>
  <c r="O20" i="2" s="1"/>
  <c r="N14" i="2"/>
  <c r="N16" i="2" s="1"/>
  <c r="N18" i="2" s="1"/>
  <c r="N20" i="2" s="1"/>
  <c r="M14" i="2"/>
  <c r="M16" i="2" s="1"/>
  <c r="M18" i="2" s="1"/>
  <c r="M20" i="2" s="1"/>
  <c r="L14" i="2"/>
  <c r="K14" i="2"/>
  <c r="K16" i="2" s="1"/>
  <c r="K18" i="2" s="1"/>
  <c r="K20" i="2" s="1"/>
  <c r="J14" i="2"/>
  <c r="J16" i="2" s="1"/>
  <c r="J18" i="2" s="1"/>
  <c r="J20" i="2" s="1"/>
  <c r="I14" i="2"/>
  <c r="H14" i="2"/>
  <c r="G14" i="2"/>
  <c r="F14" i="2"/>
  <c r="E14" i="2"/>
  <c r="C8" i="3"/>
  <c r="P23" i="3"/>
  <c r="L23" i="3"/>
  <c r="J23" i="3"/>
  <c r="G23" i="3"/>
  <c r="E23" i="3"/>
  <c r="P22" i="2"/>
  <c r="O22" i="2"/>
  <c r="N22" i="2"/>
  <c r="M22" i="2"/>
  <c r="L22" i="2"/>
  <c r="K22" i="2"/>
  <c r="J22" i="2"/>
  <c r="I22" i="2"/>
  <c r="H22" i="2"/>
  <c r="G22" i="2"/>
  <c r="E22" i="2"/>
  <c r="L16" i="2"/>
  <c r="L18" i="2" s="1"/>
  <c r="L20" i="2" s="1"/>
  <c r="I16" i="2"/>
  <c r="I18" i="2" s="1"/>
  <c r="I20" i="2" s="1"/>
  <c r="H16" i="2"/>
  <c r="H18" i="2" s="1"/>
  <c r="H20" i="2" s="1"/>
  <c r="G16" i="2"/>
  <c r="G18" i="2" s="1"/>
  <c r="G20" i="2" s="1"/>
  <c r="F16" i="2"/>
  <c r="F18" i="2" s="1"/>
  <c r="F20" i="2" s="1"/>
  <c r="F22" i="2" s="1"/>
  <c r="E16" i="2"/>
  <c r="E18" i="2" s="1"/>
  <c r="E20" i="2" s="1"/>
  <c r="C14" i="2"/>
  <c r="C16" i="2" s="1"/>
  <c r="C18" i="2" s="1"/>
  <c r="C20" i="2" s="1"/>
  <c r="C22" i="2" s="1"/>
  <c r="C24" i="2" s="1"/>
  <c r="C6" i="2"/>
  <c r="C29" i="7" l="1"/>
  <c r="C23" i="3"/>
  <c r="C25" i="3" s="1"/>
  <c r="C27" i="3" s="1"/>
  <c r="C25" i="2"/>
  <c r="C26" i="2" s="1"/>
</calcChain>
</file>

<file path=xl/sharedStrings.xml><?xml version="1.0" encoding="utf-8"?>
<sst xmlns="http://schemas.openxmlformats.org/spreadsheetml/2006/main" count="1211" uniqueCount="206">
  <si>
    <t>Non-refundable tax credit</t>
  </si>
  <si>
    <t>Federal</t>
  </si>
  <si>
    <t>Adoption Tax Credit</t>
  </si>
  <si>
    <t>Canada employment credit</t>
  </si>
  <si>
    <t>Public transit credit</t>
  </si>
  <si>
    <t>Home buyer's credit</t>
  </si>
  <si>
    <t>ON</t>
  </si>
  <si>
    <t>AB</t>
  </si>
  <si>
    <t>BC</t>
  </si>
  <si>
    <t>MB</t>
  </si>
  <si>
    <t>NB</t>
  </si>
  <si>
    <t>NL</t>
  </si>
  <si>
    <t>NT</t>
  </si>
  <si>
    <t>NS</t>
  </si>
  <si>
    <t>NU</t>
  </si>
  <si>
    <t>PEI</t>
  </si>
  <si>
    <t>SK</t>
  </si>
  <si>
    <t>YU</t>
  </si>
  <si>
    <t>Spousal or common-law credit</t>
  </si>
  <si>
    <t>Age credit</t>
  </si>
  <si>
    <t>Eligible dependant credit</t>
  </si>
  <si>
    <t>Family caregiver credit</t>
  </si>
  <si>
    <t>Pension income credit</t>
  </si>
  <si>
    <t>Caregiver credit</t>
  </si>
  <si>
    <t>x</t>
  </si>
  <si>
    <t>Federal political contribution credit</t>
  </si>
  <si>
    <t>Education coaching credit</t>
  </si>
  <si>
    <t>Volunteer firefighters' credit</t>
  </si>
  <si>
    <t>Form 479</t>
  </si>
  <si>
    <t>Are you over age 65?</t>
  </si>
  <si>
    <t>Yes</t>
  </si>
  <si>
    <t>No</t>
  </si>
  <si>
    <t>Maximum amount</t>
  </si>
  <si>
    <t>Total income</t>
  </si>
  <si>
    <t>Base amount</t>
  </si>
  <si>
    <t>Applicable rate</t>
  </si>
  <si>
    <t>A</t>
  </si>
  <si>
    <t>B</t>
  </si>
  <si>
    <t>Net</t>
  </si>
  <si>
    <t>A-B</t>
  </si>
  <si>
    <t>Non-refundable rate</t>
  </si>
  <si>
    <t>Done</t>
  </si>
  <si>
    <t>Alberta</t>
  </si>
  <si>
    <t>Province</t>
  </si>
  <si>
    <t>British Columbia</t>
  </si>
  <si>
    <t>Manitoba</t>
  </si>
  <si>
    <t>New Brunswick</t>
  </si>
  <si>
    <t>Newfoundland &amp; Labrador</t>
  </si>
  <si>
    <t>Northwest Territories</t>
  </si>
  <si>
    <t>Nova Scotia</t>
  </si>
  <si>
    <t>Nunavut</t>
  </si>
  <si>
    <t>Ontario</t>
  </si>
  <si>
    <t>Prince Edward Island</t>
  </si>
  <si>
    <t>Saskatchewan</t>
  </si>
  <si>
    <t>Yukon</t>
  </si>
  <si>
    <t>Provincial</t>
  </si>
  <si>
    <t>Total age credit</t>
  </si>
  <si>
    <t>Eligible for credit?</t>
  </si>
  <si>
    <t>Marital status</t>
  </si>
  <si>
    <t>Married</t>
  </si>
  <si>
    <t>Widowed</t>
  </si>
  <si>
    <t>Divorced</t>
  </si>
  <si>
    <t>Separated</t>
  </si>
  <si>
    <t>Single</t>
  </si>
  <si>
    <t>Common-law</t>
  </si>
  <si>
    <t>Spouse or common-law partner's net income</t>
  </si>
  <si>
    <t>Only pop up if selected Married or Common-law</t>
  </si>
  <si>
    <t>Maximum</t>
  </si>
  <si>
    <t>Lessor of:</t>
  </si>
  <si>
    <t>This doesn't affect the calculation</t>
  </si>
  <si>
    <t>Eligible dependant's net income</t>
  </si>
  <si>
    <t>These questions only pop up if not married/common-law</t>
  </si>
  <si>
    <t>Are you supporting your parent or grandparent?</t>
  </si>
  <si>
    <t>Are you supporting your child, grandchild, brother, or sister?</t>
  </si>
  <si>
    <t>Is your child, grandchild, brother, or sister under age 18?</t>
  </si>
  <si>
    <t>Is your child, grandchild, brother, or sister physically or mentally impaired?</t>
  </si>
  <si>
    <t>Spouse amount</t>
  </si>
  <si>
    <t>Spouse or common-law partner physically or mentally impaired?</t>
  </si>
  <si>
    <t>Family caregiver amount</t>
  </si>
  <si>
    <t>C</t>
  </si>
  <si>
    <t>A+B-C</t>
  </si>
  <si>
    <t>Dependant amount</t>
  </si>
  <si>
    <t>Only pop up if yes to previous question</t>
  </si>
  <si>
    <t>Is your parent or grandparent physically or mentally impaired?</t>
  </si>
  <si>
    <t>Only pop up if yes to second previous question</t>
  </si>
  <si>
    <t>Are you supporting your parent or grandparent over age 65?</t>
  </si>
  <si>
    <t>Are you supporting and living with a relative who is physically or mentally impaired?</t>
  </si>
  <si>
    <t>Dependant's net income</t>
  </si>
  <si>
    <t>Infirm</t>
  </si>
  <si>
    <t>D</t>
  </si>
  <si>
    <t>E</t>
  </si>
  <si>
    <t>D or E</t>
  </si>
  <si>
    <t>Tax tips: if credit claimed for eligible dependant is greater than maximum caregiver credit, no caregiver credit is allowed.</t>
  </si>
  <si>
    <t xml:space="preserve">Tax tips: if credit claimed for spousal/common-law, cannot claim this credit. </t>
  </si>
  <si>
    <t>Medical expense credit</t>
  </si>
  <si>
    <t>Medical expense for yourself, spouse/common-law partner, and child under age 18</t>
  </si>
  <si>
    <t>Net income</t>
  </si>
  <si>
    <t>3% of net income</t>
  </si>
  <si>
    <t>Lesser of:</t>
  </si>
  <si>
    <t>A or B</t>
  </si>
  <si>
    <t>Medical expense for parent, grandparent, brother, sister, uncle, aunt, niece or nephew</t>
  </si>
  <si>
    <t>Medical expense for other dependants who are 18 and over</t>
  </si>
  <si>
    <t>Are you claiming medical expense for other dependants?</t>
  </si>
  <si>
    <t>Other dependants net income</t>
  </si>
  <si>
    <t>Only appear if answer "yes" to previous question</t>
  </si>
  <si>
    <t>Medical expense (self, spouse, child)</t>
  </si>
  <si>
    <t>Medical expense (other dependants)</t>
  </si>
  <si>
    <t>C-D</t>
  </si>
  <si>
    <t>F</t>
  </si>
  <si>
    <t>E or F</t>
  </si>
  <si>
    <t>G</t>
  </si>
  <si>
    <t>H</t>
  </si>
  <si>
    <t>G-H</t>
  </si>
  <si>
    <t>Total medical expense</t>
  </si>
  <si>
    <t>Total medical expense credit</t>
  </si>
  <si>
    <t>Total caregiver credit</t>
  </si>
  <si>
    <t>Spousal / common-law credit</t>
  </si>
  <si>
    <t>Total spousal / common-law credit</t>
  </si>
  <si>
    <t>Disability tax credit</t>
  </si>
  <si>
    <t>Did you receive approval of Disability Tax Credit Certificate (T2201) from the CRA?</t>
  </si>
  <si>
    <t>Are you physically or mentally impaired?</t>
  </si>
  <si>
    <t>Disability tax credit for self</t>
  </si>
  <si>
    <t>Are you age 18 and over?</t>
  </si>
  <si>
    <t>For self</t>
  </si>
  <si>
    <t>Under 18</t>
  </si>
  <si>
    <t>This amount is not relevant</t>
  </si>
  <si>
    <t>Supplement for under 18</t>
  </si>
  <si>
    <t>CPP contribution credit</t>
  </si>
  <si>
    <t>CPP paid in the year</t>
  </si>
  <si>
    <t>Total disability tax credit</t>
  </si>
  <si>
    <t>Total CPP contribution credit</t>
  </si>
  <si>
    <t>EI contribution credit</t>
  </si>
  <si>
    <t>EI paid in the year</t>
  </si>
  <si>
    <t>Total EI contribution credit</t>
  </si>
  <si>
    <t>Volunteer firefighter credit</t>
  </si>
  <si>
    <t>Are you a volunteer firefighter?</t>
  </si>
  <si>
    <t>Did you complete at least 200 hours of volunteer firefighter services?</t>
  </si>
  <si>
    <t>Tax Tip: Federal you can only claim either Volunteer Firefighter Credit or Search and Rescue Volunteer Credit</t>
  </si>
  <si>
    <t>Available credit</t>
  </si>
  <si>
    <t>500 on Form 479</t>
  </si>
  <si>
    <t>Tax deduction</t>
  </si>
  <si>
    <t>Employment income</t>
  </si>
  <si>
    <t>Public transit passes</t>
  </si>
  <si>
    <t>Public transit passes paid for yourself</t>
  </si>
  <si>
    <t>Public transit passes paid for your spouse/common-law partner and dependants under age 18</t>
  </si>
  <si>
    <t>Home buyers' credit</t>
  </si>
  <si>
    <t>Did you purchase a home in the current year?</t>
  </si>
  <si>
    <t>Did you own and live in another home at any time in the past 4 years?</t>
  </si>
  <si>
    <t>Tax tips: If shared ownership, the total claim cannot exceed $5,000</t>
  </si>
  <si>
    <t>Total home buyers' credit</t>
  </si>
  <si>
    <t>Adoption credit</t>
  </si>
  <si>
    <t>Adoption expenses paid in the year</t>
  </si>
  <si>
    <t>Tax tips: indicate the types of expenses eligible.</t>
  </si>
  <si>
    <t>Total adoption credit</t>
  </si>
  <si>
    <t>Prescribed amount</t>
  </si>
  <si>
    <t>Pension credit</t>
  </si>
  <si>
    <t>Pension income</t>
  </si>
  <si>
    <t>Student loan interest credit</t>
  </si>
  <si>
    <t>Interest paid on student loan for post-secondary education</t>
  </si>
  <si>
    <t>Total student loan interest credit</t>
  </si>
  <si>
    <t>Tax tips: can be carried forward, file tax receipt</t>
  </si>
  <si>
    <t>Tuition credit</t>
  </si>
  <si>
    <t>Tuition paid for post-secondary education</t>
  </si>
  <si>
    <t>Number of months (part-time)</t>
  </si>
  <si>
    <t>Number of months (full-time)</t>
  </si>
  <si>
    <t>Months enrolled in post-secondary education for the current year:</t>
  </si>
  <si>
    <t>Cannot exceed 12 or error</t>
  </si>
  <si>
    <t>Tuition fee</t>
  </si>
  <si>
    <t>Threshold</t>
  </si>
  <si>
    <t>Basic personal amount</t>
  </si>
  <si>
    <t>Maximum claim</t>
  </si>
  <si>
    <t>Donation tax credit</t>
  </si>
  <si>
    <t>Total donation tax credit</t>
  </si>
  <si>
    <t>Total donation made to registered charities</t>
  </si>
  <si>
    <t>75% of net income</t>
  </si>
  <si>
    <t>First $200</t>
  </si>
  <si>
    <t>Over $200</t>
  </si>
  <si>
    <t>Donation rate</t>
  </si>
  <si>
    <t>Income over 200,000</t>
  </si>
  <si>
    <t xml:space="preserve">Tax tips: can be carried forward, file tax receipt, First-Time Donor Super Credit(FDSC), should combine both spousal donation </t>
  </si>
  <si>
    <t>Federal exception:</t>
  </si>
  <si>
    <t>only appears if married or common-law</t>
  </si>
  <si>
    <t>Did you or your spouse/common-law partner claimed a donation tax credit in any of the past 5 years?</t>
  </si>
  <si>
    <t>First-time donor rate</t>
  </si>
  <si>
    <t>Donation credit</t>
  </si>
  <si>
    <t>Tax tips: If you have a spouse and want to contribute more than $400 in one year, it would be beneficial to make two separate contributions, for greater flexibility in maximizing the tax credit.</t>
  </si>
  <si>
    <t>First $400</t>
  </si>
  <si>
    <t>Over $400 to $750</t>
  </si>
  <si>
    <t>Over $750</t>
  </si>
  <si>
    <t>Total contribution</t>
  </si>
  <si>
    <t>A+B+C</t>
  </si>
  <si>
    <t>Maximum credit</t>
  </si>
  <si>
    <t>Federal political contribution</t>
  </si>
  <si>
    <t>this is irrelevant</t>
  </si>
  <si>
    <t>Provincial and territorial political contribution credit</t>
  </si>
  <si>
    <t>Provincial/Territorial political contribution credit</t>
  </si>
  <si>
    <t>Provincial/territorial political contribution</t>
  </si>
  <si>
    <t xml:space="preserve">Tax tips: All of the tax credits are non-refundable tax credits, except for Ontario and Nunavut, which provide a refundable tax credit for provincial/territorial political contributions.
In BC and Ontario, a contribution can be claimed by either spouse (or common-law partner), but one contribution receipt cannot be split between spouses.
In any other province or territory, a contribution receipt can be used by either spouse only if it is in the name of both spouses.
</t>
  </si>
  <si>
    <t>Total provincial/territorial political contribution</t>
  </si>
  <si>
    <t>First tier</t>
  </si>
  <si>
    <t>Second tier</t>
  </si>
  <si>
    <t>Third tier</t>
  </si>
  <si>
    <t>To</t>
  </si>
  <si>
    <t>Over</t>
  </si>
  <si>
    <t>Are you a teacher or teaching assistant who carried out at least 10 hours of extracurricular coaching activity?</t>
  </si>
  <si>
    <t>Search and rescue volunteers'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</si>
</sst>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rgb="FF000000"/>
      <name val="Arial"/>
      <family val="2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b/>
      <sz val="7.5"/>
      <color rgb="FFFF0000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5" fillId="0" borderId="0" xfId="0" applyFont="1" applyFill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9" fontId="0" fillId="0" borderId="1" xfId="0" applyNumberForma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0" fillId="4" borderId="0" xfId="1" applyNumberFormat="1" applyFont="1" applyFill="1"/>
    <xf numFmtId="0" fontId="8" fillId="0" borderId="0" xfId="0" applyFont="1"/>
    <xf numFmtId="0" fontId="8" fillId="0" borderId="0" xfId="0" applyFont="1" applyAlignment="1">
      <alignment horizontal="center"/>
    </xf>
    <xf numFmtId="164" fontId="0" fillId="0" borderId="0" xfId="0" applyNumberFormat="1"/>
    <xf numFmtId="10" fontId="0" fillId="0" borderId="1" xfId="0" applyNumberFormat="1" applyBorder="1"/>
    <xf numFmtId="0" fontId="0" fillId="0" borderId="0" xfId="0" applyAlignment="1">
      <alignment wrapText="1"/>
    </xf>
    <xf numFmtId="164" fontId="0" fillId="0" borderId="1" xfId="1" applyNumberFormat="1" applyFont="1" applyFill="1" applyBorder="1"/>
    <xf numFmtId="164" fontId="0" fillId="4" borderId="0" xfId="0" applyNumberFormat="1" applyFill="1"/>
    <xf numFmtId="0" fontId="5" fillId="3" borderId="0" xfId="0" applyFont="1" applyFill="1"/>
    <xf numFmtId="3" fontId="9" fillId="0" borderId="0" xfId="0" applyNumberFormat="1" applyFont="1"/>
    <xf numFmtId="3" fontId="9" fillId="0" borderId="1" xfId="0" applyNumberFormat="1" applyFont="1" applyBorder="1"/>
    <xf numFmtId="3" fontId="10" fillId="0" borderId="0" xfId="0" applyNumberFormat="1" applyFont="1"/>
    <xf numFmtId="0" fontId="13" fillId="0" borderId="0" xfId="0" applyFont="1"/>
    <xf numFmtId="0" fontId="7" fillId="0" borderId="0" xfId="0" applyFont="1" applyAlignment="1">
      <alignment horizontal="left"/>
    </xf>
    <xf numFmtId="0" fontId="14" fillId="0" borderId="0" xfId="0" applyFont="1"/>
    <xf numFmtId="0" fontId="10" fillId="0" borderId="0" xfId="0" applyFont="1"/>
    <xf numFmtId="3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top"/>
    </xf>
    <xf numFmtId="10" fontId="10" fillId="0" borderId="0" xfId="0" applyNumberFormat="1" applyFont="1" applyFill="1" applyBorder="1" applyAlignment="1">
      <alignment horizontal="center" vertical="top"/>
    </xf>
    <xf numFmtId="9" fontId="10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/>
    <xf numFmtId="0" fontId="13" fillId="0" borderId="0" xfId="0" applyFont="1" applyFill="1"/>
    <xf numFmtId="0" fontId="14" fillId="0" borderId="0" xfId="0" applyFont="1" applyAlignment="1">
      <alignment horizontal="left"/>
    </xf>
    <xf numFmtId="9" fontId="0" fillId="0" borderId="0" xfId="2" applyFont="1"/>
    <xf numFmtId="9" fontId="0" fillId="0" borderId="1" xfId="2" applyFont="1" applyBorder="1"/>
    <xf numFmtId="10" fontId="0" fillId="0" borderId="1" xfId="2" applyNumberFormat="1" applyFont="1" applyBorder="1"/>
    <xf numFmtId="10" fontId="7" fillId="0" borderId="0" xfId="0" applyNumberFormat="1" applyFont="1" applyAlignment="1">
      <alignment horizontal="left"/>
    </xf>
    <xf numFmtId="10" fontId="0" fillId="0" borderId="0" xfId="2" applyNumberFormat="1" applyFont="1" applyBorder="1"/>
    <xf numFmtId="10" fontId="0" fillId="0" borderId="0" xfId="0" applyNumberFormat="1" applyBorder="1"/>
    <xf numFmtId="10" fontId="7" fillId="0" borderId="0" xfId="0" applyNumberFormat="1" applyFont="1" applyBorder="1" applyAlignment="1">
      <alignment horizontal="left"/>
    </xf>
    <xf numFmtId="164" fontId="0" fillId="0" borderId="0" xfId="1" applyNumberFormat="1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Fill="1" applyBorder="1"/>
    <xf numFmtId="10" fontId="0" fillId="0" borderId="0" xfId="0" applyNumberFormat="1" applyFill="1" applyBorder="1"/>
    <xf numFmtId="10" fontId="0" fillId="0" borderId="0" xfId="2" applyNumberFormat="1" applyFont="1" applyFill="1" applyBorder="1"/>
    <xf numFmtId="10" fontId="7" fillId="0" borderId="0" xfId="0" applyNumberFormat="1" applyFont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4" fillId="0" borderId="0" xfId="0" applyFont="1"/>
    <xf numFmtId="164" fontId="4" fillId="4" borderId="0" xfId="1" applyNumberFormat="1" applyFont="1" applyFill="1" applyBorder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167640</xdr:rowOff>
    </xdr:from>
    <xdr:to>
      <xdr:col>3</xdr:col>
      <xdr:colOff>297180</xdr:colOff>
      <xdr:row>11</xdr:row>
      <xdr:rowOff>0</xdr:rowOff>
    </xdr:to>
    <xdr:cxnSp macro="">
      <xdr:nvCxnSpPr>
        <xdr:cNvPr id="3" name="Straight Arrow Connector 2"/>
        <xdr:cNvCxnSpPr/>
      </xdr:nvCxnSpPr>
      <xdr:spPr>
        <a:xfrm>
          <a:off x="2987040" y="2179320"/>
          <a:ext cx="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4" sqref="E24"/>
    </sheetView>
  </sheetViews>
  <sheetFormatPr defaultRowHeight="14.4" x14ac:dyDescent="0.3"/>
  <cols>
    <col min="1" max="1" width="40.5546875" customWidth="1"/>
  </cols>
  <sheetData>
    <row r="1" spans="1:14" x14ac:dyDescent="0.3">
      <c r="A1" t="s">
        <v>0</v>
      </c>
      <c r="C1" s="5"/>
      <c r="D1" t="s">
        <v>28</v>
      </c>
      <c r="F1" s="18" t="s">
        <v>41</v>
      </c>
    </row>
    <row r="3" spans="1:14" x14ac:dyDescent="0.3">
      <c r="A3" s="1"/>
      <c r="B3" s="2" t="s">
        <v>1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6</v>
      </c>
      <c r="L3" s="3" t="s">
        <v>15</v>
      </c>
      <c r="M3" s="3" t="s">
        <v>16</v>
      </c>
      <c r="N3" s="3" t="s">
        <v>17</v>
      </c>
    </row>
    <row r="4" spans="1:14" x14ac:dyDescent="0.3">
      <c r="A4" s="1" t="s">
        <v>19</v>
      </c>
      <c r="B4" s="19" t="s">
        <v>24</v>
      </c>
      <c r="C4" s="19" t="s">
        <v>24</v>
      </c>
      <c r="D4" s="19" t="s">
        <v>24</v>
      </c>
      <c r="E4" s="19" t="s">
        <v>24</v>
      </c>
      <c r="F4" s="19" t="s">
        <v>24</v>
      </c>
      <c r="G4" s="19" t="s">
        <v>24</v>
      </c>
      <c r="H4" s="19" t="s">
        <v>24</v>
      </c>
      <c r="I4" s="19" t="s">
        <v>24</v>
      </c>
      <c r="J4" s="19" t="s">
        <v>24</v>
      </c>
      <c r="K4" s="19" t="s">
        <v>24</v>
      </c>
      <c r="L4" s="19" t="s">
        <v>24</v>
      </c>
      <c r="M4" s="19" t="s">
        <v>24</v>
      </c>
      <c r="N4" s="19" t="s">
        <v>24</v>
      </c>
    </row>
    <row r="5" spans="1:14" x14ac:dyDescent="0.3">
      <c r="A5" s="1" t="s">
        <v>18</v>
      </c>
      <c r="B5" s="19" t="s">
        <v>24</v>
      </c>
      <c r="C5" s="19" t="s">
        <v>24</v>
      </c>
      <c r="D5" s="19" t="s">
        <v>24</v>
      </c>
      <c r="E5" s="19" t="s">
        <v>24</v>
      </c>
      <c r="F5" s="19" t="s">
        <v>24</v>
      </c>
      <c r="G5" s="19" t="s">
        <v>24</v>
      </c>
      <c r="H5" s="19" t="s">
        <v>24</v>
      </c>
      <c r="I5" s="19" t="s">
        <v>24</v>
      </c>
      <c r="J5" s="19" t="s">
        <v>24</v>
      </c>
      <c r="K5" s="19" t="s">
        <v>24</v>
      </c>
      <c r="L5" s="19" t="s">
        <v>24</v>
      </c>
      <c r="M5" s="19" t="s">
        <v>24</v>
      </c>
      <c r="N5" s="19" t="s">
        <v>24</v>
      </c>
    </row>
    <row r="6" spans="1:14" x14ac:dyDescent="0.3">
      <c r="A6" s="1" t="s">
        <v>20</v>
      </c>
      <c r="B6" s="19" t="s">
        <v>24</v>
      </c>
      <c r="C6" s="19" t="s">
        <v>24</v>
      </c>
      <c r="D6" s="19" t="s">
        <v>24</v>
      </c>
      <c r="E6" s="19" t="s">
        <v>24</v>
      </c>
      <c r="F6" s="19" t="s">
        <v>24</v>
      </c>
      <c r="G6" s="19" t="s">
        <v>24</v>
      </c>
      <c r="H6" s="19" t="s">
        <v>24</v>
      </c>
      <c r="I6" s="19" t="s">
        <v>24</v>
      </c>
      <c r="J6" s="19" t="s">
        <v>24</v>
      </c>
      <c r="K6" s="19" t="s">
        <v>24</v>
      </c>
      <c r="L6" s="19" t="s">
        <v>24</v>
      </c>
      <c r="M6" s="19" t="s">
        <v>24</v>
      </c>
      <c r="N6" s="19" t="s">
        <v>24</v>
      </c>
    </row>
    <row r="7" spans="1:14" x14ac:dyDescent="0.3">
      <c r="A7" s="1" t="s">
        <v>21</v>
      </c>
      <c r="B7" s="19" t="s">
        <v>24</v>
      </c>
      <c r="G7" s="2"/>
      <c r="N7" s="19" t="s">
        <v>24</v>
      </c>
    </row>
    <row r="8" spans="1:14" x14ac:dyDescent="0.3">
      <c r="A8" s="1" t="s">
        <v>127</v>
      </c>
      <c r="B8" s="19" t="s">
        <v>24</v>
      </c>
      <c r="C8" s="19" t="s">
        <v>24</v>
      </c>
      <c r="D8" s="19" t="s">
        <v>24</v>
      </c>
      <c r="E8" s="19" t="s">
        <v>24</v>
      </c>
      <c r="F8" s="19" t="s">
        <v>24</v>
      </c>
      <c r="G8" s="19" t="s">
        <v>24</v>
      </c>
      <c r="H8" s="19" t="s">
        <v>24</v>
      </c>
      <c r="I8" s="19" t="s">
        <v>24</v>
      </c>
      <c r="J8" s="19" t="s">
        <v>24</v>
      </c>
      <c r="K8" s="19" t="s">
        <v>24</v>
      </c>
      <c r="L8" s="19" t="s">
        <v>24</v>
      </c>
      <c r="M8" s="19" t="s">
        <v>24</v>
      </c>
      <c r="N8" s="19" t="s">
        <v>24</v>
      </c>
    </row>
    <row r="9" spans="1:14" x14ac:dyDescent="0.3">
      <c r="A9" s="1" t="s">
        <v>131</v>
      </c>
      <c r="B9" s="19" t="s">
        <v>24</v>
      </c>
      <c r="C9" s="19" t="s">
        <v>24</v>
      </c>
      <c r="D9" s="19" t="s">
        <v>24</v>
      </c>
      <c r="E9" s="19" t="s">
        <v>24</v>
      </c>
      <c r="F9" s="19" t="s">
        <v>24</v>
      </c>
      <c r="G9" s="19" t="s">
        <v>24</v>
      </c>
      <c r="H9" s="19" t="s">
        <v>24</v>
      </c>
      <c r="I9" s="19" t="s">
        <v>24</v>
      </c>
      <c r="J9" s="19" t="s">
        <v>24</v>
      </c>
      <c r="K9" s="19" t="s">
        <v>24</v>
      </c>
      <c r="L9" s="19" t="s">
        <v>24</v>
      </c>
      <c r="M9" s="19" t="s">
        <v>24</v>
      </c>
      <c r="N9" s="19" t="s">
        <v>24</v>
      </c>
    </row>
    <row r="10" spans="1:14" x14ac:dyDescent="0.3">
      <c r="A10" s="1" t="s">
        <v>27</v>
      </c>
      <c r="B10" s="19" t="s">
        <v>24</v>
      </c>
      <c r="E10" s="19" t="s">
        <v>24</v>
      </c>
      <c r="G10" s="19" t="s">
        <v>24</v>
      </c>
      <c r="I10" s="19" t="s">
        <v>24</v>
      </c>
      <c r="J10" s="19" t="s">
        <v>24</v>
      </c>
      <c r="L10" s="19" t="s">
        <v>24</v>
      </c>
    </row>
    <row r="11" spans="1:14" x14ac:dyDescent="0.3">
      <c r="A11" s="1" t="s">
        <v>205</v>
      </c>
      <c r="B11" s="19" t="s">
        <v>24</v>
      </c>
      <c r="E11" s="19" t="s">
        <v>24</v>
      </c>
      <c r="I11" s="19" t="s">
        <v>24</v>
      </c>
    </row>
    <row r="12" spans="1:14" x14ac:dyDescent="0.3">
      <c r="A12" s="1" t="s">
        <v>3</v>
      </c>
      <c r="B12" s="19" t="s">
        <v>24</v>
      </c>
      <c r="N12" s="19" t="s">
        <v>24</v>
      </c>
    </row>
    <row r="13" spans="1:14" x14ac:dyDescent="0.3">
      <c r="A13" s="1" t="s">
        <v>4</v>
      </c>
      <c r="B13" s="19" t="s">
        <v>24</v>
      </c>
      <c r="N13" s="19" t="s">
        <v>24</v>
      </c>
    </row>
    <row r="14" spans="1:14" x14ac:dyDescent="0.3">
      <c r="A14" s="1" t="s">
        <v>5</v>
      </c>
      <c r="B14" s="19" t="s">
        <v>24</v>
      </c>
      <c r="M14" s="19" t="s">
        <v>24</v>
      </c>
    </row>
    <row r="15" spans="1:14" x14ac:dyDescent="0.3">
      <c r="A15" s="1" t="s">
        <v>2</v>
      </c>
      <c r="B15" s="19" t="s">
        <v>24</v>
      </c>
      <c r="C15" s="19" t="s">
        <v>24</v>
      </c>
      <c r="D15" s="19" t="s">
        <v>24</v>
      </c>
      <c r="E15" s="19" t="s">
        <v>24</v>
      </c>
      <c r="G15" s="19" t="s">
        <v>24</v>
      </c>
      <c r="K15" s="19" t="s">
        <v>24</v>
      </c>
      <c r="N15" s="19" t="s">
        <v>24</v>
      </c>
    </row>
    <row r="16" spans="1:14" x14ac:dyDescent="0.3">
      <c r="A16" s="1" t="s">
        <v>22</v>
      </c>
      <c r="B16" s="19" t="s">
        <v>24</v>
      </c>
      <c r="C16" s="19" t="s">
        <v>24</v>
      </c>
      <c r="D16" s="19" t="s">
        <v>24</v>
      </c>
      <c r="E16" s="19" t="s">
        <v>24</v>
      </c>
      <c r="F16" s="19" t="s">
        <v>24</v>
      </c>
      <c r="G16" s="19" t="s">
        <v>24</v>
      </c>
      <c r="H16" s="19" t="s">
        <v>24</v>
      </c>
      <c r="I16" s="19" t="s">
        <v>24</v>
      </c>
      <c r="J16" s="19" t="s">
        <v>24</v>
      </c>
      <c r="K16" s="19" t="s">
        <v>24</v>
      </c>
      <c r="L16" s="19" t="s">
        <v>24</v>
      </c>
      <c r="M16" s="19" t="s">
        <v>24</v>
      </c>
      <c r="N16" s="19" t="s">
        <v>24</v>
      </c>
    </row>
    <row r="17" spans="1:14" x14ac:dyDescent="0.3">
      <c r="A17" s="1" t="s">
        <v>23</v>
      </c>
      <c r="B17" s="19" t="s">
        <v>24</v>
      </c>
      <c r="C17" s="19" t="s">
        <v>24</v>
      </c>
      <c r="D17" s="19" t="s">
        <v>24</v>
      </c>
      <c r="E17" s="19" t="s">
        <v>24</v>
      </c>
      <c r="F17" s="19" t="s">
        <v>24</v>
      </c>
      <c r="G17" s="19" t="s">
        <v>24</v>
      </c>
      <c r="H17" s="19" t="s">
        <v>24</v>
      </c>
      <c r="I17" s="19" t="s">
        <v>24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</row>
    <row r="18" spans="1:14" x14ac:dyDescent="0.3">
      <c r="A18" s="1" t="s">
        <v>118</v>
      </c>
      <c r="B18" s="19" t="s">
        <v>24</v>
      </c>
      <c r="C18" s="19" t="s">
        <v>24</v>
      </c>
      <c r="D18" s="19" t="s">
        <v>24</v>
      </c>
      <c r="E18" s="19" t="s">
        <v>24</v>
      </c>
      <c r="F18" s="19" t="s">
        <v>24</v>
      </c>
      <c r="G18" s="19" t="s">
        <v>24</v>
      </c>
      <c r="H18" s="19" t="s">
        <v>24</v>
      </c>
      <c r="I18" s="19" t="s">
        <v>24</v>
      </c>
      <c r="J18" s="19" t="s">
        <v>24</v>
      </c>
      <c r="K18" s="19" t="s">
        <v>24</v>
      </c>
      <c r="L18" s="19" t="s">
        <v>24</v>
      </c>
      <c r="M18" s="19" t="s">
        <v>24</v>
      </c>
      <c r="N18" s="19" t="s">
        <v>24</v>
      </c>
    </row>
    <row r="19" spans="1:14" x14ac:dyDescent="0.3">
      <c r="A19" s="1" t="s">
        <v>157</v>
      </c>
      <c r="B19" s="19" t="s">
        <v>24</v>
      </c>
      <c r="C19" s="19" t="s">
        <v>24</v>
      </c>
      <c r="D19" s="19" t="s">
        <v>24</v>
      </c>
      <c r="E19" s="19" t="s">
        <v>24</v>
      </c>
      <c r="F19" s="19" t="s">
        <v>24</v>
      </c>
      <c r="G19" s="19" t="s">
        <v>24</v>
      </c>
      <c r="H19" s="19" t="s">
        <v>24</v>
      </c>
      <c r="I19" s="19" t="s">
        <v>24</v>
      </c>
      <c r="J19" s="19" t="s">
        <v>24</v>
      </c>
      <c r="K19" s="19" t="s">
        <v>24</v>
      </c>
      <c r="L19" s="19" t="s">
        <v>24</v>
      </c>
      <c r="M19" s="19" t="s">
        <v>24</v>
      </c>
      <c r="N19" s="19" t="s">
        <v>24</v>
      </c>
    </row>
    <row r="20" spans="1:14" x14ac:dyDescent="0.3">
      <c r="A20" s="1" t="s">
        <v>161</v>
      </c>
      <c r="B20" s="19" t="s">
        <v>24</v>
      </c>
      <c r="C20" s="19" t="s">
        <v>24</v>
      </c>
      <c r="D20" s="19" t="s">
        <v>24</v>
      </c>
      <c r="E20" s="19" t="s">
        <v>24</v>
      </c>
      <c r="F20" s="19" t="s">
        <v>24</v>
      </c>
      <c r="G20" s="19" t="s">
        <v>24</v>
      </c>
      <c r="H20" s="19" t="s">
        <v>24</v>
      </c>
      <c r="I20" s="19" t="s">
        <v>24</v>
      </c>
      <c r="J20" s="19" t="s">
        <v>24</v>
      </c>
      <c r="K20" s="19" t="s">
        <v>24</v>
      </c>
      <c r="L20" s="19" t="s">
        <v>24</v>
      </c>
      <c r="M20" s="19" t="s">
        <v>24</v>
      </c>
      <c r="N20" s="19" t="s">
        <v>24</v>
      </c>
    </row>
    <row r="21" spans="1:14" x14ac:dyDescent="0.3">
      <c r="A21" s="1" t="s">
        <v>94</v>
      </c>
      <c r="B21" s="19" t="s">
        <v>24</v>
      </c>
      <c r="C21" s="19" t="s">
        <v>24</v>
      </c>
      <c r="D21" s="19" t="s">
        <v>24</v>
      </c>
      <c r="E21" s="19" t="s">
        <v>24</v>
      </c>
      <c r="F21" s="19" t="s">
        <v>24</v>
      </c>
      <c r="G21" s="19" t="s">
        <v>24</v>
      </c>
      <c r="H21" s="19" t="s">
        <v>24</v>
      </c>
      <c r="I21" s="19" t="s">
        <v>24</v>
      </c>
      <c r="J21" s="19" t="s">
        <v>24</v>
      </c>
      <c r="K21" s="19" t="s">
        <v>24</v>
      </c>
      <c r="L21" s="19" t="s">
        <v>24</v>
      </c>
      <c r="M21" s="19" t="s">
        <v>24</v>
      </c>
      <c r="N21" s="19" t="s">
        <v>24</v>
      </c>
    </row>
    <row r="22" spans="1:14" x14ac:dyDescent="0.3">
      <c r="A22" s="1" t="s">
        <v>184</v>
      </c>
      <c r="B22" s="19" t="s">
        <v>24</v>
      </c>
      <c r="C22" s="19" t="s">
        <v>24</v>
      </c>
      <c r="D22" s="19" t="s">
        <v>24</v>
      </c>
      <c r="E22" s="19" t="s">
        <v>24</v>
      </c>
      <c r="F22" s="19" t="s">
        <v>24</v>
      </c>
      <c r="G22" s="19" t="s">
        <v>24</v>
      </c>
      <c r="H22" s="19" t="s">
        <v>24</v>
      </c>
      <c r="I22" s="19" t="s">
        <v>24</v>
      </c>
      <c r="J22" s="19" t="s">
        <v>24</v>
      </c>
      <c r="K22" s="19" t="s">
        <v>24</v>
      </c>
      <c r="L22" s="19" t="s">
        <v>24</v>
      </c>
      <c r="M22" s="19" t="s">
        <v>24</v>
      </c>
      <c r="N22" s="19" t="s">
        <v>24</v>
      </c>
    </row>
    <row r="23" spans="1:14" x14ac:dyDescent="0.3">
      <c r="A23" s="1" t="s">
        <v>25</v>
      </c>
      <c r="B23" s="19" t="s">
        <v>24</v>
      </c>
    </row>
    <row r="24" spans="1:14" x14ac:dyDescent="0.3">
      <c r="A24" s="1" t="s">
        <v>195</v>
      </c>
      <c r="B24" s="2"/>
      <c r="C24" s="19" t="s">
        <v>24</v>
      </c>
      <c r="D24" s="19" t="s">
        <v>24</v>
      </c>
      <c r="E24" s="19" t="s">
        <v>24</v>
      </c>
      <c r="F24" s="19" t="s">
        <v>24</v>
      </c>
      <c r="G24" s="19" t="s">
        <v>24</v>
      </c>
      <c r="H24" s="19" t="s">
        <v>24</v>
      </c>
      <c r="I24" s="19" t="s">
        <v>24</v>
      </c>
      <c r="J24" s="19" t="s">
        <v>24</v>
      </c>
      <c r="K24" s="19" t="s">
        <v>24</v>
      </c>
      <c r="L24" s="19" t="s">
        <v>24</v>
      </c>
      <c r="M24" s="19" t="s">
        <v>24</v>
      </c>
      <c r="N24" s="19" t="s">
        <v>24</v>
      </c>
    </row>
    <row r="25" spans="1:14" x14ac:dyDescent="0.3">
      <c r="A25" s="1" t="s">
        <v>26</v>
      </c>
      <c r="D25" s="19" t="s">
        <v>24</v>
      </c>
    </row>
    <row r="27" spans="1:14" x14ac:dyDescent="0.3">
      <c r="A27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I16" sqref="I16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145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146</v>
      </c>
      <c r="C3" s="6" t="s">
        <v>30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ht="43.2" x14ac:dyDescent="0.3">
      <c r="A5" s="22" t="s">
        <v>147</v>
      </c>
      <c r="C5" s="6" t="s">
        <v>31</v>
      </c>
      <c r="D5" s="1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7" spans="1:16" x14ac:dyDescent="0.3">
      <c r="A7" s="9" t="s">
        <v>57</v>
      </c>
      <c r="C7" s="8" t="str">
        <f>IF(AND(C3="yes",C5="no"),"Eligible","Not eligible")</f>
        <v>Eligible</v>
      </c>
      <c r="E7" s="31" t="s">
        <v>148</v>
      </c>
    </row>
    <row r="10" spans="1:16" x14ac:dyDescent="0.3">
      <c r="A10" t="s">
        <v>96</v>
      </c>
      <c r="C10" s="6">
        <v>40000</v>
      </c>
      <c r="D10" s="29" t="s">
        <v>125</v>
      </c>
    </row>
    <row r="11" spans="1:16" x14ac:dyDescent="0.3">
      <c r="A11" t="s">
        <v>43</v>
      </c>
      <c r="C11" s="6" t="s">
        <v>53</v>
      </c>
    </row>
    <row r="13" spans="1:16" x14ac:dyDescent="0.3">
      <c r="C13" s="16" t="s">
        <v>1</v>
      </c>
      <c r="E13" s="16" t="s">
        <v>42</v>
      </c>
      <c r="F13" s="16" t="s">
        <v>44</v>
      </c>
      <c r="G13" s="16" t="s">
        <v>45</v>
      </c>
      <c r="H13" s="16" t="s">
        <v>46</v>
      </c>
      <c r="I13" s="16" t="s">
        <v>47</v>
      </c>
      <c r="J13" s="16" t="s">
        <v>48</v>
      </c>
      <c r="K13" s="16" t="s">
        <v>49</v>
      </c>
      <c r="L13" s="16" t="s">
        <v>50</v>
      </c>
      <c r="M13" s="16" t="s">
        <v>51</v>
      </c>
      <c r="N13" s="16" t="s">
        <v>52</v>
      </c>
      <c r="O13" s="16" t="s">
        <v>53</v>
      </c>
      <c r="P13" s="16" t="s">
        <v>54</v>
      </c>
    </row>
    <row r="15" spans="1:16" x14ac:dyDescent="0.3">
      <c r="A15" t="s">
        <v>138</v>
      </c>
      <c r="B15" s="10">
        <v>5000</v>
      </c>
      <c r="C15" s="10">
        <f>IF($C$7="eligible",$B$15,0)</f>
        <v>5000</v>
      </c>
      <c r="D15" s="30"/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f>IF($C$11=O13,IF($C$7="eligible",$B$15*2,0),0)</f>
        <v>10000</v>
      </c>
      <c r="P15" s="10">
        <v>0</v>
      </c>
    </row>
    <row r="16" spans="1:16" x14ac:dyDescent="0.3">
      <c r="B16" s="15"/>
      <c r="C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t="s">
        <v>40</v>
      </c>
      <c r="C17" s="13">
        <v>0.15</v>
      </c>
      <c r="E17" s="21">
        <v>0.1</v>
      </c>
      <c r="F17" s="21">
        <v>5.0599999999999999E-2</v>
      </c>
      <c r="G17" s="21">
        <v>0.108</v>
      </c>
      <c r="H17" s="21">
        <v>9.6799999999999997E-2</v>
      </c>
      <c r="I17" s="21">
        <v>7.6999999999999999E-2</v>
      </c>
      <c r="J17" s="21">
        <v>5.8999999999999997E-2</v>
      </c>
      <c r="K17" s="21">
        <v>8.7900000000000006E-2</v>
      </c>
      <c r="L17" s="21">
        <v>0.04</v>
      </c>
      <c r="M17" s="21">
        <v>5.0500000000000003E-2</v>
      </c>
      <c r="N17" s="21">
        <v>9.8000000000000004E-2</v>
      </c>
      <c r="O17" s="21">
        <v>0.11</v>
      </c>
      <c r="P17" s="21">
        <v>6.4000000000000001E-2</v>
      </c>
    </row>
    <row r="18" spans="1:16" x14ac:dyDescent="0.3">
      <c r="A18" t="s">
        <v>145</v>
      </c>
      <c r="C18" s="17">
        <f>C15*C17</f>
        <v>750</v>
      </c>
      <c r="E18" s="17">
        <f t="shared" ref="E18:P18" si="0">E15*E17</f>
        <v>0</v>
      </c>
      <c r="F18" s="17">
        <f t="shared" si="0"/>
        <v>0</v>
      </c>
      <c r="G18" s="17">
        <f t="shared" si="0"/>
        <v>0</v>
      </c>
      <c r="H18" s="17">
        <f t="shared" si="0"/>
        <v>0</v>
      </c>
      <c r="I18" s="17">
        <f t="shared" si="0"/>
        <v>0</v>
      </c>
      <c r="J18" s="17">
        <f t="shared" si="0"/>
        <v>0</v>
      </c>
      <c r="K18" s="17">
        <f t="shared" si="0"/>
        <v>0</v>
      </c>
      <c r="L18" s="17">
        <f t="shared" si="0"/>
        <v>0</v>
      </c>
      <c r="M18" s="17">
        <f t="shared" si="0"/>
        <v>0</v>
      </c>
      <c r="N18" s="17">
        <f t="shared" si="0"/>
        <v>0</v>
      </c>
      <c r="O18" s="17">
        <f t="shared" si="0"/>
        <v>1100</v>
      </c>
      <c r="P18" s="17">
        <f t="shared" si="0"/>
        <v>0</v>
      </c>
    </row>
    <row r="20" spans="1:16" x14ac:dyDescent="0.3">
      <c r="A20" t="s">
        <v>1</v>
      </c>
      <c r="C20" s="20">
        <f>C18</f>
        <v>750</v>
      </c>
    </row>
    <row r="21" spans="1:16" x14ac:dyDescent="0.3">
      <c r="A21" t="s">
        <v>55</v>
      </c>
      <c r="C21" s="12">
        <f>HLOOKUP(C11,E13:P18,6,FALSE)</f>
        <v>1100</v>
      </c>
    </row>
    <row r="22" spans="1:16" x14ac:dyDescent="0.3">
      <c r="A22" t="s">
        <v>149</v>
      </c>
      <c r="C22" s="24">
        <f>SUM(C20:C21)</f>
        <v>1850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</sheetData>
  <dataValidations disablePrompts="1" count="2">
    <dataValidation type="list" allowBlank="1" showInputMessage="1" showErrorMessage="1" sqref="C11">
      <formula1>$E$2:$P$2</formula1>
    </dataValidation>
    <dataValidation type="list" allowBlank="1" showInputMessage="1" showErrorMessage="1" sqref="C3 C5">
      <formula1>$E$1:$F$1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10" sqref="G10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150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151</v>
      </c>
      <c r="C3" s="6">
        <v>1000</v>
      </c>
      <c r="D3" s="14"/>
      <c r="E3" s="41" t="s">
        <v>152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45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t="s">
        <v>154</v>
      </c>
      <c r="B10" s="10"/>
      <c r="C10" s="10">
        <v>15453</v>
      </c>
      <c r="D10" s="30"/>
      <c r="E10" s="10">
        <v>12619</v>
      </c>
      <c r="F10" s="10">
        <v>15453</v>
      </c>
      <c r="G10" s="10">
        <v>10000</v>
      </c>
      <c r="H10" s="10">
        <f t="shared" ref="H10:O10" si="0">IF($C$6=H8,$C$10,0)</f>
        <v>0</v>
      </c>
      <c r="I10" s="10">
        <v>11878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v>12213</v>
      </c>
      <c r="N10" s="10">
        <f t="shared" si="0"/>
        <v>0</v>
      </c>
      <c r="O10" s="10">
        <f t="shared" si="0"/>
        <v>0</v>
      </c>
      <c r="P10" s="10">
        <v>15453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A12" t="s">
        <v>67</v>
      </c>
      <c r="B12" s="10"/>
      <c r="C12" s="10">
        <f>C10</f>
        <v>15453</v>
      </c>
      <c r="D12" s="30"/>
      <c r="E12" s="10">
        <f>IF($C$6=E8,E10,0)</f>
        <v>0</v>
      </c>
      <c r="F12" s="10">
        <f t="shared" ref="F12:P12" si="1">IF($C$6=F8,F10,0)</f>
        <v>0</v>
      </c>
      <c r="G12" s="10">
        <f t="shared" si="1"/>
        <v>10000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0">
        <f t="shared" si="1"/>
        <v>0</v>
      </c>
      <c r="O12" s="10">
        <f t="shared" si="1"/>
        <v>0</v>
      </c>
      <c r="P12" s="10">
        <f t="shared" si="1"/>
        <v>0</v>
      </c>
    </row>
    <row r="13" spans="1:16" x14ac:dyDescent="0.3">
      <c r="B13" s="10"/>
      <c r="C13" s="10"/>
      <c r="D13" s="3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B14" s="10"/>
      <c r="C14" s="10">
        <f>MIN($C$3,C10)</f>
        <v>1000</v>
      </c>
      <c r="D14" s="30"/>
      <c r="E14" s="10">
        <f>MIN($C$3,E12)</f>
        <v>0</v>
      </c>
      <c r="F14" s="10">
        <f t="shared" ref="F14:P14" si="2">MIN($C$3,F12)</f>
        <v>0</v>
      </c>
      <c r="G14" s="10">
        <f t="shared" si="2"/>
        <v>1000</v>
      </c>
      <c r="H14" s="10">
        <f t="shared" si="2"/>
        <v>0</v>
      </c>
      <c r="I14" s="10">
        <f t="shared" si="2"/>
        <v>0</v>
      </c>
      <c r="J14" s="10">
        <f t="shared" si="2"/>
        <v>0</v>
      </c>
      <c r="K14" s="10">
        <f t="shared" si="2"/>
        <v>0</v>
      </c>
      <c r="L14" s="10">
        <f t="shared" si="2"/>
        <v>0</v>
      </c>
      <c r="M14" s="10">
        <f t="shared" si="2"/>
        <v>0</v>
      </c>
      <c r="N14" s="10">
        <f t="shared" si="2"/>
        <v>0</v>
      </c>
      <c r="O14" s="10">
        <f t="shared" si="2"/>
        <v>0</v>
      </c>
      <c r="P14" s="10">
        <f t="shared" si="2"/>
        <v>0</v>
      </c>
    </row>
    <row r="15" spans="1:16" x14ac:dyDescent="0.3">
      <c r="B15" s="15"/>
      <c r="C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t="s">
        <v>40</v>
      </c>
      <c r="C16" s="13">
        <v>0.15</v>
      </c>
      <c r="E16" s="21">
        <v>0.1</v>
      </c>
      <c r="F16" s="21">
        <v>5.0599999999999999E-2</v>
      </c>
      <c r="G16" s="21">
        <v>0.108</v>
      </c>
      <c r="H16" s="21">
        <v>9.6799999999999997E-2</v>
      </c>
      <c r="I16" s="21">
        <v>7.6999999999999999E-2</v>
      </c>
      <c r="J16" s="21">
        <v>5.8999999999999997E-2</v>
      </c>
      <c r="K16" s="21">
        <v>8.7900000000000006E-2</v>
      </c>
      <c r="L16" s="21">
        <v>0.04</v>
      </c>
      <c r="M16" s="21">
        <v>5.0500000000000003E-2</v>
      </c>
      <c r="N16" s="21">
        <v>9.8000000000000004E-2</v>
      </c>
      <c r="O16" s="21">
        <v>0.11</v>
      </c>
      <c r="P16" s="21">
        <v>6.4000000000000001E-2</v>
      </c>
    </row>
    <row r="17" spans="1:16" x14ac:dyDescent="0.3">
      <c r="A17" t="s">
        <v>150</v>
      </c>
      <c r="C17" s="17">
        <f>C14*C16</f>
        <v>150</v>
      </c>
      <c r="E17" s="17">
        <f>E14*E16</f>
        <v>0</v>
      </c>
      <c r="F17" s="17">
        <f t="shared" ref="F17:P17" si="3">F14*F16</f>
        <v>0</v>
      </c>
      <c r="G17" s="17">
        <f>G14*G16</f>
        <v>108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</row>
    <row r="19" spans="1:16" x14ac:dyDescent="0.3">
      <c r="A19" t="s">
        <v>1</v>
      </c>
      <c r="C19" s="20">
        <f>C17</f>
        <v>150</v>
      </c>
    </row>
    <row r="20" spans="1:16" x14ac:dyDescent="0.3">
      <c r="A20" t="s">
        <v>55</v>
      </c>
      <c r="C20" s="12">
        <f>HLOOKUP(C6,E8:P17,10,FALSE)</f>
        <v>108</v>
      </c>
    </row>
    <row r="21" spans="1:16" x14ac:dyDescent="0.3">
      <c r="A21" t="s">
        <v>153</v>
      </c>
      <c r="C21" s="24">
        <f>SUM(C19:C20)</f>
        <v>258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</sheetData>
  <dataValidations count="1">
    <dataValidation type="list" allowBlank="1" showInputMessage="1" showErrorMessage="1" sqref="C6">
      <formula1>$E$2:$P$2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10" sqref="K10:P10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155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x14ac:dyDescent="0.3">
      <c r="A3" s="22" t="s">
        <v>156</v>
      </c>
      <c r="C3" s="6">
        <v>3000</v>
      </c>
      <c r="D3" s="14"/>
      <c r="E3" s="41" t="s">
        <v>152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46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t="s">
        <v>154</v>
      </c>
      <c r="B10" s="10"/>
      <c r="C10" s="10">
        <v>2000</v>
      </c>
      <c r="D10" s="30"/>
      <c r="E10" s="10">
        <v>1421</v>
      </c>
      <c r="F10" s="10">
        <v>1000</v>
      </c>
      <c r="G10" s="10">
        <v>1000</v>
      </c>
      <c r="H10" s="10">
        <v>1000</v>
      </c>
      <c r="I10" s="10">
        <v>1000</v>
      </c>
      <c r="J10" s="10">
        <v>1000</v>
      </c>
      <c r="K10" s="10">
        <v>1173</v>
      </c>
      <c r="L10" s="10">
        <v>2000</v>
      </c>
      <c r="M10" s="10">
        <v>1384</v>
      </c>
      <c r="N10" s="10">
        <v>1000</v>
      </c>
      <c r="O10" s="10">
        <v>1000</v>
      </c>
      <c r="P10" s="10">
        <v>2000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A12" t="s">
        <v>67</v>
      </c>
      <c r="B12" s="10"/>
      <c r="C12" s="10">
        <f>C10</f>
        <v>2000</v>
      </c>
      <c r="D12" s="30"/>
      <c r="E12" s="10">
        <f>IF($C$6=E8,E10,0)</f>
        <v>0</v>
      </c>
      <c r="F12" s="10">
        <f t="shared" ref="F12:P12" si="0">IF($C$6=F8,F10,0)</f>
        <v>0</v>
      </c>
      <c r="G12" s="10">
        <f t="shared" si="0"/>
        <v>0</v>
      </c>
      <c r="H12" s="10">
        <f t="shared" si="0"/>
        <v>1000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</row>
    <row r="13" spans="1:16" x14ac:dyDescent="0.3">
      <c r="B13" s="10"/>
      <c r="C13" s="10"/>
      <c r="D13" s="3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B14" s="10"/>
      <c r="C14" s="10">
        <f>MIN($C$3,C10)</f>
        <v>2000</v>
      </c>
      <c r="D14" s="30"/>
      <c r="E14" s="10">
        <f>MIN($C$3,E12)</f>
        <v>0</v>
      </c>
      <c r="F14" s="10">
        <f t="shared" ref="F14:P14" si="1">MIN($C$3,F12)</f>
        <v>0</v>
      </c>
      <c r="G14" s="10">
        <f t="shared" si="1"/>
        <v>0</v>
      </c>
      <c r="H14" s="10">
        <f t="shared" si="1"/>
        <v>1000</v>
      </c>
      <c r="I14" s="10">
        <f t="shared" si="1"/>
        <v>0</v>
      </c>
      <c r="J14" s="10">
        <f t="shared" si="1"/>
        <v>0</v>
      </c>
      <c r="K14" s="10">
        <f t="shared" si="1"/>
        <v>0</v>
      </c>
      <c r="L14" s="10">
        <f t="shared" si="1"/>
        <v>0</v>
      </c>
      <c r="M14" s="10">
        <f t="shared" si="1"/>
        <v>0</v>
      </c>
      <c r="N14" s="10">
        <f t="shared" si="1"/>
        <v>0</v>
      </c>
      <c r="O14" s="10">
        <f t="shared" si="1"/>
        <v>0</v>
      </c>
      <c r="P14" s="10">
        <f t="shared" si="1"/>
        <v>0</v>
      </c>
    </row>
    <row r="15" spans="1:16" x14ac:dyDescent="0.3">
      <c r="B15" s="15"/>
      <c r="C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t="s">
        <v>40</v>
      </c>
      <c r="C16" s="13">
        <v>0.15</v>
      </c>
      <c r="E16" s="21">
        <v>0.1</v>
      </c>
      <c r="F16" s="21">
        <v>5.0599999999999999E-2</v>
      </c>
      <c r="G16" s="21">
        <v>0.108</v>
      </c>
      <c r="H16" s="21">
        <v>9.6799999999999997E-2</v>
      </c>
      <c r="I16" s="21">
        <v>7.6999999999999999E-2</v>
      </c>
      <c r="J16" s="21">
        <v>5.8999999999999997E-2</v>
      </c>
      <c r="K16" s="21">
        <v>8.7900000000000006E-2</v>
      </c>
      <c r="L16" s="21">
        <v>0.04</v>
      </c>
      <c r="M16" s="21">
        <v>5.0500000000000003E-2</v>
      </c>
      <c r="N16" s="21">
        <v>9.8000000000000004E-2</v>
      </c>
      <c r="O16" s="21">
        <v>0.11</v>
      </c>
      <c r="P16" s="21">
        <v>6.4000000000000001E-2</v>
      </c>
    </row>
    <row r="17" spans="1:16" x14ac:dyDescent="0.3">
      <c r="A17" t="s">
        <v>150</v>
      </c>
      <c r="C17" s="17">
        <f>C14*C16</f>
        <v>300</v>
      </c>
      <c r="E17" s="17">
        <f>E14*E16</f>
        <v>0</v>
      </c>
      <c r="F17" s="17">
        <f t="shared" ref="F17:P17" si="2">F14*F16</f>
        <v>0</v>
      </c>
      <c r="G17" s="17">
        <f>G14*G16</f>
        <v>0</v>
      </c>
      <c r="H17" s="17">
        <f t="shared" si="2"/>
        <v>96.8</v>
      </c>
      <c r="I17" s="17">
        <f t="shared" si="2"/>
        <v>0</v>
      </c>
      <c r="J17" s="17">
        <f t="shared" si="2"/>
        <v>0</v>
      </c>
      <c r="K17" s="17">
        <f t="shared" si="2"/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17">
        <f t="shared" si="2"/>
        <v>0</v>
      </c>
      <c r="P17" s="17">
        <f t="shared" si="2"/>
        <v>0</v>
      </c>
    </row>
    <row r="19" spans="1:16" x14ac:dyDescent="0.3">
      <c r="A19" t="s">
        <v>1</v>
      </c>
      <c r="C19" s="20">
        <f>C17</f>
        <v>300</v>
      </c>
    </row>
    <row r="20" spans="1:16" x14ac:dyDescent="0.3">
      <c r="A20" t="s">
        <v>55</v>
      </c>
      <c r="C20" s="12">
        <f>HLOOKUP(C6,E8:P17,10,FALSE)</f>
        <v>96.8</v>
      </c>
    </row>
    <row r="21" spans="1:16" x14ac:dyDescent="0.3">
      <c r="A21" t="s">
        <v>153</v>
      </c>
      <c r="C21" s="24">
        <f>SUM(C19:C20)</f>
        <v>396.8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</sheetData>
  <dataValidations count="1">
    <dataValidation type="list" allowBlank="1" showInputMessage="1" showErrorMessage="1" sqref="C6">
      <formula1>$E$2:$P$2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24" sqref="F24"/>
    </sheetView>
  </sheetViews>
  <sheetFormatPr defaultRowHeight="14.4" x14ac:dyDescent="0.3"/>
  <cols>
    <col min="1" max="1" width="20.33203125" customWidth="1"/>
    <col min="2" max="2" width="6.55468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23</v>
      </c>
      <c r="E1" t="s">
        <v>30</v>
      </c>
      <c r="F1" t="s">
        <v>31</v>
      </c>
    </row>
    <row r="2" spans="1:16" x14ac:dyDescent="0.3"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</row>
    <row r="4" spans="1:16" x14ac:dyDescent="0.3">
      <c r="A4" t="s">
        <v>58</v>
      </c>
      <c r="C4" s="6" t="s">
        <v>59</v>
      </c>
      <c r="E4" s="3" t="s">
        <v>42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54</v>
      </c>
    </row>
    <row r="6" spans="1:16" x14ac:dyDescent="0.3">
      <c r="A6" s="9" t="s">
        <v>57</v>
      </c>
      <c r="C6" s="8" t="str">
        <f>IF(OR(C4="married",C4="common-law"),"Maybe eligible","Most likely not available")</f>
        <v>Maybe eligible</v>
      </c>
      <c r="E6" s="31" t="s">
        <v>92</v>
      </c>
    </row>
    <row r="8" spans="1:16" x14ac:dyDescent="0.3">
      <c r="A8" s="14" t="s">
        <v>71</v>
      </c>
    </row>
    <row r="9" spans="1:16" ht="57.6" x14ac:dyDescent="0.3">
      <c r="A9" s="22" t="s">
        <v>85</v>
      </c>
      <c r="C9" s="25" t="s">
        <v>31</v>
      </c>
    </row>
    <row r="11" spans="1:16" ht="43.2" x14ac:dyDescent="0.3">
      <c r="A11" s="22" t="s">
        <v>83</v>
      </c>
      <c r="C11" s="25" t="s">
        <v>31</v>
      </c>
      <c r="D11" s="29" t="s">
        <v>82</v>
      </c>
    </row>
    <row r="13" spans="1:16" ht="57.6" x14ac:dyDescent="0.3">
      <c r="A13" s="22" t="s">
        <v>86</v>
      </c>
      <c r="C13" s="25" t="s">
        <v>30</v>
      </c>
      <c r="D13" s="29"/>
    </row>
    <row r="16" spans="1:16" x14ac:dyDescent="0.3">
      <c r="A16" s="9" t="s">
        <v>57</v>
      </c>
      <c r="C16" s="8" t="str">
        <f>IF(OR(C9="yes",C13="yes"),"Eligible","Not eligible")</f>
        <v>Eligible</v>
      </c>
    </row>
    <row r="18" spans="1:16" ht="28.8" x14ac:dyDescent="0.3">
      <c r="A18" s="22" t="s">
        <v>87</v>
      </c>
      <c r="C18" s="6">
        <v>3000</v>
      </c>
      <c r="D18" s="1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20" spans="1:16" x14ac:dyDescent="0.3">
      <c r="A20" t="s">
        <v>33</v>
      </c>
      <c r="C20" s="6">
        <v>40000</v>
      </c>
      <c r="D20" s="14" t="s">
        <v>69</v>
      </c>
    </row>
    <row r="21" spans="1:16" x14ac:dyDescent="0.3">
      <c r="A21" t="s">
        <v>43</v>
      </c>
      <c r="C21" s="6" t="s">
        <v>46</v>
      </c>
    </row>
    <row r="23" spans="1:16" x14ac:dyDescent="0.3">
      <c r="C23" s="16" t="s">
        <v>1</v>
      </c>
      <c r="E23" s="16" t="s">
        <v>42</v>
      </c>
      <c r="F23" s="16" t="s">
        <v>44</v>
      </c>
      <c r="G23" s="16" t="s">
        <v>45</v>
      </c>
      <c r="H23" s="16" t="s">
        <v>46</v>
      </c>
      <c r="I23" s="16" t="s">
        <v>47</v>
      </c>
      <c r="J23" s="16" t="s">
        <v>48</v>
      </c>
      <c r="K23" s="16" t="s">
        <v>49</v>
      </c>
      <c r="L23" s="16" t="s">
        <v>50</v>
      </c>
      <c r="M23" s="16" t="s">
        <v>51</v>
      </c>
      <c r="N23" s="16" t="s">
        <v>52</v>
      </c>
      <c r="O23" s="16" t="s">
        <v>53</v>
      </c>
      <c r="P23" s="16" t="s">
        <v>54</v>
      </c>
    </row>
    <row r="24" spans="1:16" x14ac:dyDescent="0.3">
      <c r="A24" t="s">
        <v>81</v>
      </c>
      <c r="B24" s="15"/>
      <c r="C24" s="10">
        <v>20607</v>
      </c>
      <c r="E24" s="10">
        <v>27662</v>
      </c>
      <c r="F24" s="10">
        <v>19237</v>
      </c>
      <c r="G24" s="10">
        <v>15917</v>
      </c>
      <c r="H24" s="10">
        <v>20347</v>
      </c>
      <c r="I24" s="10">
        <v>16455</v>
      </c>
      <c r="J24" s="10">
        <v>20607</v>
      </c>
      <c r="K24" s="10">
        <v>18575</v>
      </c>
      <c r="L24" s="10">
        <v>20607</v>
      </c>
      <c r="M24" s="10">
        <v>20862</v>
      </c>
      <c r="N24" s="10">
        <v>14399</v>
      </c>
      <c r="O24" s="10">
        <v>25274</v>
      </c>
      <c r="P24" s="10">
        <v>20607</v>
      </c>
    </row>
    <row r="25" spans="1:16" x14ac:dyDescent="0.3">
      <c r="A25" t="s">
        <v>78</v>
      </c>
      <c r="B25" s="10">
        <v>2121</v>
      </c>
      <c r="C25" s="10">
        <f>IF(OR($C$13="yes",$C$11="yes"),$B$25,0)</f>
        <v>2121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>IF(OR($C$13="yes",$C$11="yes"),$B$25,0)</f>
        <v>2121</v>
      </c>
    </row>
    <row r="26" spans="1:16" ht="28.8" x14ac:dyDescent="0.3">
      <c r="A26" s="22" t="s">
        <v>70</v>
      </c>
      <c r="B26" s="15"/>
      <c r="C26" s="23">
        <f>$C$18</f>
        <v>3000</v>
      </c>
      <c r="E26" s="23">
        <f t="shared" ref="E26:P26" si="0">IF($C$21=E23,$C$18,0)</f>
        <v>0</v>
      </c>
      <c r="F26" s="23">
        <f t="shared" si="0"/>
        <v>0</v>
      </c>
      <c r="G26" s="23">
        <f t="shared" si="0"/>
        <v>0</v>
      </c>
      <c r="H26" s="23">
        <f t="shared" si="0"/>
        <v>3000</v>
      </c>
      <c r="I26" s="23">
        <f t="shared" si="0"/>
        <v>0</v>
      </c>
      <c r="J26" s="23">
        <f t="shared" si="0"/>
        <v>0</v>
      </c>
      <c r="K26" s="23">
        <f t="shared" si="0"/>
        <v>0</v>
      </c>
      <c r="L26" s="23">
        <f t="shared" si="0"/>
        <v>0</v>
      </c>
      <c r="M26" s="23">
        <f t="shared" si="0"/>
        <v>0</v>
      </c>
      <c r="N26" s="23">
        <f t="shared" si="0"/>
        <v>0</v>
      </c>
      <c r="O26" s="23">
        <f t="shared" si="0"/>
        <v>0</v>
      </c>
      <c r="P26" s="23">
        <f t="shared" si="0"/>
        <v>0</v>
      </c>
    </row>
    <row r="27" spans="1:16" x14ac:dyDescent="0.3">
      <c r="A27" t="s">
        <v>38</v>
      </c>
      <c r="B27" s="15"/>
      <c r="C27" s="10">
        <f>C24+C25-C26</f>
        <v>19728</v>
      </c>
      <c r="D27" s="30" t="s">
        <v>89</v>
      </c>
      <c r="E27" s="10">
        <f t="shared" ref="E27:P27" si="1">E24+E25-E26</f>
        <v>27662</v>
      </c>
      <c r="F27" s="10">
        <f t="shared" si="1"/>
        <v>19237</v>
      </c>
      <c r="G27" s="10">
        <f t="shared" si="1"/>
        <v>15917</v>
      </c>
      <c r="H27" s="10">
        <f t="shared" si="1"/>
        <v>17347</v>
      </c>
      <c r="I27" s="10">
        <f t="shared" si="1"/>
        <v>16455</v>
      </c>
      <c r="J27" s="10">
        <f t="shared" si="1"/>
        <v>20607</v>
      </c>
      <c r="K27" s="10">
        <f t="shared" si="1"/>
        <v>18575</v>
      </c>
      <c r="L27" s="10">
        <f t="shared" si="1"/>
        <v>20607</v>
      </c>
      <c r="M27" s="10">
        <f t="shared" si="1"/>
        <v>20862</v>
      </c>
      <c r="N27" s="10">
        <f t="shared" si="1"/>
        <v>14399</v>
      </c>
      <c r="O27" s="10">
        <f t="shared" si="1"/>
        <v>25274</v>
      </c>
      <c r="P27" s="10">
        <f t="shared" si="1"/>
        <v>22728</v>
      </c>
    </row>
    <row r="28" spans="1:16" x14ac:dyDescent="0.3">
      <c r="B28" s="15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A29" t="s">
        <v>67</v>
      </c>
      <c r="B29" s="15"/>
      <c r="C29" s="10">
        <v>4667</v>
      </c>
      <c r="E29" s="10">
        <v>10680</v>
      </c>
      <c r="F29" s="10">
        <v>4387.351778656127</v>
      </c>
      <c r="G29" s="10">
        <v>3601.8518518518517</v>
      </c>
      <c r="H29" s="10">
        <v>4607.4380165289258</v>
      </c>
      <c r="I29" s="10">
        <v>2792.2077922077924</v>
      </c>
      <c r="J29" s="10">
        <v>4661.016949152543</v>
      </c>
      <c r="K29" s="10">
        <v>4903.2992036405003</v>
      </c>
      <c r="L29" s="10">
        <v>4675</v>
      </c>
      <c r="M29" s="10">
        <v>4712.8712871287125</v>
      </c>
      <c r="N29" s="10">
        <v>2448.9795918367345</v>
      </c>
      <c r="O29" s="10">
        <v>9336.363636363636</v>
      </c>
      <c r="P29" s="10">
        <v>4671.875</v>
      </c>
    </row>
    <row r="30" spans="1:16" x14ac:dyDescent="0.3">
      <c r="A30" t="s">
        <v>88</v>
      </c>
      <c r="B30" s="10">
        <v>2121</v>
      </c>
      <c r="C30" s="12">
        <f>IF(OR($C$13="yes",$C$16="yes"),$B$30,0)</f>
        <v>2121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f>IF(OR($C$13="yes",$C$16="yes"),$B$30,0)</f>
        <v>2121</v>
      </c>
    </row>
    <row r="31" spans="1:16" x14ac:dyDescent="0.3">
      <c r="B31" s="15"/>
      <c r="C31" s="10">
        <f>SUM(C29:C30)</f>
        <v>6788</v>
      </c>
      <c r="D31" s="30" t="s">
        <v>90</v>
      </c>
      <c r="E31" s="10">
        <f>SUM(E29:E30)</f>
        <v>10680</v>
      </c>
      <c r="F31" s="10">
        <f t="shared" ref="F31:P31" si="2">SUM(F29:F30)</f>
        <v>4387.351778656127</v>
      </c>
      <c r="G31" s="10">
        <f t="shared" si="2"/>
        <v>3601.8518518518517</v>
      </c>
      <c r="H31" s="10">
        <f t="shared" si="2"/>
        <v>4607.4380165289258</v>
      </c>
      <c r="I31" s="10">
        <f t="shared" si="2"/>
        <v>2792.2077922077924</v>
      </c>
      <c r="J31" s="10">
        <f t="shared" si="2"/>
        <v>4661.016949152543</v>
      </c>
      <c r="K31" s="10">
        <f t="shared" si="2"/>
        <v>4903.2992036405003</v>
      </c>
      <c r="L31" s="10">
        <f t="shared" si="2"/>
        <v>4675</v>
      </c>
      <c r="M31" s="10">
        <f t="shared" si="2"/>
        <v>4712.8712871287125</v>
      </c>
      <c r="N31" s="10">
        <f t="shared" si="2"/>
        <v>2448.9795918367345</v>
      </c>
      <c r="O31" s="10">
        <f t="shared" si="2"/>
        <v>9336.363636363636</v>
      </c>
      <c r="P31" s="10">
        <f t="shared" si="2"/>
        <v>6792.875</v>
      </c>
    </row>
    <row r="32" spans="1:16" x14ac:dyDescent="0.3">
      <c r="A32" t="s">
        <v>68</v>
      </c>
      <c r="B32" s="15"/>
      <c r="C32" s="10">
        <f>MIN(C27,C31)</f>
        <v>6788</v>
      </c>
      <c r="D32" s="30" t="s">
        <v>91</v>
      </c>
      <c r="E32" s="10">
        <f>MIN(E27,E31)</f>
        <v>10680</v>
      </c>
      <c r="F32" s="10">
        <f t="shared" ref="F32:P32" si="3">MIN(F27,F31)</f>
        <v>4387.351778656127</v>
      </c>
      <c r="G32" s="10">
        <f t="shared" si="3"/>
        <v>3601.8518518518517</v>
      </c>
      <c r="H32" s="10">
        <f t="shared" si="3"/>
        <v>4607.4380165289258</v>
      </c>
      <c r="I32" s="10">
        <f t="shared" si="3"/>
        <v>2792.2077922077924</v>
      </c>
      <c r="J32" s="10">
        <f t="shared" si="3"/>
        <v>4661.016949152543</v>
      </c>
      <c r="K32" s="10">
        <f t="shared" si="3"/>
        <v>4903.2992036405003</v>
      </c>
      <c r="L32" s="10">
        <f t="shared" si="3"/>
        <v>4675</v>
      </c>
      <c r="M32" s="10">
        <f t="shared" si="3"/>
        <v>4712.8712871287125</v>
      </c>
      <c r="N32" s="10">
        <f t="shared" si="3"/>
        <v>2448.9795918367345</v>
      </c>
      <c r="O32" s="10">
        <f t="shared" si="3"/>
        <v>9336.363636363636</v>
      </c>
      <c r="P32" s="10">
        <f t="shared" si="3"/>
        <v>6792.875</v>
      </c>
    </row>
    <row r="33" spans="1:16" x14ac:dyDescent="0.3">
      <c r="B33" s="15"/>
      <c r="C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">
      <c r="A34" t="s">
        <v>40</v>
      </c>
      <c r="C34" s="13">
        <v>0.15</v>
      </c>
      <c r="E34" s="21">
        <v>0.1</v>
      </c>
      <c r="F34" s="21">
        <v>5.0599999999999999E-2</v>
      </c>
      <c r="G34" s="21">
        <v>0.108</v>
      </c>
      <c r="H34" s="21">
        <v>9.6799999999999997E-2</v>
      </c>
      <c r="I34" s="21">
        <v>7.6999999999999999E-2</v>
      </c>
      <c r="J34" s="21">
        <v>5.8999999999999997E-2</v>
      </c>
      <c r="K34" s="21">
        <v>8.7900000000000006E-2</v>
      </c>
      <c r="L34" s="21">
        <v>0.04</v>
      </c>
      <c r="M34" s="21">
        <v>5.0500000000000003E-2</v>
      </c>
      <c r="N34" s="21">
        <v>9.8000000000000004E-2</v>
      </c>
      <c r="O34" s="21">
        <v>0.11</v>
      </c>
      <c r="P34" s="21">
        <v>6.4000000000000001E-2</v>
      </c>
    </row>
    <row r="35" spans="1:16" x14ac:dyDescent="0.3">
      <c r="A35" t="s">
        <v>23</v>
      </c>
      <c r="C35" s="17">
        <f>C32*C34</f>
        <v>1018.1999999999999</v>
      </c>
      <c r="E35" s="17">
        <f>IF($C$21=E23,E32*E34,0)</f>
        <v>0</v>
      </c>
      <c r="F35" s="17">
        <f>IF($C$21=F23,F32*F34,0)</f>
        <v>0</v>
      </c>
      <c r="G35" s="17">
        <f t="shared" ref="G35:P35" si="4">IF($C$21=G23,G32*G34,0)</f>
        <v>0</v>
      </c>
      <c r="H35" s="17">
        <f t="shared" si="4"/>
        <v>446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  <c r="P35" s="17">
        <f t="shared" si="4"/>
        <v>0</v>
      </c>
    </row>
    <row r="37" spans="1:16" x14ac:dyDescent="0.3">
      <c r="A37" t="s">
        <v>1</v>
      </c>
      <c r="C37" s="20">
        <f>C35</f>
        <v>1018.1999999999999</v>
      </c>
    </row>
    <row r="38" spans="1:16" x14ac:dyDescent="0.3">
      <c r="A38" t="s">
        <v>55</v>
      </c>
      <c r="C38" s="12">
        <f>HLOOKUP(C21,E23:P35,13,FALSE)</f>
        <v>446</v>
      </c>
    </row>
    <row r="39" spans="1:16" x14ac:dyDescent="0.3">
      <c r="A39" t="s">
        <v>115</v>
      </c>
      <c r="C39" s="24">
        <f>SUM(C37:C38)</f>
        <v>1464.1999999999998</v>
      </c>
      <c r="I39" s="32"/>
    </row>
  </sheetData>
  <dataValidations disablePrompts="1" count="3">
    <dataValidation type="list" allowBlank="1" showInputMessage="1" showErrorMessage="1" sqref="C9 C13 C11">
      <formula1>$E$1:$F$1</formula1>
    </dataValidation>
    <dataValidation type="list" allowBlank="1" showInputMessage="1" showErrorMessage="1" sqref="C21">
      <formula1>$E$4:$P$4</formula1>
    </dataValidation>
    <dataValidation type="list" allowBlank="1" showInputMessage="1" showErrorMessage="1" sqref="C4">
      <formula1>$E$2:$J$2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7" workbookViewId="0">
      <selection activeCell="E17" sqref="E17:E18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118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120</v>
      </c>
      <c r="C3" s="6" t="s">
        <v>30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ht="57.6" x14ac:dyDescent="0.3">
      <c r="A5" s="22" t="s">
        <v>119</v>
      </c>
      <c r="C5" s="6" t="s">
        <v>30</v>
      </c>
      <c r="D5" s="1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7" spans="1:16" x14ac:dyDescent="0.3">
      <c r="A7" s="22" t="s">
        <v>122</v>
      </c>
      <c r="C7" s="6" t="s">
        <v>30</v>
      </c>
    </row>
    <row r="9" spans="1:16" x14ac:dyDescent="0.3">
      <c r="A9" s="9" t="s">
        <v>57</v>
      </c>
      <c r="C9" s="8" t="str">
        <f>IF(AND(C3="yes",C5="yes"),"Eligible","Not eligible")</f>
        <v>Eligible</v>
      </c>
    </row>
    <row r="12" spans="1:16" x14ac:dyDescent="0.3">
      <c r="A12" t="s">
        <v>96</v>
      </c>
      <c r="C12" s="6">
        <v>40000</v>
      </c>
      <c r="D12" s="29" t="s">
        <v>125</v>
      </c>
    </row>
    <row r="13" spans="1:16" x14ac:dyDescent="0.3">
      <c r="A13" t="s">
        <v>43</v>
      </c>
      <c r="C13" s="6" t="s">
        <v>51</v>
      </c>
    </row>
    <row r="15" spans="1:16" x14ac:dyDescent="0.3">
      <c r="C15" s="16" t="s">
        <v>1</v>
      </c>
      <c r="E15" s="16" t="s">
        <v>42</v>
      </c>
      <c r="F15" s="16" t="s">
        <v>44</v>
      </c>
      <c r="G15" s="16" t="s">
        <v>45</v>
      </c>
      <c r="H15" s="16" t="s">
        <v>46</v>
      </c>
      <c r="I15" s="16" t="s">
        <v>47</v>
      </c>
      <c r="J15" s="16" t="s">
        <v>48</v>
      </c>
      <c r="K15" s="16" t="s">
        <v>49</v>
      </c>
      <c r="L15" s="16" t="s">
        <v>50</v>
      </c>
      <c r="M15" s="16" t="s">
        <v>51</v>
      </c>
      <c r="N15" s="16" t="s">
        <v>52</v>
      </c>
      <c r="O15" s="16" t="s">
        <v>53</v>
      </c>
      <c r="P15" s="16" t="s">
        <v>54</v>
      </c>
    </row>
    <row r="16" spans="1:16" x14ac:dyDescent="0.3">
      <c r="A16" t="s">
        <v>34</v>
      </c>
    </row>
    <row r="17" spans="1:16" x14ac:dyDescent="0.3">
      <c r="A17" s="22" t="s">
        <v>123</v>
      </c>
      <c r="B17" s="10"/>
      <c r="C17" s="10">
        <v>8001</v>
      </c>
      <c r="D17" s="30"/>
      <c r="E17" s="10">
        <v>14232</v>
      </c>
      <c r="F17" s="10">
        <v>7521</v>
      </c>
      <c r="G17" s="10">
        <v>6180</v>
      </c>
      <c r="H17" s="10">
        <v>7900</v>
      </c>
      <c r="I17" s="10">
        <v>5939</v>
      </c>
      <c r="J17" s="10">
        <v>11419</v>
      </c>
      <c r="K17" s="10">
        <v>7341</v>
      </c>
      <c r="L17" s="10">
        <v>12947</v>
      </c>
      <c r="M17" s="10">
        <v>8088</v>
      </c>
      <c r="N17" s="10">
        <v>6890</v>
      </c>
      <c r="O17" s="10">
        <v>9334</v>
      </c>
      <c r="P17" s="10">
        <v>8001</v>
      </c>
    </row>
    <row r="18" spans="1:16" x14ac:dyDescent="0.3">
      <c r="A18" t="s">
        <v>124</v>
      </c>
      <c r="B18" s="10"/>
      <c r="C18" s="10">
        <v>4667</v>
      </c>
      <c r="D18" s="30"/>
      <c r="E18" s="10">
        <v>10680</v>
      </c>
      <c r="F18" s="10">
        <v>4387</v>
      </c>
      <c r="G18" s="10">
        <v>3605</v>
      </c>
      <c r="H18" s="10">
        <v>4608</v>
      </c>
      <c r="I18" s="10">
        <v>2795</v>
      </c>
      <c r="J18" s="10">
        <v>4667</v>
      </c>
      <c r="K18" s="10">
        <v>3449</v>
      </c>
      <c r="L18" s="10">
        <v>4667</v>
      </c>
      <c r="M18" s="10">
        <v>4717</v>
      </c>
      <c r="N18" s="10">
        <v>4019</v>
      </c>
      <c r="O18" s="10">
        <v>9334</v>
      </c>
      <c r="P18" s="10">
        <v>4667</v>
      </c>
    </row>
    <row r="19" spans="1:16" x14ac:dyDescent="0.3">
      <c r="B19" s="10"/>
      <c r="C19" s="10"/>
      <c r="D19" s="3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ht="28.8" x14ac:dyDescent="0.3">
      <c r="A20" s="22" t="s">
        <v>121</v>
      </c>
      <c r="B20" s="10"/>
      <c r="C20" s="10">
        <f>IF(AND($C$3="yes",$C$5="yes"),C17,0)</f>
        <v>8001</v>
      </c>
      <c r="D20" s="30"/>
      <c r="E20" s="10">
        <f>IF($C$13=E15,IF(AND($C$3="yes",$C$5="yes"),E17,0),0)</f>
        <v>0</v>
      </c>
      <c r="F20" s="10">
        <f t="shared" ref="F20:P20" si="0">IF($C$13=F15,IF(AND($C$3="yes",$C$5="yes"),F17,0),0)</f>
        <v>0</v>
      </c>
      <c r="G20" s="10">
        <f t="shared" si="0"/>
        <v>0</v>
      </c>
      <c r="H20" s="10">
        <f t="shared" si="0"/>
        <v>0</v>
      </c>
      <c r="I20" s="10">
        <f t="shared" si="0"/>
        <v>0</v>
      </c>
      <c r="J20" s="10">
        <f t="shared" si="0"/>
        <v>0</v>
      </c>
      <c r="K20" s="10">
        <f t="shared" si="0"/>
        <v>0</v>
      </c>
      <c r="L20" s="10">
        <f t="shared" si="0"/>
        <v>0</v>
      </c>
      <c r="M20" s="10">
        <f t="shared" si="0"/>
        <v>8088</v>
      </c>
      <c r="N20" s="10">
        <f t="shared" si="0"/>
        <v>0</v>
      </c>
      <c r="O20" s="10">
        <f t="shared" si="0"/>
        <v>0</v>
      </c>
      <c r="P20" s="10">
        <f t="shared" si="0"/>
        <v>0</v>
      </c>
    </row>
    <row r="21" spans="1:16" x14ac:dyDescent="0.3">
      <c r="A21" t="s">
        <v>126</v>
      </c>
      <c r="B21" s="10"/>
      <c r="C21" s="12">
        <f>IF(AND($C$9="eligible",$C$7="yes"),C18,0)</f>
        <v>4667</v>
      </c>
      <c r="D21" s="30"/>
      <c r="E21" s="12">
        <f>IF($C$13=E15,IF(AND($C$9="eligible",$C$7="yes"),C18,0),0)</f>
        <v>0</v>
      </c>
      <c r="F21" s="12">
        <f t="shared" ref="F21:P21" si="1">IF($C$13=F15,IF(AND($C$9="eligible",$C$7="yes"),D18,0),0)</f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2">
        <f t="shared" si="1"/>
        <v>0</v>
      </c>
      <c r="K21" s="12">
        <f t="shared" si="1"/>
        <v>0</v>
      </c>
      <c r="L21" s="12">
        <f t="shared" si="1"/>
        <v>0</v>
      </c>
      <c r="M21" s="12">
        <f t="shared" si="1"/>
        <v>3449</v>
      </c>
      <c r="N21" s="12">
        <f t="shared" si="1"/>
        <v>0</v>
      </c>
      <c r="O21" s="12">
        <f t="shared" si="1"/>
        <v>0</v>
      </c>
      <c r="P21" s="12">
        <f t="shared" si="1"/>
        <v>0</v>
      </c>
    </row>
    <row r="22" spans="1:16" x14ac:dyDescent="0.3">
      <c r="B22" s="10"/>
      <c r="C22" s="10">
        <f>SUM(C20:C21)</f>
        <v>12668</v>
      </c>
      <c r="D22" s="30"/>
      <c r="E22" s="10">
        <f t="shared" ref="E22:P22" si="2">SUM(E20:E21)</f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11537</v>
      </c>
      <c r="N22" s="10">
        <f t="shared" si="2"/>
        <v>0</v>
      </c>
      <c r="O22" s="10">
        <f t="shared" si="2"/>
        <v>0</v>
      </c>
      <c r="P22" s="10">
        <f t="shared" si="2"/>
        <v>0</v>
      </c>
    </row>
    <row r="23" spans="1:16" x14ac:dyDescent="0.3">
      <c r="B23" s="15"/>
      <c r="C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t="s">
        <v>40</v>
      </c>
      <c r="C24" s="13">
        <v>0.15</v>
      </c>
      <c r="E24" s="21">
        <v>0.1</v>
      </c>
      <c r="F24" s="21">
        <v>5.0599999999999999E-2</v>
      </c>
      <c r="G24" s="21">
        <v>0.108</v>
      </c>
      <c r="H24" s="21">
        <v>9.6799999999999997E-2</v>
      </c>
      <c r="I24" s="21">
        <v>7.6999999999999999E-2</v>
      </c>
      <c r="J24" s="21">
        <v>5.8999999999999997E-2</v>
      </c>
      <c r="K24" s="21">
        <v>8.7900000000000006E-2</v>
      </c>
      <c r="L24" s="21">
        <v>0.04</v>
      </c>
      <c r="M24" s="21">
        <v>5.0500000000000003E-2</v>
      </c>
      <c r="N24" s="21">
        <v>9.8000000000000004E-2</v>
      </c>
      <c r="O24" s="21">
        <v>0.11</v>
      </c>
      <c r="P24" s="21">
        <v>6.4000000000000001E-2</v>
      </c>
    </row>
    <row r="25" spans="1:16" x14ac:dyDescent="0.3">
      <c r="A25" t="s">
        <v>118</v>
      </c>
      <c r="C25" s="17">
        <f>C22*C24</f>
        <v>1900.1999999999998</v>
      </c>
      <c r="E25" s="17">
        <f t="shared" ref="E25:P25" si="3">E22*E24</f>
        <v>0</v>
      </c>
      <c r="F25" s="17">
        <f t="shared" si="3"/>
        <v>0</v>
      </c>
      <c r="G25" s="17">
        <f t="shared" si="3"/>
        <v>0</v>
      </c>
      <c r="H25" s="17">
        <f t="shared" si="3"/>
        <v>0</v>
      </c>
      <c r="I25" s="17">
        <f t="shared" si="3"/>
        <v>0</v>
      </c>
      <c r="J25" s="17">
        <f t="shared" si="3"/>
        <v>0</v>
      </c>
      <c r="K25" s="17">
        <f t="shared" si="3"/>
        <v>0</v>
      </c>
      <c r="L25" s="17">
        <f t="shared" si="3"/>
        <v>0</v>
      </c>
      <c r="M25" s="17">
        <f t="shared" si="3"/>
        <v>582.61850000000004</v>
      </c>
      <c r="N25" s="17">
        <f t="shared" si="3"/>
        <v>0</v>
      </c>
      <c r="O25" s="17">
        <f t="shared" si="3"/>
        <v>0</v>
      </c>
      <c r="P25" s="17">
        <f t="shared" si="3"/>
        <v>0</v>
      </c>
    </row>
    <row r="27" spans="1:16" x14ac:dyDescent="0.3">
      <c r="A27" t="s">
        <v>1</v>
      </c>
      <c r="C27" s="20">
        <f>C25</f>
        <v>1900.1999999999998</v>
      </c>
    </row>
    <row r="28" spans="1:16" x14ac:dyDescent="0.3">
      <c r="A28" t="s">
        <v>55</v>
      </c>
      <c r="C28" s="12">
        <f>HLOOKUP(C13,E15:P25,11,FALSE)</f>
        <v>582.61850000000004</v>
      </c>
    </row>
    <row r="29" spans="1:16" x14ac:dyDescent="0.3">
      <c r="A29" t="s">
        <v>129</v>
      </c>
      <c r="C29" s="24">
        <f>SUM(C27:C28)</f>
        <v>2482.8184999999999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</sheetData>
  <dataValidations disablePrompts="1" count="2">
    <dataValidation type="list" allowBlank="1" showInputMessage="1" showErrorMessage="1" sqref="C3 C5 C7">
      <formula1>$E$1:$F$1</formula1>
    </dataValidation>
    <dataValidation type="list" allowBlank="1" showInputMessage="1" showErrorMessage="1" sqref="C13">
      <formula1>$E$2:$P$2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I15" sqref="I15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157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43.2" x14ac:dyDescent="0.3">
      <c r="A3" s="22" t="s">
        <v>158</v>
      </c>
      <c r="C3" s="6">
        <v>1000</v>
      </c>
      <c r="D3" s="14"/>
      <c r="E3" s="41" t="s">
        <v>160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s="39" customFormat="1" x14ac:dyDescent="0.3">
      <c r="A5" s="38"/>
      <c r="D5" s="40"/>
    </row>
    <row r="6" spans="1:16" x14ac:dyDescent="0.3">
      <c r="A6" s="22" t="s">
        <v>96</v>
      </c>
      <c r="C6" s="6">
        <v>40000</v>
      </c>
      <c r="D6" s="29" t="s">
        <v>125</v>
      </c>
    </row>
    <row r="7" spans="1:16" x14ac:dyDescent="0.3">
      <c r="A7" t="s">
        <v>43</v>
      </c>
      <c r="C7" s="6" t="s">
        <v>50</v>
      </c>
    </row>
    <row r="9" spans="1:16" x14ac:dyDescent="0.3">
      <c r="C9" s="16" t="s">
        <v>1</v>
      </c>
      <c r="E9" s="16" t="s">
        <v>42</v>
      </c>
      <c r="F9" s="16" t="s">
        <v>44</v>
      </c>
      <c r="G9" s="16" t="s">
        <v>45</v>
      </c>
      <c r="H9" s="16" t="s">
        <v>46</v>
      </c>
      <c r="I9" s="16" t="s">
        <v>47</v>
      </c>
      <c r="J9" s="16" t="s">
        <v>48</v>
      </c>
      <c r="K9" s="16" t="s">
        <v>49</v>
      </c>
      <c r="L9" s="16" t="s">
        <v>50</v>
      </c>
      <c r="M9" s="16" t="s">
        <v>51</v>
      </c>
      <c r="N9" s="16" t="s">
        <v>52</v>
      </c>
      <c r="O9" s="16" t="s">
        <v>53</v>
      </c>
      <c r="P9" s="16" t="s">
        <v>54</v>
      </c>
    </row>
    <row r="11" spans="1:16" x14ac:dyDescent="0.3">
      <c r="A11" s="22" t="s">
        <v>142</v>
      </c>
      <c r="B11" s="10"/>
      <c r="C11" s="10">
        <f>$C$3</f>
        <v>1000</v>
      </c>
      <c r="D11" s="30"/>
      <c r="E11" s="10">
        <f t="shared" ref="E11:O11" si="0">IF($C$7=E9,$C$3,0)</f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1000</v>
      </c>
      <c r="M11" s="10">
        <f t="shared" si="0"/>
        <v>0</v>
      </c>
      <c r="N11" s="10">
        <f t="shared" si="0"/>
        <v>0</v>
      </c>
      <c r="O11" s="10">
        <f t="shared" si="0"/>
        <v>0</v>
      </c>
      <c r="P11" s="10">
        <f>IF($C$7=P9,$C$3,0)</f>
        <v>0</v>
      </c>
    </row>
    <row r="12" spans="1:16" x14ac:dyDescent="0.3">
      <c r="B12" s="10"/>
      <c r="C12" s="10"/>
      <c r="D12" s="3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3">
      <c r="A13" t="s">
        <v>40</v>
      </c>
      <c r="C13" s="13">
        <v>0.15</v>
      </c>
      <c r="E13" s="21">
        <v>0.1</v>
      </c>
      <c r="F13" s="21">
        <v>5.0599999999999999E-2</v>
      </c>
      <c r="G13" s="21">
        <v>0.108</v>
      </c>
      <c r="H13" s="21">
        <v>9.6799999999999997E-2</v>
      </c>
      <c r="I13" s="21">
        <v>7.6999999999999999E-2</v>
      </c>
      <c r="J13" s="21">
        <v>5.8999999999999997E-2</v>
      </c>
      <c r="K13" s="21">
        <v>8.7900000000000006E-2</v>
      </c>
      <c r="L13" s="21">
        <v>0.04</v>
      </c>
      <c r="M13" s="21">
        <v>5.0500000000000003E-2</v>
      </c>
      <c r="N13" s="21">
        <v>9.8000000000000004E-2</v>
      </c>
      <c r="O13" s="21">
        <v>0.11</v>
      </c>
      <c r="P13" s="21">
        <v>6.4000000000000001E-2</v>
      </c>
    </row>
    <row r="14" spans="1:16" x14ac:dyDescent="0.3">
      <c r="A14" t="s">
        <v>157</v>
      </c>
      <c r="C14" s="17">
        <f>C11*C13</f>
        <v>150</v>
      </c>
      <c r="E14" s="17">
        <f t="shared" ref="E14:P14" si="1">E11*E13</f>
        <v>0</v>
      </c>
      <c r="F14" s="17">
        <f t="shared" si="1"/>
        <v>0</v>
      </c>
      <c r="G14" s="17">
        <f t="shared" si="1"/>
        <v>0</v>
      </c>
      <c r="H14" s="17">
        <f t="shared" si="1"/>
        <v>0</v>
      </c>
      <c r="I14" s="17">
        <f t="shared" si="1"/>
        <v>0</v>
      </c>
      <c r="J14" s="17">
        <f t="shared" si="1"/>
        <v>0</v>
      </c>
      <c r="K14" s="17">
        <f t="shared" si="1"/>
        <v>0</v>
      </c>
      <c r="L14" s="17">
        <f t="shared" si="1"/>
        <v>40</v>
      </c>
      <c r="M14" s="17">
        <f t="shared" si="1"/>
        <v>0</v>
      </c>
      <c r="N14" s="17">
        <f t="shared" si="1"/>
        <v>0</v>
      </c>
      <c r="O14" s="17">
        <f t="shared" si="1"/>
        <v>0</v>
      </c>
      <c r="P14" s="17">
        <f t="shared" si="1"/>
        <v>0</v>
      </c>
    </row>
    <row r="16" spans="1:16" x14ac:dyDescent="0.3">
      <c r="A16" t="s">
        <v>1</v>
      </c>
      <c r="C16" s="20">
        <f>C14</f>
        <v>150</v>
      </c>
    </row>
    <row r="17" spans="1:16" x14ac:dyDescent="0.3">
      <c r="A17" t="s">
        <v>55</v>
      </c>
      <c r="C17" s="12">
        <f>HLOOKUP(C7,E9:P14,6,FALSE)</f>
        <v>40</v>
      </c>
    </row>
    <row r="18" spans="1:16" x14ac:dyDescent="0.3">
      <c r="A18" t="s">
        <v>159</v>
      </c>
      <c r="C18" s="24">
        <f>SUM(C16:C17)</f>
        <v>190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</sheetData>
  <dataValidations disablePrompts="1" count="1">
    <dataValidation type="list" allowBlank="1" showInputMessage="1" showErrorMessage="1" sqref="C7">
      <formula1>$E$2:$P$2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7" workbookViewId="0">
      <selection activeCell="I23" sqref="I23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9.5546875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10.21875" bestFit="1" customWidth="1"/>
    <col min="13" max="13" width="8.77734375" bestFit="1" customWidth="1"/>
    <col min="14" max="14" width="18" bestFit="1" customWidth="1"/>
    <col min="15" max="15" width="12.5546875" bestFit="1" customWidth="1"/>
    <col min="16" max="16" width="10.109375" customWidth="1"/>
  </cols>
  <sheetData>
    <row r="1" spans="1:16" x14ac:dyDescent="0.3">
      <c r="A1" s="7" t="s">
        <v>161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162</v>
      </c>
      <c r="C3" s="6">
        <v>20000</v>
      </c>
      <c r="D3" s="14"/>
      <c r="E3">
        <v>1</v>
      </c>
      <c r="F3" s="3">
        <v>2</v>
      </c>
      <c r="G3" s="3">
        <v>3</v>
      </c>
      <c r="H3">
        <v>4</v>
      </c>
      <c r="I3" s="3">
        <v>5</v>
      </c>
      <c r="J3" s="3">
        <v>6</v>
      </c>
      <c r="K3">
        <v>7</v>
      </c>
      <c r="L3" s="3">
        <v>8</v>
      </c>
      <c r="M3" s="3">
        <v>9</v>
      </c>
      <c r="N3">
        <v>10</v>
      </c>
      <c r="O3" s="3">
        <v>11</v>
      </c>
      <c r="P3" s="3">
        <v>12</v>
      </c>
    </row>
    <row r="5" spans="1:16" ht="43.2" x14ac:dyDescent="0.3">
      <c r="A5" s="22" t="s">
        <v>165</v>
      </c>
      <c r="E5" s="41" t="s">
        <v>160</v>
      </c>
    </row>
    <row r="6" spans="1:16" x14ac:dyDescent="0.3">
      <c r="A6" t="s">
        <v>163</v>
      </c>
      <c r="C6" s="6"/>
    </row>
    <row r="7" spans="1:16" x14ac:dyDescent="0.3">
      <c r="A7" t="s">
        <v>164</v>
      </c>
      <c r="C7" s="6">
        <v>2</v>
      </c>
    </row>
    <row r="8" spans="1:16" x14ac:dyDescent="0.3">
      <c r="C8">
        <f>SUM(C6:C7)</f>
        <v>2</v>
      </c>
      <c r="D8" s="29" t="s">
        <v>166</v>
      </c>
    </row>
    <row r="9" spans="1:16" s="39" customFormat="1" x14ac:dyDescent="0.3">
      <c r="A9" s="38"/>
      <c r="D9" s="40"/>
    </row>
    <row r="10" spans="1:16" x14ac:dyDescent="0.3">
      <c r="A10" s="22" t="s">
        <v>96</v>
      </c>
      <c r="C10" s="6">
        <v>13000</v>
      </c>
      <c r="D10" s="29" t="s">
        <v>125</v>
      </c>
    </row>
    <row r="11" spans="1:16" x14ac:dyDescent="0.3">
      <c r="A11" t="s">
        <v>43</v>
      </c>
      <c r="C11" s="6" t="s">
        <v>49</v>
      </c>
    </row>
    <row r="13" spans="1:16" x14ac:dyDescent="0.3">
      <c r="C13" s="16" t="s">
        <v>1</v>
      </c>
      <c r="E13" s="16" t="s">
        <v>42</v>
      </c>
      <c r="F13" s="16" t="s">
        <v>44</v>
      </c>
      <c r="G13" s="16" t="s">
        <v>45</v>
      </c>
      <c r="H13" s="16" t="s">
        <v>46</v>
      </c>
      <c r="I13" s="16" t="s">
        <v>47</v>
      </c>
      <c r="J13" s="16" t="s">
        <v>48</v>
      </c>
      <c r="K13" s="16" t="s">
        <v>49</v>
      </c>
      <c r="L13" s="16" t="s">
        <v>50</v>
      </c>
      <c r="M13" s="16" t="s">
        <v>51</v>
      </c>
      <c r="N13" s="16" t="s">
        <v>52</v>
      </c>
      <c r="O13" s="16" t="s">
        <v>53</v>
      </c>
      <c r="P13" s="16" t="s">
        <v>54</v>
      </c>
    </row>
    <row r="15" spans="1:16" x14ac:dyDescent="0.3">
      <c r="A15" s="22" t="s">
        <v>167</v>
      </c>
      <c r="B15" s="10"/>
      <c r="C15" s="10">
        <f>$C$3</f>
        <v>20000</v>
      </c>
      <c r="D15" s="30"/>
      <c r="E15" s="10">
        <f>IF($C$11=E13,$C$3,0)</f>
        <v>0</v>
      </c>
      <c r="F15" s="10">
        <f t="shared" ref="F15:O15" si="0">IF($C$11=F13,$C$3,0)</f>
        <v>0</v>
      </c>
      <c r="G15" s="10">
        <f t="shared" si="0"/>
        <v>0</v>
      </c>
      <c r="H15" s="10">
        <f t="shared" si="0"/>
        <v>0</v>
      </c>
      <c r="I15" s="10">
        <f t="shared" si="0"/>
        <v>0</v>
      </c>
      <c r="J15" s="10">
        <f t="shared" si="0"/>
        <v>0</v>
      </c>
      <c r="K15" s="10">
        <f t="shared" si="0"/>
        <v>20000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</v>
      </c>
      <c r="P15" s="10">
        <f>IF($C$11=P13,$C$3,0)</f>
        <v>0</v>
      </c>
    </row>
    <row r="16" spans="1:16" x14ac:dyDescent="0.3">
      <c r="B16" s="10"/>
      <c r="C16" s="10"/>
      <c r="D16" s="3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t="s">
        <v>168</v>
      </c>
      <c r="B17" s="10"/>
      <c r="C17" s="10">
        <v>45282</v>
      </c>
      <c r="D17" s="10"/>
      <c r="E17" s="10">
        <v>125000</v>
      </c>
      <c r="F17" s="10">
        <v>38210</v>
      </c>
      <c r="G17" s="10">
        <v>31000</v>
      </c>
      <c r="H17" s="10">
        <v>40492</v>
      </c>
      <c r="I17" s="10">
        <v>35148</v>
      </c>
      <c r="J17" s="10">
        <v>41011</v>
      </c>
      <c r="K17" s="10">
        <v>29590</v>
      </c>
      <c r="L17" s="10">
        <v>43176</v>
      </c>
      <c r="M17" s="10">
        <v>41536</v>
      </c>
      <c r="N17" s="10">
        <v>31984</v>
      </c>
      <c r="O17" s="10">
        <v>44601</v>
      </c>
      <c r="P17" s="10">
        <v>45282</v>
      </c>
    </row>
    <row r="18" spans="1:16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B19" s="10"/>
      <c r="C19" s="10">
        <f>IF($C$10&lt;=C17,$C$10,C17/C25)</f>
        <v>13000</v>
      </c>
      <c r="D19" s="30"/>
      <c r="E19" s="10">
        <f t="shared" ref="E19:P19" si="1">IF($C$10&lt;=E17,$C$10,E17/E25)</f>
        <v>13000</v>
      </c>
      <c r="F19" s="10">
        <f t="shared" si="1"/>
        <v>13000</v>
      </c>
      <c r="G19" s="10">
        <f t="shared" si="1"/>
        <v>13000</v>
      </c>
      <c r="H19" s="10">
        <f t="shared" si="1"/>
        <v>13000</v>
      </c>
      <c r="I19" s="10">
        <f t="shared" si="1"/>
        <v>13000</v>
      </c>
      <c r="J19" s="10">
        <f t="shared" si="1"/>
        <v>13000</v>
      </c>
      <c r="K19" s="10">
        <f t="shared" si="1"/>
        <v>13000</v>
      </c>
      <c r="L19" s="10">
        <f t="shared" si="1"/>
        <v>13000</v>
      </c>
      <c r="M19" s="10">
        <f t="shared" si="1"/>
        <v>13000</v>
      </c>
      <c r="N19" s="10">
        <f t="shared" si="1"/>
        <v>13000</v>
      </c>
      <c r="O19" s="10">
        <f t="shared" si="1"/>
        <v>13000</v>
      </c>
      <c r="P19" s="10">
        <f t="shared" si="1"/>
        <v>13000</v>
      </c>
    </row>
    <row r="20" spans="1:16" x14ac:dyDescent="0.3">
      <c r="A20" t="s">
        <v>169</v>
      </c>
      <c r="B20" s="10"/>
      <c r="C20" s="12">
        <v>11474</v>
      </c>
      <c r="D20" s="30"/>
      <c r="E20" s="12">
        <v>18451</v>
      </c>
      <c r="F20" s="12">
        <v>10027</v>
      </c>
      <c r="G20" s="12">
        <v>9134</v>
      </c>
      <c r="H20" s="12">
        <v>9758</v>
      </c>
      <c r="I20" s="12">
        <v>8802</v>
      </c>
      <c r="J20" s="12">
        <v>14081</v>
      </c>
      <c r="K20" s="12">
        <v>8481</v>
      </c>
      <c r="L20" s="12">
        <v>12947</v>
      </c>
      <c r="M20" s="12">
        <v>10011</v>
      </c>
      <c r="N20" s="12">
        <v>8000</v>
      </c>
      <c r="O20" s="12">
        <v>15843</v>
      </c>
      <c r="P20" s="12">
        <v>11474</v>
      </c>
    </row>
    <row r="21" spans="1:16" x14ac:dyDescent="0.3">
      <c r="B21" s="10"/>
      <c r="C21" s="10">
        <f>IF((C19-C20)&lt;=0,0,C19-C20)</f>
        <v>1526</v>
      </c>
      <c r="D21" s="30"/>
      <c r="E21" s="10">
        <f t="shared" ref="E21:P21" si="2">IF((E19-E20)&lt;=0,0,E19-E20)</f>
        <v>0</v>
      </c>
      <c r="F21" s="10">
        <f t="shared" si="2"/>
        <v>2973</v>
      </c>
      <c r="G21" s="10">
        <f t="shared" si="2"/>
        <v>3866</v>
      </c>
      <c r="H21" s="10">
        <f t="shared" si="2"/>
        <v>3242</v>
      </c>
      <c r="I21" s="10">
        <f t="shared" si="2"/>
        <v>4198</v>
      </c>
      <c r="J21" s="10">
        <f t="shared" si="2"/>
        <v>0</v>
      </c>
      <c r="K21" s="10">
        <f t="shared" si="2"/>
        <v>4519</v>
      </c>
      <c r="L21" s="10">
        <f t="shared" si="2"/>
        <v>53</v>
      </c>
      <c r="M21" s="10">
        <f t="shared" si="2"/>
        <v>2989</v>
      </c>
      <c r="N21" s="10">
        <f t="shared" si="2"/>
        <v>5000</v>
      </c>
      <c r="O21" s="10">
        <f t="shared" si="2"/>
        <v>0</v>
      </c>
      <c r="P21" s="10">
        <f t="shared" si="2"/>
        <v>1526</v>
      </c>
    </row>
    <row r="22" spans="1:16" x14ac:dyDescent="0.3">
      <c r="B22" s="10"/>
      <c r="C22" s="10"/>
      <c r="D22" s="3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t="s">
        <v>170</v>
      </c>
      <c r="B23" s="10"/>
      <c r="C23" s="10">
        <f>MIN(C15,C21)</f>
        <v>1526</v>
      </c>
      <c r="D23" s="30"/>
      <c r="E23" s="10">
        <f t="shared" ref="E23:P23" si="3">MIN(E15,E21)</f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4519</v>
      </c>
      <c r="L23" s="10">
        <f t="shared" si="3"/>
        <v>0</v>
      </c>
      <c r="M23" s="10">
        <f t="shared" si="3"/>
        <v>0</v>
      </c>
      <c r="N23" s="10">
        <f t="shared" si="3"/>
        <v>0</v>
      </c>
      <c r="O23" s="10">
        <f t="shared" si="3"/>
        <v>0</v>
      </c>
      <c r="P23" s="10">
        <f t="shared" si="3"/>
        <v>0</v>
      </c>
    </row>
    <row r="24" spans="1:16" x14ac:dyDescent="0.3">
      <c r="B24" s="10"/>
      <c r="C24" s="10"/>
      <c r="D24" s="3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t="s">
        <v>40</v>
      </c>
      <c r="C25" s="13">
        <v>0.15</v>
      </c>
      <c r="E25" s="21">
        <v>0.1</v>
      </c>
      <c r="F25" s="21">
        <v>5.0599999999999999E-2</v>
      </c>
      <c r="G25" s="21">
        <v>0.108</v>
      </c>
      <c r="H25" s="21">
        <v>9.6799999999999997E-2</v>
      </c>
      <c r="I25" s="21">
        <v>7.6999999999999999E-2</v>
      </c>
      <c r="J25" s="21">
        <v>5.8999999999999997E-2</v>
      </c>
      <c r="K25" s="21">
        <v>8.7900000000000006E-2</v>
      </c>
      <c r="L25" s="21">
        <v>0.04</v>
      </c>
      <c r="M25" s="21">
        <v>5.0500000000000003E-2</v>
      </c>
      <c r="N25" s="21">
        <v>9.8000000000000004E-2</v>
      </c>
      <c r="O25" s="21">
        <v>0.11</v>
      </c>
      <c r="P25" s="21">
        <v>6.4000000000000001E-2</v>
      </c>
    </row>
    <row r="26" spans="1:16" x14ac:dyDescent="0.3">
      <c r="A26" t="s">
        <v>157</v>
      </c>
      <c r="C26" s="17">
        <f>C23*C25</f>
        <v>228.9</v>
      </c>
      <c r="D26" s="10"/>
      <c r="E26" s="17">
        <f t="shared" ref="E26:P26" si="4">E23*E25</f>
        <v>0</v>
      </c>
      <c r="F26" s="17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>
        <f t="shared" si="4"/>
        <v>0</v>
      </c>
      <c r="K26" s="17">
        <f t="shared" si="4"/>
        <v>397.2201</v>
      </c>
      <c r="L26" s="17">
        <f t="shared" si="4"/>
        <v>0</v>
      </c>
      <c r="M26" s="17">
        <f t="shared" si="4"/>
        <v>0</v>
      </c>
      <c r="N26" s="17">
        <f t="shared" si="4"/>
        <v>0</v>
      </c>
      <c r="O26" s="17">
        <f t="shared" si="4"/>
        <v>0</v>
      </c>
      <c r="P26" s="17">
        <f t="shared" si="4"/>
        <v>0</v>
      </c>
    </row>
    <row r="28" spans="1:16" x14ac:dyDescent="0.3">
      <c r="A28" t="s">
        <v>1</v>
      </c>
      <c r="C28" s="20">
        <f>C26</f>
        <v>228.9</v>
      </c>
    </row>
    <row r="29" spans="1:16" x14ac:dyDescent="0.3">
      <c r="A29" t="s">
        <v>55</v>
      </c>
      <c r="C29" s="12">
        <f>HLOOKUP(C11,E13:P26,14,FALSE)</f>
        <v>397.2201</v>
      </c>
    </row>
    <row r="30" spans="1:16" x14ac:dyDescent="0.3">
      <c r="A30" t="s">
        <v>159</v>
      </c>
      <c r="C30" s="24">
        <f>SUM(C28:C29)</f>
        <v>626.12009999999998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</sheetData>
  <dataValidations count="2">
    <dataValidation type="list" allowBlank="1" showInputMessage="1" showErrorMessage="1" sqref="C11">
      <formula1>$E$2:$P$2</formula1>
    </dataValidation>
    <dataValidation type="list" allowBlank="1" showInputMessage="1" showErrorMessage="1" sqref="C6:C7">
      <formula1>$E$3:$P$3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7" workbookViewId="0">
      <selection activeCell="J11" sqref="J11"/>
    </sheetView>
  </sheetViews>
  <sheetFormatPr defaultRowHeight="14.4" x14ac:dyDescent="0.3"/>
  <cols>
    <col min="1" max="1" width="22.77734375" customWidth="1"/>
    <col min="2" max="2" width="6.109375" bestFit="1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94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57.6" x14ac:dyDescent="0.3">
      <c r="A3" s="22" t="s">
        <v>95</v>
      </c>
      <c r="C3" s="6">
        <v>3000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ht="43.2" x14ac:dyDescent="0.3">
      <c r="A5" s="22" t="s">
        <v>102</v>
      </c>
      <c r="C5" s="6" t="s">
        <v>30</v>
      </c>
    </row>
    <row r="7" spans="1:16" ht="28.8" x14ac:dyDescent="0.3">
      <c r="A7" s="22" t="s">
        <v>103</v>
      </c>
      <c r="C7" s="6">
        <v>3000</v>
      </c>
      <c r="E7" s="29" t="s">
        <v>104</v>
      </c>
    </row>
    <row r="9" spans="1:16" ht="43.2" x14ac:dyDescent="0.3">
      <c r="A9" s="22" t="s">
        <v>101</v>
      </c>
      <c r="C9" s="6">
        <v>3000</v>
      </c>
    </row>
    <row r="10" spans="1:16" x14ac:dyDescent="0.3">
      <c r="A10" s="22"/>
    </row>
    <row r="11" spans="1:16" ht="57.6" x14ac:dyDescent="0.3">
      <c r="A11" s="22" t="s">
        <v>100</v>
      </c>
      <c r="C11" s="6"/>
    </row>
    <row r="13" spans="1:16" x14ac:dyDescent="0.3">
      <c r="A13" t="s">
        <v>96</v>
      </c>
      <c r="C13" s="6">
        <v>40000</v>
      </c>
      <c r="D13" s="14"/>
    </row>
    <row r="14" spans="1:16" x14ac:dyDescent="0.3">
      <c r="A14" t="s">
        <v>43</v>
      </c>
      <c r="C14" s="6" t="s">
        <v>51</v>
      </c>
    </row>
    <row r="16" spans="1:16" x14ac:dyDescent="0.3">
      <c r="C16" s="16" t="s">
        <v>1</v>
      </c>
      <c r="E16" s="16" t="s">
        <v>42</v>
      </c>
      <c r="F16" s="16" t="s">
        <v>44</v>
      </c>
      <c r="G16" s="16" t="s">
        <v>45</v>
      </c>
      <c r="H16" s="16" t="s">
        <v>46</v>
      </c>
      <c r="I16" s="16" t="s">
        <v>47</v>
      </c>
      <c r="J16" s="16" t="s">
        <v>48</v>
      </c>
      <c r="K16" s="16" t="s">
        <v>49</v>
      </c>
      <c r="L16" s="16" t="s">
        <v>50</v>
      </c>
      <c r="M16" s="16" t="s">
        <v>51</v>
      </c>
      <c r="N16" s="16" t="s">
        <v>52</v>
      </c>
      <c r="O16" s="16" t="s">
        <v>53</v>
      </c>
      <c r="P16" s="16" t="s">
        <v>54</v>
      </c>
    </row>
    <row r="17" spans="1:16" ht="28.8" x14ac:dyDescent="0.3">
      <c r="A17" s="22" t="s">
        <v>105</v>
      </c>
      <c r="B17" s="15"/>
      <c r="C17" s="10">
        <f>$C$3</f>
        <v>3000</v>
      </c>
      <c r="D17" s="30" t="s">
        <v>79</v>
      </c>
      <c r="E17" s="10">
        <f>IF($C$14=E16,$C$3,0)</f>
        <v>0</v>
      </c>
      <c r="F17" s="10">
        <f t="shared" ref="F17:P17" si="0">IF($C$14=F16,$C$3,0)</f>
        <v>0</v>
      </c>
      <c r="G17" s="10">
        <f t="shared" si="0"/>
        <v>0</v>
      </c>
      <c r="H17" s="10">
        <f t="shared" si="0"/>
        <v>0</v>
      </c>
      <c r="I17" s="10">
        <f t="shared" si="0"/>
        <v>0</v>
      </c>
      <c r="J17" s="10">
        <f t="shared" si="0"/>
        <v>0</v>
      </c>
      <c r="K17" s="10">
        <f t="shared" si="0"/>
        <v>0</v>
      </c>
      <c r="L17" s="10">
        <f t="shared" si="0"/>
        <v>0</v>
      </c>
      <c r="M17" s="10">
        <f t="shared" si="0"/>
        <v>3000</v>
      </c>
      <c r="N17" s="10">
        <f t="shared" si="0"/>
        <v>0</v>
      </c>
      <c r="O17" s="10">
        <f t="shared" si="0"/>
        <v>0</v>
      </c>
      <c r="P17" s="10">
        <f t="shared" si="0"/>
        <v>0</v>
      </c>
    </row>
    <row r="18" spans="1:16" x14ac:dyDescent="0.3">
      <c r="B18" s="15"/>
      <c r="C18" s="10"/>
      <c r="D18" s="3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t="s">
        <v>67</v>
      </c>
      <c r="B19" s="15" t="s">
        <v>36</v>
      </c>
      <c r="C19" s="10">
        <v>2237</v>
      </c>
      <c r="D19" s="30"/>
      <c r="E19" s="10">
        <v>2384</v>
      </c>
      <c r="F19" s="10">
        <v>2085</v>
      </c>
      <c r="G19" s="10">
        <v>1728</v>
      </c>
      <c r="H19" s="10">
        <v>2208</v>
      </c>
      <c r="I19" s="10">
        <v>1918</v>
      </c>
      <c r="J19" s="10">
        <v>2237</v>
      </c>
      <c r="K19" s="10">
        <v>1637</v>
      </c>
      <c r="L19" s="10">
        <v>2237</v>
      </c>
      <c r="M19" s="10">
        <v>2265</v>
      </c>
      <c r="N19" s="10">
        <v>1678</v>
      </c>
      <c r="O19" s="10">
        <v>2237</v>
      </c>
      <c r="P19" s="10">
        <v>2237</v>
      </c>
    </row>
    <row r="20" spans="1:16" x14ac:dyDescent="0.3">
      <c r="A20" t="s">
        <v>97</v>
      </c>
      <c r="B20" s="15" t="s">
        <v>37</v>
      </c>
      <c r="C20" s="10">
        <f>$C$13*3%</f>
        <v>1200</v>
      </c>
      <c r="D20" s="30"/>
      <c r="E20" s="10">
        <f>$C$13*3%</f>
        <v>1200</v>
      </c>
      <c r="F20" s="10">
        <f t="shared" ref="F20:P20" si="1">$C$13*3%</f>
        <v>1200</v>
      </c>
      <c r="G20" s="10">
        <f t="shared" si="1"/>
        <v>1200</v>
      </c>
      <c r="H20" s="10">
        <f t="shared" si="1"/>
        <v>1200</v>
      </c>
      <c r="I20" s="10">
        <f t="shared" si="1"/>
        <v>1200</v>
      </c>
      <c r="J20" s="10">
        <f t="shared" si="1"/>
        <v>1200</v>
      </c>
      <c r="K20" s="10">
        <f t="shared" si="1"/>
        <v>1200</v>
      </c>
      <c r="L20" s="10">
        <f t="shared" si="1"/>
        <v>1200</v>
      </c>
      <c r="M20" s="10">
        <f t="shared" si="1"/>
        <v>1200</v>
      </c>
      <c r="N20" s="10">
        <f t="shared" si="1"/>
        <v>1200</v>
      </c>
      <c r="O20" s="10">
        <f t="shared" si="1"/>
        <v>1200</v>
      </c>
      <c r="P20" s="10">
        <f t="shared" si="1"/>
        <v>1200</v>
      </c>
    </row>
    <row r="21" spans="1:16" x14ac:dyDescent="0.3">
      <c r="A21" t="s">
        <v>98</v>
      </c>
      <c r="B21" s="15" t="s">
        <v>99</v>
      </c>
      <c r="C21" s="10">
        <f>MIN(C19,C20)</f>
        <v>1200</v>
      </c>
      <c r="D21" s="30" t="s">
        <v>89</v>
      </c>
      <c r="E21" s="10">
        <f>MIN(E19,E20)</f>
        <v>1200</v>
      </c>
      <c r="F21" s="10">
        <f t="shared" ref="F21:P21" si="2">MIN(F19,F20)</f>
        <v>1200</v>
      </c>
      <c r="G21" s="10">
        <f t="shared" si="2"/>
        <v>1200</v>
      </c>
      <c r="H21" s="10">
        <f t="shared" si="2"/>
        <v>1200</v>
      </c>
      <c r="I21" s="10">
        <f t="shared" si="2"/>
        <v>1200</v>
      </c>
      <c r="J21" s="10">
        <f t="shared" si="2"/>
        <v>1200</v>
      </c>
      <c r="K21" s="10">
        <f t="shared" si="2"/>
        <v>1200</v>
      </c>
      <c r="L21" s="10">
        <f t="shared" si="2"/>
        <v>1200</v>
      </c>
      <c r="M21" s="10">
        <f t="shared" si="2"/>
        <v>1200</v>
      </c>
      <c r="N21" s="10">
        <f t="shared" si="2"/>
        <v>1200</v>
      </c>
      <c r="O21" s="10">
        <f t="shared" si="2"/>
        <v>1200</v>
      </c>
      <c r="P21" s="10">
        <f t="shared" si="2"/>
        <v>1200</v>
      </c>
    </row>
    <row r="22" spans="1:16" x14ac:dyDescent="0.3">
      <c r="B22" s="15"/>
      <c r="C22" s="12"/>
      <c r="D22" s="3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B23" s="15"/>
      <c r="C23" s="10">
        <f>C17-C21</f>
        <v>1800</v>
      </c>
      <c r="D23" s="30" t="s">
        <v>107</v>
      </c>
      <c r="E23" s="10">
        <f>IF((E17-E21)&lt;=0,0,E17-E21)</f>
        <v>0</v>
      </c>
      <c r="F23" s="10">
        <f t="shared" ref="F23:P23" si="3">IF((F17-F21)&lt;=0,0,F17-F21)</f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0</v>
      </c>
      <c r="L23" s="10">
        <f t="shared" si="3"/>
        <v>0</v>
      </c>
      <c r="M23" s="10">
        <f t="shared" si="3"/>
        <v>1800</v>
      </c>
      <c r="N23" s="10">
        <f t="shared" si="3"/>
        <v>0</v>
      </c>
      <c r="O23" s="10">
        <f t="shared" si="3"/>
        <v>0</v>
      </c>
      <c r="P23" s="10">
        <f t="shared" si="3"/>
        <v>0</v>
      </c>
    </row>
    <row r="24" spans="1:16" x14ac:dyDescent="0.3">
      <c r="B24" s="15"/>
      <c r="C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B25" s="15"/>
      <c r="C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28.8" x14ac:dyDescent="0.3">
      <c r="A26" s="22" t="s">
        <v>106</v>
      </c>
      <c r="B26" s="15"/>
      <c r="C26" s="10">
        <f>IF($C$5="yes",$C$9+$C$11,0)</f>
        <v>3000</v>
      </c>
      <c r="D26" s="30" t="s">
        <v>110</v>
      </c>
      <c r="E26" s="10">
        <f>IF($C$14=E16,IF($C$5="yes",$C$9+$C$11,0),0)</f>
        <v>0</v>
      </c>
      <c r="F26" s="10">
        <f t="shared" ref="F26:P26" si="4">IF($C$14=F16,IF($C$5="yes",$C$9+$C$11,0),0)</f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3000</v>
      </c>
      <c r="N26" s="10">
        <f t="shared" si="4"/>
        <v>0</v>
      </c>
      <c r="O26" s="10">
        <f t="shared" si="4"/>
        <v>0</v>
      </c>
      <c r="P26" s="10">
        <f t="shared" si="4"/>
        <v>0</v>
      </c>
    </row>
    <row r="27" spans="1:16" x14ac:dyDescent="0.3">
      <c r="B27" s="15"/>
      <c r="C27" s="10"/>
      <c r="D27" s="3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A28" t="s">
        <v>67</v>
      </c>
      <c r="B28" s="15" t="s">
        <v>90</v>
      </c>
      <c r="C28" s="10">
        <v>2237</v>
      </c>
      <c r="D28" s="30"/>
      <c r="E28" s="10">
        <v>2384</v>
      </c>
      <c r="F28" s="10">
        <v>2085</v>
      </c>
      <c r="G28" s="10">
        <v>1728</v>
      </c>
      <c r="H28" s="10">
        <v>2208</v>
      </c>
      <c r="I28" s="10">
        <v>1918</v>
      </c>
      <c r="J28" s="10">
        <v>2237</v>
      </c>
      <c r="K28" s="10">
        <v>1637</v>
      </c>
      <c r="L28" s="10">
        <v>2237</v>
      </c>
      <c r="M28" s="10">
        <v>2265</v>
      </c>
      <c r="N28" s="10">
        <v>1678</v>
      </c>
      <c r="O28" s="10">
        <v>2237</v>
      </c>
      <c r="P28" s="10">
        <v>2237</v>
      </c>
    </row>
    <row r="29" spans="1:16" x14ac:dyDescent="0.3">
      <c r="A29" t="s">
        <v>97</v>
      </c>
      <c r="B29" s="15" t="s">
        <v>108</v>
      </c>
      <c r="C29" s="10">
        <f>$C$7*3%</f>
        <v>90</v>
      </c>
      <c r="D29" s="30"/>
      <c r="E29" s="10">
        <f>$C$7*3%</f>
        <v>90</v>
      </c>
      <c r="F29" s="10">
        <f t="shared" ref="F29:P29" si="5">$C$7*3%</f>
        <v>90</v>
      </c>
      <c r="G29" s="10">
        <f t="shared" si="5"/>
        <v>90</v>
      </c>
      <c r="H29" s="10">
        <f t="shared" si="5"/>
        <v>90</v>
      </c>
      <c r="I29" s="10">
        <f t="shared" si="5"/>
        <v>90</v>
      </c>
      <c r="J29" s="10">
        <f t="shared" si="5"/>
        <v>90</v>
      </c>
      <c r="K29" s="10">
        <f t="shared" si="5"/>
        <v>90</v>
      </c>
      <c r="L29" s="10">
        <f t="shared" si="5"/>
        <v>90</v>
      </c>
      <c r="M29" s="10">
        <f t="shared" si="5"/>
        <v>90</v>
      </c>
      <c r="N29" s="10">
        <f t="shared" si="5"/>
        <v>90</v>
      </c>
      <c r="O29" s="10">
        <f t="shared" si="5"/>
        <v>90</v>
      </c>
      <c r="P29" s="10">
        <f t="shared" si="5"/>
        <v>90</v>
      </c>
    </row>
    <row r="30" spans="1:16" x14ac:dyDescent="0.3">
      <c r="A30" t="s">
        <v>98</v>
      </c>
      <c r="B30" s="15" t="s">
        <v>109</v>
      </c>
      <c r="C30" s="10">
        <f>MIN(C28,C29)</f>
        <v>90</v>
      </c>
      <c r="D30" s="30" t="s">
        <v>111</v>
      </c>
      <c r="E30" s="10">
        <f>MIN(E28,E29)</f>
        <v>90</v>
      </c>
      <c r="F30" s="10">
        <f t="shared" ref="F30:P30" si="6">MIN(F28,F29)</f>
        <v>90</v>
      </c>
      <c r="G30" s="10">
        <f t="shared" si="6"/>
        <v>90</v>
      </c>
      <c r="H30" s="10">
        <f t="shared" si="6"/>
        <v>90</v>
      </c>
      <c r="I30" s="10">
        <f t="shared" si="6"/>
        <v>90</v>
      </c>
      <c r="J30" s="10">
        <f t="shared" si="6"/>
        <v>90</v>
      </c>
      <c r="K30" s="10">
        <f t="shared" si="6"/>
        <v>90</v>
      </c>
      <c r="L30" s="10">
        <f t="shared" si="6"/>
        <v>90</v>
      </c>
      <c r="M30" s="10">
        <f t="shared" si="6"/>
        <v>90</v>
      </c>
      <c r="N30" s="10">
        <f t="shared" si="6"/>
        <v>90</v>
      </c>
      <c r="O30" s="10">
        <f t="shared" si="6"/>
        <v>90</v>
      </c>
      <c r="P30" s="10">
        <f t="shared" si="6"/>
        <v>90</v>
      </c>
    </row>
    <row r="31" spans="1:16" x14ac:dyDescent="0.3">
      <c r="B31" s="15"/>
      <c r="C31" s="12"/>
      <c r="D31" s="3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3">
      <c r="B32" s="15"/>
      <c r="C32" s="10">
        <f>IF((C26-C30)&lt;=0,0,C26-C30)</f>
        <v>2910</v>
      </c>
      <c r="D32" s="30" t="s">
        <v>112</v>
      </c>
      <c r="E32" s="10">
        <f>IF((E26-E30)&lt;=0,0,E26-E30)</f>
        <v>0</v>
      </c>
      <c r="F32" s="10">
        <f t="shared" ref="F32:P32" si="7">IF((F26-F30)&lt;=0,0,F26-F30)</f>
        <v>0</v>
      </c>
      <c r="G32" s="10">
        <f t="shared" si="7"/>
        <v>0</v>
      </c>
      <c r="H32" s="10">
        <f t="shared" si="7"/>
        <v>0</v>
      </c>
      <c r="I32" s="10">
        <f t="shared" si="7"/>
        <v>0</v>
      </c>
      <c r="J32" s="10">
        <f t="shared" si="7"/>
        <v>0</v>
      </c>
      <c r="K32" s="10">
        <f t="shared" si="7"/>
        <v>0</v>
      </c>
      <c r="L32" s="10">
        <f t="shared" si="7"/>
        <v>0</v>
      </c>
      <c r="M32" s="10">
        <f t="shared" si="7"/>
        <v>2910</v>
      </c>
      <c r="N32" s="10">
        <f t="shared" si="7"/>
        <v>0</v>
      </c>
      <c r="O32" s="10">
        <f t="shared" si="7"/>
        <v>0</v>
      </c>
      <c r="P32" s="10">
        <f t="shared" si="7"/>
        <v>0</v>
      </c>
    </row>
    <row r="33" spans="1:16" x14ac:dyDescent="0.3">
      <c r="B33" s="15"/>
      <c r="C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">
      <c r="A34" t="s">
        <v>113</v>
      </c>
      <c r="B34" s="15"/>
      <c r="C34" s="10">
        <f>C23+C32</f>
        <v>4710</v>
      </c>
      <c r="E34" s="10">
        <f t="shared" ref="E34:P34" si="8">E23+E32</f>
        <v>0</v>
      </c>
      <c r="F34" s="10">
        <f t="shared" si="8"/>
        <v>0</v>
      </c>
      <c r="G34" s="10">
        <f t="shared" si="8"/>
        <v>0</v>
      </c>
      <c r="H34" s="10">
        <f t="shared" si="8"/>
        <v>0</v>
      </c>
      <c r="I34" s="10">
        <f t="shared" si="8"/>
        <v>0</v>
      </c>
      <c r="J34" s="10">
        <f t="shared" si="8"/>
        <v>0</v>
      </c>
      <c r="K34" s="10">
        <f t="shared" si="8"/>
        <v>0</v>
      </c>
      <c r="L34" s="10">
        <f t="shared" si="8"/>
        <v>0</v>
      </c>
      <c r="M34" s="10">
        <f t="shared" si="8"/>
        <v>4710</v>
      </c>
      <c r="N34" s="10">
        <f t="shared" si="8"/>
        <v>0</v>
      </c>
      <c r="O34" s="10">
        <f t="shared" si="8"/>
        <v>0</v>
      </c>
      <c r="P34" s="10">
        <f t="shared" si="8"/>
        <v>0</v>
      </c>
    </row>
    <row r="35" spans="1:16" x14ac:dyDescent="0.3">
      <c r="B35" s="15"/>
      <c r="C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3">
      <c r="A36" t="s">
        <v>40</v>
      </c>
      <c r="C36" s="13">
        <v>0.15</v>
      </c>
      <c r="E36" s="21">
        <v>0.1</v>
      </c>
      <c r="F36" s="21">
        <v>5.0599999999999999E-2</v>
      </c>
      <c r="G36" s="21">
        <v>0.108</v>
      </c>
      <c r="H36" s="21">
        <v>9.6799999999999997E-2</v>
      </c>
      <c r="I36" s="21">
        <v>7.6999999999999999E-2</v>
      </c>
      <c r="J36" s="21">
        <v>5.8999999999999997E-2</v>
      </c>
      <c r="K36" s="21">
        <v>8.7900000000000006E-2</v>
      </c>
      <c r="L36" s="21">
        <v>0.04</v>
      </c>
      <c r="M36" s="21">
        <v>5.0500000000000003E-2</v>
      </c>
      <c r="N36" s="21">
        <v>9.8000000000000004E-2</v>
      </c>
      <c r="O36" s="21">
        <v>0.11</v>
      </c>
      <c r="P36" s="21">
        <v>6.4000000000000001E-2</v>
      </c>
    </row>
    <row r="37" spans="1:16" x14ac:dyDescent="0.3">
      <c r="A37" t="s">
        <v>94</v>
      </c>
      <c r="C37" s="17">
        <f>C34*C36</f>
        <v>706.5</v>
      </c>
      <c r="E37" s="17">
        <f>IF($C$14=E16,E34*E36,0)</f>
        <v>0</v>
      </c>
      <c r="F37" s="17">
        <f t="shared" ref="F37:P37" si="9">IF($C$14=F16,F34*F36,0)</f>
        <v>0</v>
      </c>
      <c r="G37" s="17">
        <f t="shared" si="9"/>
        <v>0</v>
      </c>
      <c r="H37" s="17">
        <f t="shared" si="9"/>
        <v>0</v>
      </c>
      <c r="I37" s="17">
        <f t="shared" si="9"/>
        <v>0</v>
      </c>
      <c r="J37" s="17">
        <f t="shared" si="9"/>
        <v>0</v>
      </c>
      <c r="K37" s="17">
        <f t="shared" si="9"/>
        <v>0</v>
      </c>
      <c r="L37" s="17">
        <f t="shared" si="9"/>
        <v>0</v>
      </c>
      <c r="M37" s="17">
        <f t="shared" si="9"/>
        <v>237.85500000000002</v>
      </c>
      <c r="N37" s="17">
        <f t="shared" si="9"/>
        <v>0</v>
      </c>
      <c r="O37" s="17">
        <f t="shared" si="9"/>
        <v>0</v>
      </c>
      <c r="P37" s="17">
        <f t="shared" si="9"/>
        <v>0</v>
      </c>
    </row>
    <row r="39" spans="1:16" x14ac:dyDescent="0.3">
      <c r="A39" t="s">
        <v>1</v>
      </c>
      <c r="C39" s="20">
        <f>C37</f>
        <v>706.5</v>
      </c>
    </row>
    <row r="40" spans="1:16" x14ac:dyDescent="0.3">
      <c r="A40" t="s">
        <v>55</v>
      </c>
      <c r="C40" s="12">
        <f>HLOOKUP(C14,E16:P37,22,FALSE)</f>
        <v>237.85500000000002</v>
      </c>
    </row>
    <row r="41" spans="1:16" x14ac:dyDescent="0.3">
      <c r="A41" t="s">
        <v>114</v>
      </c>
      <c r="C41" s="24">
        <f>SUM(C39:C40)</f>
        <v>944.35500000000002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3"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3">
      <c r="E43" s="35"/>
      <c r="F43" s="35"/>
      <c r="G43" s="35"/>
      <c r="H43" s="35"/>
      <c r="I43" s="35"/>
      <c r="J43" s="35"/>
      <c r="K43" s="36"/>
      <c r="L43" s="36"/>
      <c r="M43" s="35"/>
      <c r="N43" s="35"/>
      <c r="O43" s="35"/>
      <c r="P43" s="36"/>
    </row>
    <row r="44" spans="1:16" x14ac:dyDescent="0.3">
      <c r="E44" s="34"/>
      <c r="F44" s="37"/>
      <c r="G44" s="34"/>
      <c r="H44" s="34"/>
      <c r="I44" s="34"/>
      <c r="J44" s="34"/>
      <c r="K44" s="34"/>
      <c r="L44" s="34"/>
      <c r="M44" s="37"/>
      <c r="N44" s="37"/>
      <c r="O44" s="34"/>
      <c r="P44" s="34"/>
    </row>
  </sheetData>
  <dataValidations count="2">
    <dataValidation type="list" allowBlank="1" showInputMessage="1" showErrorMessage="1" sqref="C14">
      <formula1>$E$2:$P$2</formula1>
    </dataValidation>
    <dataValidation type="list" allowBlank="1" showInputMessage="1" showErrorMessage="1" sqref="C5">
      <formula1>$E$1:$F$1</formula1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9" workbookViewId="0">
      <selection activeCell="C42" sqref="A42:C42"/>
    </sheetView>
  </sheetViews>
  <sheetFormatPr defaultRowHeight="14.4" x14ac:dyDescent="0.3"/>
  <cols>
    <col min="1" max="1" width="22.77734375" customWidth="1"/>
    <col min="2" max="2" width="9.55468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171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173</v>
      </c>
      <c r="C3" s="6">
        <v>1000</v>
      </c>
      <c r="D3" s="14"/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s="3"/>
      <c r="L3" s="3"/>
      <c r="M3" s="3"/>
      <c r="N3" s="3"/>
      <c r="O3" s="3"/>
      <c r="P3" s="3"/>
    </row>
    <row r="5" spans="1:16" x14ac:dyDescent="0.3">
      <c r="A5" t="s">
        <v>58</v>
      </c>
      <c r="C5" s="6" t="s">
        <v>59</v>
      </c>
      <c r="E5" s="41" t="s">
        <v>179</v>
      </c>
    </row>
    <row r="6" spans="1:16" s="39" customFormat="1" x14ac:dyDescent="0.3">
      <c r="A6" s="38"/>
      <c r="D6" s="40"/>
    </row>
    <row r="7" spans="1:16" s="39" customFormat="1" ht="72" x14ac:dyDescent="0.3">
      <c r="A7" s="22" t="s">
        <v>182</v>
      </c>
      <c r="C7" s="6" t="s">
        <v>30</v>
      </c>
      <c r="D7" s="40" t="s">
        <v>181</v>
      </c>
    </row>
    <row r="8" spans="1:16" s="39" customFormat="1" x14ac:dyDescent="0.3">
      <c r="A8" s="38"/>
      <c r="D8" s="40"/>
    </row>
    <row r="9" spans="1:16" x14ac:dyDescent="0.3">
      <c r="A9" s="22" t="s">
        <v>96</v>
      </c>
      <c r="C9" s="6">
        <v>200100</v>
      </c>
      <c r="D9" s="29"/>
    </row>
    <row r="10" spans="1:16" x14ac:dyDescent="0.3">
      <c r="A10" t="s">
        <v>43</v>
      </c>
      <c r="C10" s="6" t="s">
        <v>50</v>
      </c>
    </row>
    <row r="12" spans="1:16" x14ac:dyDescent="0.3">
      <c r="C12" s="16" t="s">
        <v>1</v>
      </c>
      <c r="E12" s="16" t="s">
        <v>42</v>
      </c>
      <c r="F12" s="16" t="s">
        <v>44</v>
      </c>
      <c r="G12" s="16" t="s">
        <v>45</v>
      </c>
      <c r="H12" s="16" t="s">
        <v>46</v>
      </c>
      <c r="I12" s="16" t="s">
        <v>47</v>
      </c>
      <c r="J12" s="16" t="s">
        <v>48</v>
      </c>
      <c r="K12" s="16" t="s">
        <v>49</v>
      </c>
      <c r="L12" s="16" t="s">
        <v>50</v>
      </c>
      <c r="M12" s="16" t="s">
        <v>51</v>
      </c>
      <c r="N12" s="16" t="s">
        <v>52</v>
      </c>
      <c r="O12" s="16" t="s">
        <v>53</v>
      </c>
      <c r="P12" s="16" t="s">
        <v>54</v>
      </c>
    </row>
    <row r="14" spans="1:16" x14ac:dyDescent="0.3">
      <c r="A14" s="22" t="s">
        <v>174</v>
      </c>
      <c r="B14" s="42">
        <v>0.75</v>
      </c>
      <c r="C14" s="10">
        <f>C9*B14</f>
        <v>150075</v>
      </c>
      <c r="D14" s="3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3">
      <c r="B15" s="10"/>
      <c r="C15" s="10"/>
      <c r="D15" s="3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t="s">
        <v>68</v>
      </c>
      <c r="B16" s="10"/>
      <c r="C16" s="10">
        <f>MIN($C$3,$C$14)</f>
        <v>1000</v>
      </c>
      <c r="D16" s="30"/>
      <c r="E16" s="10">
        <f>IF($C$10=E12,MIN($C$3,$C$14),0)</f>
        <v>0</v>
      </c>
      <c r="F16" s="10">
        <f t="shared" ref="F16:P16" si="0">IF($C$10=F12,MIN($C$3,$C$14),0)</f>
        <v>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1000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</row>
    <row r="17" spans="1:16" x14ac:dyDescent="0.3">
      <c r="B17" s="10"/>
      <c r="C17" s="10"/>
      <c r="D17" s="3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t="s">
        <v>175</v>
      </c>
      <c r="B18" s="10">
        <v>200</v>
      </c>
      <c r="C18" s="10">
        <f>IF($C$16&lt;=$B$18,$C$16,$B$18)</f>
        <v>200</v>
      </c>
      <c r="D18" s="30"/>
      <c r="E18" s="10">
        <f>IF(E16&lt;=$B$18,E16,$B$18)</f>
        <v>0</v>
      </c>
      <c r="F18" s="10">
        <f t="shared" ref="F18:P18" si="1">IF(F16&lt;=$B$18,F16,$B$18)</f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200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</row>
    <row r="19" spans="1:16" x14ac:dyDescent="0.3">
      <c r="B19" s="10"/>
      <c r="C19" s="10"/>
      <c r="D19" s="3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t="s">
        <v>177</v>
      </c>
      <c r="B20" s="10"/>
      <c r="C20" s="46">
        <v>0.15</v>
      </c>
      <c r="D20" s="45"/>
      <c r="E20" s="47">
        <v>0.1</v>
      </c>
      <c r="F20" s="47">
        <v>5.0599999999999999E-2</v>
      </c>
      <c r="G20" s="47">
        <v>0.108</v>
      </c>
      <c r="H20" s="47">
        <v>9.6799999999999997E-2</v>
      </c>
      <c r="I20" s="47">
        <v>7.6999999999999999E-2</v>
      </c>
      <c r="J20" s="47">
        <v>5.8999999999999997E-2</v>
      </c>
      <c r="K20" s="47">
        <v>8.7900000000000006E-2</v>
      </c>
      <c r="L20" s="47">
        <v>0.04</v>
      </c>
      <c r="M20" s="47">
        <v>5.0500000000000003E-2</v>
      </c>
      <c r="N20" s="47">
        <v>9.8000000000000004E-2</v>
      </c>
      <c r="O20" s="47">
        <v>0.11</v>
      </c>
      <c r="P20" s="47">
        <v>6.4000000000000001E-2</v>
      </c>
    </row>
    <row r="21" spans="1:16" x14ac:dyDescent="0.3">
      <c r="A21" t="s">
        <v>183</v>
      </c>
      <c r="B21" s="42">
        <v>0.25</v>
      </c>
      <c r="C21" s="44">
        <f>IF(AND(OR($C$5=$E$3,$C$5=$J$3),$C$7="no"),B21,0)</f>
        <v>0</v>
      </c>
      <c r="D21" s="48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</row>
    <row r="22" spans="1:16" x14ac:dyDescent="0.3">
      <c r="B22" s="42"/>
      <c r="C22" s="46">
        <f>SUM(C20:C21)</f>
        <v>0.15</v>
      </c>
      <c r="D22" s="45"/>
      <c r="E22" s="46">
        <f t="shared" ref="E22:P22" si="2">SUM(E20:E21)</f>
        <v>0.1</v>
      </c>
      <c r="F22" s="46">
        <f t="shared" si="2"/>
        <v>5.0599999999999999E-2</v>
      </c>
      <c r="G22" s="46">
        <f t="shared" si="2"/>
        <v>0.108</v>
      </c>
      <c r="H22" s="46">
        <f t="shared" si="2"/>
        <v>9.6799999999999997E-2</v>
      </c>
      <c r="I22" s="46">
        <f t="shared" si="2"/>
        <v>7.6999999999999999E-2</v>
      </c>
      <c r="J22" s="46">
        <f t="shared" si="2"/>
        <v>5.8999999999999997E-2</v>
      </c>
      <c r="K22" s="46">
        <f t="shared" si="2"/>
        <v>8.7900000000000006E-2</v>
      </c>
      <c r="L22" s="46">
        <f t="shared" si="2"/>
        <v>0.04</v>
      </c>
      <c r="M22" s="46">
        <f t="shared" si="2"/>
        <v>5.0500000000000003E-2</v>
      </c>
      <c r="N22" s="46">
        <f t="shared" si="2"/>
        <v>9.8000000000000004E-2</v>
      </c>
      <c r="O22" s="46">
        <f t="shared" si="2"/>
        <v>0.11</v>
      </c>
      <c r="P22" s="46">
        <f t="shared" si="2"/>
        <v>6.4000000000000001E-2</v>
      </c>
    </row>
    <row r="23" spans="1:16" x14ac:dyDescent="0.3">
      <c r="B23" s="42"/>
      <c r="C23" s="46"/>
      <c r="D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1:16" x14ac:dyDescent="0.3">
      <c r="B24" s="10"/>
      <c r="C24" s="10">
        <f>C18*C22</f>
        <v>30</v>
      </c>
      <c r="D24" s="30" t="s">
        <v>36</v>
      </c>
      <c r="E24" s="10">
        <f t="shared" ref="E24:P24" si="3">E18*E22</f>
        <v>0</v>
      </c>
      <c r="F24" s="10">
        <f t="shared" si="3"/>
        <v>0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10">
        <f t="shared" si="3"/>
        <v>8</v>
      </c>
      <c r="M24" s="10">
        <f t="shared" si="3"/>
        <v>0</v>
      </c>
      <c r="N24" s="10">
        <f t="shared" si="3"/>
        <v>0</v>
      </c>
      <c r="O24" s="10">
        <f t="shared" si="3"/>
        <v>0</v>
      </c>
      <c r="P24" s="10">
        <f t="shared" si="3"/>
        <v>0</v>
      </c>
    </row>
    <row r="25" spans="1:16" x14ac:dyDescent="0.3">
      <c r="B25" s="10"/>
      <c r="C25" s="10"/>
      <c r="D25" s="3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t="s">
        <v>176</v>
      </c>
      <c r="B26" s="10">
        <v>200</v>
      </c>
      <c r="C26" s="10">
        <f>IF(C9&gt;B35,C16-C35-C18,IF(C16&gt;B26,C16-C18,0))</f>
        <v>700</v>
      </c>
      <c r="D26" s="30"/>
      <c r="E26" s="10">
        <f>IF(E16&gt;$B$26,E16-E18,0)</f>
        <v>0</v>
      </c>
      <c r="F26" s="10">
        <f t="shared" ref="F26:P26" si="4">IF(F16&gt;$B$26,F16-F18,0)</f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800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</row>
    <row r="27" spans="1:16" x14ac:dyDescent="0.3">
      <c r="B27" s="10"/>
      <c r="C27" s="10"/>
      <c r="D27" s="3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A28" t="s">
        <v>177</v>
      </c>
      <c r="B28" s="10"/>
      <c r="C28" s="46">
        <v>0.28999999999999998</v>
      </c>
      <c r="D28" s="48"/>
      <c r="E28" s="46">
        <v>0.21</v>
      </c>
      <c r="F28" s="46">
        <v>0.14699999999999999</v>
      </c>
      <c r="G28" s="46">
        <v>0.17399999999999999</v>
      </c>
      <c r="H28" s="46">
        <v>0.17949999999999999</v>
      </c>
      <c r="I28" s="46">
        <v>0.16800000000000001</v>
      </c>
      <c r="J28" s="46">
        <v>0.14050000000000001</v>
      </c>
      <c r="K28" s="46">
        <v>0.21</v>
      </c>
      <c r="L28" s="46">
        <v>0.115</v>
      </c>
      <c r="M28" s="46">
        <v>0.1116</v>
      </c>
      <c r="N28" s="46">
        <v>0.16700000000000001</v>
      </c>
      <c r="O28" s="46">
        <v>0.15</v>
      </c>
      <c r="P28" s="46">
        <v>0.128</v>
      </c>
    </row>
    <row r="29" spans="1:16" x14ac:dyDescent="0.3">
      <c r="A29" t="s">
        <v>183</v>
      </c>
      <c r="B29" s="42">
        <v>0.25</v>
      </c>
      <c r="C29" s="44">
        <f>IF(AND(OR($C$5=$E$3,$C$5=$J$3),$C$7="no"),B29,0)</f>
        <v>0</v>
      </c>
      <c r="D29" s="48"/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</row>
    <row r="30" spans="1:16" x14ac:dyDescent="0.3">
      <c r="B30" s="42"/>
      <c r="C30" s="46">
        <f>SUM(C28:C29)</f>
        <v>0.28999999999999998</v>
      </c>
      <c r="D30" s="45"/>
      <c r="E30" s="46">
        <f t="shared" ref="E30" si="5">SUM(E28:E29)</f>
        <v>0.21</v>
      </c>
      <c r="F30" s="46">
        <f t="shared" ref="F30" si="6">SUM(F28:F29)</f>
        <v>0.14699999999999999</v>
      </c>
      <c r="G30" s="46">
        <f t="shared" ref="G30" si="7">SUM(G28:G29)</f>
        <v>0.17399999999999999</v>
      </c>
      <c r="H30" s="46">
        <f t="shared" ref="H30" si="8">SUM(H28:H29)</f>
        <v>0.17949999999999999</v>
      </c>
      <c r="I30" s="46">
        <f t="shared" ref="I30" si="9">SUM(I28:I29)</f>
        <v>0.16800000000000001</v>
      </c>
      <c r="J30" s="46">
        <f t="shared" ref="J30" si="10">SUM(J28:J29)</f>
        <v>0.14050000000000001</v>
      </c>
      <c r="K30" s="46">
        <f t="shared" ref="K30" si="11">SUM(K28:K29)</f>
        <v>0.21</v>
      </c>
      <c r="L30" s="46">
        <f t="shared" ref="L30" si="12">SUM(L28:L29)</f>
        <v>0.115</v>
      </c>
      <c r="M30" s="46">
        <f t="shared" ref="M30" si="13">SUM(M28:M29)</f>
        <v>0.1116</v>
      </c>
      <c r="N30" s="46">
        <f t="shared" ref="N30" si="14">SUM(N28:N29)</f>
        <v>0.16700000000000001</v>
      </c>
      <c r="O30" s="46">
        <f t="shared" ref="O30" si="15">SUM(O28:O29)</f>
        <v>0.15</v>
      </c>
      <c r="P30" s="46">
        <f t="shared" ref="P30" si="16">SUM(P28:P29)</f>
        <v>0.128</v>
      </c>
    </row>
    <row r="31" spans="1:16" x14ac:dyDescent="0.3">
      <c r="B31" s="10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6" x14ac:dyDescent="0.3">
      <c r="B32" s="10"/>
      <c r="C32" s="10">
        <f>C26*C30</f>
        <v>203</v>
      </c>
      <c r="D32" s="30" t="s">
        <v>37</v>
      </c>
      <c r="E32" s="10">
        <f t="shared" ref="E32:P32" si="17">E26*E30</f>
        <v>0</v>
      </c>
      <c r="F32" s="10">
        <f t="shared" si="17"/>
        <v>0</v>
      </c>
      <c r="G32" s="10">
        <f t="shared" si="17"/>
        <v>0</v>
      </c>
      <c r="H32" s="10">
        <f t="shared" si="17"/>
        <v>0</v>
      </c>
      <c r="I32" s="10">
        <f t="shared" si="17"/>
        <v>0</v>
      </c>
      <c r="J32" s="10">
        <f t="shared" si="17"/>
        <v>0</v>
      </c>
      <c r="K32" s="10">
        <f t="shared" si="17"/>
        <v>0</v>
      </c>
      <c r="L32" s="10">
        <f t="shared" si="17"/>
        <v>92</v>
      </c>
      <c r="M32" s="10">
        <f t="shared" si="17"/>
        <v>0</v>
      </c>
      <c r="N32" s="10">
        <f t="shared" si="17"/>
        <v>0</v>
      </c>
      <c r="O32" s="10">
        <f t="shared" si="17"/>
        <v>0</v>
      </c>
      <c r="P32" s="10">
        <f t="shared" si="17"/>
        <v>0</v>
      </c>
    </row>
    <row r="33" spans="1:16" x14ac:dyDescent="0.3">
      <c r="B33" s="10"/>
      <c r="C33" s="42"/>
      <c r="D33" s="3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">
      <c r="A34" t="s">
        <v>180</v>
      </c>
      <c r="B34" s="10"/>
      <c r="C34" s="42"/>
      <c r="D34" s="3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">
      <c r="A35" t="s">
        <v>178</v>
      </c>
      <c r="B35" s="10">
        <v>200000</v>
      </c>
      <c r="C35" s="10">
        <f>IF(C9&gt;B35,C9-B35,0)</f>
        <v>100</v>
      </c>
      <c r="D35" s="3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3">
      <c r="A36" t="s">
        <v>177</v>
      </c>
      <c r="B36" s="10"/>
      <c r="C36" s="43">
        <v>0.33</v>
      </c>
      <c r="D36" s="3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3">
      <c r="B37" s="10"/>
      <c r="C37" s="10">
        <f>C35*C36</f>
        <v>33</v>
      </c>
      <c r="D37" s="30" t="s">
        <v>79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3">
      <c r="B38" s="10"/>
      <c r="C38" s="12"/>
      <c r="D38" s="3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3">
      <c r="A39" t="s">
        <v>171</v>
      </c>
      <c r="C39" s="17">
        <f>C24+C32+C37</f>
        <v>266</v>
      </c>
      <c r="E39" s="17">
        <f t="shared" ref="E39:P39" si="18">E24+E32+E37</f>
        <v>0</v>
      </c>
      <c r="F39" s="17">
        <f t="shared" si="18"/>
        <v>0</v>
      </c>
      <c r="G39" s="17">
        <f t="shared" si="18"/>
        <v>0</v>
      </c>
      <c r="H39" s="17">
        <f t="shared" si="18"/>
        <v>0</v>
      </c>
      <c r="I39" s="17">
        <f t="shared" si="18"/>
        <v>0</v>
      </c>
      <c r="J39" s="17">
        <f t="shared" si="18"/>
        <v>0</v>
      </c>
      <c r="K39" s="17">
        <f t="shared" si="18"/>
        <v>0</v>
      </c>
      <c r="L39" s="17">
        <f t="shared" si="18"/>
        <v>100</v>
      </c>
      <c r="M39" s="17">
        <f t="shared" si="18"/>
        <v>0</v>
      </c>
      <c r="N39" s="17">
        <f t="shared" si="18"/>
        <v>0</v>
      </c>
      <c r="O39" s="17">
        <f t="shared" si="18"/>
        <v>0</v>
      </c>
      <c r="P39" s="17">
        <f t="shared" si="18"/>
        <v>0</v>
      </c>
    </row>
    <row r="41" spans="1:16" x14ac:dyDescent="0.3">
      <c r="A41" t="s">
        <v>1</v>
      </c>
      <c r="C41" s="20">
        <f>C39</f>
        <v>266</v>
      </c>
    </row>
    <row r="42" spans="1:16" x14ac:dyDescent="0.3">
      <c r="A42" t="s">
        <v>55</v>
      </c>
      <c r="C42" s="12">
        <f>HLOOKUP(C10,E12:P39,28,FALSE)</f>
        <v>100</v>
      </c>
    </row>
    <row r="43" spans="1:16" x14ac:dyDescent="0.3">
      <c r="A43" t="s">
        <v>172</v>
      </c>
      <c r="C43" s="24">
        <f>SUM(C41:C42)</f>
        <v>366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</sheetData>
  <dataValidations disablePrompts="1" count="3">
    <dataValidation type="list" allowBlank="1" showInputMessage="1" showErrorMessage="1" sqref="C10">
      <formula1>$E$2:$P$2</formula1>
    </dataValidation>
    <dataValidation type="list" allowBlank="1" showInputMessage="1" showErrorMessage="1" sqref="C5">
      <formula1>$E$3:$J$3</formula1>
    </dataValidation>
    <dataValidation type="list" allowBlank="1" showInputMessage="1" showErrorMessage="1" sqref="C7">
      <formula1>$E$1:$F$1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21" sqref="J21"/>
    </sheetView>
  </sheetViews>
  <sheetFormatPr defaultRowHeight="14.4" x14ac:dyDescent="0.3"/>
  <cols>
    <col min="1" max="1" width="22.77734375" customWidth="1"/>
    <col min="2" max="2" width="9.55468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25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192</v>
      </c>
      <c r="C3" s="6">
        <v>550</v>
      </c>
      <c r="D3" s="14"/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s="3"/>
      <c r="L3" s="3"/>
      <c r="M3" s="3"/>
      <c r="N3" s="3"/>
      <c r="O3" s="3"/>
      <c r="P3" s="3"/>
    </row>
    <row r="4" spans="1:16" x14ac:dyDescent="0.3">
      <c r="E4" s="41" t="s">
        <v>185</v>
      </c>
    </row>
    <row r="5" spans="1:16" s="39" customFormat="1" x14ac:dyDescent="0.3">
      <c r="A5" s="38"/>
      <c r="D5" s="40"/>
    </row>
    <row r="6" spans="1:16" x14ac:dyDescent="0.3">
      <c r="A6" s="22" t="s">
        <v>96</v>
      </c>
      <c r="C6" s="6">
        <v>200100</v>
      </c>
      <c r="D6" s="40" t="s">
        <v>193</v>
      </c>
    </row>
    <row r="7" spans="1:16" x14ac:dyDescent="0.3">
      <c r="A7" t="s">
        <v>43</v>
      </c>
      <c r="C7" s="6" t="s">
        <v>50</v>
      </c>
      <c r="D7" s="40" t="s">
        <v>193</v>
      </c>
    </row>
    <row r="9" spans="1:16" x14ac:dyDescent="0.3">
      <c r="C9" s="16" t="s">
        <v>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3"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t="s">
        <v>186</v>
      </c>
      <c r="B11" s="10">
        <v>400</v>
      </c>
      <c r="C11" s="10">
        <f>IF(C3&gt;=B11,B11,C3)</f>
        <v>400</v>
      </c>
      <c r="D11" s="30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3">
      <c r="A12" t="s">
        <v>177</v>
      </c>
      <c r="B12" s="10"/>
      <c r="C12" s="44">
        <v>0.75</v>
      </c>
      <c r="D12" s="45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x14ac:dyDescent="0.3">
      <c r="B13" s="42"/>
      <c r="C13" s="49">
        <f>C11*C12</f>
        <v>300</v>
      </c>
      <c r="D13" s="45" t="s">
        <v>36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</row>
    <row r="14" spans="1:16" x14ac:dyDescent="0.3">
      <c r="B14" s="42"/>
      <c r="C14" s="46"/>
      <c r="D14" s="45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6" x14ac:dyDescent="0.3">
      <c r="A15" t="s">
        <v>187</v>
      </c>
      <c r="B15" s="10">
        <v>400</v>
      </c>
      <c r="C15" s="10">
        <f>IF(C3&gt;B16,B16-B15,IF(AND(C3&gt;B15,C3&lt;=B16),C3-B15,0))</f>
        <v>150</v>
      </c>
      <c r="D15" s="30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x14ac:dyDescent="0.3">
      <c r="A16" t="s">
        <v>177</v>
      </c>
      <c r="B16" s="10">
        <v>750</v>
      </c>
      <c r="C16" s="44">
        <v>0.5</v>
      </c>
      <c r="D16" s="48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x14ac:dyDescent="0.3">
      <c r="B17" s="42"/>
      <c r="C17" s="49">
        <f>C15*C16</f>
        <v>75</v>
      </c>
      <c r="D17" s="45" t="s">
        <v>37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B18" s="10"/>
      <c r="C18" s="46"/>
      <c r="D18" s="45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t="s">
        <v>188</v>
      </c>
      <c r="B19" s="10">
        <v>750</v>
      </c>
      <c r="C19" s="10">
        <f>IF(C3&gt;B19,C3-B19,0)</f>
        <v>0</v>
      </c>
      <c r="D19" s="45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t="s">
        <v>177</v>
      </c>
      <c r="B20" s="10"/>
      <c r="C20" s="44">
        <f>0.333333333333333</f>
        <v>0.33333333333333298</v>
      </c>
      <c r="D20" s="45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B21" s="42"/>
      <c r="C21" s="49">
        <f>C19*C20</f>
        <v>0</v>
      </c>
      <c r="D21" s="45" t="s">
        <v>79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B22" s="10"/>
      <c r="C22" s="46"/>
      <c r="D22" s="45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t="s">
        <v>189</v>
      </c>
      <c r="B23" s="10"/>
      <c r="C23" s="10">
        <f>C13+C17+C21</f>
        <v>375</v>
      </c>
      <c r="D23" s="30" t="s">
        <v>190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6" x14ac:dyDescent="0.3">
      <c r="B24" s="10"/>
      <c r="C24" s="42"/>
      <c r="D24" s="3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6" x14ac:dyDescent="0.3">
      <c r="A25" t="s">
        <v>191</v>
      </c>
      <c r="B25" s="10"/>
      <c r="C25" s="10">
        <v>650</v>
      </c>
      <c r="D25" s="3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 x14ac:dyDescent="0.3">
      <c r="B26" s="10"/>
      <c r="C26" s="12"/>
      <c r="D26" s="3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1:16" x14ac:dyDescent="0.3">
      <c r="A27" t="s">
        <v>192</v>
      </c>
      <c r="C27" s="17">
        <f>MIN(C23,C25)</f>
        <v>375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</sheetData>
  <dataValidations count="1">
    <dataValidation type="list" allowBlank="1" showInputMessage="1" showErrorMessage="1" sqref="C7">
      <formula1>$E$2:$P$2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7" workbookViewId="0">
      <selection activeCell="G29" sqref="G29"/>
    </sheetView>
  </sheetViews>
  <sheetFormatPr defaultRowHeight="14.4" x14ac:dyDescent="0.3"/>
  <cols>
    <col min="1" max="1" width="18.21875" bestFit="1" customWidth="1"/>
    <col min="2" max="2" width="3.88671875" bestFit="1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19</v>
      </c>
    </row>
    <row r="4" spans="1:16" x14ac:dyDescent="0.3">
      <c r="A4" t="s">
        <v>29</v>
      </c>
      <c r="C4" s="6" t="s">
        <v>30</v>
      </c>
      <c r="D4" t="s">
        <v>30</v>
      </c>
      <c r="E4" s="3" t="s">
        <v>42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54</v>
      </c>
    </row>
    <row r="5" spans="1:16" x14ac:dyDescent="0.3">
      <c r="D5" t="s">
        <v>31</v>
      </c>
    </row>
    <row r="6" spans="1:16" x14ac:dyDescent="0.3">
      <c r="A6" s="9" t="s">
        <v>57</v>
      </c>
      <c r="C6" s="8" t="str">
        <f>IF(C4="yes","Eligible","Not eligible")</f>
        <v>Eligible</v>
      </c>
    </row>
    <row r="8" spans="1:16" x14ac:dyDescent="0.3">
      <c r="A8" t="s">
        <v>33</v>
      </c>
      <c r="C8" s="6">
        <v>40000</v>
      </c>
    </row>
    <row r="9" spans="1:16" x14ac:dyDescent="0.3">
      <c r="A9" t="s">
        <v>43</v>
      </c>
      <c r="C9" s="6" t="s">
        <v>44</v>
      </c>
    </row>
    <row r="11" spans="1:16" x14ac:dyDescent="0.3">
      <c r="C11" s="16" t="s">
        <v>1</v>
      </c>
      <c r="E11" s="16" t="s">
        <v>42</v>
      </c>
      <c r="F11" s="16" t="s">
        <v>44</v>
      </c>
      <c r="G11" s="16" t="s">
        <v>45</v>
      </c>
      <c r="H11" s="16" t="s">
        <v>46</v>
      </c>
      <c r="I11" s="16" t="s">
        <v>47</v>
      </c>
      <c r="J11" s="16" t="s">
        <v>48</v>
      </c>
      <c r="K11" s="16" t="s">
        <v>49</v>
      </c>
      <c r="L11" s="16" t="s">
        <v>50</v>
      </c>
      <c r="M11" s="16" t="s">
        <v>51</v>
      </c>
      <c r="N11" s="16" t="s">
        <v>52</v>
      </c>
      <c r="O11" s="16" t="s">
        <v>53</v>
      </c>
      <c r="P11" s="16" t="s">
        <v>54</v>
      </c>
    </row>
    <row r="12" spans="1:16" x14ac:dyDescent="0.3">
      <c r="A12" t="s">
        <v>32</v>
      </c>
      <c r="B12" s="15" t="s">
        <v>36</v>
      </c>
      <c r="C12" s="10">
        <v>7126.666666666667</v>
      </c>
      <c r="E12" s="10">
        <v>5140</v>
      </c>
      <c r="F12" s="10">
        <v>4505.928853754941</v>
      </c>
      <c r="G12" s="10">
        <v>3731.4814814814818</v>
      </c>
      <c r="H12" s="10">
        <v>4762.3966942148763</v>
      </c>
      <c r="I12" s="10">
        <v>5623.3766233766237</v>
      </c>
      <c r="J12" s="10">
        <v>6881.3559322033898</v>
      </c>
      <c r="K12" s="10">
        <v>4141.0693970420934</v>
      </c>
      <c r="L12" s="10">
        <v>9700</v>
      </c>
      <c r="M12" s="10">
        <v>4891.0891089108909</v>
      </c>
      <c r="N12" s="10">
        <v>3765.3061224489793</v>
      </c>
      <c r="O12" s="10">
        <v>4827.272727272727</v>
      </c>
      <c r="P12" s="10">
        <v>7125</v>
      </c>
    </row>
    <row r="13" spans="1:16" x14ac:dyDescent="0.3">
      <c r="B13" s="15"/>
      <c r="C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t="s">
        <v>33</v>
      </c>
      <c r="B14" s="15"/>
      <c r="C14" s="11">
        <f>C8</f>
        <v>40000</v>
      </c>
      <c r="E14" s="11">
        <f t="shared" ref="E14:P14" si="0">IF($C$9=E11,$C$8,0)</f>
        <v>0</v>
      </c>
      <c r="F14" s="11">
        <f t="shared" si="0"/>
        <v>40000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  <c r="N14" s="11">
        <f t="shared" si="0"/>
        <v>0</v>
      </c>
      <c r="O14" s="11">
        <f t="shared" si="0"/>
        <v>0</v>
      </c>
      <c r="P14" s="11">
        <f t="shared" si="0"/>
        <v>0</v>
      </c>
    </row>
    <row r="15" spans="1:16" x14ac:dyDescent="0.3">
      <c r="A15" t="s">
        <v>34</v>
      </c>
      <c r="B15" s="15"/>
      <c r="C15" s="27">
        <v>35927</v>
      </c>
      <c r="E15" s="27">
        <v>38275</v>
      </c>
      <c r="F15" s="27">
        <v>33473</v>
      </c>
      <c r="G15" s="27">
        <v>27749</v>
      </c>
      <c r="H15" s="27">
        <v>35471</v>
      </c>
      <c r="I15" s="27">
        <v>30790</v>
      </c>
      <c r="J15" s="27">
        <v>35927</v>
      </c>
      <c r="K15" s="27">
        <v>30828</v>
      </c>
      <c r="L15" s="27">
        <v>35927</v>
      </c>
      <c r="M15" s="27">
        <v>36387</v>
      </c>
      <c r="N15" s="27">
        <v>28019</v>
      </c>
      <c r="O15" s="27">
        <v>35927</v>
      </c>
      <c r="P15" s="27">
        <v>35927</v>
      </c>
    </row>
    <row r="16" spans="1:16" x14ac:dyDescent="0.3">
      <c r="B16" s="15"/>
      <c r="C16" s="10">
        <f>IF((C14-C15)&lt;0,0,C14-C15)</f>
        <v>4073</v>
      </c>
      <c r="E16" s="10">
        <f t="shared" ref="E16:P16" si="1">IF((E14-E15)&lt;0,0,E14-E15)</f>
        <v>0</v>
      </c>
      <c r="F16" s="10">
        <f t="shared" si="1"/>
        <v>6527</v>
      </c>
      <c r="G16" s="10">
        <f t="shared" si="1"/>
        <v>0</v>
      </c>
      <c r="H16" s="10">
        <f t="shared" si="1"/>
        <v>0</v>
      </c>
      <c r="I16" s="10">
        <f t="shared" si="1"/>
        <v>0</v>
      </c>
      <c r="J16" s="10">
        <f t="shared" si="1"/>
        <v>0</v>
      </c>
      <c r="K16" s="10">
        <f t="shared" si="1"/>
        <v>0</v>
      </c>
      <c r="L16" s="10">
        <f t="shared" si="1"/>
        <v>0</v>
      </c>
      <c r="M16" s="10">
        <f t="shared" si="1"/>
        <v>0</v>
      </c>
      <c r="N16" s="10">
        <f t="shared" si="1"/>
        <v>0</v>
      </c>
      <c r="O16" s="10">
        <f t="shared" si="1"/>
        <v>0</v>
      </c>
      <c r="P16" s="10">
        <f t="shared" si="1"/>
        <v>0</v>
      </c>
    </row>
    <row r="17" spans="1:16" x14ac:dyDescent="0.3">
      <c r="A17" t="s">
        <v>35</v>
      </c>
      <c r="B17" s="15"/>
      <c r="C17" s="13">
        <v>0.15</v>
      </c>
      <c r="E17" s="13">
        <v>0.15</v>
      </c>
      <c r="F17" s="13">
        <v>0.15</v>
      </c>
      <c r="G17" s="13">
        <v>0.15</v>
      </c>
      <c r="H17" s="13">
        <v>0.15</v>
      </c>
      <c r="I17" s="13">
        <v>0.15</v>
      </c>
      <c r="J17" s="13">
        <v>0.15</v>
      </c>
      <c r="K17" s="13">
        <v>0.15</v>
      </c>
      <c r="L17" s="13">
        <v>0.15</v>
      </c>
      <c r="M17" s="13">
        <v>0.15</v>
      </c>
      <c r="N17" s="13">
        <v>0.15</v>
      </c>
      <c r="O17" s="13">
        <v>0.15</v>
      </c>
      <c r="P17" s="13">
        <v>0.15</v>
      </c>
    </row>
    <row r="18" spans="1:16" x14ac:dyDescent="0.3">
      <c r="B18" s="15" t="s">
        <v>37</v>
      </c>
      <c r="C18" s="10">
        <f>C16*C17</f>
        <v>610.94999999999993</v>
      </c>
      <c r="E18" s="10">
        <f t="shared" ref="E18:P18" si="2">E16*E17</f>
        <v>0</v>
      </c>
      <c r="F18" s="10">
        <f t="shared" si="2"/>
        <v>979.05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0">
        <f t="shared" si="2"/>
        <v>0</v>
      </c>
    </row>
    <row r="19" spans="1:16" x14ac:dyDescent="0.3">
      <c r="B19" s="15"/>
      <c r="C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t="s">
        <v>38</v>
      </c>
      <c r="B20" s="15" t="s">
        <v>39</v>
      </c>
      <c r="C20" s="10">
        <f>C12-C18</f>
        <v>6515.7166666666672</v>
      </c>
      <c r="E20" s="10">
        <f t="shared" ref="E20:P20" si="3">E12-E18</f>
        <v>5140</v>
      </c>
      <c r="F20" s="10">
        <f t="shared" si="3"/>
        <v>3526.8788537549408</v>
      </c>
      <c r="G20" s="10">
        <f t="shared" si="3"/>
        <v>3731.4814814814818</v>
      </c>
      <c r="H20" s="10">
        <f t="shared" si="3"/>
        <v>4762.3966942148763</v>
      </c>
      <c r="I20" s="10">
        <f t="shared" si="3"/>
        <v>5623.3766233766237</v>
      </c>
      <c r="J20" s="10">
        <f t="shared" si="3"/>
        <v>6881.3559322033898</v>
      </c>
      <c r="K20" s="10">
        <f t="shared" si="3"/>
        <v>4141.0693970420934</v>
      </c>
      <c r="L20" s="10">
        <f t="shared" si="3"/>
        <v>9700</v>
      </c>
      <c r="M20" s="10">
        <f t="shared" si="3"/>
        <v>4891.0891089108909</v>
      </c>
      <c r="N20" s="10">
        <f t="shared" si="3"/>
        <v>3765.3061224489793</v>
      </c>
      <c r="O20" s="10">
        <f t="shared" si="3"/>
        <v>4827.272727272727</v>
      </c>
      <c r="P20" s="10">
        <f t="shared" si="3"/>
        <v>7125</v>
      </c>
    </row>
    <row r="21" spans="1:16" x14ac:dyDescent="0.3">
      <c r="A21" t="s">
        <v>40</v>
      </c>
      <c r="C21" s="13">
        <v>0.15</v>
      </c>
      <c r="E21" s="21">
        <v>0.1</v>
      </c>
      <c r="F21" s="21">
        <v>5.0599999999999999E-2</v>
      </c>
      <c r="G21" s="21">
        <v>0.108</v>
      </c>
      <c r="H21" s="21">
        <v>9.6799999999999997E-2</v>
      </c>
      <c r="I21" s="21">
        <v>7.6999999999999999E-2</v>
      </c>
      <c r="J21" s="21">
        <v>5.8999999999999997E-2</v>
      </c>
      <c r="K21" s="21">
        <v>8.7900000000000006E-2</v>
      </c>
      <c r="L21" s="21">
        <v>0.04</v>
      </c>
      <c r="M21" s="21">
        <v>5.0500000000000003E-2</v>
      </c>
      <c r="N21" s="21">
        <v>9.8000000000000004E-2</v>
      </c>
      <c r="O21" s="21">
        <v>0.11</v>
      </c>
      <c r="P21" s="21">
        <v>6.4000000000000001E-2</v>
      </c>
    </row>
    <row r="22" spans="1:16" x14ac:dyDescent="0.3">
      <c r="A22" t="s">
        <v>19</v>
      </c>
      <c r="C22" s="17">
        <f>C20*C21</f>
        <v>977.35750000000007</v>
      </c>
      <c r="E22" s="17">
        <f t="shared" ref="E22:P22" si="4">IF($C$9=E11,E20*E21,0)</f>
        <v>0</v>
      </c>
      <c r="F22" s="17">
        <f t="shared" si="4"/>
        <v>178.46007</v>
      </c>
      <c r="G22" s="17">
        <f t="shared" si="4"/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</row>
    <row r="24" spans="1:16" x14ac:dyDescent="0.3">
      <c r="A24" t="s">
        <v>1</v>
      </c>
      <c r="C24" s="20">
        <f>C22</f>
        <v>977.35750000000007</v>
      </c>
    </row>
    <row r="25" spans="1:16" x14ac:dyDescent="0.3">
      <c r="A25" t="s">
        <v>55</v>
      </c>
      <c r="C25" s="12">
        <f>HLOOKUP(C9,E11:P22,12,FALSE)</f>
        <v>178.46007</v>
      </c>
    </row>
    <row r="26" spans="1:16" x14ac:dyDescent="0.3">
      <c r="A26" t="s">
        <v>56</v>
      </c>
      <c r="C26" s="24">
        <f>SUM(C24:C25)</f>
        <v>1155.8175700000002</v>
      </c>
      <c r="F26" s="28"/>
    </row>
  </sheetData>
  <dataValidations disablePrompts="1" count="2">
    <dataValidation type="list" allowBlank="1" showInputMessage="1" showErrorMessage="1" sqref="C4">
      <formula1>$D$4:$D$5</formula1>
    </dataValidation>
    <dataValidation type="list" allowBlank="1" showInputMessage="1" showErrorMessage="1" sqref="C9">
      <formula1>$E$4:$P$4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4" workbookViewId="0">
      <selection activeCell="C37" sqref="C37"/>
    </sheetView>
  </sheetViews>
  <sheetFormatPr defaultRowHeight="14.4" x14ac:dyDescent="0.3"/>
  <cols>
    <col min="1" max="1" width="22.77734375" customWidth="1"/>
    <col min="2" max="2" width="9.5546875" customWidth="1"/>
    <col min="3" max="3" width="10.33203125" bestFit="1" customWidth="1"/>
    <col min="4" max="4" width="14.77734375" bestFit="1" customWidth="1"/>
    <col min="5" max="5" width="12.5546875" customWidth="1"/>
    <col min="6" max="6" width="14.33203125" bestFit="1" customWidth="1"/>
    <col min="7" max="7" width="17.6640625" customWidth="1"/>
    <col min="8" max="8" width="18.88671875" bestFit="1" customWidth="1"/>
    <col min="9" max="9" width="13.6640625" customWidth="1"/>
    <col min="10" max="10" width="12.5546875" customWidth="1"/>
    <col min="11" max="11" width="10.77734375" bestFit="1" customWidth="1"/>
    <col min="12" max="12" width="18.6640625" bestFit="1" customWidth="1"/>
    <col min="13" max="13" width="13.109375" bestFit="1" customWidth="1"/>
    <col min="14" max="14" width="11.5546875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194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196</v>
      </c>
      <c r="C3" s="6">
        <v>1275</v>
      </c>
      <c r="D3" s="14"/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s="3"/>
      <c r="L3" s="3"/>
      <c r="M3" s="3"/>
      <c r="N3" s="3"/>
      <c r="O3" s="3"/>
      <c r="P3" s="3"/>
    </row>
    <row r="4" spans="1:16" x14ac:dyDescent="0.3">
      <c r="E4" s="41" t="s">
        <v>197</v>
      </c>
    </row>
    <row r="5" spans="1:16" s="39" customFormat="1" x14ac:dyDescent="0.3">
      <c r="A5" s="38"/>
      <c r="D5" s="40"/>
    </row>
    <row r="6" spans="1:16" x14ac:dyDescent="0.3">
      <c r="A6" s="22" t="s">
        <v>96</v>
      </c>
      <c r="C6" s="6">
        <v>200100</v>
      </c>
      <c r="D6" s="40" t="s">
        <v>193</v>
      </c>
    </row>
    <row r="7" spans="1:16" x14ac:dyDescent="0.3">
      <c r="A7" t="s">
        <v>43</v>
      </c>
      <c r="C7" s="6" t="s">
        <v>53</v>
      </c>
      <c r="D7" s="40"/>
    </row>
    <row r="9" spans="1:16" x14ac:dyDescent="0.3">
      <c r="C9" s="16" t="s">
        <v>42</v>
      </c>
      <c r="D9" s="16" t="s">
        <v>44</v>
      </c>
      <c r="E9" s="16" t="s">
        <v>45</v>
      </c>
      <c r="F9" s="16" t="s">
        <v>46</v>
      </c>
      <c r="G9" s="59" t="s">
        <v>47</v>
      </c>
      <c r="H9" s="16" t="s">
        <v>48</v>
      </c>
      <c r="I9" s="16" t="s">
        <v>49</v>
      </c>
      <c r="J9" s="16" t="s">
        <v>50</v>
      </c>
      <c r="K9" s="16" t="s">
        <v>51</v>
      </c>
      <c r="L9" s="16" t="s">
        <v>52</v>
      </c>
      <c r="M9" s="16" t="s">
        <v>53</v>
      </c>
      <c r="N9" s="16" t="s">
        <v>54</v>
      </c>
    </row>
    <row r="10" spans="1:16" x14ac:dyDescent="0.3">
      <c r="A10" s="57" t="s">
        <v>199</v>
      </c>
      <c r="B10" t="s">
        <v>203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6" x14ac:dyDescent="0.3">
      <c r="B11" t="s">
        <v>202</v>
      </c>
      <c r="C11" s="10">
        <v>200</v>
      </c>
      <c r="D11" s="10">
        <v>100</v>
      </c>
      <c r="E11" s="10">
        <v>400</v>
      </c>
      <c r="F11" s="10">
        <v>200</v>
      </c>
      <c r="G11" s="10">
        <v>100</v>
      </c>
      <c r="H11" s="10">
        <v>100</v>
      </c>
      <c r="I11" s="10">
        <v>1000</v>
      </c>
      <c r="J11" s="10">
        <v>100</v>
      </c>
      <c r="K11" s="10">
        <v>399</v>
      </c>
      <c r="L11" s="10">
        <v>100</v>
      </c>
      <c r="M11" s="10">
        <v>400</v>
      </c>
      <c r="N11" s="10">
        <v>100</v>
      </c>
    </row>
    <row r="12" spans="1:16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6" x14ac:dyDescent="0.3">
      <c r="C13" s="10">
        <f>IF($C$7=C9,IF($C$3&gt;=C11,C11,$C$3),0)</f>
        <v>0</v>
      </c>
      <c r="D13" s="10">
        <f t="shared" ref="D13:M13" si="0">IF($C$7=D9,IF($C$3&gt;=D11,D11,$C$3),0)</f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H13" s="10">
        <f t="shared" si="0"/>
        <v>0</v>
      </c>
      <c r="I13" s="10">
        <f t="shared" si="0"/>
        <v>0</v>
      </c>
      <c r="J13" s="10">
        <f t="shared" si="0"/>
        <v>0</v>
      </c>
      <c r="K13" s="10">
        <f t="shared" si="0"/>
        <v>0</v>
      </c>
      <c r="L13" s="10">
        <f t="shared" si="0"/>
        <v>0</v>
      </c>
      <c r="M13" s="10">
        <f t="shared" si="0"/>
        <v>400</v>
      </c>
      <c r="N13" s="10">
        <f>IF($C$7=N9,IF($C$3&gt;=N11,N11,$C$3),0)</f>
        <v>0</v>
      </c>
    </row>
    <row r="14" spans="1:16" x14ac:dyDescent="0.3">
      <c r="A14" t="s">
        <v>177</v>
      </c>
      <c r="B14" s="10"/>
      <c r="C14" s="44">
        <v>0.75</v>
      </c>
      <c r="D14" s="44">
        <v>0.75</v>
      </c>
      <c r="E14" s="44">
        <v>0.75</v>
      </c>
      <c r="F14" s="44">
        <v>0.75</v>
      </c>
      <c r="G14" s="44">
        <v>0.75</v>
      </c>
      <c r="H14" s="44">
        <v>1</v>
      </c>
      <c r="I14" s="44">
        <v>0.75</v>
      </c>
      <c r="J14" s="44">
        <v>0.75</v>
      </c>
      <c r="K14" s="44">
        <v>0.75</v>
      </c>
      <c r="L14" s="44">
        <v>0.75</v>
      </c>
      <c r="M14" s="44">
        <v>0.75</v>
      </c>
      <c r="N14" s="44">
        <v>0.75</v>
      </c>
    </row>
    <row r="15" spans="1:16" x14ac:dyDescent="0.3">
      <c r="B15" s="55" t="s">
        <v>36</v>
      </c>
      <c r="C15" s="49">
        <f>C13*C14</f>
        <v>0</v>
      </c>
      <c r="D15" s="49">
        <f t="shared" ref="D15:M15" si="1">D13*D14</f>
        <v>0</v>
      </c>
      <c r="E15" s="49">
        <f t="shared" si="1"/>
        <v>0</v>
      </c>
      <c r="F15" s="49">
        <f t="shared" si="1"/>
        <v>0</v>
      </c>
      <c r="G15" s="49">
        <f t="shared" si="1"/>
        <v>0</v>
      </c>
      <c r="H15" s="49">
        <f t="shared" si="1"/>
        <v>0</v>
      </c>
      <c r="I15" s="49">
        <f t="shared" si="1"/>
        <v>0</v>
      </c>
      <c r="J15" s="49">
        <f t="shared" si="1"/>
        <v>0</v>
      </c>
      <c r="K15" s="49">
        <f t="shared" si="1"/>
        <v>0</v>
      </c>
      <c r="L15" s="49">
        <f t="shared" si="1"/>
        <v>0</v>
      </c>
      <c r="M15" s="49">
        <f t="shared" si="1"/>
        <v>300</v>
      </c>
      <c r="N15" s="49">
        <f>N13*N14</f>
        <v>0</v>
      </c>
    </row>
    <row r="16" spans="1:16" x14ac:dyDescent="0.3">
      <c r="B16" s="5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1:14" x14ac:dyDescent="0.3">
      <c r="A17" s="57" t="s">
        <v>200</v>
      </c>
      <c r="B17" t="s">
        <v>203</v>
      </c>
      <c r="C17" s="10">
        <f>C11</f>
        <v>200</v>
      </c>
      <c r="D17" s="10">
        <f t="shared" ref="D17:N17" si="2">D11</f>
        <v>100</v>
      </c>
      <c r="E17" s="10">
        <f t="shared" si="2"/>
        <v>400</v>
      </c>
      <c r="F17" s="10">
        <f t="shared" si="2"/>
        <v>200</v>
      </c>
      <c r="G17" s="10">
        <f t="shared" si="2"/>
        <v>100</v>
      </c>
      <c r="H17" s="10">
        <f t="shared" si="2"/>
        <v>100</v>
      </c>
      <c r="I17" s="49"/>
      <c r="J17" s="10">
        <f t="shared" si="2"/>
        <v>100</v>
      </c>
      <c r="K17" s="10">
        <f t="shared" si="2"/>
        <v>399</v>
      </c>
      <c r="L17" s="10">
        <f t="shared" si="2"/>
        <v>100</v>
      </c>
      <c r="M17" s="10">
        <f t="shared" si="2"/>
        <v>400</v>
      </c>
      <c r="N17" s="10">
        <f t="shared" si="2"/>
        <v>100</v>
      </c>
    </row>
    <row r="18" spans="1:14" x14ac:dyDescent="0.3">
      <c r="B18" t="s">
        <v>202</v>
      </c>
      <c r="C18" s="10">
        <v>1100</v>
      </c>
      <c r="D18" s="10">
        <v>550</v>
      </c>
      <c r="E18" s="10">
        <v>750</v>
      </c>
      <c r="F18" s="10">
        <v>550</v>
      </c>
      <c r="G18" s="10">
        <v>550</v>
      </c>
      <c r="H18" s="10">
        <v>900</v>
      </c>
      <c r="I18" s="49"/>
      <c r="J18" s="10">
        <v>900</v>
      </c>
      <c r="K18" s="10">
        <v>1330</v>
      </c>
      <c r="L18" s="10">
        <v>550</v>
      </c>
      <c r="M18" s="10">
        <v>750</v>
      </c>
      <c r="N18" s="10">
        <v>550</v>
      </c>
    </row>
    <row r="19" spans="1:14" x14ac:dyDescent="0.3">
      <c r="B19" s="5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x14ac:dyDescent="0.3">
      <c r="B20" s="15"/>
      <c r="C20" s="10">
        <f>IF($C$7=C9,IF($C$3&gt;C18,C18-C17,IF(AND($C$3&gt;C17,$C$3&lt;=C18),$C$3-C17,0)),0)</f>
        <v>0</v>
      </c>
      <c r="D20" s="10">
        <f t="shared" ref="D20:M20" si="3">IF($C$7=D9,IF($C$3&gt;D18,D18-D17,IF(AND($C$3&gt;D17,$C$3&lt;=D18),$C$3-D17,0)),0)</f>
        <v>0</v>
      </c>
      <c r="E20" s="10">
        <f t="shared" si="3"/>
        <v>0</v>
      </c>
      <c r="F20" s="10">
        <f t="shared" si="3"/>
        <v>0</v>
      </c>
      <c r="G20" s="10">
        <f t="shared" si="3"/>
        <v>0</v>
      </c>
      <c r="H20" s="10">
        <f t="shared" si="3"/>
        <v>0</v>
      </c>
      <c r="I20" s="49"/>
      <c r="J20" s="10">
        <f t="shared" si="3"/>
        <v>0</v>
      </c>
      <c r="K20" s="10">
        <f t="shared" si="3"/>
        <v>0</v>
      </c>
      <c r="L20" s="10">
        <f t="shared" si="3"/>
        <v>0</v>
      </c>
      <c r="M20" s="10">
        <f t="shared" si="3"/>
        <v>350</v>
      </c>
      <c r="N20" s="10">
        <f>IF($C$7=N9,IF($C$3&gt;N18,N18-N17,IF(AND($C$3&gt;N17,$C$3&lt;=N18),$C$3-N17,0)),0)</f>
        <v>0</v>
      </c>
    </row>
    <row r="21" spans="1:14" x14ac:dyDescent="0.3">
      <c r="A21" t="s">
        <v>177</v>
      </c>
      <c r="B21" s="56"/>
      <c r="C21" s="44">
        <v>0.5</v>
      </c>
      <c r="D21" s="44">
        <v>0.5</v>
      </c>
      <c r="E21" s="44">
        <v>0.5</v>
      </c>
      <c r="F21" s="44">
        <v>0.5</v>
      </c>
      <c r="G21" s="44">
        <v>0.5</v>
      </c>
      <c r="H21" s="44">
        <v>0.5</v>
      </c>
      <c r="I21" s="46"/>
      <c r="J21" s="44">
        <v>0.5</v>
      </c>
      <c r="K21" s="44">
        <v>0.5</v>
      </c>
      <c r="L21" s="44">
        <v>0.5</v>
      </c>
      <c r="M21" s="44">
        <v>0.5</v>
      </c>
      <c r="N21" s="44">
        <v>0.5</v>
      </c>
    </row>
    <row r="22" spans="1:14" x14ac:dyDescent="0.3">
      <c r="B22" s="55" t="s">
        <v>37</v>
      </c>
      <c r="C22" s="49">
        <f>C20*C21</f>
        <v>0</v>
      </c>
      <c r="D22" s="49">
        <f t="shared" ref="D22:M22" si="4">D20*D21</f>
        <v>0</v>
      </c>
      <c r="E22" s="49">
        <f t="shared" si="4"/>
        <v>0</v>
      </c>
      <c r="F22" s="49">
        <f t="shared" si="4"/>
        <v>0</v>
      </c>
      <c r="G22" s="49">
        <f t="shared" si="4"/>
        <v>0</v>
      </c>
      <c r="H22" s="49">
        <f t="shared" si="4"/>
        <v>0</v>
      </c>
      <c r="I22" s="49"/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175</v>
      </c>
      <c r="N22" s="49">
        <f>N20*N21</f>
        <v>0</v>
      </c>
    </row>
    <row r="23" spans="1:14" x14ac:dyDescent="0.3">
      <c r="B23" s="5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x14ac:dyDescent="0.3">
      <c r="A24" s="57" t="s">
        <v>201</v>
      </c>
      <c r="B24" t="s">
        <v>203</v>
      </c>
      <c r="C24" s="10">
        <f>C18</f>
        <v>1100</v>
      </c>
      <c r="D24" s="10">
        <f t="shared" ref="D24:N24" si="5">D18</f>
        <v>550</v>
      </c>
      <c r="E24" s="10">
        <f t="shared" si="5"/>
        <v>750</v>
      </c>
      <c r="F24" s="10">
        <f t="shared" si="5"/>
        <v>550</v>
      </c>
      <c r="G24" s="10">
        <f t="shared" si="5"/>
        <v>550</v>
      </c>
      <c r="H24" s="49"/>
      <c r="I24" s="49"/>
      <c r="J24" s="49"/>
      <c r="K24" s="10">
        <f t="shared" si="5"/>
        <v>1330</v>
      </c>
      <c r="L24" s="10">
        <f t="shared" si="5"/>
        <v>550</v>
      </c>
      <c r="M24" s="10">
        <f t="shared" si="5"/>
        <v>750</v>
      </c>
      <c r="N24" s="10">
        <f t="shared" si="5"/>
        <v>550</v>
      </c>
    </row>
    <row r="25" spans="1:14" x14ac:dyDescent="0.3">
      <c r="B25" s="5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4" x14ac:dyDescent="0.3">
      <c r="B26" s="55"/>
      <c r="C26" s="10">
        <f>IF($C$7=C9,IF($C$3&gt;C24,$C$3-C24,0),0)</f>
        <v>0</v>
      </c>
      <c r="D26" s="10">
        <f t="shared" ref="D26:M26" si="6">IF($C$7=D9,IF($C$3&gt;D24,$C$3-D24,0),0)</f>
        <v>0</v>
      </c>
      <c r="E26" s="10">
        <f t="shared" si="6"/>
        <v>0</v>
      </c>
      <c r="F26" s="10">
        <f t="shared" si="6"/>
        <v>0</v>
      </c>
      <c r="G26" s="10">
        <f t="shared" si="6"/>
        <v>0</v>
      </c>
      <c r="H26" s="49"/>
      <c r="I26" s="49"/>
      <c r="J26" s="49"/>
      <c r="K26" s="10">
        <f t="shared" si="6"/>
        <v>0</v>
      </c>
      <c r="L26" s="10">
        <f t="shared" si="6"/>
        <v>0</v>
      </c>
      <c r="M26" s="10">
        <f t="shared" si="6"/>
        <v>525</v>
      </c>
      <c r="N26" s="10">
        <f>IF($C$7=N9,IF($C$3&gt;N24,$C$3-N24,0),0)</f>
        <v>0</v>
      </c>
    </row>
    <row r="27" spans="1:14" x14ac:dyDescent="0.3">
      <c r="A27" t="s">
        <v>177</v>
      </c>
      <c r="B27" s="55"/>
      <c r="C27" s="44">
        <f>0.333333333333333</f>
        <v>0.33333333333333298</v>
      </c>
      <c r="D27" s="44">
        <f t="shared" ref="D27:M27" si="7">0.333333333333333</f>
        <v>0.33333333333333298</v>
      </c>
      <c r="E27" s="44">
        <f t="shared" si="7"/>
        <v>0.33333333333333298</v>
      </c>
      <c r="F27" s="44">
        <f t="shared" si="7"/>
        <v>0.33333333333333298</v>
      </c>
      <c r="G27" s="44">
        <f t="shared" si="7"/>
        <v>0.33333333333333298</v>
      </c>
      <c r="H27" s="46"/>
      <c r="I27" s="46"/>
      <c r="J27" s="46"/>
      <c r="K27" s="44">
        <f t="shared" si="7"/>
        <v>0.33333333333333298</v>
      </c>
      <c r="L27" s="44">
        <f t="shared" si="7"/>
        <v>0.33333333333333298</v>
      </c>
      <c r="M27" s="44">
        <f t="shared" si="7"/>
        <v>0.33333333333333298</v>
      </c>
      <c r="N27" s="44">
        <f>0.333333333333333</f>
        <v>0.33333333333333298</v>
      </c>
    </row>
    <row r="28" spans="1:14" x14ac:dyDescent="0.3">
      <c r="B28" s="55" t="s">
        <v>79</v>
      </c>
      <c r="C28" s="49">
        <f>C26*C27</f>
        <v>0</v>
      </c>
      <c r="D28" s="49">
        <f t="shared" ref="D28:M28" si="8">D26*D27</f>
        <v>0</v>
      </c>
      <c r="E28" s="49">
        <f t="shared" si="8"/>
        <v>0</v>
      </c>
      <c r="F28" s="49">
        <f t="shared" si="8"/>
        <v>0</v>
      </c>
      <c r="G28" s="49">
        <f t="shared" si="8"/>
        <v>0</v>
      </c>
      <c r="H28" s="49"/>
      <c r="I28" s="49"/>
      <c r="J28" s="49"/>
      <c r="K28" s="49">
        <f t="shared" si="8"/>
        <v>0</v>
      </c>
      <c r="L28" s="49">
        <f t="shared" si="8"/>
        <v>0</v>
      </c>
      <c r="M28" s="49">
        <f t="shared" si="8"/>
        <v>174.99999999999983</v>
      </c>
      <c r="N28" s="49">
        <f>N26*N27</f>
        <v>0</v>
      </c>
    </row>
    <row r="29" spans="1:14" x14ac:dyDescent="0.3">
      <c r="B29" s="5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  <row r="30" spans="1:14" x14ac:dyDescent="0.3">
      <c r="A30" t="s">
        <v>189</v>
      </c>
      <c r="B30" s="15" t="s">
        <v>190</v>
      </c>
      <c r="C30" s="10">
        <f>C15+C22+C28</f>
        <v>0</v>
      </c>
      <c r="D30" s="10">
        <f t="shared" ref="D30:M30" si="9">D15+D22+D28</f>
        <v>0</v>
      </c>
      <c r="E30" s="10">
        <f t="shared" si="9"/>
        <v>0</v>
      </c>
      <c r="F30" s="10">
        <f t="shared" si="9"/>
        <v>0</v>
      </c>
      <c r="G30" s="10">
        <f t="shared" si="9"/>
        <v>0</v>
      </c>
      <c r="H30" s="10">
        <f t="shared" si="9"/>
        <v>0</v>
      </c>
      <c r="I30" s="10">
        <f t="shared" si="9"/>
        <v>0</v>
      </c>
      <c r="J30" s="10">
        <f t="shared" si="9"/>
        <v>0</v>
      </c>
      <c r="K30" s="10">
        <f t="shared" si="9"/>
        <v>0</v>
      </c>
      <c r="L30" s="10">
        <f t="shared" si="9"/>
        <v>0</v>
      </c>
      <c r="M30" s="10">
        <f t="shared" si="9"/>
        <v>649.99999999999977</v>
      </c>
      <c r="N30" s="10">
        <f>N15+N22+N28</f>
        <v>0</v>
      </c>
    </row>
    <row r="31" spans="1:14" x14ac:dyDescent="0.3">
      <c r="B31" s="10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 x14ac:dyDescent="0.3">
      <c r="A32" t="s">
        <v>191</v>
      </c>
      <c r="B32" s="10"/>
      <c r="C32" s="10">
        <v>1000</v>
      </c>
      <c r="D32" s="10">
        <v>500</v>
      </c>
      <c r="E32" s="10">
        <v>650</v>
      </c>
      <c r="F32" s="10">
        <v>500</v>
      </c>
      <c r="G32" s="10">
        <v>500</v>
      </c>
      <c r="H32" s="10">
        <v>500</v>
      </c>
      <c r="I32" s="10">
        <v>750</v>
      </c>
      <c r="J32" s="10">
        <v>500</v>
      </c>
      <c r="K32" s="10">
        <v>1330</v>
      </c>
      <c r="L32" s="10">
        <v>500</v>
      </c>
      <c r="M32" s="10">
        <v>650</v>
      </c>
      <c r="N32" s="10">
        <v>500</v>
      </c>
    </row>
    <row r="33" spans="1:14" x14ac:dyDescent="0.3"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3">
      <c r="C34" s="17">
        <f>MIN(C30,C32)</f>
        <v>0</v>
      </c>
      <c r="D34" s="17">
        <f t="shared" ref="D34:M34" si="10">MIN(D30,D32)</f>
        <v>0</v>
      </c>
      <c r="E34" s="17">
        <f t="shared" si="10"/>
        <v>0</v>
      </c>
      <c r="F34" s="17">
        <f t="shared" si="10"/>
        <v>0</v>
      </c>
      <c r="G34" s="17">
        <f t="shared" si="10"/>
        <v>0</v>
      </c>
      <c r="H34" s="17">
        <f t="shared" si="10"/>
        <v>0</v>
      </c>
      <c r="I34" s="17">
        <f t="shared" si="10"/>
        <v>0</v>
      </c>
      <c r="J34" s="17">
        <f t="shared" si="10"/>
        <v>0</v>
      </c>
      <c r="K34" s="17">
        <f t="shared" si="10"/>
        <v>0</v>
      </c>
      <c r="L34" s="17">
        <f t="shared" si="10"/>
        <v>0</v>
      </c>
      <c r="M34" s="17">
        <f t="shared" si="10"/>
        <v>649.99999999999977</v>
      </c>
      <c r="N34" s="17">
        <f>MIN(N30,N32)</f>
        <v>0</v>
      </c>
    </row>
    <row r="36" spans="1:14" ht="28.8" x14ac:dyDescent="0.3">
      <c r="A36" s="22" t="s">
        <v>198</v>
      </c>
      <c r="C36" s="58">
        <f>HLOOKUP(C7,C9:N34,26,FALSE)</f>
        <v>649.99999999999977</v>
      </c>
    </row>
  </sheetData>
  <dataValidations disablePrompts="1" count="1">
    <dataValidation type="list" allowBlank="1" showInputMessage="1" showErrorMessage="1" sqref="C7">
      <formula1>$E$2:$P$2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5" sqref="E15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26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72" x14ac:dyDescent="0.3">
      <c r="A3" s="22" t="s">
        <v>204</v>
      </c>
      <c r="C3" s="6" t="s">
        <v>30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44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s="22" t="s">
        <v>34</v>
      </c>
      <c r="B10" s="10">
        <v>500</v>
      </c>
      <c r="C10" s="10">
        <v>0</v>
      </c>
      <c r="D10" s="30"/>
      <c r="E10" s="10">
        <v>0</v>
      </c>
      <c r="F10" s="10">
        <f>IF(AND(C3="yes",C6=F8),B10,0)</f>
        <v>500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f t="shared" ref="P10" si="0">IF($C$6=P8,$C$10,0)</f>
        <v>0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A12" t="s">
        <v>40</v>
      </c>
      <c r="C12" s="13">
        <v>0.15</v>
      </c>
      <c r="E12" s="21">
        <v>0.1</v>
      </c>
      <c r="F12" s="21">
        <v>5.0599999999999999E-2</v>
      </c>
      <c r="G12" s="21">
        <v>0.108</v>
      </c>
      <c r="H12" s="21">
        <v>9.6799999999999997E-2</v>
      </c>
      <c r="I12" s="21">
        <v>7.6999999999999999E-2</v>
      </c>
      <c r="J12" s="21">
        <v>5.8999999999999997E-2</v>
      </c>
      <c r="K12" s="21">
        <v>8.7900000000000006E-2</v>
      </c>
      <c r="L12" s="21">
        <v>0.04</v>
      </c>
      <c r="M12" s="21">
        <v>5.0500000000000003E-2</v>
      </c>
      <c r="N12" s="21">
        <v>9.8000000000000004E-2</v>
      </c>
      <c r="O12" s="21">
        <v>0.11</v>
      </c>
      <c r="P12" s="21">
        <v>6.4000000000000001E-2</v>
      </c>
    </row>
    <row r="13" spans="1:16" x14ac:dyDescent="0.3">
      <c r="A13" t="s">
        <v>3</v>
      </c>
      <c r="C13" s="17">
        <f>C10*C12</f>
        <v>0</v>
      </c>
      <c r="E13" s="17">
        <f t="shared" ref="E13:P13" si="1">E10*E12</f>
        <v>0</v>
      </c>
      <c r="F13" s="17">
        <f t="shared" si="1"/>
        <v>25.3</v>
      </c>
      <c r="G13" s="17">
        <f t="shared" si="1"/>
        <v>0</v>
      </c>
      <c r="H13" s="17">
        <f t="shared" si="1"/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5" spans="1:16" x14ac:dyDescent="0.3">
      <c r="A15" t="s">
        <v>1</v>
      </c>
      <c r="C15" s="20">
        <f>C13</f>
        <v>0</v>
      </c>
    </row>
    <row r="16" spans="1:16" x14ac:dyDescent="0.3">
      <c r="A16" t="s">
        <v>55</v>
      </c>
      <c r="C16" s="12">
        <f>HLOOKUP(C6,E8:P13,6,FALSE)</f>
        <v>25.3</v>
      </c>
    </row>
    <row r="17" spans="1:16" x14ac:dyDescent="0.3">
      <c r="A17" t="s">
        <v>130</v>
      </c>
      <c r="C17" s="24">
        <f>SUM(C15:C16)</f>
        <v>25.3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</sheetData>
  <dataValidations disablePrompts="1" count="2">
    <dataValidation type="list" allowBlank="1" showInputMessage="1" showErrorMessage="1" sqref="C6">
      <formula1>$E$2:$P$2</formula1>
    </dataValidation>
    <dataValidation type="list" allowBlank="1" showInputMessage="1" showErrorMessage="1" sqref="C3">
      <formula1>$E$1:$F$1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>
      <selection activeCell="C16" sqref="C16"/>
    </sheetView>
  </sheetViews>
  <sheetFormatPr defaultRowHeight="14.4" x14ac:dyDescent="0.3"/>
  <cols>
    <col min="1" max="1" width="24.21875" customWidth="1"/>
    <col min="2" max="2" width="6.218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18</v>
      </c>
      <c r="E1" t="s">
        <v>30</v>
      </c>
      <c r="F1" t="s">
        <v>31</v>
      </c>
    </row>
    <row r="2" spans="1:16" x14ac:dyDescent="0.3"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</row>
    <row r="4" spans="1:16" x14ac:dyDescent="0.3">
      <c r="A4" t="s">
        <v>58</v>
      </c>
      <c r="C4" s="6" t="s">
        <v>59</v>
      </c>
      <c r="E4" s="3" t="s">
        <v>42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54</v>
      </c>
    </row>
    <row r="5" spans="1:16" ht="43.2" x14ac:dyDescent="0.3">
      <c r="A5" s="22" t="s">
        <v>77</v>
      </c>
      <c r="C5" s="6" t="s">
        <v>31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43.2" x14ac:dyDescent="0.3">
      <c r="A6" s="22" t="s">
        <v>65</v>
      </c>
      <c r="C6" s="6">
        <v>730</v>
      </c>
      <c r="D6" s="14" t="s">
        <v>66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8" spans="1:16" x14ac:dyDescent="0.3">
      <c r="A8" s="9" t="s">
        <v>57</v>
      </c>
      <c r="C8" s="8" t="str">
        <f>IF(OR(C4="married",C4="common-law"),"Eligible","Not eligible")</f>
        <v>Eligible</v>
      </c>
    </row>
    <row r="10" spans="1:16" x14ac:dyDescent="0.3">
      <c r="A10" t="s">
        <v>33</v>
      </c>
      <c r="C10" s="6">
        <v>40000</v>
      </c>
      <c r="D10" s="14" t="s">
        <v>69</v>
      </c>
    </row>
    <row r="11" spans="1:16" x14ac:dyDescent="0.3">
      <c r="A11" t="s">
        <v>43</v>
      </c>
      <c r="C11" s="6" t="s">
        <v>47</v>
      </c>
    </row>
    <row r="13" spans="1:16" x14ac:dyDescent="0.3">
      <c r="C13" s="16" t="s">
        <v>1</v>
      </c>
      <c r="E13" s="16" t="s">
        <v>42</v>
      </c>
      <c r="F13" s="16" t="s">
        <v>44</v>
      </c>
      <c r="G13" s="16" t="s">
        <v>45</v>
      </c>
      <c r="H13" s="16" t="s">
        <v>46</v>
      </c>
      <c r="I13" s="16" t="s">
        <v>47</v>
      </c>
      <c r="J13" s="16" t="s">
        <v>48</v>
      </c>
      <c r="K13" s="16" t="s">
        <v>49</v>
      </c>
      <c r="L13" s="16" t="s">
        <v>50</v>
      </c>
      <c r="M13" s="16" t="s">
        <v>51</v>
      </c>
      <c r="N13" s="16" t="s">
        <v>52</v>
      </c>
      <c r="O13" s="16" t="s">
        <v>53</v>
      </c>
      <c r="P13" s="16" t="s">
        <v>54</v>
      </c>
    </row>
    <row r="14" spans="1:16" x14ac:dyDescent="0.3">
      <c r="A14" t="s">
        <v>76</v>
      </c>
      <c r="B14" s="15" t="s">
        <v>36</v>
      </c>
      <c r="C14" s="10">
        <v>11474</v>
      </c>
      <c r="E14" s="10">
        <v>18451</v>
      </c>
      <c r="F14" s="10">
        <v>9445</v>
      </c>
      <c r="G14" s="10">
        <v>9134</v>
      </c>
      <c r="H14" s="10">
        <v>9115</v>
      </c>
      <c r="I14" s="10">
        <v>7912</v>
      </c>
      <c r="J14" s="10">
        <v>14081</v>
      </c>
      <c r="K14" s="10">
        <v>9329</v>
      </c>
      <c r="L14" s="10">
        <v>12947</v>
      </c>
      <c r="M14" s="10">
        <v>9350</v>
      </c>
      <c r="N14" s="10">
        <v>7475</v>
      </c>
      <c r="O14" s="10">
        <v>17428</v>
      </c>
      <c r="P14" s="10">
        <v>11474</v>
      </c>
    </row>
    <row r="15" spans="1:16" x14ac:dyDescent="0.3">
      <c r="A15" t="s">
        <v>78</v>
      </c>
      <c r="B15" s="15" t="s">
        <v>37</v>
      </c>
      <c r="C15" s="10">
        <f>IF($C$5="yes",2121,0)</f>
        <v>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>IF($C$5="yes",2121,0)</f>
        <v>0</v>
      </c>
    </row>
    <row r="16" spans="1:16" ht="43.2" x14ac:dyDescent="0.3">
      <c r="A16" s="22" t="s">
        <v>65</v>
      </c>
      <c r="B16" s="15" t="s">
        <v>79</v>
      </c>
      <c r="C16" s="23">
        <f>$C$6</f>
        <v>730</v>
      </c>
      <c r="E16" s="23">
        <f t="shared" ref="E16:P16" si="0">IF($C$11=E13,$C$6,0)</f>
        <v>0</v>
      </c>
      <c r="F16" s="23">
        <f t="shared" si="0"/>
        <v>0</v>
      </c>
      <c r="G16" s="23">
        <f t="shared" si="0"/>
        <v>0</v>
      </c>
      <c r="H16" s="23">
        <f t="shared" si="0"/>
        <v>0</v>
      </c>
      <c r="I16" s="23">
        <f t="shared" si="0"/>
        <v>730</v>
      </c>
      <c r="J16" s="23">
        <f t="shared" si="0"/>
        <v>0</v>
      </c>
      <c r="K16" s="23">
        <f t="shared" si="0"/>
        <v>0</v>
      </c>
      <c r="L16" s="23">
        <f t="shared" si="0"/>
        <v>0</v>
      </c>
      <c r="M16" s="23">
        <f t="shared" si="0"/>
        <v>0</v>
      </c>
      <c r="N16" s="23">
        <f t="shared" si="0"/>
        <v>0</v>
      </c>
      <c r="O16" s="23">
        <f t="shared" si="0"/>
        <v>0</v>
      </c>
      <c r="P16" s="23">
        <f t="shared" si="0"/>
        <v>0</v>
      </c>
    </row>
    <row r="17" spans="1:16" x14ac:dyDescent="0.3">
      <c r="A17" t="s">
        <v>38</v>
      </c>
      <c r="B17" s="15" t="s">
        <v>80</v>
      </c>
      <c r="C17" s="10">
        <f>C14+C15-C16</f>
        <v>10744</v>
      </c>
      <c r="E17" s="10">
        <f t="shared" ref="E17:P17" si="1">E14+E15-E16</f>
        <v>18451</v>
      </c>
      <c r="F17" s="10">
        <f t="shared" si="1"/>
        <v>9445</v>
      </c>
      <c r="G17" s="10">
        <f t="shared" si="1"/>
        <v>9134</v>
      </c>
      <c r="H17" s="10">
        <f t="shared" si="1"/>
        <v>9115</v>
      </c>
      <c r="I17" s="10">
        <f t="shared" si="1"/>
        <v>7182</v>
      </c>
      <c r="J17" s="10">
        <f t="shared" si="1"/>
        <v>14081</v>
      </c>
      <c r="K17" s="10">
        <f t="shared" si="1"/>
        <v>9329</v>
      </c>
      <c r="L17" s="10">
        <f t="shared" si="1"/>
        <v>12947</v>
      </c>
      <c r="M17" s="10">
        <f t="shared" si="1"/>
        <v>9350</v>
      </c>
      <c r="N17" s="10">
        <f t="shared" si="1"/>
        <v>7475</v>
      </c>
      <c r="O17" s="10">
        <f t="shared" si="1"/>
        <v>17428</v>
      </c>
      <c r="P17" s="10">
        <f t="shared" si="1"/>
        <v>11474</v>
      </c>
    </row>
    <row r="18" spans="1:16" x14ac:dyDescent="0.3">
      <c r="B18" s="15"/>
      <c r="C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t="s">
        <v>67</v>
      </c>
      <c r="B19" s="15"/>
      <c r="C19" s="10"/>
      <c r="E19" s="10"/>
      <c r="F19" s="12">
        <v>8577.0750988142299</v>
      </c>
      <c r="G19" s="10"/>
      <c r="H19" s="12">
        <v>8285.1239669421484</v>
      </c>
      <c r="I19" s="12">
        <v>7194.8051948051952</v>
      </c>
      <c r="J19" s="10"/>
      <c r="K19" s="12">
        <v>8475.5403868031844</v>
      </c>
      <c r="L19" s="10"/>
      <c r="M19" s="12">
        <v>8495.0495049504952</v>
      </c>
      <c r="N19" s="12">
        <v>6795.9183673469388</v>
      </c>
      <c r="O19" s="12">
        <v>15845.454545454546</v>
      </c>
      <c r="P19" s="10"/>
    </row>
    <row r="20" spans="1:16" x14ac:dyDescent="0.3">
      <c r="A20" t="s">
        <v>68</v>
      </c>
      <c r="B20" s="15"/>
      <c r="C20" s="10"/>
      <c r="E20" s="10"/>
      <c r="F20" s="10">
        <f>MIN(F17,F19)</f>
        <v>8577.0750988142299</v>
      </c>
      <c r="G20" s="10"/>
      <c r="H20" s="10">
        <f>MIN(H17,H19)</f>
        <v>8285.1239669421484</v>
      </c>
      <c r="I20" s="10">
        <f>MIN(I17,I19)</f>
        <v>7182</v>
      </c>
      <c r="J20" s="10"/>
      <c r="K20" s="10">
        <f>MIN(K17,K19)</f>
        <v>8475.5403868031844</v>
      </c>
      <c r="L20" s="10"/>
      <c r="M20" s="10">
        <f>MIN(M17,M19)</f>
        <v>8495.0495049504952</v>
      </c>
      <c r="N20" s="10">
        <f>MIN(N17,N19)</f>
        <v>6795.9183673469388</v>
      </c>
      <c r="O20" s="10">
        <f>MIN(O17,O19)</f>
        <v>15845.454545454546</v>
      </c>
      <c r="P20" s="10"/>
    </row>
    <row r="21" spans="1:16" x14ac:dyDescent="0.3">
      <c r="B21" s="15"/>
      <c r="C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t="s">
        <v>40</v>
      </c>
      <c r="C22" s="13">
        <v>0.15</v>
      </c>
      <c r="E22" s="21">
        <v>0.1</v>
      </c>
      <c r="F22" s="21">
        <v>5.0599999999999999E-2</v>
      </c>
      <c r="G22" s="21">
        <v>0.108</v>
      </c>
      <c r="H22" s="21">
        <v>9.6799999999999997E-2</v>
      </c>
      <c r="I22" s="21">
        <v>7.6999999999999999E-2</v>
      </c>
      <c r="J22" s="21">
        <v>5.8999999999999997E-2</v>
      </c>
      <c r="K22" s="21">
        <v>8.7900000000000006E-2</v>
      </c>
      <c r="L22" s="21">
        <v>0.04</v>
      </c>
      <c r="M22" s="21">
        <v>5.0500000000000003E-2</v>
      </c>
      <c r="N22" s="21">
        <v>9.8000000000000004E-2</v>
      </c>
      <c r="O22" s="21">
        <v>0.11</v>
      </c>
      <c r="P22" s="21">
        <v>6.4000000000000001E-2</v>
      </c>
    </row>
    <row r="23" spans="1:16" x14ac:dyDescent="0.3">
      <c r="A23" t="s">
        <v>116</v>
      </c>
      <c r="C23" s="17">
        <f>C17*C22</f>
        <v>1611.6</v>
      </c>
      <c r="E23" s="17">
        <f>IF($C$11=E13,E17*E22,0)</f>
        <v>0</v>
      </c>
      <c r="F23" s="17">
        <f>IF($C$11=F13,F20*F22,0)</f>
        <v>0</v>
      </c>
      <c r="G23" s="17">
        <f>IF($C$11=G13,G17*G22,0)</f>
        <v>0</v>
      </c>
      <c r="H23" s="17">
        <f>IF($C$11=H13,H20*H22,0)</f>
        <v>0</v>
      </c>
      <c r="I23" s="17">
        <f>IF($C$11=I13,I20*I22,0)</f>
        <v>553.01400000000001</v>
      </c>
      <c r="J23" s="17">
        <f>IF($C$11=J13,J17*J22,0)</f>
        <v>0</v>
      </c>
      <c r="K23" s="17">
        <f>IF($C$11=K13,K20*K22,0)</f>
        <v>0</v>
      </c>
      <c r="L23" s="17">
        <f>IF($C$11=L13,L17*L22,0)</f>
        <v>0</v>
      </c>
      <c r="M23" s="17">
        <f>IF($C$11=M13,M20*M22,0)</f>
        <v>0</v>
      </c>
      <c r="N23" s="17">
        <f>IF($C$11=N13,N20*N22,0)</f>
        <v>0</v>
      </c>
      <c r="O23" s="17">
        <f>IF($C$11=O13,O20*O22,0)</f>
        <v>0</v>
      </c>
      <c r="P23" s="17">
        <f>IF($C$11=P13,P17*P22,0)</f>
        <v>0</v>
      </c>
    </row>
    <row r="25" spans="1:16" x14ac:dyDescent="0.3">
      <c r="A25" t="s">
        <v>1</v>
      </c>
      <c r="C25" s="20">
        <f>C23</f>
        <v>1611.6</v>
      </c>
    </row>
    <row r="26" spans="1:16" x14ac:dyDescent="0.3">
      <c r="A26" t="s">
        <v>55</v>
      </c>
      <c r="C26" s="12">
        <f>HLOOKUP(C11,E13:P23,10,FALSE)</f>
        <v>7.6999999999999999E-2</v>
      </c>
    </row>
    <row r="27" spans="1:16" x14ac:dyDescent="0.3">
      <c r="A27" t="s">
        <v>117</v>
      </c>
      <c r="C27" s="24">
        <f>SUM(C25:C26)</f>
        <v>1611.6769999999999</v>
      </c>
      <c r="I27" s="26"/>
    </row>
  </sheetData>
  <dataValidations disablePrompts="1" count="3">
    <dataValidation type="list" allowBlank="1" showInputMessage="1" showErrorMessage="1" sqref="C11">
      <formula1>$E$4:$P$4</formula1>
    </dataValidation>
    <dataValidation type="list" allowBlank="1" showInputMessage="1" showErrorMessage="1" sqref="C4">
      <formula1>$E$2:$J$2</formula1>
    </dataValidation>
    <dataValidation type="list" allowBlank="1" showInputMessage="1" showErrorMessage="1" sqref="C5">
      <formula1>$E$1:$F$1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0" workbookViewId="0">
      <selection activeCell="F41" sqref="F41"/>
    </sheetView>
  </sheetViews>
  <sheetFormatPr defaultRowHeight="14.4" x14ac:dyDescent="0.3"/>
  <cols>
    <col min="1" max="1" width="20.33203125" customWidth="1"/>
    <col min="2" max="2" width="6.109375" bestFit="1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20</v>
      </c>
      <c r="E1" t="s">
        <v>30</v>
      </c>
      <c r="F1" t="s">
        <v>31</v>
      </c>
    </row>
    <row r="2" spans="1:16" x14ac:dyDescent="0.3"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</row>
    <row r="4" spans="1:16" x14ac:dyDescent="0.3">
      <c r="A4" t="s">
        <v>58</v>
      </c>
      <c r="C4" s="6" t="s">
        <v>60</v>
      </c>
      <c r="E4" s="3" t="s">
        <v>42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54</v>
      </c>
    </row>
    <row r="6" spans="1:16" x14ac:dyDescent="0.3">
      <c r="A6" s="9" t="s">
        <v>57</v>
      </c>
      <c r="C6" s="8" t="str">
        <f>IF(OR(C4="married",C4="common-law"),"Not eligible","Continue Analysis")</f>
        <v>Continue Analysis</v>
      </c>
      <c r="E6" s="31" t="s">
        <v>93</v>
      </c>
    </row>
    <row r="8" spans="1:16" x14ac:dyDescent="0.3">
      <c r="A8" s="14" t="s">
        <v>71</v>
      </c>
    </row>
    <row r="9" spans="1:16" ht="43.2" x14ac:dyDescent="0.3">
      <c r="A9" s="22" t="s">
        <v>72</v>
      </c>
      <c r="C9" s="25" t="s">
        <v>31</v>
      </c>
    </row>
    <row r="11" spans="1:16" ht="43.2" x14ac:dyDescent="0.3">
      <c r="A11" s="22" t="s">
        <v>83</v>
      </c>
      <c r="C11" s="25" t="s">
        <v>31</v>
      </c>
      <c r="D11" s="29" t="s">
        <v>82</v>
      </c>
    </row>
    <row r="13" spans="1:16" ht="43.2" x14ac:dyDescent="0.3">
      <c r="A13" s="22" t="s">
        <v>73</v>
      </c>
      <c r="C13" s="25" t="s">
        <v>30</v>
      </c>
    </row>
    <row r="14" spans="1:16" x14ac:dyDescent="0.3">
      <c r="A14" s="22"/>
    </row>
    <row r="15" spans="1:16" ht="43.2" x14ac:dyDescent="0.3">
      <c r="A15" s="22" t="s">
        <v>74</v>
      </c>
      <c r="C15" s="25" t="s">
        <v>31</v>
      </c>
      <c r="D15" s="29" t="s">
        <v>82</v>
      </c>
    </row>
    <row r="16" spans="1:16" x14ac:dyDescent="0.3">
      <c r="A16" s="22"/>
    </row>
    <row r="17" spans="1:16" ht="57.6" x14ac:dyDescent="0.3">
      <c r="A17" s="22" t="s">
        <v>75</v>
      </c>
      <c r="C17" s="25" t="s">
        <v>30</v>
      </c>
      <c r="D17" s="29" t="s">
        <v>84</v>
      </c>
    </row>
    <row r="19" spans="1:16" x14ac:dyDescent="0.3">
      <c r="A19" s="9" t="s">
        <v>57</v>
      </c>
      <c r="C19" s="8" t="str">
        <f>IF(OR(C9="yes",AND(C13="yes",C15="yes"),AND(C13="yes",C17="yes")),"Eligible","Not eligible")</f>
        <v>Eligible</v>
      </c>
    </row>
    <row r="21" spans="1:16" ht="28.8" x14ac:dyDescent="0.3">
      <c r="A21" s="22" t="s">
        <v>87</v>
      </c>
      <c r="C21" s="6">
        <v>3000</v>
      </c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3" spans="1:16" x14ac:dyDescent="0.3">
      <c r="A23" t="s">
        <v>33</v>
      </c>
      <c r="C23" s="6">
        <v>40000</v>
      </c>
      <c r="D23" s="14" t="s">
        <v>69</v>
      </c>
    </row>
    <row r="24" spans="1:16" x14ac:dyDescent="0.3">
      <c r="A24" t="s">
        <v>43</v>
      </c>
      <c r="C24" s="6" t="s">
        <v>44</v>
      </c>
    </row>
    <row r="26" spans="1:16" x14ac:dyDescent="0.3">
      <c r="C26" s="16" t="s">
        <v>1</v>
      </c>
      <c r="E26" s="16" t="s">
        <v>42</v>
      </c>
      <c r="F26" s="16" t="s">
        <v>44</v>
      </c>
      <c r="G26" s="16" t="s">
        <v>45</v>
      </c>
      <c r="H26" s="16" t="s">
        <v>46</v>
      </c>
      <c r="I26" s="16" t="s">
        <v>47</v>
      </c>
      <c r="J26" s="16" t="s">
        <v>48</v>
      </c>
      <c r="K26" s="16" t="s">
        <v>49</v>
      </c>
      <c r="L26" s="16" t="s">
        <v>50</v>
      </c>
      <c r="M26" s="16" t="s">
        <v>51</v>
      </c>
      <c r="N26" s="16" t="s">
        <v>52</v>
      </c>
      <c r="O26" s="16" t="s">
        <v>53</v>
      </c>
      <c r="P26" s="16" t="s">
        <v>54</v>
      </c>
    </row>
    <row r="27" spans="1:16" x14ac:dyDescent="0.3">
      <c r="A27" t="s">
        <v>81</v>
      </c>
      <c r="C27" s="10">
        <v>11474</v>
      </c>
      <c r="D27" s="30" t="s">
        <v>36</v>
      </c>
      <c r="E27" s="10">
        <v>18451</v>
      </c>
      <c r="F27" s="10">
        <v>9445</v>
      </c>
      <c r="G27" s="10">
        <v>9134</v>
      </c>
      <c r="H27" s="10">
        <v>9115</v>
      </c>
      <c r="I27" s="10">
        <v>7912</v>
      </c>
      <c r="J27" s="10">
        <v>14081</v>
      </c>
      <c r="K27" s="10">
        <v>9329</v>
      </c>
      <c r="L27" s="10">
        <v>12947</v>
      </c>
      <c r="M27" s="10">
        <v>9350</v>
      </c>
      <c r="N27" s="10">
        <v>7475</v>
      </c>
      <c r="O27" s="10">
        <v>17428</v>
      </c>
      <c r="P27" s="10">
        <v>11474</v>
      </c>
    </row>
    <row r="28" spans="1:16" x14ac:dyDescent="0.3">
      <c r="A28" t="s">
        <v>78</v>
      </c>
      <c r="B28">
        <v>2121</v>
      </c>
      <c r="C28" s="10">
        <f>IF(OR($C$11="yes",$C$17="yes"),$B$28,0)</f>
        <v>2121</v>
      </c>
      <c r="D28" s="30" t="s">
        <v>37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>IF(OR($C$11="yes",$C$17="yes"),$B$28,0)</f>
        <v>2121</v>
      </c>
    </row>
    <row r="29" spans="1:16" ht="28.8" x14ac:dyDescent="0.3">
      <c r="A29" s="22" t="s">
        <v>70</v>
      </c>
      <c r="C29" s="23">
        <f>$C$21</f>
        <v>3000</v>
      </c>
      <c r="D29" s="30" t="s">
        <v>79</v>
      </c>
      <c r="E29" s="23">
        <f t="shared" ref="E29:P29" si="0">IF($C$24=E26,$C$21,0)</f>
        <v>0</v>
      </c>
      <c r="F29" s="23">
        <f t="shared" si="0"/>
        <v>3000</v>
      </c>
      <c r="G29" s="23">
        <f t="shared" si="0"/>
        <v>0</v>
      </c>
      <c r="H29" s="23">
        <f t="shared" si="0"/>
        <v>0</v>
      </c>
      <c r="I29" s="23">
        <f t="shared" si="0"/>
        <v>0</v>
      </c>
      <c r="J29" s="23">
        <f t="shared" si="0"/>
        <v>0</v>
      </c>
      <c r="K29" s="23">
        <f t="shared" si="0"/>
        <v>0</v>
      </c>
      <c r="L29" s="23">
        <f t="shared" si="0"/>
        <v>0</v>
      </c>
      <c r="M29" s="23">
        <f t="shared" si="0"/>
        <v>0</v>
      </c>
      <c r="N29" s="23">
        <f t="shared" si="0"/>
        <v>0</v>
      </c>
      <c r="O29" s="23">
        <f t="shared" si="0"/>
        <v>0</v>
      </c>
      <c r="P29" s="23">
        <f t="shared" si="0"/>
        <v>0</v>
      </c>
    </row>
    <row r="30" spans="1:16" x14ac:dyDescent="0.3">
      <c r="A30" t="s">
        <v>38</v>
      </c>
      <c r="C30" s="10">
        <f>C27+C28-C29</f>
        <v>10595</v>
      </c>
      <c r="D30" s="30" t="s">
        <v>80</v>
      </c>
      <c r="E30" s="10">
        <f t="shared" ref="E30:P30" si="1">E27+E28-E29</f>
        <v>18451</v>
      </c>
      <c r="F30" s="10">
        <f t="shared" si="1"/>
        <v>6445</v>
      </c>
      <c r="G30" s="10">
        <f t="shared" si="1"/>
        <v>9134</v>
      </c>
      <c r="H30" s="10">
        <f t="shared" si="1"/>
        <v>9115</v>
      </c>
      <c r="I30" s="10">
        <f t="shared" si="1"/>
        <v>7912</v>
      </c>
      <c r="J30" s="10">
        <f t="shared" si="1"/>
        <v>14081</v>
      </c>
      <c r="K30" s="10">
        <f t="shared" si="1"/>
        <v>9329</v>
      </c>
      <c r="L30" s="10">
        <f t="shared" si="1"/>
        <v>12947</v>
      </c>
      <c r="M30" s="10">
        <f t="shared" si="1"/>
        <v>9350</v>
      </c>
      <c r="N30" s="10">
        <f t="shared" si="1"/>
        <v>7475</v>
      </c>
      <c r="O30" s="10">
        <f t="shared" si="1"/>
        <v>17428</v>
      </c>
      <c r="P30" s="10">
        <f t="shared" si="1"/>
        <v>13595</v>
      </c>
    </row>
    <row r="31" spans="1:16" x14ac:dyDescent="0.3">
      <c r="B31" s="15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">
      <c r="A32" t="s">
        <v>67</v>
      </c>
      <c r="B32" s="15"/>
      <c r="C32" s="10"/>
      <c r="E32" s="10"/>
      <c r="F32" s="12">
        <v>8577.0750988142299</v>
      </c>
      <c r="G32" s="10"/>
      <c r="H32" s="12">
        <v>8285.1239669421484</v>
      </c>
      <c r="I32" s="12">
        <v>7194.8051948051952</v>
      </c>
      <c r="J32" s="10"/>
      <c r="K32" s="12">
        <v>8475.5403868031844</v>
      </c>
      <c r="L32" s="10"/>
      <c r="M32" s="12">
        <v>8495.0495049504952</v>
      </c>
      <c r="N32" s="12">
        <v>6795.9183673469388</v>
      </c>
      <c r="O32" s="12">
        <v>15845.454545454546</v>
      </c>
      <c r="P32" s="10"/>
    </row>
    <row r="33" spans="1:16" x14ac:dyDescent="0.3">
      <c r="A33" t="s">
        <v>68</v>
      </c>
      <c r="B33" s="15"/>
      <c r="C33" s="10"/>
      <c r="E33" s="10"/>
      <c r="F33" s="10">
        <f>MIN(F30,F32)</f>
        <v>6445</v>
      </c>
      <c r="G33" s="10"/>
      <c r="H33" s="10">
        <f>MIN(H30,H32)</f>
        <v>8285.1239669421484</v>
      </c>
      <c r="I33" s="10">
        <f>MIN(I30,I32)</f>
        <v>7194.8051948051952</v>
      </c>
      <c r="J33" s="10"/>
      <c r="K33" s="10">
        <f>MIN(K30,K32)</f>
        <v>8475.5403868031844</v>
      </c>
      <c r="L33" s="10"/>
      <c r="M33" s="10">
        <f>MIN(M30,M32)</f>
        <v>8495.0495049504952</v>
      </c>
      <c r="N33" s="10">
        <f>MIN(N30,N32)</f>
        <v>6795.9183673469388</v>
      </c>
      <c r="O33" s="10">
        <f>MIN(O30,O32)</f>
        <v>15845.454545454546</v>
      </c>
      <c r="P33" s="10"/>
    </row>
    <row r="34" spans="1:16" x14ac:dyDescent="0.3">
      <c r="B34" s="15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">
      <c r="A35" t="s">
        <v>40</v>
      </c>
      <c r="C35" s="13">
        <v>0.15</v>
      </c>
      <c r="E35" s="21">
        <v>0.1</v>
      </c>
      <c r="F35" s="21">
        <v>5.0599999999999999E-2</v>
      </c>
      <c r="G35" s="21">
        <v>0.108</v>
      </c>
      <c r="H35" s="21">
        <v>9.6799999999999997E-2</v>
      </c>
      <c r="I35" s="21">
        <v>7.6999999999999999E-2</v>
      </c>
      <c r="J35" s="21">
        <v>5.8999999999999997E-2</v>
      </c>
      <c r="K35" s="21">
        <v>8.7900000000000006E-2</v>
      </c>
      <c r="L35" s="21">
        <v>0.04</v>
      </c>
      <c r="M35" s="21">
        <v>5.0500000000000003E-2</v>
      </c>
      <c r="N35" s="21">
        <v>9.8000000000000004E-2</v>
      </c>
      <c r="O35" s="21">
        <v>0.11</v>
      </c>
      <c r="P35" s="21">
        <v>6.4000000000000001E-2</v>
      </c>
    </row>
    <row r="36" spans="1:16" x14ac:dyDescent="0.3">
      <c r="A36" t="s">
        <v>20</v>
      </c>
      <c r="C36" s="17">
        <f>C30*C35</f>
        <v>1589.25</v>
      </c>
      <c r="E36" s="17">
        <f>IF($C$24=E26,E30*E35,0)</f>
        <v>0</v>
      </c>
      <c r="F36" s="17">
        <f>IF($C$24=F26,F33*F35,0)</f>
        <v>326.11700000000002</v>
      </c>
      <c r="G36" s="17">
        <f>IF($C$24=G26,G30*G35,0)</f>
        <v>0</v>
      </c>
      <c r="H36" s="17">
        <f>IF($C$24=H26,H33*H35,0)</f>
        <v>0</v>
      </c>
      <c r="I36" s="17">
        <f>IF($C$24=I26,I33*I35,0)</f>
        <v>0</v>
      </c>
      <c r="J36" s="17">
        <f>IF($C$24=J26,J30*J35,0)</f>
        <v>0</v>
      </c>
      <c r="K36" s="17">
        <f>IF($C$24=K26,K33*K35,0)</f>
        <v>0</v>
      </c>
      <c r="L36" s="17">
        <f>IF($C$24=L26,L30*L35,0)</f>
        <v>0</v>
      </c>
      <c r="M36" s="17">
        <f>IF($C$24=M26,M33*M35,0)</f>
        <v>0</v>
      </c>
      <c r="N36" s="17">
        <f>IF($C$24=N26,N33*N35,0)</f>
        <v>0</v>
      </c>
      <c r="O36" s="17">
        <f>IF($C$24=O26,O33*O35,0)</f>
        <v>0</v>
      </c>
      <c r="P36" s="17">
        <f>IF($C$24=P26,P30*P35,0)</f>
        <v>0</v>
      </c>
    </row>
    <row r="38" spans="1:16" x14ac:dyDescent="0.3">
      <c r="A38" t="s">
        <v>1</v>
      </c>
      <c r="C38" s="20">
        <f>C36</f>
        <v>1589.25</v>
      </c>
    </row>
    <row r="39" spans="1:16" x14ac:dyDescent="0.3">
      <c r="A39" t="s">
        <v>55</v>
      </c>
      <c r="C39" s="12">
        <f>HLOOKUP(C24,E26:P36,10,FALSE)</f>
        <v>5.0599999999999999E-2</v>
      </c>
    </row>
    <row r="40" spans="1:16" x14ac:dyDescent="0.3">
      <c r="A40" t="s">
        <v>20</v>
      </c>
      <c r="C40" s="24">
        <f>SUM(C38:C39)</f>
        <v>1589.3006</v>
      </c>
    </row>
  </sheetData>
  <dataValidations disablePrompts="1" count="3">
    <dataValidation type="list" allowBlank="1" showInputMessage="1" showErrorMessage="1" sqref="C4">
      <formula1>$E$2:$J$2</formula1>
    </dataValidation>
    <dataValidation type="list" allowBlank="1" showInputMessage="1" showErrorMessage="1" sqref="C24">
      <formula1>$E$4:$P$4</formula1>
    </dataValidation>
    <dataValidation type="list" allowBlank="1" showInputMessage="1" showErrorMessage="1" sqref="C9 C13 C15 C17 C11">
      <formula1>$E$1:$F$1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22" sqref="E22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127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x14ac:dyDescent="0.3">
      <c r="A3" s="22" t="s">
        <v>128</v>
      </c>
      <c r="C3" s="6">
        <v>1000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51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s="22" t="s">
        <v>67</v>
      </c>
      <c r="B10" s="10"/>
      <c r="C10" s="10">
        <v>2544.3000000000002</v>
      </c>
      <c r="D10" s="30"/>
      <c r="E10" s="10">
        <f>IF($C$6=E8,$C$10,0)</f>
        <v>0</v>
      </c>
      <c r="F10" s="10">
        <f t="shared" ref="F10:P10" si="0">IF($C$6=F8,$C$10,0)</f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0"/>
        <v>2544.3000000000002</v>
      </c>
      <c r="N10" s="10">
        <f t="shared" si="0"/>
        <v>0</v>
      </c>
      <c r="O10" s="10">
        <f t="shared" si="0"/>
        <v>0</v>
      </c>
      <c r="P10" s="10">
        <f t="shared" si="0"/>
        <v>0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B12" s="10"/>
      <c r="C12" s="10">
        <f>MIN($C$3,C10)</f>
        <v>1000</v>
      </c>
      <c r="D12" s="30"/>
      <c r="E12" s="10">
        <f t="shared" ref="E12:P12" si="1">MIN($C$3,E10)</f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1000</v>
      </c>
      <c r="N12" s="10">
        <f t="shared" si="1"/>
        <v>0</v>
      </c>
      <c r="O12" s="10">
        <f t="shared" si="1"/>
        <v>0</v>
      </c>
      <c r="P12" s="10">
        <f t="shared" si="1"/>
        <v>0</v>
      </c>
    </row>
    <row r="13" spans="1:16" x14ac:dyDescent="0.3">
      <c r="B13" s="15"/>
      <c r="C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t="s">
        <v>40</v>
      </c>
      <c r="C14" s="13">
        <v>0.15</v>
      </c>
      <c r="E14" s="21">
        <v>0.1</v>
      </c>
      <c r="F14" s="21">
        <v>5.0599999999999999E-2</v>
      </c>
      <c r="G14" s="21">
        <v>0.108</v>
      </c>
      <c r="H14" s="21">
        <v>9.6799999999999997E-2</v>
      </c>
      <c r="I14" s="21">
        <v>7.6999999999999999E-2</v>
      </c>
      <c r="J14" s="21">
        <v>5.8999999999999997E-2</v>
      </c>
      <c r="K14" s="21">
        <v>8.7900000000000006E-2</v>
      </c>
      <c r="L14" s="21">
        <v>0.04</v>
      </c>
      <c r="M14" s="21">
        <v>5.0500000000000003E-2</v>
      </c>
      <c r="N14" s="21">
        <v>9.8000000000000004E-2</v>
      </c>
      <c r="O14" s="21">
        <v>0.11</v>
      </c>
      <c r="P14" s="21">
        <v>6.4000000000000001E-2</v>
      </c>
    </row>
    <row r="15" spans="1:16" x14ac:dyDescent="0.3">
      <c r="A15" t="s">
        <v>127</v>
      </c>
      <c r="C15" s="17">
        <f>C12*C14</f>
        <v>150</v>
      </c>
      <c r="E15" s="17">
        <f t="shared" ref="E15:P15" si="2">E12*E14</f>
        <v>0</v>
      </c>
      <c r="F15" s="17">
        <f t="shared" si="2"/>
        <v>0</v>
      </c>
      <c r="G15" s="17">
        <f t="shared" si="2"/>
        <v>0</v>
      </c>
      <c r="H15" s="17">
        <f t="shared" si="2"/>
        <v>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50.5</v>
      </c>
      <c r="N15" s="17">
        <f t="shared" si="2"/>
        <v>0</v>
      </c>
      <c r="O15" s="17">
        <f t="shared" si="2"/>
        <v>0</v>
      </c>
      <c r="P15" s="17">
        <f t="shared" si="2"/>
        <v>0</v>
      </c>
    </row>
    <row r="17" spans="1:16" x14ac:dyDescent="0.3">
      <c r="A17" t="s">
        <v>1</v>
      </c>
      <c r="C17" s="20">
        <f>C15</f>
        <v>150</v>
      </c>
    </row>
    <row r="18" spans="1:16" x14ac:dyDescent="0.3">
      <c r="A18" t="s">
        <v>55</v>
      </c>
      <c r="C18" s="12">
        <f>HLOOKUP(C6,E8:P15,8,FALSE)</f>
        <v>50.5</v>
      </c>
    </row>
    <row r="19" spans="1:16" x14ac:dyDescent="0.3">
      <c r="A19" t="s">
        <v>130</v>
      </c>
      <c r="C19" s="24">
        <f>SUM(C17:C18)</f>
        <v>200.5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</sheetData>
  <dataValidations disablePrompts="1" count="1">
    <dataValidation type="list" allowBlank="1" showInputMessage="1" showErrorMessage="1" sqref="C6">
      <formula1>$E$2:$P$2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I20" sqref="I20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131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x14ac:dyDescent="0.3">
      <c r="A3" s="22" t="s">
        <v>132</v>
      </c>
      <c r="C3" s="6">
        <v>1000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48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s="22" t="s">
        <v>67</v>
      </c>
      <c r="B10" s="10"/>
      <c r="C10" s="10">
        <v>955.04</v>
      </c>
      <c r="D10" s="30"/>
      <c r="E10" s="10">
        <f>IF($C$6=E8,$C$10,0)</f>
        <v>0</v>
      </c>
      <c r="F10" s="10">
        <f t="shared" ref="F10:P10" si="0">IF($C$6=F8,$C$10,0)</f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955.04</v>
      </c>
      <c r="K10" s="10">
        <f t="shared" si="0"/>
        <v>0</v>
      </c>
      <c r="L10" s="10">
        <f t="shared" si="0"/>
        <v>0</v>
      </c>
      <c r="M10" s="10">
        <f t="shared" si="0"/>
        <v>0</v>
      </c>
      <c r="N10" s="10">
        <f t="shared" si="0"/>
        <v>0</v>
      </c>
      <c r="O10" s="10">
        <f t="shared" si="0"/>
        <v>0</v>
      </c>
      <c r="P10" s="10">
        <f t="shared" si="0"/>
        <v>0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B12" s="10"/>
      <c r="C12" s="10">
        <f>MIN($C$3,C10)</f>
        <v>955.04</v>
      </c>
      <c r="D12" s="30"/>
      <c r="E12" s="10">
        <f t="shared" ref="E12:P12" si="1">MIN($C$3,E10)</f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955.04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0">
        <f t="shared" si="1"/>
        <v>0</v>
      </c>
      <c r="O12" s="10">
        <f t="shared" si="1"/>
        <v>0</v>
      </c>
      <c r="P12" s="10">
        <f t="shared" si="1"/>
        <v>0</v>
      </c>
    </row>
    <row r="13" spans="1:16" x14ac:dyDescent="0.3">
      <c r="B13" s="15"/>
      <c r="C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t="s">
        <v>40</v>
      </c>
      <c r="C14" s="13">
        <v>0.15</v>
      </c>
      <c r="E14" s="21">
        <v>0.1</v>
      </c>
      <c r="F14" s="21">
        <v>5.0599999999999999E-2</v>
      </c>
      <c r="G14" s="21">
        <v>0.108</v>
      </c>
      <c r="H14" s="21">
        <v>9.6799999999999997E-2</v>
      </c>
      <c r="I14" s="21">
        <v>7.6999999999999999E-2</v>
      </c>
      <c r="J14" s="21">
        <v>5.8999999999999997E-2</v>
      </c>
      <c r="K14" s="21">
        <v>8.7900000000000006E-2</v>
      </c>
      <c r="L14" s="21">
        <v>0.04</v>
      </c>
      <c r="M14" s="21">
        <v>5.0500000000000003E-2</v>
      </c>
      <c r="N14" s="21">
        <v>9.8000000000000004E-2</v>
      </c>
      <c r="O14" s="21">
        <v>0.11</v>
      </c>
      <c r="P14" s="21">
        <v>6.4000000000000001E-2</v>
      </c>
    </row>
    <row r="15" spans="1:16" x14ac:dyDescent="0.3">
      <c r="A15" t="s">
        <v>131</v>
      </c>
      <c r="C15" s="17">
        <f>C12*C14</f>
        <v>143.256</v>
      </c>
      <c r="E15" s="17">
        <f t="shared" ref="E15:P15" si="2">E12*E14</f>
        <v>0</v>
      </c>
      <c r="F15" s="17">
        <f t="shared" si="2"/>
        <v>0</v>
      </c>
      <c r="G15" s="17">
        <f t="shared" si="2"/>
        <v>0</v>
      </c>
      <c r="H15" s="17">
        <f t="shared" si="2"/>
        <v>0</v>
      </c>
      <c r="I15" s="17">
        <f t="shared" si="2"/>
        <v>0</v>
      </c>
      <c r="J15" s="17">
        <f t="shared" si="2"/>
        <v>56.347359999999995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7">
        <f t="shared" si="2"/>
        <v>0</v>
      </c>
    </row>
    <row r="17" spans="1:16" x14ac:dyDescent="0.3">
      <c r="A17" t="s">
        <v>1</v>
      </c>
      <c r="C17" s="20">
        <f>C15</f>
        <v>143.256</v>
      </c>
    </row>
    <row r="18" spans="1:16" x14ac:dyDescent="0.3">
      <c r="A18" t="s">
        <v>55</v>
      </c>
      <c r="C18" s="12">
        <f>HLOOKUP(C6,E8:P15,8,FALSE)</f>
        <v>56.347359999999995</v>
      </c>
    </row>
    <row r="19" spans="1:16" x14ac:dyDescent="0.3">
      <c r="A19" t="s">
        <v>133</v>
      </c>
      <c r="C19" s="24">
        <f>SUM(C17:C18)</f>
        <v>199.60336000000001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</sheetData>
  <dataValidations disablePrompts="1" count="1">
    <dataValidation type="list" allowBlank="1" showInputMessage="1" showErrorMessage="1" sqref="C6">
      <formula1>$E$2:$P$2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G16" sqref="G16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134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135</v>
      </c>
      <c r="C3" s="6" t="s">
        <v>30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E4" s="31" t="s">
        <v>137</v>
      </c>
    </row>
    <row r="5" spans="1:16" ht="43.2" x14ac:dyDescent="0.3">
      <c r="A5" s="22" t="s">
        <v>136</v>
      </c>
      <c r="C5" s="6" t="s">
        <v>30</v>
      </c>
      <c r="D5" s="1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7" spans="1:16" x14ac:dyDescent="0.3">
      <c r="A7" s="9" t="s">
        <v>57</v>
      </c>
      <c r="C7" s="8" t="str">
        <f>IF(OR(C3="yes",C5="yes"),"Eligible","Not eligible")</f>
        <v>Eligible</v>
      </c>
    </row>
    <row r="9" spans="1:16" x14ac:dyDescent="0.3">
      <c r="A9" t="s">
        <v>96</v>
      </c>
      <c r="C9" s="6">
        <v>40000</v>
      </c>
      <c r="D9" s="29" t="s">
        <v>125</v>
      </c>
    </row>
    <row r="10" spans="1:16" x14ac:dyDescent="0.3">
      <c r="A10" t="s">
        <v>43</v>
      </c>
      <c r="C10" s="6" t="s">
        <v>52</v>
      </c>
    </row>
    <row r="11" spans="1:16" x14ac:dyDescent="0.3">
      <c r="K11" t="s">
        <v>139</v>
      </c>
      <c r="L11" t="s">
        <v>139</v>
      </c>
      <c r="N11" t="s">
        <v>139</v>
      </c>
    </row>
    <row r="12" spans="1:16" x14ac:dyDescent="0.3">
      <c r="C12" s="16" t="s">
        <v>1</v>
      </c>
      <c r="E12" s="16" t="s">
        <v>42</v>
      </c>
      <c r="F12" s="16" t="s">
        <v>44</v>
      </c>
      <c r="G12" s="16" t="s">
        <v>45</v>
      </c>
      <c r="H12" s="16" t="s">
        <v>46</v>
      </c>
      <c r="I12" s="16" t="s">
        <v>47</v>
      </c>
      <c r="J12" s="16" t="s">
        <v>48</v>
      </c>
      <c r="K12" s="16" t="s">
        <v>49</v>
      </c>
      <c r="L12" s="16" t="s">
        <v>50</v>
      </c>
      <c r="M12" s="16" t="s">
        <v>51</v>
      </c>
      <c r="N12" s="16" t="s">
        <v>52</v>
      </c>
      <c r="O12" s="16" t="s">
        <v>53</v>
      </c>
      <c r="P12" s="16" t="s">
        <v>54</v>
      </c>
    </row>
    <row r="14" spans="1:16" x14ac:dyDescent="0.3">
      <c r="A14" t="s">
        <v>138</v>
      </c>
      <c r="B14" s="10"/>
      <c r="C14" s="10">
        <v>3000</v>
      </c>
      <c r="D14" s="30"/>
      <c r="E14" s="10">
        <v>0</v>
      </c>
      <c r="F14" s="10">
        <v>0</v>
      </c>
      <c r="G14" s="10">
        <f>IF($C$7="eligible",IF($C$10=G12,$C$14,0),0)</f>
        <v>0</v>
      </c>
      <c r="H14" s="10">
        <v>0</v>
      </c>
      <c r="I14" s="10">
        <f>IF($C$3="yes",IF($C$10=I12,$C$14,0),0)</f>
        <v>0</v>
      </c>
      <c r="J14" s="10">
        <v>0</v>
      </c>
      <c r="K14" s="10">
        <v>0</v>
      </c>
      <c r="L14" s="10">
        <v>0</v>
      </c>
      <c r="M14" s="10">
        <v>0</v>
      </c>
      <c r="N14" s="10">
        <f>IF($C$3="yes",IF($C$10=N12,$C$14,0),0)</f>
        <v>3000</v>
      </c>
      <c r="O14" s="10">
        <v>0</v>
      </c>
      <c r="P14" s="10">
        <v>0</v>
      </c>
    </row>
    <row r="15" spans="1:16" x14ac:dyDescent="0.3">
      <c r="A15" t="s">
        <v>40</v>
      </c>
      <c r="C15" s="13">
        <v>0.15</v>
      </c>
      <c r="E15" s="21">
        <v>0.1</v>
      </c>
      <c r="F15" s="21">
        <v>5.0599999999999999E-2</v>
      </c>
      <c r="G15" s="21">
        <v>0.108</v>
      </c>
      <c r="H15" s="21">
        <v>9.6799999999999997E-2</v>
      </c>
      <c r="I15" s="21">
        <v>7.6999999999999999E-2</v>
      </c>
      <c r="J15" s="21">
        <v>5.8999999999999997E-2</v>
      </c>
      <c r="K15" s="21">
        <v>8.7900000000000006E-2</v>
      </c>
      <c r="L15" s="21">
        <v>0.04</v>
      </c>
      <c r="M15" s="21">
        <v>5.0500000000000003E-2</v>
      </c>
      <c r="N15" s="21">
        <v>9.8000000000000004E-2</v>
      </c>
      <c r="O15" s="21">
        <v>0.11</v>
      </c>
      <c r="P15" s="21">
        <v>6.4000000000000001E-2</v>
      </c>
    </row>
    <row r="16" spans="1:16" x14ac:dyDescent="0.3">
      <c r="B16" s="15"/>
      <c r="C16" s="10">
        <f>C14*C15</f>
        <v>450</v>
      </c>
      <c r="E16" s="10">
        <f t="shared" ref="E16:P16" si="0">E14*E15</f>
        <v>0</v>
      </c>
      <c r="F16" s="10">
        <f t="shared" si="0"/>
        <v>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294</v>
      </c>
      <c r="O16" s="10">
        <f t="shared" si="0"/>
        <v>0</v>
      </c>
      <c r="P16" s="10">
        <f t="shared" si="0"/>
        <v>0</v>
      </c>
    </row>
    <row r="17" spans="1:16" x14ac:dyDescent="0.3">
      <c r="B17" s="15"/>
      <c r="C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t="s">
        <v>140</v>
      </c>
      <c r="B18" s="15"/>
      <c r="C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f>IF($C$7="eligible",IF($C$10=K12,500,0),0)</f>
        <v>0</v>
      </c>
      <c r="L18" s="10">
        <f>IF($C$3="yes",IF($C$10=L12,500,0),0)</f>
        <v>0</v>
      </c>
      <c r="M18" s="10"/>
      <c r="N18" s="10"/>
      <c r="O18" s="10"/>
      <c r="P18" s="10"/>
    </row>
    <row r="19" spans="1:16" x14ac:dyDescent="0.3">
      <c r="C19" s="13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3">
      <c r="A20" t="s">
        <v>134</v>
      </c>
      <c r="C20" s="17">
        <f>C16+C18</f>
        <v>450</v>
      </c>
      <c r="E20" s="17">
        <f t="shared" ref="E20:P20" si="1">E16+E18</f>
        <v>0</v>
      </c>
      <c r="F20" s="17">
        <f t="shared" si="1"/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294</v>
      </c>
      <c r="O20" s="17">
        <f t="shared" si="1"/>
        <v>0</v>
      </c>
      <c r="P20" s="17">
        <f t="shared" si="1"/>
        <v>0</v>
      </c>
    </row>
    <row r="22" spans="1:16" x14ac:dyDescent="0.3">
      <c r="A22" t="s">
        <v>1</v>
      </c>
      <c r="C22" s="20">
        <f>C20</f>
        <v>450</v>
      </c>
    </row>
    <row r="23" spans="1:16" x14ac:dyDescent="0.3">
      <c r="A23" t="s">
        <v>55</v>
      </c>
      <c r="C23" s="12">
        <f>HLOOKUP(C10,E12:P20,9,FALSE)</f>
        <v>294</v>
      </c>
    </row>
    <row r="24" spans="1:16" x14ac:dyDescent="0.3">
      <c r="A24" t="s">
        <v>129</v>
      </c>
      <c r="C24" s="24">
        <f>SUM(C22:C23)</f>
        <v>744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</sheetData>
  <dataValidations count="2">
    <dataValidation type="list" allowBlank="1" showInputMessage="1" showErrorMessage="1" sqref="C10">
      <formula1>$E$2:$P$2</formula1>
    </dataValidation>
    <dataValidation type="list" allowBlank="1" showInputMessage="1" showErrorMessage="1" sqref="C3 C5">
      <formula1>$E$1:$F$1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10" sqref="C10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3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x14ac:dyDescent="0.3">
      <c r="A3" s="22" t="s">
        <v>141</v>
      </c>
      <c r="C3" s="6">
        <v>1000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A5" t="s">
        <v>96</v>
      </c>
      <c r="C5" s="6">
        <v>40000</v>
      </c>
      <c r="D5" s="29" t="s">
        <v>125</v>
      </c>
    </row>
    <row r="6" spans="1:16" x14ac:dyDescent="0.3">
      <c r="A6" t="s">
        <v>43</v>
      </c>
      <c r="C6" s="6" t="s">
        <v>54</v>
      </c>
    </row>
    <row r="8" spans="1:16" x14ac:dyDescent="0.3">
      <c r="C8" s="16" t="s">
        <v>1</v>
      </c>
      <c r="E8" s="16" t="s">
        <v>42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6" t="s">
        <v>50</v>
      </c>
      <c r="M8" s="16" t="s">
        <v>51</v>
      </c>
      <c r="N8" s="16" t="s">
        <v>52</v>
      </c>
      <c r="O8" s="16" t="s">
        <v>53</v>
      </c>
      <c r="P8" s="16" t="s">
        <v>54</v>
      </c>
    </row>
    <row r="10" spans="1:16" x14ac:dyDescent="0.3">
      <c r="A10" s="22" t="s">
        <v>67</v>
      </c>
      <c r="B10" s="10"/>
      <c r="C10" s="10">
        <v>1161</v>
      </c>
      <c r="D10" s="30"/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f t="shared" ref="P10" si="0">IF($C$6=P8,$C$10,0)</f>
        <v>1161</v>
      </c>
    </row>
    <row r="11" spans="1:16" x14ac:dyDescent="0.3">
      <c r="B11" s="10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B12" s="10"/>
      <c r="C12" s="10">
        <f>MIN($C$3,C10)</f>
        <v>1000</v>
      </c>
      <c r="D12" s="30"/>
      <c r="E12" s="10">
        <f t="shared" ref="E12:P12" si="1">MIN($C$3,E10)</f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0">
        <f t="shared" si="1"/>
        <v>0</v>
      </c>
      <c r="O12" s="10">
        <f t="shared" si="1"/>
        <v>0</v>
      </c>
      <c r="P12" s="10">
        <f t="shared" si="1"/>
        <v>1000</v>
      </c>
    </row>
    <row r="13" spans="1:16" x14ac:dyDescent="0.3">
      <c r="B13" s="15"/>
      <c r="C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t="s">
        <v>40</v>
      </c>
      <c r="C14" s="13">
        <v>0.15</v>
      </c>
      <c r="E14" s="21">
        <v>0.1</v>
      </c>
      <c r="F14" s="21">
        <v>5.0599999999999999E-2</v>
      </c>
      <c r="G14" s="21">
        <v>0.108</v>
      </c>
      <c r="H14" s="21">
        <v>9.6799999999999997E-2</v>
      </c>
      <c r="I14" s="21">
        <v>7.6999999999999999E-2</v>
      </c>
      <c r="J14" s="21">
        <v>5.8999999999999997E-2</v>
      </c>
      <c r="K14" s="21">
        <v>8.7900000000000006E-2</v>
      </c>
      <c r="L14" s="21">
        <v>0.04</v>
      </c>
      <c r="M14" s="21">
        <v>5.0500000000000003E-2</v>
      </c>
      <c r="N14" s="21">
        <v>9.8000000000000004E-2</v>
      </c>
      <c r="O14" s="21">
        <v>0.11</v>
      </c>
      <c r="P14" s="21">
        <v>6.4000000000000001E-2</v>
      </c>
    </row>
    <row r="15" spans="1:16" x14ac:dyDescent="0.3">
      <c r="A15" t="s">
        <v>3</v>
      </c>
      <c r="C15" s="17">
        <f>C12*C14</f>
        <v>150</v>
      </c>
      <c r="E15" s="17">
        <f>E12*E14</f>
        <v>0</v>
      </c>
      <c r="F15" s="17">
        <f t="shared" ref="F15:P15" si="2">F12*F14</f>
        <v>0</v>
      </c>
      <c r="G15" s="17">
        <f t="shared" si="2"/>
        <v>0</v>
      </c>
      <c r="H15" s="17">
        <f t="shared" si="2"/>
        <v>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7">
        <f t="shared" si="2"/>
        <v>64</v>
      </c>
    </row>
    <row r="17" spans="1:16" x14ac:dyDescent="0.3">
      <c r="A17" t="s">
        <v>1</v>
      </c>
      <c r="C17" s="20">
        <f>C15</f>
        <v>150</v>
      </c>
    </row>
    <row r="18" spans="1:16" x14ac:dyDescent="0.3">
      <c r="A18" t="s">
        <v>55</v>
      </c>
      <c r="C18" s="12">
        <f>HLOOKUP(C6,E8:P15,8,FALSE)</f>
        <v>64</v>
      </c>
    </row>
    <row r="19" spans="1:16" x14ac:dyDescent="0.3">
      <c r="A19" t="s">
        <v>130</v>
      </c>
      <c r="C19" s="24">
        <f>SUM(C17:C18)</f>
        <v>214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</sheetData>
  <dataValidations disablePrompts="1" count="1">
    <dataValidation type="list" allowBlank="1" showInputMessage="1" showErrorMessage="1" sqref="C6">
      <formula1>$E$2:$P$2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20" sqref="G20"/>
    </sheetView>
  </sheetViews>
  <sheetFormatPr defaultRowHeight="14.4" x14ac:dyDescent="0.3"/>
  <cols>
    <col min="1" max="1" width="22.77734375" customWidth="1"/>
    <col min="2" max="2" width="7.77734375" customWidth="1"/>
    <col min="3" max="3" width="10.33203125" bestFit="1" customWidth="1"/>
    <col min="5" max="5" width="7.77734375" bestFit="1" customWidth="1"/>
    <col min="6" max="6" width="14.33203125" bestFit="1" customWidth="1"/>
    <col min="7" max="7" width="8.88671875" bestFit="1" customWidth="1"/>
    <col min="8" max="8" width="13.5546875" bestFit="1" customWidth="1"/>
    <col min="9" max="9" width="22.88671875" bestFit="1" customWidth="1"/>
    <col min="10" max="10" width="18.77734375" bestFit="1" customWidth="1"/>
    <col min="11" max="11" width="10.77734375" bestFit="1" customWidth="1"/>
    <col min="12" max="12" width="7.88671875" bestFit="1" customWidth="1"/>
    <col min="13" max="13" width="7.77734375" bestFit="1" customWidth="1"/>
    <col min="14" max="14" width="18" bestFit="1" customWidth="1"/>
    <col min="15" max="15" width="12.5546875" bestFit="1" customWidth="1"/>
    <col min="16" max="16" width="7.77734375" bestFit="1" customWidth="1"/>
  </cols>
  <sheetData>
    <row r="1" spans="1:16" x14ac:dyDescent="0.3">
      <c r="A1" s="7" t="s">
        <v>4</v>
      </c>
      <c r="E1" t="s">
        <v>30</v>
      </c>
      <c r="F1" t="s">
        <v>31</v>
      </c>
    </row>
    <row r="2" spans="1:16" x14ac:dyDescent="0.3">
      <c r="E2" s="3" t="s">
        <v>42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</row>
    <row r="3" spans="1:16" ht="28.8" x14ac:dyDescent="0.3">
      <c r="A3" s="22" t="s">
        <v>143</v>
      </c>
      <c r="C3" s="6">
        <v>1000</v>
      </c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ht="57.6" x14ac:dyDescent="0.3">
      <c r="A5" s="22" t="s">
        <v>144</v>
      </c>
      <c r="C5" s="6">
        <v>200</v>
      </c>
      <c r="D5" s="29"/>
    </row>
    <row r="6" spans="1:16" s="39" customFormat="1" x14ac:dyDescent="0.3">
      <c r="A6" s="38"/>
      <c r="D6" s="40"/>
    </row>
    <row r="7" spans="1:16" x14ac:dyDescent="0.3">
      <c r="A7" s="22" t="s">
        <v>96</v>
      </c>
      <c r="C7" s="6">
        <v>40000</v>
      </c>
      <c r="D7" s="29" t="s">
        <v>125</v>
      </c>
    </row>
    <row r="8" spans="1:16" x14ac:dyDescent="0.3">
      <c r="A8" t="s">
        <v>43</v>
      </c>
      <c r="C8" s="6" t="s">
        <v>49</v>
      </c>
    </row>
    <row r="10" spans="1:16" x14ac:dyDescent="0.3">
      <c r="C10" s="16" t="s">
        <v>1</v>
      </c>
      <c r="E10" s="16" t="s">
        <v>42</v>
      </c>
      <c r="F10" s="16" t="s">
        <v>44</v>
      </c>
      <c r="G10" s="16" t="s">
        <v>45</v>
      </c>
      <c r="H10" s="16" t="s">
        <v>46</v>
      </c>
      <c r="I10" s="16" t="s">
        <v>47</v>
      </c>
      <c r="J10" s="16" t="s">
        <v>48</v>
      </c>
      <c r="K10" s="16" t="s">
        <v>49</v>
      </c>
      <c r="L10" s="16" t="s">
        <v>50</v>
      </c>
      <c r="M10" s="16" t="s">
        <v>51</v>
      </c>
      <c r="N10" s="16" t="s">
        <v>52</v>
      </c>
      <c r="O10" s="16" t="s">
        <v>53</v>
      </c>
      <c r="P10" s="16" t="s">
        <v>54</v>
      </c>
    </row>
    <row r="12" spans="1:16" x14ac:dyDescent="0.3">
      <c r="A12" s="22" t="s">
        <v>142</v>
      </c>
      <c r="B12" s="10"/>
      <c r="C12" s="10">
        <f>$C$3+$C$5</f>
        <v>1200</v>
      </c>
      <c r="D12" s="30"/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f>IF($C$8=P10,$C$3+$C$5,0)</f>
        <v>0</v>
      </c>
    </row>
    <row r="13" spans="1:16" x14ac:dyDescent="0.3">
      <c r="B13" s="10"/>
      <c r="C13" s="10"/>
      <c r="D13" s="3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t="s">
        <v>40</v>
      </c>
      <c r="C14" s="13">
        <v>0.15</v>
      </c>
      <c r="E14" s="21">
        <v>0.1</v>
      </c>
      <c r="F14" s="21">
        <v>5.0599999999999999E-2</v>
      </c>
      <c r="G14" s="21">
        <v>0.108</v>
      </c>
      <c r="H14" s="21">
        <v>9.6799999999999997E-2</v>
      </c>
      <c r="I14" s="21">
        <v>7.6999999999999999E-2</v>
      </c>
      <c r="J14" s="21">
        <v>5.8999999999999997E-2</v>
      </c>
      <c r="K14" s="21">
        <v>8.7900000000000006E-2</v>
      </c>
      <c r="L14" s="21">
        <v>0.04</v>
      </c>
      <c r="M14" s="21">
        <v>5.0500000000000003E-2</v>
      </c>
      <c r="N14" s="21">
        <v>9.8000000000000004E-2</v>
      </c>
      <c r="O14" s="21">
        <v>0.11</v>
      </c>
      <c r="P14" s="21">
        <v>6.4000000000000001E-2</v>
      </c>
    </row>
    <row r="15" spans="1:16" x14ac:dyDescent="0.3">
      <c r="A15" t="s">
        <v>3</v>
      </c>
      <c r="C15" s="17">
        <f>C12*C14</f>
        <v>180</v>
      </c>
      <c r="E15" s="17">
        <f t="shared" ref="E15:P15" si="0">E12*E14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  <c r="K15" s="17">
        <f t="shared" si="0"/>
        <v>0</v>
      </c>
      <c r="L15" s="17">
        <f t="shared" si="0"/>
        <v>0</v>
      </c>
      <c r="M15" s="17">
        <f t="shared" si="0"/>
        <v>0</v>
      </c>
      <c r="N15" s="17">
        <f t="shared" si="0"/>
        <v>0</v>
      </c>
      <c r="O15" s="17">
        <f t="shared" si="0"/>
        <v>0</v>
      </c>
      <c r="P15" s="17">
        <f t="shared" si="0"/>
        <v>0</v>
      </c>
    </row>
    <row r="17" spans="1:16" x14ac:dyDescent="0.3">
      <c r="A17" t="s">
        <v>1</v>
      </c>
      <c r="C17" s="20">
        <f>C15</f>
        <v>180</v>
      </c>
    </row>
    <row r="18" spans="1:16" x14ac:dyDescent="0.3">
      <c r="A18" t="s">
        <v>55</v>
      </c>
      <c r="C18" s="12">
        <f>HLOOKUP(C8,E10:P15,6,FALSE)</f>
        <v>0</v>
      </c>
    </row>
    <row r="19" spans="1:16" x14ac:dyDescent="0.3">
      <c r="A19" t="s">
        <v>130</v>
      </c>
      <c r="C19" s="24">
        <f>SUM(C17:C18)</f>
        <v>180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</sheetData>
  <dataValidations disablePrompts="1" count="1">
    <dataValidation type="list" allowBlank="1" showInputMessage="1" showErrorMessage="1" sqref="C8">
      <formula1>$E$2:$P$2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Age</vt:lpstr>
      <vt:lpstr>Spousal or common-law</vt:lpstr>
      <vt:lpstr>Eligible dependant</vt:lpstr>
      <vt:lpstr>CPP</vt:lpstr>
      <vt:lpstr>EI</vt:lpstr>
      <vt:lpstr>Volunteer firefighter</vt:lpstr>
      <vt:lpstr>Canada employment</vt:lpstr>
      <vt:lpstr>Public transit</vt:lpstr>
      <vt:lpstr>Home buyers</vt:lpstr>
      <vt:lpstr>Adoption</vt:lpstr>
      <vt:lpstr>Pension</vt:lpstr>
      <vt:lpstr>Caregiver</vt:lpstr>
      <vt:lpstr>Disability</vt:lpstr>
      <vt:lpstr>Student loan interest</vt:lpstr>
      <vt:lpstr>Tuition credit</vt:lpstr>
      <vt:lpstr>Medical expense</vt:lpstr>
      <vt:lpstr>Donation</vt:lpstr>
      <vt:lpstr>Federal political contribution</vt:lpstr>
      <vt:lpstr>Prov,Ter political contribution</vt:lpstr>
      <vt:lpstr>Education coaching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Chong</dc:creator>
  <cp:lastModifiedBy>William Chong</cp:lastModifiedBy>
  <dcterms:created xsi:type="dcterms:W3CDTF">2016-10-18T21:45:07Z</dcterms:created>
  <dcterms:modified xsi:type="dcterms:W3CDTF">2016-10-26T19:52:15Z</dcterms:modified>
</cp:coreProperties>
</file>