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Northwest Territories\"/>
    </mc:Choice>
  </mc:AlternateContent>
  <bookViews>
    <workbookView xWindow="0" yWindow="0" windowWidth="24000" windowHeight="9132" activeTab="4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7" l="1"/>
  <c r="B30" i="27"/>
  <c r="B29" i="27"/>
  <c r="B22" i="27"/>
  <c r="B21" i="27"/>
  <c r="B20" i="27"/>
  <c r="B19" i="27"/>
  <c r="B31" i="24"/>
  <c r="B30" i="24"/>
  <c r="B29" i="24"/>
  <c r="B22" i="24"/>
  <c r="B21" i="24"/>
  <c r="B20" i="24"/>
  <c r="B19" i="24"/>
  <c r="B35" i="19"/>
  <c r="B34" i="19"/>
  <c r="B33" i="19"/>
  <c r="B26" i="19"/>
  <c r="B25" i="19"/>
  <c r="B24" i="19"/>
  <c r="B23" i="19"/>
  <c r="B31" i="3" l="1"/>
  <c r="B30" i="3"/>
  <c r="B29" i="3"/>
  <c r="B22" i="3"/>
  <c r="B21" i="3"/>
  <c r="B20" i="3"/>
  <c r="B19" i="3"/>
  <c r="B81" i="27" l="1"/>
  <c r="B115" i="24"/>
  <c r="B71" i="3"/>
  <c r="B72" i="1"/>
  <c r="B72" i="27" l="1"/>
  <c r="B71" i="27"/>
  <c r="B80" i="27" s="1"/>
  <c r="B70" i="27"/>
  <c r="B69" i="27"/>
  <c r="B75" i="27" s="1"/>
  <c r="E50" i="27"/>
  <c r="E49" i="27"/>
  <c r="E48" i="27"/>
  <c r="F48" i="27" s="1"/>
  <c r="B62" i="27"/>
  <c r="B63" i="27" s="1"/>
  <c r="B74" i="27" s="1"/>
  <c r="B82" i="27" s="1"/>
  <c r="B61" i="27"/>
  <c r="A50" i="27"/>
  <c r="A49" i="27"/>
  <c r="F49" i="27" s="1"/>
  <c r="E40" i="27"/>
  <c r="F40" i="27" s="1"/>
  <c r="A40" i="27"/>
  <c r="A39" i="27"/>
  <c r="E39" i="27" s="1"/>
  <c r="F39" i="27" s="1"/>
  <c r="E38" i="27"/>
  <c r="F38" i="27" s="1"/>
  <c r="F50" i="27" l="1"/>
  <c r="B79" i="27"/>
  <c r="F41" i="27"/>
  <c r="F42" i="27" s="1"/>
  <c r="F51" i="27"/>
  <c r="F52" i="27" s="1"/>
  <c r="F54" i="27" l="1"/>
  <c r="B73" i="27" s="1"/>
  <c r="B83" i="27" l="1"/>
  <c r="E51" i="1"/>
  <c r="E50" i="1"/>
  <c r="E49" i="1"/>
  <c r="B108" i="24"/>
  <c r="A51" i="1"/>
  <c r="F51" i="1" s="1"/>
  <c r="A50" i="1"/>
  <c r="F50" i="1" s="1"/>
  <c r="F49" i="1"/>
  <c r="A41" i="1"/>
  <c r="E41" i="1" s="1"/>
  <c r="F41" i="1" s="1"/>
  <c r="E40" i="1"/>
  <c r="F40" i="1" s="1"/>
  <c r="A40" i="1"/>
  <c r="E39" i="1"/>
  <c r="F39" i="1" s="1"/>
  <c r="E50" i="24"/>
  <c r="E49" i="24"/>
  <c r="F49" i="24" s="1"/>
  <c r="E48" i="24"/>
  <c r="F48" i="24"/>
  <c r="E38" i="24"/>
  <c r="F38" i="24" s="1"/>
  <c r="A50" i="24"/>
  <c r="A49" i="24"/>
  <c r="A40" i="24"/>
  <c r="E40" i="24" s="1"/>
  <c r="A39" i="24"/>
  <c r="E44" i="19"/>
  <c r="E42" i="19"/>
  <c r="A54" i="19"/>
  <c r="A53" i="19"/>
  <c r="A44" i="19"/>
  <c r="A43" i="19"/>
  <c r="E43" i="19" s="1"/>
  <c r="F43" i="19" s="1"/>
  <c r="F42" i="19"/>
  <c r="E48" i="3"/>
  <c r="A50" i="3"/>
  <c r="E50" i="3" s="1"/>
  <c r="A49" i="3"/>
  <c r="E49" i="3" s="1"/>
  <c r="E38" i="3"/>
  <c r="F42" i="1" l="1"/>
  <c r="F43" i="1" s="1"/>
  <c r="F52" i="1"/>
  <c r="F53" i="1" s="1"/>
  <c r="E39" i="24"/>
  <c r="F39" i="24" s="1"/>
  <c r="F41" i="24" s="1"/>
  <c r="F42" i="24" s="1"/>
  <c r="F50" i="24"/>
  <c r="F51" i="24"/>
  <c r="F52" i="24" s="1"/>
  <c r="F40" i="24"/>
  <c r="F44" i="19"/>
  <c r="F45" i="19"/>
  <c r="F46" i="19" s="1"/>
  <c r="F50" i="3"/>
  <c r="A40" i="3"/>
  <c r="E40" i="3" s="1"/>
  <c r="F40" i="3" s="1"/>
  <c r="A39" i="3"/>
  <c r="F55" i="1" l="1"/>
  <c r="B64" i="1" s="1"/>
  <c r="F54" i="24"/>
  <c r="F48" i="3"/>
  <c r="F38" i="3"/>
  <c r="E39" i="3"/>
  <c r="F39" i="3" s="1"/>
  <c r="F49" i="3"/>
  <c r="F51" i="3" l="1"/>
  <c r="F52" i="3" s="1"/>
  <c r="F41" i="3"/>
  <c r="F42" i="3" s="1"/>
  <c r="B62" i="1"/>
  <c r="B32" i="1"/>
  <c r="B31" i="1"/>
  <c r="B30" i="1"/>
  <c r="F54" i="3" l="1"/>
  <c r="B64" i="3" s="1"/>
  <c r="I66" i="24" l="1"/>
  <c r="I89" i="19"/>
  <c r="I89" i="24" l="1"/>
  <c r="I112" i="19"/>
  <c r="J67" i="19"/>
  <c r="G62" i="19"/>
  <c r="F63" i="19" s="1"/>
  <c r="H62" i="19"/>
  <c r="G63" i="19"/>
  <c r="F64" i="19" s="1"/>
  <c r="H63" i="19"/>
  <c r="G64" i="19"/>
  <c r="H64" i="19"/>
  <c r="H65" i="19"/>
  <c r="I67" i="19"/>
  <c r="I63" i="19" l="1"/>
  <c r="I64" i="19" s="1"/>
  <c r="I65" i="19" s="1"/>
  <c r="F65" i="19"/>
  <c r="B23" i="1" l="1"/>
  <c r="B22" i="1"/>
  <c r="B21" i="1"/>
  <c r="B20" i="1"/>
  <c r="B77" i="24" l="1"/>
  <c r="B61" i="24"/>
  <c r="B106" i="24"/>
  <c r="B103" i="24"/>
  <c r="H89" i="24"/>
  <c r="G87" i="24"/>
  <c r="G86" i="24"/>
  <c r="F86" i="24"/>
  <c r="E87" i="24" s="1"/>
  <c r="G85" i="24"/>
  <c r="F85" i="24"/>
  <c r="E86" i="24" s="1"/>
  <c r="G84" i="24"/>
  <c r="F84" i="24"/>
  <c r="E85" i="24" s="1"/>
  <c r="B67" i="24"/>
  <c r="H66" i="24"/>
  <c r="B66" i="24"/>
  <c r="G64" i="24"/>
  <c r="G63" i="24"/>
  <c r="F63" i="24"/>
  <c r="E64" i="24" s="1"/>
  <c r="G62" i="24"/>
  <c r="F62" i="24"/>
  <c r="E63" i="24" s="1"/>
  <c r="G61" i="24"/>
  <c r="F61" i="24"/>
  <c r="E62" i="24" s="1"/>
  <c r="G60" i="24"/>
  <c r="F60" i="24"/>
  <c r="E61" i="24" s="1"/>
  <c r="B60" i="24"/>
  <c r="B59" i="24"/>
  <c r="H85" i="24" l="1"/>
  <c r="H86" i="24" s="1"/>
  <c r="H87" i="24" s="1"/>
  <c r="H61" i="24"/>
  <c r="H62" i="24" s="1"/>
  <c r="H63" i="24" s="1"/>
  <c r="H64" i="24" s="1"/>
  <c r="B91" i="24"/>
  <c r="H112" i="19" l="1"/>
  <c r="H89" i="19"/>
  <c r="B100" i="19"/>
  <c r="B84" i="19"/>
  <c r="B60" i="3" l="1"/>
  <c r="B62" i="3" l="1"/>
  <c r="G110" i="19"/>
  <c r="G109" i="19"/>
  <c r="G108" i="19"/>
  <c r="G107" i="19"/>
  <c r="G87" i="19"/>
  <c r="G86" i="19"/>
  <c r="G85" i="19"/>
  <c r="G84" i="19"/>
  <c r="G83" i="19"/>
  <c r="F86" i="19"/>
  <c r="E87" i="19" s="1"/>
  <c r="F85" i="19"/>
  <c r="F84" i="19"/>
  <c r="F109" i="19"/>
  <c r="E110" i="19" s="1"/>
  <c r="F108" i="19"/>
  <c r="F107" i="19"/>
  <c r="F83" i="19"/>
  <c r="E109" i="19" l="1"/>
  <c r="E86" i="19"/>
  <c r="E84" i="19"/>
  <c r="H84" i="19"/>
  <c r="E108" i="19"/>
  <c r="H108" i="19"/>
  <c r="E85" i="19"/>
  <c r="B90" i="19"/>
  <c r="H109" i="19" l="1"/>
  <c r="H110" i="19" s="1"/>
  <c r="H85" i="19"/>
  <c r="H86" i="19" s="1"/>
  <c r="H87" i="19" s="1"/>
  <c r="B114" i="19" l="1"/>
  <c r="B83" i="19"/>
  <c r="B82" i="19"/>
  <c r="B89" i="19" l="1"/>
  <c r="B66" i="19" l="1"/>
  <c r="B64" i="19"/>
  <c r="B65" i="19"/>
  <c r="B67" i="19" l="1"/>
  <c r="B63" i="1" l="1"/>
  <c r="B71" i="1" s="1"/>
  <c r="B61" i="1"/>
  <c r="B60" i="1"/>
  <c r="B70" i="1" l="1"/>
  <c r="B73" i="1" s="1"/>
  <c r="B65" i="1"/>
  <c r="B63" i="3"/>
  <c r="B70" i="3" s="1"/>
  <c r="B61" i="3" l="1"/>
  <c r="B65" i="3" l="1"/>
  <c r="B69" i="3"/>
  <c r="B72" i="3" s="1"/>
  <c r="B126" i="19"/>
  <c r="B130" i="19"/>
  <c r="E52" i="19"/>
  <c r="F52" i="19"/>
  <c r="E53" i="19"/>
  <c r="F53" i="19"/>
  <c r="E54" i="19"/>
  <c r="F54" i="19"/>
  <c r="F55" i="19"/>
  <c r="F56" i="19"/>
  <c r="F58" i="19"/>
  <c r="J62" i="19"/>
  <c r="K62" i="19"/>
  <c r="J63" i="19"/>
  <c r="K63" i="19"/>
  <c r="J64" i="19"/>
  <c r="K64" i="19"/>
  <c r="J65" i="19"/>
  <c r="K65" i="19"/>
  <c r="K66" i="19"/>
  <c r="K67" i="19"/>
  <c r="K68" i="19"/>
  <c r="K69" i="19"/>
  <c r="B70" i="19"/>
  <c r="K70" i="19"/>
  <c r="B71" i="19"/>
  <c r="K71" i="19"/>
  <c r="B72" i="19"/>
  <c r="K72" i="19"/>
  <c r="B75" i="19"/>
  <c r="B76" i="19"/>
  <c r="B77" i="19"/>
  <c r="I83" i="19"/>
  <c r="J83" i="19"/>
  <c r="I84" i="19"/>
  <c r="J84" i="19"/>
  <c r="B85" i="19"/>
  <c r="I85" i="19"/>
  <c r="J85" i="19"/>
  <c r="B86" i="19"/>
  <c r="I86" i="19"/>
  <c r="J86" i="19"/>
  <c r="B87" i="19"/>
  <c r="I87" i="19"/>
  <c r="J87" i="19"/>
  <c r="J88" i="19"/>
  <c r="J89" i="19"/>
  <c r="J90" i="19"/>
  <c r="B91" i="19"/>
  <c r="B92" i="19"/>
  <c r="B93" i="19"/>
  <c r="B95" i="19"/>
  <c r="B97" i="19"/>
  <c r="B99" i="19"/>
  <c r="B102" i="19"/>
  <c r="B106" i="19"/>
  <c r="B107" i="19"/>
  <c r="I107" i="19"/>
  <c r="J107" i="19"/>
  <c r="B108" i="19"/>
  <c r="I108" i="19"/>
  <c r="J108" i="19"/>
  <c r="I109" i="19"/>
  <c r="J109" i="19"/>
  <c r="B110" i="19"/>
  <c r="I110" i="19"/>
  <c r="J110" i="19"/>
  <c r="J111" i="19"/>
  <c r="B112" i="19"/>
  <c r="J112" i="19"/>
  <c r="J113" i="19"/>
  <c r="B115" i="19"/>
  <c r="B116" i="19"/>
  <c r="B118" i="19"/>
  <c r="B120" i="19"/>
  <c r="B125" i="19"/>
  <c r="B127" i="19"/>
  <c r="B128" i="19"/>
  <c r="B129" i="19"/>
  <c r="B131" i="19"/>
  <c r="B132" i="19"/>
  <c r="B133" i="19"/>
  <c r="B134" i="19"/>
  <c r="B138" i="19"/>
  <c r="B139" i="19"/>
  <c r="B140" i="19"/>
  <c r="B141" i="19"/>
  <c r="I60" i="24"/>
  <c r="J60" i="24"/>
  <c r="I61" i="24"/>
  <c r="J61" i="24"/>
  <c r="B62" i="24"/>
  <c r="I62" i="24"/>
  <c r="J62" i="24"/>
  <c r="B63" i="24"/>
  <c r="I63" i="24"/>
  <c r="J63" i="24"/>
  <c r="B64" i="24"/>
  <c r="I64" i="24"/>
  <c r="J64" i="24"/>
  <c r="J65" i="24"/>
  <c r="J66" i="24"/>
  <c r="J67" i="24"/>
  <c r="B68" i="24"/>
  <c r="B69" i="24"/>
  <c r="B70" i="24"/>
  <c r="B72" i="24"/>
  <c r="B74" i="24"/>
  <c r="B76" i="24"/>
  <c r="B79" i="24"/>
  <c r="B83" i="24"/>
  <c r="B84" i="24"/>
  <c r="I84" i="24"/>
  <c r="J84" i="24"/>
  <c r="B85" i="24"/>
  <c r="I85" i="24"/>
  <c r="J85" i="24"/>
  <c r="I86" i="24"/>
  <c r="J86" i="24"/>
  <c r="B87" i="24"/>
  <c r="I87" i="24"/>
  <c r="J87" i="24"/>
  <c r="J88" i="24"/>
  <c r="B89" i="24"/>
  <c r="J89" i="24"/>
  <c r="J90" i="24"/>
  <c r="B92" i="24"/>
  <c r="B93" i="24"/>
  <c r="B95" i="24"/>
  <c r="B97" i="24"/>
  <c r="B102" i="24"/>
  <c r="B104" i="24"/>
  <c r="B105" i="24"/>
  <c r="B107" i="24"/>
  <c r="B109" i="24"/>
  <c r="B113" i="24"/>
  <c r="B114" i="24"/>
  <c r="B116" i="24"/>
</calcChain>
</file>

<file path=xl/sharedStrings.xml><?xml version="1.0" encoding="utf-8"?>
<sst xmlns="http://schemas.openxmlformats.org/spreadsheetml/2006/main" count="452" uniqueCount="115">
  <si>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</si>
  <si>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</si>
  <si>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</si>
  <si>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</si>
  <si>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</si>
  <si>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</si>
  <si>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</si>
  <si>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</si>
  <si>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</si>
  <si>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</si>
  <si>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</si>
  <si>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</si>
  <si>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</si>
  <si>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</si>
  <si>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</si>
  <si>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</si>
  <si>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</si>
  <si>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Total Tax Savings</t>
  </si>
  <si>
    <t>Interest income</t>
  </si>
  <si>
    <t>Taxes Payable</t>
  </si>
  <si>
    <t>2016 rates</t>
  </si>
  <si>
    <t>Additional Taxes Payable</t>
  </si>
  <si>
    <t>Net income</t>
  </si>
  <si>
    <t>Yes</t>
  </si>
  <si>
    <t>No</t>
  </si>
  <si>
    <t>Dividend Income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</si>
  <si>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</si>
  <si>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</si>
  <si>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</si>
  <si>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</si>
  <si>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</si>
  <si>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</si>
  <si>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</si>
  <si>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</si>
  <si>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</si>
  <si>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</si>
  <si>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</si>
  <si>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</si>
  <si>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</si>
  <si>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</si>
  <si>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</si>
  <si>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</si>
  <si>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</si>
  <si>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</si>
  <si>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</si>
  <si>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</si>
  <si>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</si>
  <si>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</si>
  <si>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</si>
  <si>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</si>
  <si>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</si>
  <si>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</si>
  <si>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</si>
  <si>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</si>
  <si>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</si>
  <si>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</si>
  <si>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</si>
  <si>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</si>
  <si>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</si>
  <si>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</si>
  <si>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</si>
  <si>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</si>
  <si>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</si>
  <si>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</si>
  <si>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</si>
  <si>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</si>
  <si>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</si>
  <si>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</si>
  <si>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</si>
  <si>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</si>
  <si>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</si>
  <si>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</si>
  <si>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</si>
  <si>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</si>
  <si>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</si>
  <si>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</si>
  <si>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</si>
  <si>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</si>
  <si>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</si>
  <si>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</si>
  <si>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</si>
  <si>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</si>
  <si>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</si>
  <si>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</si>
  <si>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</si>
  <si>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</si>
  <si>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2015 rates</t>
  </si>
  <si>
    <t>Gross up (eligible dividend)</t>
  </si>
  <si>
    <t>With interest and 20(11)/(12)</t>
  </si>
  <si>
    <t>Foreign Investment Income</t>
  </si>
  <si>
    <t>Northwest Territories</t>
  </si>
  <si>
    <t>2016 NT rates</t>
  </si>
  <si>
    <t>NT dividend tax credit</t>
  </si>
  <si>
    <t>NT foreign tax credit</t>
  </si>
  <si>
    <t>NT Dividend Tax Credit</t>
  </si>
  <si>
    <t>NT Provincial Credit</t>
  </si>
  <si>
    <t>Total income only</t>
  </si>
  <si>
    <t>Cost of Living Tax Credit</t>
  </si>
  <si>
    <t>Range</t>
  </si>
  <si>
    <t>With adjustment</t>
  </si>
  <si>
    <t>B-A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</si>
  <si>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</si>
  <si>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</si>
  <si>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</si>
  <si>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</si>
  <si>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</si>
  <si>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</si>
  <si>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Old Age Security (OAS) Pension</t>
  </si>
  <si>
    <t>OAS Pension</t>
  </si>
  <si>
    <t>Additional Federal Tax Savings</t>
  </si>
  <si>
    <t>Additional NT Tax Savings</t>
  </si>
  <si>
    <t>Additional NT Credit</t>
  </si>
  <si>
    <t>Reduction in NT Credit</t>
  </si>
  <si>
    <t>Additional Federal Taxes</t>
  </si>
  <si>
    <t>Additional NT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</si>
</sst>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0" xfId="0" applyFont="1" applyAlignment="1">
      <alignment horizontal="right"/>
    </xf>
    <xf numFmtId="9" fontId="0" fillId="0" borderId="0" xfId="2" applyFont="1"/>
    <xf numFmtId="0" fontId="0" fillId="0" borderId="0" xfId="0" applyFont="1" applyAlignment="1">
      <alignment wrapText="1"/>
    </xf>
    <xf numFmtId="3" fontId="0" fillId="0" borderId="1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164" fontId="7" fillId="0" borderId="0" xfId="0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  <xf numFmtId="3" fontId="5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A4" zoomScale="85" zoomScaleNormal="85" workbookViewId="0">
      <selection activeCell="B18" sqref="B18:D34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20" x14ac:dyDescent="0.3">
      <c r="A2" s="2" t="s">
        <v>1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20" x14ac:dyDescent="0.3">
      <c r="A3" s="3" t="s">
        <v>2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20" x14ac:dyDescent="0.3">
      <c r="A4" t="s">
        <v>3</v>
      </c>
      <c r="B4" s="1">
        <v>1000</v>
      </c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20" x14ac:dyDescent="0.3"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20" x14ac:dyDescent="0.3">
      <c r="E6" s="47"/>
      <c r="F6" s="47"/>
      <c r="G6" s="47"/>
      <c r="H6" s="47"/>
      <c r="I6" s="47"/>
      <c r="J6" s="47"/>
      <c r="K6" s="47"/>
      <c r="L6" s="47"/>
      <c r="M6" s="47"/>
      <c r="N6" s="47"/>
      <c r="O6" s="21"/>
      <c r="P6" s="53"/>
      <c r="Q6" s="21"/>
      <c r="R6" s="21"/>
      <c r="S6" s="21"/>
      <c r="T6" s="21"/>
    </row>
    <row r="7" spans="1:20" x14ac:dyDescent="0.3">
      <c r="A7" s="2" t="s">
        <v>4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90</v>
      </c>
      <c r="E8" s="47"/>
      <c r="F8" s="47"/>
      <c r="G8" s="47"/>
      <c r="H8" s="47"/>
      <c r="I8" s="47"/>
      <c r="J8" s="47"/>
      <c r="K8" s="47"/>
      <c r="L8" s="48"/>
      <c r="M8" s="48"/>
      <c r="N8" s="48"/>
      <c r="O8" s="52"/>
      <c r="P8" s="52"/>
      <c r="Q8" s="52"/>
      <c r="R8" s="52"/>
      <c r="S8" s="52"/>
      <c r="T8" s="52"/>
    </row>
    <row r="9" spans="1:20" x14ac:dyDescent="0.3">
      <c r="E9" s="47"/>
      <c r="F9" s="46"/>
      <c r="G9" s="46"/>
      <c r="H9" s="46"/>
      <c r="I9" s="47"/>
      <c r="J9" s="47"/>
      <c r="K9" s="47"/>
      <c r="L9" s="47"/>
      <c r="M9" s="47"/>
      <c r="N9" s="47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60000</v>
      </c>
      <c r="H12" s="13"/>
    </row>
    <row r="13" spans="1:20" x14ac:dyDescent="0.3">
      <c r="D13" s="4"/>
      <c r="H13" s="82"/>
    </row>
    <row r="14" spans="1:20" x14ac:dyDescent="0.3">
      <c r="D14" s="4"/>
    </row>
    <row r="16" spans="1:20" x14ac:dyDescent="0.3">
      <c r="A16" s="2" t="s">
        <v>7</v>
      </c>
      <c r="B16" s="21"/>
      <c r="C16" s="21"/>
      <c r="D16" s="21"/>
      <c r="E16" s="21"/>
      <c r="F16" s="21"/>
      <c r="G16" s="21"/>
      <c r="H16" s="21"/>
      <c r="I16" s="21"/>
    </row>
    <row r="17" spans="1:9" x14ac:dyDescent="0.3">
      <c r="A17" s="3" t="s">
        <v>8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3">
      <c r="B18" s="93" t="s">
        <v>20</v>
      </c>
      <c r="C18" s="21"/>
      <c r="D18" s="21"/>
      <c r="E18" s="21"/>
      <c r="F18" s="93"/>
      <c r="G18" s="21"/>
      <c r="H18" s="21"/>
      <c r="I18" s="21"/>
    </row>
    <row r="19" spans="1:9" ht="15.6" x14ac:dyDescent="0.3">
      <c r="A19" t="s">
        <v>9</v>
      </c>
      <c r="B19" s="52">
        <v>0</v>
      </c>
      <c r="C19" s="27">
        <v>45282</v>
      </c>
      <c r="D19" s="94">
        <v>0.15</v>
      </c>
      <c r="E19" s="21"/>
      <c r="F19" s="52"/>
      <c r="G19" s="27"/>
      <c r="H19" s="94"/>
      <c r="I19" s="21"/>
    </row>
    <row r="20" spans="1:9" ht="15.6" x14ac:dyDescent="0.3">
      <c r="A20" t="s">
        <v>10</v>
      </c>
      <c r="B20" s="27">
        <f>C19</f>
        <v>45282</v>
      </c>
      <c r="C20" s="27">
        <v>90563</v>
      </c>
      <c r="D20" s="66">
        <v>0.20499999999999999</v>
      </c>
      <c r="E20" s="21"/>
      <c r="F20" s="27"/>
      <c r="G20" s="27"/>
      <c r="H20" s="66"/>
      <c r="I20" s="21"/>
    </row>
    <row r="21" spans="1:9" ht="15.6" x14ac:dyDescent="0.3">
      <c r="A21" t="s">
        <v>10</v>
      </c>
      <c r="B21" s="27">
        <f>C20</f>
        <v>90563</v>
      </c>
      <c r="C21" s="27">
        <v>140388</v>
      </c>
      <c r="D21" s="66">
        <v>0.26</v>
      </c>
      <c r="E21" s="21"/>
      <c r="F21" s="27"/>
      <c r="G21" s="27"/>
      <c r="H21" s="66"/>
      <c r="I21" s="21"/>
    </row>
    <row r="22" spans="1:9" ht="15.6" x14ac:dyDescent="0.3">
      <c r="A22" t="s">
        <v>10</v>
      </c>
      <c r="B22" s="27">
        <f>C21</f>
        <v>140388</v>
      </c>
      <c r="C22" s="27">
        <v>200000</v>
      </c>
      <c r="D22" s="66">
        <v>0.28999999999999998</v>
      </c>
      <c r="E22" s="21"/>
      <c r="F22" s="27"/>
      <c r="G22" s="27"/>
      <c r="H22" s="66"/>
      <c r="I22" s="21"/>
    </row>
    <row r="23" spans="1:9" ht="15.6" x14ac:dyDescent="0.3">
      <c r="B23" s="27">
        <f>C22</f>
        <v>200000</v>
      </c>
      <c r="C23" s="21"/>
      <c r="D23" s="66">
        <v>0.33</v>
      </c>
      <c r="E23" s="21"/>
      <c r="F23" s="27"/>
      <c r="G23" s="21"/>
      <c r="H23" s="66"/>
      <c r="I23" s="21"/>
    </row>
    <row r="24" spans="1:9" x14ac:dyDescent="0.3">
      <c r="B24" s="21"/>
      <c r="C24" s="93"/>
      <c r="D24" s="21"/>
      <c r="E24" s="21"/>
      <c r="F24" s="52"/>
      <c r="G24" s="21"/>
      <c r="H24" s="21"/>
      <c r="I24" s="21"/>
    </row>
    <row r="25" spans="1:9" ht="15.6" x14ac:dyDescent="0.3">
      <c r="A25" t="s">
        <v>35</v>
      </c>
      <c r="B25" s="27">
        <v>11474</v>
      </c>
      <c r="C25" s="27"/>
      <c r="D25" s="21"/>
      <c r="E25" s="21"/>
      <c r="F25" s="21"/>
      <c r="G25" s="52"/>
      <c r="H25" s="12"/>
      <c r="I25" s="21"/>
    </row>
    <row r="26" spans="1:9" x14ac:dyDescent="0.3">
      <c r="B26" s="21"/>
      <c r="C26" s="21"/>
      <c r="D26" s="21"/>
      <c r="E26" s="21"/>
      <c r="F26" s="21"/>
      <c r="G26" s="21"/>
      <c r="H26" s="21"/>
      <c r="I26" s="21"/>
    </row>
    <row r="27" spans="1:9" x14ac:dyDescent="0.3">
      <c r="A27" s="3" t="s">
        <v>11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3">
      <c r="A28" s="10" t="s">
        <v>90</v>
      </c>
      <c r="B28" s="93" t="s">
        <v>20</v>
      </c>
      <c r="C28" s="21"/>
      <c r="D28" s="21"/>
      <c r="E28" s="21"/>
      <c r="F28" s="93"/>
      <c r="G28" s="21"/>
      <c r="H28" s="21"/>
      <c r="I28" s="21"/>
    </row>
    <row r="29" spans="1:9" ht="15.6" x14ac:dyDescent="0.3">
      <c r="A29" t="s">
        <v>9</v>
      </c>
      <c r="B29" s="21">
        <v>0</v>
      </c>
      <c r="C29" s="27">
        <v>41011</v>
      </c>
      <c r="D29" s="66">
        <v>5.8999999999999997E-2</v>
      </c>
      <c r="E29" s="21"/>
      <c r="F29" s="21"/>
      <c r="G29" s="27"/>
      <c r="H29" s="66"/>
      <c r="I29" s="21"/>
    </row>
    <row r="30" spans="1:9" ht="15.6" x14ac:dyDescent="0.3">
      <c r="A30" t="s">
        <v>10</v>
      </c>
      <c r="B30" s="27">
        <f>C29</f>
        <v>41011</v>
      </c>
      <c r="C30" s="27">
        <v>82024</v>
      </c>
      <c r="D30" s="66">
        <v>8.5999999999999993E-2</v>
      </c>
      <c r="E30" s="21"/>
      <c r="F30" s="27"/>
      <c r="G30" s="27"/>
      <c r="H30" s="66"/>
      <c r="I30" s="21"/>
    </row>
    <row r="31" spans="1:9" ht="15.6" x14ac:dyDescent="0.3">
      <c r="A31" t="s">
        <v>10</v>
      </c>
      <c r="B31" s="27">
        <f>C30</f>
        <v>82024</v>
      </c>
      <c r="C31" s="27">
        <v>133353</v>
      </c>
      <c r="D31" s="66">
        <v>0.122</v>
      </c>
      <c r="E31" s="21"/>
      <c r="F31" s="27"/>
      <c r="G31" s="27"/>
      <c r="H31" s="66"/>
      <c r="I31" s="21"/>
    </row>
    <row r="32" spans="1:9" ht="15.6" x14ac:dyDescent="0.3">
      <c r="A32" t="s">
        <v>10</v>
      </c>
      <c r="B32" s="27">
        <f>C31</f>
        <v>133353</v>
      </c>
      <c r="C32" s="27"/>
      <c r="D32" s="66">
        <v>0.14050000000000001</v>
      </c>
      <c r="E32" s="21"/>
      <c r="F32" s="27"/>
      <c r="G32" s="27"/>
      <c r="H32" s="66"/>
      <c r="I32" s="21"/>
    </row>
    <row r="33" spans="1:14" x14ac:dyDescent="0.3">
      <c r="B33" s="21"/>
      <c r="C33" s="93"/>
      <c r="D33" s="21"/>
      <c r="E33" s="21"/>
      <c r="F33" s="21"/>
      <c r="G33" s="21"/>
      <c r="H33" s="45"/>
      <c r="I33" s="21"/>
    </row>
    <row r="34" spans="1:14" ht="15.6" x14ac:dyDescent="0.3">
      <c r="A34" t="s">
        <v>32</v>
      </c>
      <c r="B34" s="27">
        <v>14081</v>
      </c>
      <c r="C34" s="27"/>
      <c r="D34" s="21"/>
      <c r="E34" s="21"/>
      <c r="F34" s="21"/>
      <c r="G34" s="21"/>
      <c r="H34" s="45"/>
      <c r="I34" s="52"/>
      <c r="J34" s="4"/>
      <c r="K34" s="4"/>
      <c r="L34" s="4"/>
      <c r="N34" s="4"/>
    </row>
    <row r="35" spans="1:14" x14ac:dyDescent="0.3">
      <c r="B35" s="52"/>
      <c r="C35" s="52"/>
      <c r="D35" s="21" t="s">
        <v>34</v>
      </c>
      <c r="E35" s="12"/>
      <c r="F35" s="95"/>
      <c r="G35" s="21"/>
      <c r="H35" s="20"/>
      <c r="I35" s="21"/>
    </row>
    <row r="36" spans="1:14" x14ac:dyDescent="0.3">
      <c r="B36" s="4"/>
      <c r="C36" s="4"/>
      <c r="E36" s="13"/>
      <c r="F36" s="44"/>
      <c r="H36" s="16"/>
    </row>
    <row r="37" spans="1:14" x14ac:dyDescent="0.3">
      <c r="A37" s="3" t="s">
        <v>95</v>
      </c>
      <c r="B37" s="4"/>
      <c r="C37" s="4"/>
      <c r="E37" s="13"/>
      <c r="F37" s="44"/>
      <c r="H37" s="16"/>
    </row>
    <row r="38" spans="1:14" x14ac:dyDescent="0.3">
      <c r="A38" s="10" t="s">
        <v>96</v>
      </c>
      <c r="B38" s="44"/>
      <c r="D38" s="67" t="s">
        <v>62</v>
      </c>
      <c r="E38" s="83" t="s">
        <v>61</v>
      </c>
      <c r="F38" s="83" t="s">
        <v>63</v>
      </c>
      <c r="H38" s="16"/>
    </row>
    <row r="39" spans="1:14" ht="15.6" x14ac:dyDescent="0.3">
      <c r="A39">
        <v>0</v>
      </c>
      <c r="B39" s="5">
        <v>12000</v>
      </c>
      <c r="C39" s="7">
        <v>2.5999999999999999E-2</v>
      </c>
      <c r="D39" s="13">
        <v>0</v>
      </c>
      <c r="E39" s="13">
        <f>IF(AND($B$12&gt;=A39,$B$12&lt;B39),($B$12-A39)*C39,0)</f>
        <v>0</v>
      </c>
      <c r="F39" s="18">
        <f>(IF(E39=0,0,D39+E39))</f>
        <v>0</v>
      </c>
      <c r="H39" s="16"/>
    </row>
    <row r="40" spans="1:14" ht="15.6" x14ac:dyDescent="0.3">
      <c r="A40" s="5">
        <f>B39</f>
        <v>12000</v>
      </c>
      <c r="B40" s="5">
        <v>48000</v>
      </c>
      <c r="C40" s="7">
        <v>1.2500000000000001E-2</v>
      </c>
      <c r="D40" s="12">
        <v>312</v>
      </c>
      <c r="E40" s="13">
        <f t="shared" ref="E40" si="0">IF(AND($B$12&gt;=A40,$B$12&lt;B40),($B$12-A40)*C40,0)</f>
        <v>0</v>
      </c>
      <c r="F40" s="18">
        <f>(IF(E40=0,0,D40+E40))</f>
        <v>0</v>
      </c>
      <c r="H40" s="16"/>
    </row>
    <row r="41" spans="1:14" ht="15.6" x14ac:dyDescent="0.3">
      <c r="A41" s="27">
        <f>B40</f>
        <v>48000</v>
      </c>
      <c r="B41" s="5"/>
      <c r="C41" s="7">
        <v>0.01</v>
      </c>
      <c r="D41" s="12">
        <v>762</v>
      </c>
      <c r="E41" s="13">
        <f>IF($B$12&gt;=A41,($B$12-A41)*C41,0)</f>
        <v>120</v>
      </c>
      <c r="F41" s="35">
        <f>(IF(E41=0,0,D41+E41))</f>
        <v>882</v>
      </c>
      <c r="H41" s="16"/>
    </row>
    <row r="42" spans="1:14" x14ac:dyDescent="0.3">
      <c r="A42" s="13"/>
      <c r="B42" s="44"/>
      <c r="D42" s="13"/>
      <c r="E42" s="13"/>
      <c r="F42" s="13">
        <f>SUM(F39:F41)</f>
        <v>882</v>
      </c>
      <c r="G42" s="30"/>
      <c r="H42" s="16"/>
    </row>
    <row r="43" spans="1:14" x14ac:dyDescent="0.3">
      <c r="C43" s="13" t="s">
        <v>98</v>
      </c>
      <c r="D43" s="13">
        <v>350</v>
      </c>
      <c r="E43">
        <v>942</v>
      </c>
      <c r="F43" s="84">
        <f>IF(F42&lt;=D43,D43,IF(AND(F42&gt;D43,F42&lt;E43),F42,IF(F42&gt;=D43,E43)))</f>
        <v>882</v>
      </c>
      <c r="G43" s="30" t="s">
        <v>28</v>
      </c>
      <c r="H43" s="16"/>
    </row>
    <row r="44" spans="1:14" x14ac:dyDescent="0.3">
      <c r="C44" s="13"/>
      <c r="F44" s="18"/>
      <c r="G44" s="30"/>
      <c r="H44" s="16"/>
    </row>
    <row r="45" spans="1:14" x14ac:dyDescent="0.3">
      <c r="A45" s="13"/>
      <c r="B45" s="44"/>
      <c r="D45" s="13"/>
      <c r="E45" s="13"/>
      <c r="F45" s="13"/>
      <c r="G45" s="30"/>
      <c r="H45" s="16"/>
    </row>
    <row r="46" spans="1:14" x14ac:dyDescent="0.3">
      <c r="A46" s="13"/>
      <c r="B46" s="44"/>
      <c r="D46" s="13"/>
      <c r="E46" s="13"/>
      <c r="F46" s="13"/>
      <c r="G46" s="30"/>
      <c r="H46" s="16"/>
    </row>
    <row r="47" spans="1:14" x14ac:dyDescent="0.3">
      <c r="B47" s="44"/>
      <c r="D47" s="16"/>
      <c r="G47" s="30"/>
      <c r="H47" s="16"/>
    </row>
    <row r="48" spans="1:14" x14ac:dyDescent="0.3">
      <c r="A48" s="10" t="s">
        <v>99</v>
      </c>
      <c r="B48" s="44"/>
      <c r="D48" s="67" t="s">
        <v>62</v>
      </c>
      <c r="E48" s="83" t="s">
        <v>61</v>
      </c>
      <c r="F48" s="83" t="s">
        <v>63</v>
      </c>
      <c r="G48" s="30"/>
      <c r="H48" s="16"/>
    </row>
    <row r="49" spans="1:12" ht="15.6" x14ac:dyDescent="0.3">
      <c r="A49">
        <v>0</v>
      </c>
      <c r="B49" s="5">
        <v>12000</v>
      </c>
      <c r="C49" s="7">
        <v>2.5999999999999999E-2</v>
      </c>
      <c r="D49" s="13">
        <v>0</v>
      </c>
      <c r="E49" s="13">
        <f>IF(AND(($B$12-$B$4)&gt;=A49,($B$12-$B$4)&lt;B49),($B$12-$B$4-A49)*C49,0)</f>
        <v>0</v>
      </c>
      <c r="F49" s="18">
        <f t="shared" ref="F49:F51" si="1">(IF(E49=0,0,D49+E49))</f>
        <v>0</v>
      </c>
      <c r="G49" s="30"/>
      <c r="H49" s="16"/>
    </row>
    <row r="50" spans="1:12" ht="15.6" x14ac:dyDescent="0.3">
      <c r="A50" s="5">
        <f>B49</f>
        <v>12000</v>
      </c>
      <c r="B50" s="5">
        <v>48000</v>
      </c>
      <c r="C50" s="7">
        <v>1.2500000000000001E-2</v>
      </c>
      <c r="D50" s="12">
        <v>312</v>
      </c>
      <c r="E50" s="13">
        <f>IF(AND(($B$12-$B$4)&gt;=A50,($B$12-$B$4)&lt;B50),($B$12-$B$4-A50)*C50,0)</f>
        <v>0</v>
      </c>
      <c r="F50" s="18">
        <f t="shared" si="1"/>
        <v>0</v>
      </c>
      <c r="G50" s="30"/>
      <c r="H50" s="16"/>
    </row>
    <row r="51" spans="1:12" ht="15.6" x14ac:dyDescent="0.3">
      <c r="A51" s="27">
        <f>B50</f>
        <v>48000</v>
      </c>
      <c r="B51" s="5"/>
      <c r="C51" s="7">
        <v>0.01</v>
      </c>
      <c r="D51" s="12">
        <v>762</v>
      </c>
      <c r="E51" s="13">
        <f>IF(($B$12-$B$4)&gt;=A51,($B$12-$B$4-A51)*C51,0)</f>
        <v>110</v>
      </c>
      <c r="F51" s="35">
        <f t="shared" si="1"/>
        <v>872</v>
      </c>
      <c r="G51" s="30"/>
      <c r="H51" s="16"/>
    </row>
    <row r="52" spans="1:12" x14ac:dyDescent="0.3">
      <c r="A52" s="13"/>
      <c r="B52" s="44"/>
      <c r="D52" s="16"/>
      <c r="F52" s="18">
        <f>SUM(F49:F51)</f>
        <v>872</v>
      </c>
      <c r="G52" s="30"/>
      <c r="H52" s="16"/>
    </row>
    <row r="53" spans="1:12" x14ac:dyDescent="0.3">
      <c r="A53" s="13"/>
      <c r="B53" s="44"/>
      <c r="C53" s="13" t="s">
        <v>98</v>
      </c>
      <c r="D53" s="13">
        <v>350</v>
      </c>
      <c r="E53">
        <v>942</v>
      </c>
      <c r="F53" s="84">
        <f>IF(F52&lt;=D53,D53,IF(AND(F52&gt;D53,F52&lt;E53),F52,IF(F52&gt;=D53,E53)))</f>
        <v>872</v>
      </c>
      <c r="G53" s="30" t="s">
        <v>29</v>
      </c>
      <c r="H53" s="16"/>
    </row>
    <row r="54" spans="1:12" x14ac:dyDescent="0.3">
      <c r="A54" s="13"/>
      <c r="B54" s="44"/>
      <c r="D54" s="16"/>
      <c r="F54" s="18"/>
      <c r="G54" s="30"/>
      <c r="H54" s="16"/>
    </row>
    <row r="55" spans="1:12" x14ac:dyDescent="0.3">
      <c r="A55" s="13"/>
      <c r="B55" s="44"/>
      <c r="D55" s="16"/>
      <c r="E55" s="85" t="s">
        <v>97</v>
      </c>
      <c r="F55" s="39">
        <f>F53-F43</f>
        <v>-10</v>
      </c>
      <c r="G55" s="30" t="s">
        <v>100</v>
      </c>
      <c r="H55" s="16"/>
    </row>
    <row r="56" spans="1:12" x14ac:dyDescent="0.3">
      <c r="A56" s="13"/>
      <c r="B56" s="44"/>
      <c r="D56" s="16"/>
      <c r="E56" s="85"/>
      <c r="F56" s="18"/>
      <c r="G56" s="30"/>
      <c r="H56" s="16"/>
    </row>
    <row r="57" spans="1:12" x14ac:dyDescent="0.3">
      <c r="A57" s="2" t="s">
        <v>12</v>
      </c>
      <c r="H57" s="18"/>
    </row>
    <row r="58" spans="1:12" x14ac:dyDescent="0.3">
      <c r="B58" s="11"/>
      <c r="C58" t="s">
        <v>13</v>
      </c>
      <c r="I58" s="18"/>
      <c r="J58" s="4"/>
      <c r="K58" s="13"/>
    </row>
    <row r="60" spans="1:12" x14ac:dyDescent="0.3">
      <c r="A60" t="s">
        <v>14</v>
      </c>
      <c r="B60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205</v>
      </c>
      <c r="C60" t="s">
        <v>15</v>
      </c>
      <c r="H60" s="51"/>
      <c r="I60" s="51"/>
      <c r="J60" s="51"/>
      <c r="K60" s="51"/>
      <c r="L60" s="51"/>
    </row>
    <row r="61" spans="1:12" x14ac:dyDescent="0.3">
      <c r="B61" s="37">
        <f>-IF((B12&gt;=B25),IF((B12-B4)&gt;=B25,0,IF(((B12-B4)&lt;B25),((B25-(B12-B4))*D19))),IF(B12&lt;B25,B4*D19))</f>
        <v>0</v>
      </c>
      <c r="C61" t="s">
        <v>31</v>
      </c>
      <c r="H61" s="51"/>
      <c r="I61" s="4"/>
      <c r="J61" s="51"/>
      <c r="K61" s="51"/>
      <c r="L61" s="51"/>
    </row>
    <row r="62" spans="1:12" x14ac:dyDescent="0.3">
      <c r="B62" s="12">
        <f>IF(AND(B12&gt;=B29,B12&lt;=C29),B4*D29,IF(AND(B12&gt;B30,B12&lt;=C30),IF((B12-B30)&gt;B4,B4*D30,((B12-B30)*D30)+((B4-(B12-B30))*D29)),IF(AND(B12&gt;B31,B12&lt;=C31),IF((B12-B31)&gt;B4,B4*D31,IF((B12-B30)&gt;B4,(((B12-B31)*D31)+((B4-(B12-B31))*D30)),(((B12-B31)*D31))+((B31-B30)*D30)+((B4-(B12-B30))*D29))),IF(B12&gt;B32,IF((B12-B32)&gt;B4,B4*D32,IF((B12-B31)&gt;B4,((B12-B32)*D32)+((B4-(B12-B32))*D31),IF((B12-B30)&gt;B4,((B12-B32)*D32)+((B32-B31)*D31)+((B4-(B12-B31))*D30),((B12-B32)*D32)+((B32-B31)*D31)+((B31-B30)*D30)+((B4-(B12-B30))*D29))))))))</f>
        <v>86</v>
      </c>
      <c r="C62" t="s">
        <v>16</v>
      </c>
      <c r="H62" s="51"/>
      <c r="I62" s="18"/>
      <c r="J62" s="51"/>
      <c r="K62" s="51"/>
      <c r="L62" s="51"/>
    </row>
    <row r="63" spans="1:12" x14ac:dyDescent="0.3">
      <c r="B63" s="39">
        <f>-IF((B12&gt;=B34),IF((B12-B4)&gt;=B34,0,IF(((B12-B4)&lt;B34),((B34-(B12-B4))*D29))),IF(B12&lt;B34,B4*D29))</f>
        <v>0</v>
      </c>
      <c r="C63" t="s">
        <v>33</v>
      </c>
      <c r="H63" s="51"/>
      <c r="I63" s="51"/>
      <c r="J63" s="51"/>
      <c r="K63" s="51"/>
      <c r="L63" s="51"/>
    </row>
    <row r="64" spans="1:12" x14ac:dyDescent="0.3">
      <c r="B64" s="38">
        <f>F55</f>
        <v>-10</v>
      </c>
      <c r="C64" t="s">
        <v>95</v>
      </c>
      <c r="H64" s="51"/>
      <c r="I64" s="51"/>
      <c r="J64" s="51"/>
      <c r="K64" s="51"/>
      <c r="L64" s="51"/>
    </row>
    <row r="65" spans="1:12" x14ac:dyDescent="0.3">
      <c r="A65" t="s">
        <v>17</v>
      </c>
      <c r="B65" s="14">
        <f>SUM(B60:B64)</f>
        <v>281</v>
      </c>
      <c r="G65" s="51"/>
      <c r="H65" s="51"/>
      <c r="I65" s="51"/>
      <c r="J65" s="51"/>
      <c r="K65" s="51"/>
      <c r="L65" s="51"/>
    </row>
    <row r="66" spans="1:12" x14ac:dyDescent="0.3">
      <c r="G66" s="51"/>
      <c r="H66" s="51"/>
      <c r="I66" s="51"/>
      <c r="J66" s="51"/>
      <c r="K66" s="51"/>
      <c r="L66" s="51"/>
    </row>
    <row r="67" spans="1:12" x14ac:dyDescent="0.3">
      <c r="G67" s="51"/>
      <c r="H67" s="51"/>
      <c r="I67" s="51"/>
      <c r="J67" s="51"/>
      <c r="K67" s="51"/>
      <c r="L67" s="51"/>
    </row>
    <row r="68" spans="1:12" x14ac:dyDescent="0.3">
      <c r="G68" s="51"/>
      <c r="H68" s="51"/>
      <c r="I68" s="51"/>
      <c r="J68" s="51"/>
      <c r="K68" s="51"/>
      <c r="L68" s="51"/>
    </row>
    <row r="69" spans="1:12" x14ac:dyDescent="0.3">
      <c r="A69" s="19" t="s">
        <v>36</v>
      </c>
      <c r="B69" s="13"/>
      <c r="G69" s="51"/>
      <c r="H69" s="51"/>
      <c r="I69" s="51"/>
      <c r="J69" s="51"/>
      <c r="K69" s="51"/>
      <c r="L69" s="51"/>
    </row>
    <row r="70" spans="1:12" x14ac:dyDescent="0.3">
      <c r="A70" t="s">
        <v>109</v>
      </c>
      <c r="B70" s="13">
        <f>SUM(B60:B61)</f>
        <v>205</v>
      </c>
    </row>
    <row r="71" spans="1:12" x14ac:dyDescent="0.3">
      <c r="A71" t="s">
        <v>110</v>
      </c>
      <c r="B71" s="84">
        <f>SUM(B62:B63)</f>
        <v>86</v>
      </c>
    </row>
    <row r="72" spans="1:12" x14ac:dyDescent="0.3">
      <c r="A72" t="s">
        <v>111</v>
      </c>
      <c r="B72" s="38">
        <f>B64</f>
        <v>-10</v>
      </c>
    </row>
    <row r="73" spans="1:12" x14ac:dyDescent="0.3">
      <c r="B73" s="13">
        <f>SUM(B70:B72)</f>
        <v>281</v>
      </c>
    </row>
    <row r="74" spans="1:12" x14ac:dyDescent="0.3">
      <c r="B74" s="15"/>
    </row>
    <row r="85" spans="1:1" x14ac:dyDescent="0.3">
      <c r="A85" s="3"/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10" zoomScale="85" zoomScaleNormal="85" workbookViewId="0">
      <selection activeCell="B17" sqref="B17:D33"/>
    </sheetView>
  </sheetViews>
  <sheetFormatPr defaultRowHeight="14.4" x14ac:dyDescent="0.3"/>
  <cols>
    <col min="1" max="1" width="29.8867187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8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18</v>
      </c>
      <c r="B4" s="1">
        <v>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90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7"/>
      <c r="G10" s="47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5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66000</v>
      </c>
    </row>
    <row r="15" spans="1:16" x14ac:dyDescent="0.3">
      <c r="A15" s="2" t="s">
        <v>7</v>
      </c>
    </row>
    <row r="16" spans="1:16" x14ac:dyDescent="0.3">
      <c r="A16" s="3" t="s">
        <v>8</v>
      </c>
      <c r="E16" s="21"/>
      <c r="F16" s="21"/>
      <c r="G16" s="21"/>
      <c r="H16" s="12"/>
    </row>
    <row r="17" spans="1:14" x14ac:dyDescent="0.3">
      <c r="B17" s="93" t="s">
        <v>20</v>
      </c>
      <c r="C17" s="21"/>
      <c r="D17" s="21"/>
      <c r="E17" s="21"/>
      <c r="F17" s="93"/>
      <c r="G17" s="21"/>
      <c r="H17" s="21"/>
    </row>
    <row r="18" spans="1:14" ht="15.6" x14ac:dyDescent="0.3">
      <c r="A18" t="s">
        <v>9</v>
      </c>
      <c r="B18" s="52">
        <v>0</v>
      </c>
      <c r="C18" s="27">
        <v>45282</v>
      </c>
      <c r="D18" s="94">
        <v>0.15</v>
      </c>
      <c r="E18" s="21"/>
      <c r="F18" s="52"/>
      <c r="G18" s="27"/>
      <c r="H18" s="94"/>
      <c r="I18" s="5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E19" s="21"/>
      <c r="F19" s="27"/>
      <c r="G19" s="27"/>
      <c r="H19" s="66"/>
      <c r="I19" s="5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E20" s="21"/>
      <c r="F20" s="27"/>
      <c r="G20" s="27"/>
      <c r="H20" s="66"/>
      <c r="I20" s="5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E21" s="21"/>
      <c r="F21" s="27"/>
      <c r="G21" s="27"/>
      <c r="H21" s="66"/>
      <c r="I21" s="23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6">
        <v>0.33</v>
      </c>
      <c r="E22" s="21"/>
      <c r="F22" s="27"/>
      <c r="G22" s="21"/>
      <c r="H22" s="66"/>
      <c r="I22" s="4"/>
      <c r="J22" s="7"/>
      <c r="K22" s="7"/>
      <c r="L22" s="5"/>
      <c r="N22" s="7"/>
    </row>
    <row r="23" spans="1:14" x14ac:dyDescent="0.3">
      <c r="B23" s="21"/>
      <c r="C23" s="93"/>
      <c r="D23" s="21"/>
      <c r="E23" s="21"/>
      <c r="F23" s="21"/>
      <c r="G23" s="21"/>
      <c r="H23" s="12"/>
    </row>
    <row r="24" spans="1:14" ht="15.6" x14ac:dyDescent="0.3">
      <c r="A24" t="s">
        <v>35</v>
      </c>
      <c r="B24" s="27">
        <v>11474</v>
      </c>
      <c r="C24" s="27"/>
      <c r="D24" s="21"/>
      <c r="E24" s="21"/>
      <c r="F24" s="21"/>
      <c r="G24" s="52"/>
      <c r="H24" s="12"/>
    </row>
    <row r="25" spans="1:14" x14ac:dyDescent="0.3">
      <c r="B25" s="21"/>
      <c r="C25" s="21"/>
      <c r="D25" s="21"/>
      <c r="E25" s="21"/>
      <c r="F25" s="21"/>
      <c r="G25" s="21"/>
      <c r="H25" s="12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</row>
    <row r="27" spans="1:14" x14ac:dyDescent="0.3">
      <c r="A27" s="10" t="s">
        <v>90</v>
      </c>
      <c r="B27" s="93" t="s">
        <v>20</v>
      </c>
      <c r="C27" s="21"/>
      <c r="D27" s="21"/>
      <c r="E27" s="21"/>
      <c r="F27" s="93"/>
      <c r="G27" s="21"/>
      <c r="H27" s="21"/>
      <c r="I27" s="25"/>
      <c r="J27" s="10"/>
      <c r="K27" s="25"/>
    </row>
    <row r="28" spans="1:14" ht="15.6" x14ac:dyDescent="0.3">
      <c r="A28" t="s">
        <v>9</v>
      </c>
      <c r="B28" s="21">
        <v>0</v>
      </c>
      <c r="C28" s="27">
        <v>41011</v>
      </c>
      <c r="D28" s="66">
        <v>5.8999999999999997E-2</v>
      </c>
      <c r="E28" s="21"/>
      <c r="F28" s="21"/>
      <c r="G28" s="27"/>
      <c r="H28" s="66"/>
      <c r="I28" s="5"/>
      <c r="J28" s="7"/>
    </row>
    <row r="29" spans="1:14" ht="15.6" x14ac:dyDescent="0.3">
      <c r="A29" t="s">
        <v>10</v>
      </c>
      <c r="B29" s="27">
        <f>C28</f>
        <v>41011</v>
      </c>
      <c r="C29" s="27">
        <v>82024</v>
      </c>
      <c r="D29" s="66">
        <v>8.5999999999999993E-2</v>
      </c>
      <c r="E29" s="21"/>
      <c r="F29" s="27"/>
      <c r="G29" s="27"/>
      <c r="H29" s="66"/>
      <c r="I29" s="5"/>
      <c r="J29" s="24"/>
      <c r="K29" s="18"/>
      <c r="L29" s="15"/>
    </row>
    <row r="30" spans="1:14" ht="15.6" x14ac:dyDescent="0.3">
      <c r="A30" t="s">
        <v>10</v>
      </c>
      <c r="B30" s="27">
        <f>C29</f>
        <v>82024</v>
      </c>
      <c r="C30" s="27">
        <v>133353</v>
      </c>
      <c r="D30" s="66">
        <v>0.122</v>
      </c>
      <c r="E30" s="21"/>
      <c r="F30" s="27"/>
      <c r="G30" s="27"/>
      <c r="H30" s="66"/>
      <c r="I30" s="4"/>
      <c r="J30" s="24"/>
      <c r="K30" s="4"/>
      <c r="L30" s="13"/>
      <c r="N30" s="18"/>
    </row>
    <row r="31" spans="1:14" ht="15.6" x14ac:dyDescent="0.3">
      <c r="A31" t="s">
        <v>10</v>
      </c>
      <c r="B31" s="27">
        <f>C30</f>
        <v>133353</v>
      </c>
      <c r="C31" s="27"/>
      <c r="D31" s="66">
        <v>0.14050000000000001</v>
      </c>
      <c r="E31" s="21"/>
      <c r="F31" s="27"/>
      <c r="G31" s="27"/>
      <c r="H31" s="66"/>
      <c r="I31" s="4"/>
      <c r="J31" s="24"/>
      <c r="K31" s="4"/>
      <c r="L31" s="13"/>
      <c r="N31" s="4"/>
    </row>
    <row r="32" spans="1:14" x14ac:dyDescent="0.3">
      <c r="B32" s="21"/>
      <c r="C32" s="93"/>
      <c r="D32" s="21"/>
      <c r="E32" s="21"/>
      <c r="F32" s="21"/>
      <c r="G32" s="21"/>
      <c r="H32" s="45"/>
      <c r="I32" s="4"/>
      <c r="J32" s="26"/>
      <c r="K32" s="16"/>
      <c r="L32" s="26"/>
    </row>
    <row r="33" spans="1:12" ht="15.6" x14ac:dyDescent="0.3">
      <c r="A33" t="s">
        <v>33</v>
      </c>
      <c r="B33" s="27">
        <v>14081</v>
      </c>
      <c r="C33" s="27"/>
      <c r="D33" s="21"/>
      <c r="H33" s="41"/>
      <c r="I33" s="4"/>
      <c r="J33" s="26"/>
      <c r="K33" s="16"/>
      <c r="L33" s="26"/>
    </row>
    <row r="34" spans="1:12" x14ac:dyDescent="0.3">
      <c r="B34" s="4"/>
      <c r="C34" s="4"/>
      <c r="D34" t="s">
        <v>34</v>
      </c>
      <c r="E34" s="13"/>
      <c r="F34" s="44"/>
      <c r="H34" s="16"/>
    </row>
    <row r="35" spans="1:12" x14ac:dyDescent="0.3">
      <c r="B35" s="4"/>
      <c r="C35" s="4"/>
      <c r="E35" s="13"/>
      <c r="F35" s="44"/>
      <c r="H35" s="16"/>
    </row>
    <row r="36" spans="1:12" x14ac:dyDescent="0.3">
      <c r="A36" s="3" t="s">
        <v>95</v>
      </c>
      <c r="B36" s="4"/>
      <c r="C36" s="4"/>
      <c r="E36" s="13"/>
      <c r="F36" s="44"/>
      <c r="H36" s="16"/>
    </row>
    <row r="37" spans="1:12" x14ac:dyDescent="0.3">
      <c r="A37" s="10" t="s">
        <v>96</v>
      </c>
      <c r="B37" s="44"/>
      <c r="D37" s="67" t="s">
        <v>62</v>
      </c>
      <c r="E37" s="83" t="s">
        <v>61</v>
      </c>
      <c r="F37" s="83" t="s">
        <v>63</v>
      </c>
      <c r="H37" s="16"/>
    </row>
    <row r="38" spans="1:12" ht="15.6" x14ac:dyDescent="0.3">
      <c r="A38">
        <v>0</v>
      </c>
      <c r="B38" s="5">
        <v>12000</v>
      </c>
      <c r="C38" s="7">
        <v>2.5999999999999999E-2</v>
      </c>
      <c r="D38" s="13">
        <v>0</v>
      </c>
      <c r="E38" s="13">
        <f>IF(AND($B$12&gt;=A38,$B$12&lt;B38),($B$12-A38)*C38,0)</f>
        <v>0</v>
      </c>
      <c r="F38" s="18">
        <f>(IF(E38=0,0,D38+E38))</f>
        <v>0</v>
      </c>
      <c r="H38" s="16"/>
    </row>
    <row r="39" spans="1:12" ht="15.6" x14ac:dyDescent="0.3">
      <c r="A39" s="5">
        <f>B38</f>
        <v>12000</v>
      </c>
      <c r="B39" s="5">
        <v>48000</v>
      </c>
      <c r="C39" s="7">
        <v>1.2500000000000001E-2</v>
      </c>
      <c r="D39" s="12">
        <v>312</v>
      </c>
      <c r="E39" s="13">
        <f t="shared" ref="E39" si="0">IF(AND($B$12&gt;=A39,$B$12&lt;B39),($B$12-A39)*C39,0)</f>
        <v>0</v>
      </c>
      <c r="F39" s="18">
        <f>(IF(E39=0,0,D39+E39))</f>
        <v>0</v>
      </c>
      <c r="H39" s="16"/>
    </row>
    <row r="40" spans="1:12" ht="15.6" x14ac:dyDescent="0.3">
      <c r="A40" s="27">
        <f>B39</f>
        <v>48000</v>
      </c>
      <c r="B40" s="5"/>
      <c r="C40" s="7">
        <v>0.01</v>
      </c>
      <c r="D40" s="12">
        <v>762</v>
      </c>
      <c r="E40" s="13">
        <f>IF($B$12&gt;=A40,($B$12-A40)*C40,0)</f>
        <v>180</v>
      </c>
      <c r="F40" s="35">
        <f>(IF(E40=0,0,D40+E40))</f>
        <v>942</v>
      </c>
      <c r="H40" s="16"/>
    </row>
    <row r="41" spans="1:12" x14ac:dyDescent="0.3">
      <c r="A41" s="13"/>
      <c r="B41" s="44"/>
      <c r="D41" s="13"/>
      <c r="E41" s="13"/>
      <c r="F41" s="13">
        <f>SUM(F38:F40)</f>
        <v>942</v>
      </c>
      <c r="G41" s="30"/>
      <c r="H41" s="16"/>
    </row>
    <row r="42" spans="1:12" x14ac:dyDescent="0.3">
      <c r="C42" s="13" t="s">
        <v>98</v>
      </c>
      <c r="D42" s="13">
        <v>350</v>
      </c>
      <c r="E42">
        <v>942</v>
      </c>
      <c r="F42" s="84">
        <f>IF(F41&lt;=D42,D42,IF(AND(F41&gt;D42,F41&lt;E42),F41,IF(F41&gt;=D42,E42)))</f>
        <v>942</v>
      </c>
      <c r="G42" s="30" t="s">
        <v>28</v>
      </c>
      <c r="H42" s="16"/>
    </row>
    <row r="43" spans="1:12" x14ac:dyDescent="0.3">
      <c r="C43" s="13"/>
      <c r="F43" s="18"/>
      <c r="G43" s="30"/>
      <c r="H43" s="16"/>
    </row>
    <row r="44" spans="1:12" x14ac:dyDescent="0.3">
      <c r="A44" s="13"/>
      <c r="B44" s="44"/>
      <c r="D44" s="13"/>
      <c r="E44" s="13"/>
      <c r="F44" s="13"/>
      <c r="G44" s="30"/>
      <c r="H44" s="16"/>
    </row>
    <row r="45" spans="1:12" x14ac:dyDescent="0.3">
      <c r="A45" s="13"/>
      <c r="B45" s="44"/>
      <c r="D45" s="13"/>
      <c r="E45" s="13"/>
      <c r="F45" s="13"/>
      <c r="G45" s="30"/>
      <c r="H45" s="16"/>
    </row>
    <row r="46" spans="1:12" x14ac:dyDescent="0.3">
      <c r="B46" s="44"/>
      <c r="D46" s="16"/>
      <c r="G46" s="30"/>
      <c r="H46" s="16"/>
    </row>
    <row r="47" spans="1:12" x14ac:dyDescent="0.3">
      <c r="A47" s="10" t="s">
        <v>99</v>
      </c>
      <c r="B47" s="44"/>
      <c r="D47" s="67" t="s">
        <v>62</v>
      </c>
      <c r="E47" s="83" t="s">
        <v>61</v>
      </c>
      <c r="F47" s="83" t="s">
        <v>63</v>
      </c>
      <c r="G47" s="30"/>
      <c r="H47" s="16"/>
    </row>
    <row r="48" spans="1:12" ht="15.6" x14ac:dyDescent="0.3">
      <c r="A48">
        <v>0</v>
      </c>
      <c r="B48" s="5">
        <v>12000</v>
      </c>
      <c r="C48" s="7">
        <v>2.5999999999999999E-2</v>
      </c>
      <c r="D48" s="13">
        <v>0</v>
      </c>
      <c r="E48" s="13">
        <f>IF(AND(($B$12+$B$4)&gt;=A48,($B$12+$B$4)&lt;B48),($B$12+$B$4-A48)*C48,0)</f>
        <v>0</v>
      </c>
      <c r="F48" s="18">
        <f t="shared" ref="F48:F50" si="1">(IF(E48=0,0,D48+E48))</f>
        <v>0</v>
      </c>
      <c r="G48" s="30"/>
      <c r="H48" s="16"/>
    </row>
    <row r="49" spans="1:12" ht="15.6" x14ac:dyDescent="0.3">
      <c r="A49" s="5">
        <f>B48</f>
        <v>12000</v>
      </c>
      <c r="B49" s="5">
        <v>48000</v>
      </c>
      <c r="C49" s="7">
        <v>1.2500000000000001E-2</v>
      </c>
      <c r="D49" s="12">
        <v>312</v>
      </c>
      <c r="E49" s="13">
        <f>IF(AND(($B$12+$B$4)&gt;=A49,($B$12+$B$4)&lt;B49),($B$12+$B$4-A49)*C49,0)</f>
        <v>0</v>
      </c>
      <c r="F49" s="18">
        <f t="shared" si="1"/>
        <v>0</v>
      </c>
      <c r="G49" s="30"/>
      <c r="H49" s="16"/>
    </row>
    <row r="50" spans="1:12" ht="15.6" x14ac:dyDescent="0.3">
      <c r="A50" s="27">
        <f>B49</f>
        <v>48000</v>
      </c>
      <c r="B50" s="5"/>
      <c r="C50" s="7">
        <v>0.01</v>
      </c>
      <c r="D50" s="12">
        <v>762</v>
      </c>
      <c r="E50" s="13">
        <f>IF(($B$12+$B$4)&gt;=A50,($B$12+$B$4-A50)*C50,0)</f>
        <v>180.01</v>
      </c>
      <c r="F50" s="35">
        <f t="shared" si="1"/>
        <v>942.01</v>
      </c>
      <c r="G50" s="30"/>
      <c r="H50" s="16"/>
    </row>
    <row r="51" spans="1:12" x14ac:dyDescent="0.3">
      <c r="A51" s="13"/>
      <c r="B51" s="44"/>
      <c r="D51" s="16"/>
      <c r="F51" s="18">
        <f>SUM(F48:F50)</f>
        <v>942.01</v>
      </c>
      <c r="G51" s="30"/>
      <c r="H51" s="16"/>
    </row>
    <row r="52" spans="1:12" x14ac:dyDescent="0.3">
      <c r="A52" s="13"/>
      <c r="B52" s="44"/>
      <c r="C52" s="13" t="s">
        <v>98</v>
      </c>
      <c r="D52" s="13">
        <v>350</v>
      </c>
      <c r="E52">
        <v>942</v>
      </c>
      <c r="F52" s="84">
        <f>IF(F51&lt;=D52,D52,IF(AND(F51&gt;D52,F51&lt;E52),F51,IF(F51&gt;=D52,E52)))</f>
        <v>942</v>
      </c>
      <c r="G52" s="30" t="s">
        <v>29</v>
      </c>
      <c r="H52" s="16"/>
    </row>
    <row r="53" spans="1:12" x14ac:dyDescent="0.3">
      <c r="A53" s="13"/>
      <c r="B53" s="44"/>
      <c r="D53" s="16"/>
      <c r="F53" s="18"/>
      <c r="G53" s="30"/>
      <c r="H53" s="16"/>
    </row>
    <row r="54" spans="1:12" x14ac:dyDescent="0.3">
      <c r="A54" s="13"/>
      <c r="B54" s="44"/>
      <c r="D54" s="16"/>
      <c r="E54" s="85" t="s">
        <v>97</v>
      </c>
      <c r="F54" s="18">
        <f>F52-F42</f>
        <v>0</v>
      </c>
      <c r="G54" s="30" t="s">
        <v>100</v>
      </c>
      <c r="H54" s="16"/>
    </row>
    <row r="55" spans="1:12" x14ac:dyDescent="0.3">
      <c r="A55" s="13"/>
      <c r="B55" s="44"/>
      <c r="D55" s="16"/>
      <c r="F55" s="18"/>
      <c r="G55" s="30"/>
      <c r="H55" s="16"/>
    </row>
    <row r="56" spans="1:12" x14ac:dyDescent="0.3">
      <c r="A56" s="13"/>
      <c r="B56" s="44"/>
      <c r="D56" s="16"/>
      <c r="F56" s="18"/>
      <c r="H56" s="16"/>
    </row>
    <row r="57" spans="1:12" x14ac:dyDescent="0.3">
      <c r="A57" s="2" t="s">
        <v>12</v>
      </c>
      <c r="E57" s="36"/>
      <c r="F57" s="21"/>
      <c r="G57" s="4"/>
      <c r="H57" s="4"/>
      <c r="I57" s="16"/>
    </row>
    <row r="58" spans="1:12" x14ac:dyDescent="0.3">
      <c r="B58" s="11"/>
      <c r="C58" t="s">
        <v>13</v>
      </c>
      <c r="H58" s="36"/>
      <c r="J58" s="4"/>
      <c r="K58" s="4"/>
      <c r="L58" s="16"/>
    </row>
    <row r="59" spans="1:12" x14ac:dyDescent="0.3">
      <c r="H59" s="36"/>
      <c r="I59" s="18"/>
      <c r="J59" s="4"/>
      <c r="K59" s="4"/>
      <c r="L59" s="16"/>
    </row>
    <row r="60" spans="1:12" x14ac:dyDescent="0.3">
      <c r="A60" t="s">
        <v>19</v>
      </c>
      <c r="B60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0.20499999999999999</v>
      </c>
      <c r="C60" t="s">
        <v>15</v>
      </c>
      <c r="H60" s="43"/>
      <c r="K60" s="4"/>
      <c r="L60" s="16"/>
    </row>
    <row r="61" spans="1:12" x14ac:dyDescent="0.3">
      <c r="B61" s="37">
        <f>-IF(B12&gt;=B24,0,IF(B12&lt;B24,IF((B12+B4)&gt;B24,(B24-B12)*D18,B4*D18)))</f>
        <v>0</v>
      </c>
      <c r="C61" t="s">
        <v>31</v>
      </c>
      <c r="H61" s="43"/>
      <c r="K61" s="4"/>
      <c r="L61" s="16"/>
    </row>
    <row r="62" spans="1:12" x14ac:dyDescent="0.3">
      <c r="B62" s="12">
        <f>IF(AND((B4+B12)&gt;=B28,(B4+B12)&lt;=C28),B4*D28,IF(AND((B4+B12)&gt;B29,(B4+B12)&lt;=C29),IF((B4+B12-B29)&gt;B4,B4*D29,((B4+B12-B29)*D29)+((B4-(B4+B12-B29))*D28)),IF(AND((B4+B12)&gt;B30,(B4+B12)&lt;=C30),IF((B4+B12-B30)&gt;B4,B4*D30,IF((B4+B12-B29)&gt;B4,(((B4+B12-B30)*D30)+((B4-(B4+B12-B30))*D29)),((B4+B12-B30)*D30)+((C29-B29)*D29)+((B4-(B4+B12-B29))*D28))),IF((B4+B12)&gt;B31,IF((B4+B12-B31)&gt;B4,B4*D31,IF((B4+B12-B30)&gt;B4,(((B4+B12-B31)*D31)+((B4-(B4+B12-B31))*D30)),IF((B4+B12-B29)&gt;B4,(((B4+B12-B31)*D31)+((C30-B30)*D30)+((B4-(B4+B12-B30))*D29)),((B4+B12-B31)*D31)+((C30-B30)*D30)+((C29-B29)*D29)+((B4-(B4+B12-B29))*D28))))))))</f>
        <v>8.5999999999999993E-2</v>
      </c>
      <c r="C62" t="s">
        <v>16</v>
      </c>
    </row>
    <row r="63" spans="1:12" x14ac:dyDescent="0.3">
      <c r="B63" s="39">
        <f>-IF(B12&gt;=B33,0,IF(B12&lt;B33,IF((B12+B4)&gt;B33,(B33-B12)*D28,B4*D28)))</f>
        <v>0</v>
      </c>
      <c r="C63" t="s">
        <v>33</v>
      </c>
    </row>
    <row r="64" spans="1:12" x14ac:dyDescent="0.3">
      <c r="B64" s="38">
        <f>-F54</f>
        <v>0</v>
      </c>
      <c r="C64" t="s">
        <v>95</v>
      </c>
    </row>
    <row r="65" spans="1:17" x14ac:dyDescent="0.3">
      <c r="A65" s="10" t="s">
        <v>21</v>
      </c>
      <c r="B65" s="45">
        <f>SUM(B60:B64)</f>
        <v>0.29099999999999998</v>
      </c>
      <c r="F65" s="47"/>
      <c r="G65" s="47"/>
      <c r="H65" s="46"/>
      <c r="I65" s="47"/>
      <c r="J65" s="47"/>
      <c r="K65" s="49"/>
      <c r="L65" s="48"/>
      <c r="M65" s="47"/>
    </row>
    <row r="66" spans="1:17" x14ac:dyDescent="0.3">
      <c r="E66" s="18"/>
      <c r="F66" s="49"/>
      <c r="G66" s="47"/>
      <c r="H66" s="46"/>
      <c r="I66" s="49"/>
      <c r="J66" s="49"/>
      <c r="K66" s="47"/>
      <c r="L66" s="47"/>
      <c r="M66" s="47"/>
      <c r="Q66" s="15"/>
    </row>
    <row r="67" spans="1:17" x14ac:dyDescent="0.3">
      <c r="B67" s="13"/>
      <c r="F67" s="47"/>
      <c r="G67" s="47"/>
      <c r="H67" s="46"/>
      <c r="I67" s="47"/>
      <c r="J67" s="47"/>
      <c r="K67" s="47"/>
      <c r="L67" s="47"/>
      <c r="M67" s="47"/>
    </row>
    <row r="68" spans="1:17" x14ac:dyDescent="0.3">
      <c r="A68" s="19" t="s">
        <v>36</v>
      </c>
      <c r="B68" s="13"/>
      <c r="F68" s="47"/>
      <c r="G68" s="47"/>
      <c r="H68" s="46"/>
      <c r="I68" s="46"/>
      <c r="J68" s="49"/>
      <c r="K68" s="47"/>
      <c r="L68" s="47"/>
      <c r="M68" s="47"/>
    </row>
    <row r="69" spans="1:17" x14ac:dyDescent="0.3">
      <c r="A69" t="s">
        <v>113</v>
      </c>
      <c r="B69" s="13">
        <f>SUM(B60:B61)</f>
        <v>0.20499999999999999</v>
      </c>
      <c r="F69" s="47"/>
      <c r="G69" s="47"/>
      <c r="H69" s="46"/>
      <c r="I69" s="47"/>
      <c r="J69" s="47"/>
      <c r="K69" s="47"/>
      <c r="L69" s="47"/>
      <c r="M69" s="47"/>
    </row>
    <row r="70" spans="1:17" x14ac:dyDescent="0.3">
      <c r="A70" t="s">
        <v>114</v>
      </c>
      <c r="B70" s="84">
        <f>SUM(B62:B63)</f>
        <v>8.5999999999999993E-2</v>
      </c>
      <c r="F70" s="47"/>
      <c r="G70" s="47"/>
      <c r="H70" s="46"/>
      <c r="I70" s="49"/>
      <c r="J70" s="49"/>
      <c r="K70" s="47"/>
      <c r="L70" s="47"/>
      <c r="M70" s="47"/>
    </row>
    <row r="71" spans="1:17" x14ac:dyDescent="0.3">
      <c r="A71" t="s">
        <v>112</v>
      </c>
      <c r="B71" s="42">
        <f>B64</f>
        <v>0</v>
      </c>
      <c r="F71" s="47"/>
      <c r="G71" s="47"/>
      <c r="H71" s="46"/>
      <c r="I71" s="47"/>
      <c r="J71" s="47"/>
      <c r="K71" s="47"/>
      <c r="L71" s="47"/>
      <c r="M71" s="47"/>
    </row>
    <row r="72" spans="1:17" x14ac:dyDescent="0.3">
      <c r="B72" s="13">
        <f>SUM(B69:B71)</f>
        <v>0.29099999999999998</v>
      </c>
      <c r="F72" s="47"/>
      <c r="G72" s="47"/>
      <c r="H72" s="46"/>
      <c r="I72" s="46"/>
      <c r="J72" s="49"/>
      <c r="K72" s="47"/>
      <c r="L72" s="47"/>
      <c r="M72" s="47"/>
    </row>
    <row r="73" spans="1:17" x14ac:dyDescent="0.3">
      <c r="B73" s="13"/>
      <c r="F73" s="47"/>
      <c r="G73" s="47"/>
      <c r="H73" s="46"/>
      <c r="I73" s="47"/>
      <c r="J73" s="47"/>
      <c r="K73" s="47"/>
      <c r="L73" s="47"/>
      <c r="M73" s="47"/>
    </row>
    <row r="74" spans="1:17" x14ac:dyDescent="0.3">
      <c r="B74" s="13"/>
      <c r="F74" s="47"/>
      <c r="G74" s="47"/>
      <c r="H74" s="46"/>
      <c r="I74" s="49"/>
      <c r="J74" s="49"/>
      <c r="K74" s="47"/>
      <c r="L74" s="47"/>
      <c r="M74" s="47"/>
    </row>
    <row r="75" spans="1:17" x14ac:dyDescent="0.3">
      <c r="B75" s="13"/>
      <c r="F75" s="47"/>
      <c r="G75" s="47"/>
      <c r="H75" s="46"/>
      <c r="I75" s="47"/>
      <c r="J75" s="47"/>
      <c r="K75" s="47"/>
      <c r="L75" s="47"/>
      <c r="M75" s="47"/>
    </row>
    <row r="76" spans="1:17" x14ac:dyDescent="0.3">
      <c r="B76" s="15"/>
      <c r="F76" s="47"/>
      <c r="G76" s="47"/>
      <c r="H76" s="50"/>
      <c r="I76" s="47"/>
      <c r="J76" s="47"/>
      <c r="K76" s="47"/>
      <c r="L76" s="47"/>
      <c r="M76" s="47"/>
    </row>
    <row r="77" spans="1:17" x14ac:dyDescent="0.3">
      <c r="F77" s="47"/>
      <c r="G77" s="47"/>
      <c r="H77" s="46"/>
      <c r="I77" s="47"/>
      <c r="J77" s="47"/>
      <c r="K77" s="47"/>
      <c r="L77" s="47"/>
      <c r="M77" s="47"/>
    </row>
    <row r="78" spans="1:17" x14ac:dyDescent="0.3">
      <c r="F78" s="47"/>
      <c r="G78" s="47"/>
      <c r="H78" s="46"/>
      <c r="I78" s="48"/>
      <c r="J78" s="48"/>
      <c r="K78" s="47"/>
      <c r="L78" s="47"/>
      <c r="M78" s="47"/>
    </row>
    <row r="79" spans="1:17" x14ac:dyDescent="0.3">
      <c r="F79" s="47"/>
      <c r="G79" s="47"/>
      <c r="H79" s="46"/>
      <c r="I79" s="47"/>
      <c r="J79" s="47"/>
      <c r="K79" s="47"/>
      <c r="L79" s="47"/>
      <c r="M79" s="47"/>
    </row>
    <row r="80" spans="1:17" x14ac:dyDescent="0.3">
      <c r="H80" s="12"/>
    </row>
    <row r="82" spans="8:13" x14ac:dyDescent="0.3">
      <c r="H82" s="40"/>
      <c r="M82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7" zoomScale="85" zoomScaleNormal="85" workbookViewId="0">
      <selection activeCell="B21" sqref="B21:D37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23</v>
      </c>
      <c r="F1" t="s">
        <v>27</v>
      </c>
      <c r="I1" s="30" t="s">
        <v>30</v>
      </c>
    </row>
    <row r="2" spans="1:14" x14ac:dyDescent="0.3">
      <c r="A2" s="2" t="s">
        <v>1</v>
      </c>
      <c r="E2" t="s">
        <v>24</v>
      </c>
      <c r="F2" t="s">
        <v>26</v>
      </c>
      <c r="I2" s="30" t="s">
        <v>70</v>
      </c>
    </row>
    <row r="3" spans="1:14" x14ac:dyDescent="0.3">
      <c r="A3" s="3" t="s">
        <v>25</v>
      </c>
      <c r="H3" s="46"/>
      <c r="I3" s="46"/>
      <c r="J3" s="49"/>
      <c r="K3" s="47"/>
      <c r="L3" s="21"/>
      <c r="M3" s="21"/>
      <c r="N3" s="21"/>
    </row>
    <row r="4" spans="1:14" x14ac:dyDescent="0.3">
      <c r="E4" t="s">
        <v>55</v>
      </c>
      <c r="F4" t="s">
        <v>23</v>
      </c>
      <c r="H4" s="47"/>
      <c r="I4" s="46"/>
      <c r="J4" s="46"/>
      <c r="K4" s="49"/>
      <c r="L4" s="21"/>
      <c r="M4" s="21"/>
      <c r="N4" s="21"/>
    </row>
    <row r="5" spans="1:14" x14ac:dyDescent="0.3">
      <c r="A5" t="s">
        <v>25</v>
      </c>
      <c r="B5" s="56">
        <v>2000</v>
      </c>
      <c r="E5" t="s">
        <v>56</v>
      </c>
      <c r="F5" t="s">
        <v>24</v>
      </c>
      <c r="H5" s="21"/>
      <c r="I5" s="37"/>
      <c r="J5" s="37"/>
      <c r="K5" s="37"/>
      <c r="L5" s="21"/>
      <c r="M5" s="21"/>
      <c r="N5" s="21"/>
    </row>
    <row r="6" spans="1:14" ht="28.8" x14ac:dyDescent="0.3">
      <c r="A6" s="28" t="s">
        <v>39</v>
      </c>
      <c r="B6" s="34" t="s">
        <v>26</v>
      </c>
      <c r="E6" s="30"/>
      <c r="F6" t="s">
        <v>60</v>
      </c>
      <c r="H6" s="21"/>
      <c r="I6" s="12"/>
      <c r="J6" s="37"/>
      <c r="K6" s="37"/>
      <c r="L6" s="21"/>
      <c r="M6" s="21"/>
      <c r="N6" s="21"/>
    </row>
    <row r="7" spans="1:14" x14ac:dyDescent="0.3">
      <c r="A7" s="28" t="s">
        <v>38</v>
      </c>
      <c r="B7" s="34" t="s">
        <v>24</v>
      </c>
      <c r="E7" s="30"/>
      <c r="F7" s="30"/>
      <c r="H7" s="21"/>
      <c r="I7" s="46"/>
      <c r="J7" s="47"/>
      <c r="K7" s="39"/>
      <c r="L7" s="21"/>
      <c r="M7" s="21"/>
      <c r="N7" s="21"/>
    </row>
    <row r="8" spans="1:14" x14ac:dyDescent="0.3">
      <c r="A8" s="28"/>
      <c r="E8" s="47"/>
      <c r="F8" s="47"/>
      <c r="G8" s="47"/>
      <c r="H8" s="47"/>
      <c r="I8" s="49"/>
      <c r="J8" s="46"/>
      <c r="K8" s="46"/>
      <c r="L8" s="21"/>
      <c r="M8" s="21"/>
      <c r="N8" s="21"/>
    </row>
    <row r="9" spans="1:14" x14ac:dyDescent="0.3">
      <c r="A9" s="30" t="s">
        <v>59</v>
      </c>
      <c r="D9" s="47"/>
      <c r="E9" s="47"/>
      <c r="F9" s="46"/>
      <c r="G9" s="47"/>
      <c r="H9" s="76"/>
      <c r="I9" s="76"/>
      <c r="J9" s="47"/>
      <c r="K9" s="47"/>
      <c r="L9" s="47"/>
      <c r="M9" s="47"/>
      <c r="N9" s="21"/>
    </row>
    <row r="10" spans="1:14" x14ac:dyDescent="0.3">
      <c r="A10" s="28" t="s">
        <v>57</v>
      </c>
      <c r="B10" s="1" t="s">
        <v>55</v>
      </c>
      <c r="D10" s="47"/>
      <c r="E10" s="47"/>
      <c r="F10" s="46"/>
      <c r="G10" s="47"/>
      <c r="H10" s="76"/>
      <c r="I10" s="76"/>
      <c r="J10" s="80"/>
      <c r="K10" s="80"/>
      <c r="L10" s="80"/>
      <c r="M10" s="80"/>
      <c r="N10" s="21"/>
    </row>
    <row r="11" spans="1:14" x14ac:dyDescent="0.3">
      <c r="A11" s="28" t="s">
        <v>58</v>
      </c>
      <c r="B11" s="1">
        <v>200</v>
      </c>
      <c r="D11" s="47"/>
      <c r="E11" s="47"/>
      <c r="F11" s="46"/>
      <c r="G11" s="47"/>
      <c r="H11" s="76"/>
      <c r="I11" s="76"/>
      <c r="J11" s="80"/>
      <c r="K11" s="80"/>
      <c r="L11" s="80"/>
      <c r="M11" s="80"/>
      <c r="N11" s="21"/>
    </row>
    <row r="12" spans="1:14" s="21" customFormat="1" x14ac:dyDescent="0.3">
      <c r="A12" s="57"/>
      <c r="B12"/>
      <c r="D12" s="47"/>
      <c r="E12" s="47"/>
      <c r="F12" s="46"/>
      <c r="G12" s="47"/>
      <c r="H12" s="76"/>
      <c r="I12" s="76"/>
      <c r="J12" s="80"/>
      <c r="K12" s="80"/>
      <c r="L12" s="80"/>
      <c r="M12" s="80"/>
    </row>
    <row r="13" spans="1:14" x14ac:dyDescent="0.3">
      <c r="A13" s="2" t="s">
        <v>4</v>
      </c>
      <c r="D13" s="47"/>
      <c r="E13" s="47"/>
      <c r="F13" s="46"/>
      <c r="G13" s="76"/>
      <c r="H13" s="76"/>
      <c r="I13" s="76"/>
      <c r="J13" s="39"/>
      <c r="K13" s="39"/>
      <c r="L13" s="47"/>
      <c r="M13" s="47"/>
      <c r="N13" s="21"/>
    </row>
    <row r="14" spans="1:14" x14ac:dyDescent="0.3">
      <c r="A14" t="s">
        <v>5</v>
      </c>
      <c r="B14" s="1" t="s">
        <v>90</v>
      </c>
      <c r="D14" s="47"/>
      <c r="E14" s="47"/>
      <c r="F14" s="46"/>
      <c r="G14" s="47"/>
      <c r="H14" s="76"/>
      <c r="I14" s="76"/>
      <c r="J14" s="47"/>
      <c r="K14" s="47"/>
      <c r="L14" s="47"/>
      <c r="M14" s="47"/>
      <c r="N14" s="21"/>
    </row>
    <row r="15" spans="1:14" x14ac:dyDescent="0.3">
      <c r="D15" s="47"/>
      <c r="E15" s="47"/>
      <c r="F15" s="47"/>
      <c r="G15" s="47"/>
      <c r="H15" s="76"/>
      <c r="I15" s="76"/>
      <c r="J15" s="47"/>
      <c r="K15" s="47"/>
      <c r="L15" s="47"/>
      <c r="M15" s="47"/>
      <c r="N15" s="21"/>
    </row>
    <row r="16" spans="1:14" x14ac:dyDescent="0.3">
      <c r="D16" s="47"/>
      <c r="E16" s="47"/>
      <c r="F16" s="78"/>
      <c r="G16" s="47"/>
      <c r="H16" s="76"/>
      <c r="I16" s="76"/>
      <c r="J16" s="47"/>
      <c r="K16" s="47"/>
      <c r="L16" s="47"/>
      <c r="M16" s="47"/>
      <c r="N16" s="21"/>
    </row>
    <row r="17" spans="1:14" x14ac:dyDescent="0.3">
      <c r="D17" s="47"/>
      <c r="E17" s="47"/>
      <c r="F17" s="47"/>
      <c r="G17" s="76"/>
      <c r="H17" s="76"/>
      <c r="I17" s="76"/>
      <c r="J17" s="47"/>
      <c r="K17" s="47"/>
      <c r="L17" s="47"/>
      <c r="M17" s="47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</row>
    <row r="21" spans="1:14" x14ac:dyDescent="0.3">
      <c r="B21" s="93" t="s">
        <v>20</v>
      </c>
      <c r="C21" s="21"/>
      <c r="D21" s="21"/>
      <c r="E21" s="21"/>
      <c r="F21" s="93"/>
      <c r="G21" s="21"/>
      <c r="H21" s="21"/>
    </row>
    <row r="22" spans="1:14" ht="15.6" x14ac:dyDescent="0.3">
      <c r="A22" t="s">
        <v>9</v>
      </c>
      <c r="B22" s="52">
        <v>0</v>
      </c>
      <c r="C22" s="27">
        <v>45282</v>
      </c>
      <c r="D22" s="94">
        <v>0.15</v>
      </c>
      <c r="E22" s="21"/>
      <c r="F22" s="52"/>
      <c r="G22" s="27"/>
      <c r="H22" s="94"/>
      <c r="N22" s="6"/>
    </row>
    <row r="23" spans="1:14" ht="15.6" x14ac:dyDescent="0.3">
      <c r="A23" t="s">
        <v>10</v>
      </c>
      <c r="B23" s="27">
        <f>C22</f>
        <v>45282</v>
      </c>
      <c r="C23" s="27">
        <v>90563</v>
      </c>
      <c r="D23" s="66">
        <v>0.20499999999999999</v>
      </c>
      <c r="E23" s="21"/>
      <c r="F23" s="27"/>
      <c r="G23" s="27"/>
      <c r="H23" s="66"/>
      <c r="N23" s="7"/>
    </row>
    <row r="24" spans="1:14" ht="15.6" x14ac:dyDescent="0.3">
      <c r="A24" t="s">
        <v>10</v>
      </c>
      <c r="B24" s="27">
        <f>C23</f>
        <v>90563</v>
      </c>
      <c r="C24" s="27">
        <v>140388</v>
      </c>
      <c r="D24" s="66">
        <v>0.26</v>
      </c>
      <c r="E24" s="21"/>
      <c r="F24" s="27"/>
      <c r="G24" s="27"/>
      <c r="H24" s="66"/>
      <c r="N24" s="7"/>
    </row>
    <row r="25" spans="1:14" ht="15.6" x14ac:dyDescent="0.3">
      <c r="A25" t="s">
        <v>10</v>
      </c>
      <c r="B25" s="27">
        <f>C24</f>
        <v>140388</v>
      </c>
      <c r="C25" s="27">
        <v>200000</v>
      </c>
      <c r="D25" s="66">
        <v>0.28999999999999998</v>
      </c>
      <c r="E25" s="21"/>
      <c r="F25" s="27"/>
      <c r="G25" s="27"/>
      <c r="H25" s="66"/>
      <c r="N25" s="7"/>
    </row>
    <row r="26" spans="1:14" ht="15.6" x14ac:dyDescent="0.3">
      <c r="B26" s="27">
        <f>C25</f>
        <v>200000</v>
      </c>
      <c r="C26" s="21"/>
      <c r="D26" s="66">
        <v>0.33</v>
      </c>
      <c r="E26" s="21"/>
      <c r="F26" s="27"/>
      <c r="G26" s="21"/>
      <c r="H26" s="66"/>
      <c r="N26" s="7"/>
    </row>
    <row r="27" spans="1:14" x14ac:dyDescent="0.3">
      <c r="B27" s="21"/>
      <c r="C27" s="93"/>
      <c r="D27" s="21"/>
      <c r="E27" s="21"/>
      <c r="F27" s="21"/>
      <c r="G27" s="21"/>
      <c r="H27" s="12"/>
    </row>
    <row r="28" spans="1:14" ht="15.6" x14ac:dyDescent="0.3">
      <c r="A28" t="s">
        <v>35</v>
      </c>
      <c r="B28" s="27">
        <v>11474</v>
      </c>
      <c r="C28" s="27"/>
      <c r="D28" s="21"/>
      <c r="E28" s="21"/>
      <c r="F28" s="21"/>
      <c r="G28" s="52"/>
      <c r="H28" s="12"/>
    </row>
    <row r="29" spans="1:14" x14ac:dyDescent="0.3">
      <c r="B29" s="21"/>
      <c r="C29" s="21"/>
      <c r="D29" s="21"/>
      <c r="E29" s="21"/>
      <c r="F29" s="21"/>
      <c r="G29" s="21"/>
      <c r="H29" s="12"/>
    </row>
    <row r="30" spans="1:14" x14ac:dyDescent="0.3">
      <c r="A30" s="3" t="s">
        <v>11</v>
      </c>
      <c r="B30" s="21"/>
      <c r="C30" s="21"/>
      <c r="D30" s="21"/>
      <c r="E30" s="21"/>
      <c r="F30" s="21"/>
      <c r="G30" s="21"/>
      <c r="H30" s="12"/>
    </row>
    <row r="31" spans="1:14" x14ac:dyDescent="0.3">
      <c r="A31" s="10" t="s">
        <v>90</v>
      </c>
      <c r="B31" s="93" t="s">
        <v>20</v>
      </c>
      <c r="C31" s="21"/>
      <c r="D31" s="21"/>
      <c r="E31" s="21"/>
      <c r="F31" s="93"/>
      <c r="G31" s="21"/>
      <c r="H31" s="21"/>
      <c r="I31" s="47"/>
      <c r="J31" s="32"/>
      <c r="K31" s="70"/>
    </row>
    <row r="32" spans="1:14" ht="15.6" x14ac:dyDescent="0.3">
      <c r="A32" t="s">
        <v>9</v>
      </c>
      <c r="B32" s="21">
        <v>0</v>
      </c>
      <c r="C32" s="27">
        <v>41011</v>
      </c>
      <c r="D32" s="66">
        <v>5.8999999999999997E-2</v>
      </c>
      <c r="E32" s="21"/>
      <c r="F32" s="21"/>
      <c r="G32" s="27"/>
      <c r="H32" s="66"/>
      <c r="I32" s="47"/>
      <c r="J32" s="66"/>
      <c r="K32" s="21"/>
    </row>
    <row r="33" spans="1:14" ht="15.6" x14ac:dyDescent="0.3">
      <c r="A33" t="s">
        <v>10</v>
      </c>
      <c r="B33" s="27">
        <f>C32</f>
        <v>41011</v>
      </c>
      <c r="C33" s="27">
        <v>82024</v>
      </c>
      <c r="D33" s="66">
        <v>8.5999999999999993E-2</v>
      </c>
      <c r="E33" s="21"/>
      <c r="F33" s="27"/>
      <c r="G33" s="27"/>
      <c r="H33" s="66"/>
      <c r="I33" s="47"/>
      <c r="J33" s="71"/>
      <c r="K33" s="53"/>
      <c r="L33" s="15"/>
    </row>
    <row r="34" spans="1:14" ht="15.6" x14ac:dyDescent="0.3">
      <c r="A34" t="s">
        <v>10</v>
      </c>
      <c r="B34" s="27">
        <f>C33</f>
        <v>82024</v>
      </c>
      <c r="C34" s="27">
        <v>133353</v>
      </c>
      <c r="D34" s="66">
        <v>0.122</v>
      </c>
      <c r="E34" s="21"/>
      <c r="F34" s="27"/>
      <c r="G34" s="27"/>
      <c r="H34" s="66"/>
      <c r="I34" s="47"/>
      <c r="J34" s="71"/>
      <c r="K34" s="52"/>
      <c r="L34" s="13"/>
      <c r="N34" s="18"/>
    </row>
    <row r="35" spans="1:14" ht="15.6" x14ac:dyDescent="0.3">
      <c r="A35" t="s">
        <v>10</v>
      </c>
      <c r="B35" s="27">
        <f>C34</f>
        <v>133353</v>
      </c>
      <c r="C35" s="27"/>
      <c r="D35" s="66">
        <v>0.14050000000000001</v>
      </c>
      <c r="E35" s="21"/>
      <c r="F35" s="27"/>
      <c r="G35" s="27"/>
      <c r="H35" s="66"/>
      <c r="I35" s="47"/>
      <c r="J35" s="71"/>
      <c r="K35" s="52"/>
      <c r="L35" s="13"/>
      <c r="N35" s="4"/>
    </row>
    <row r="36" spans="1:14" x14ac:dyDescent="0.3">
      <c r="B36" s="21"/>
      <c r="C36" s="93"/>
      <c r="D36" s="21"/>
      <c r="E36" s="21"/>
      <c r="F36" s="21"/>
      <c r="G36" s="21"/>
      <c r="H36" s="45"/>
      <c r="I36" s="47"/>
      <c r="J36" s="72"/>
      <c r="K36" s="20"/>
      <c r="L36" s="26"/>
    </row>
    <row r="37" spans="1:14" ht="15.6" x14ac:dyDescent="0.3">
      <c r="A37" t="s">
        <v>33</v>
      </c>
      <c r="B37" s="27">
        <v>14081</v>
      </c>
      <c r="C37" s="27"/>
      <c r="D37" s="21"/>
      <c r="H37" s="41"/>
      <c r="I37" s="47"/>
      <c r="J37" s="72"/>
      <c r="K37" s="20"/>
      <c r="L37" s="26"/>
    </row>
    <row r="38" spans="1:14" x14ac:dyDescent="0.3">
      <c r="B38" s="4"/>
      <c r="C38" s="4"/>
      <c r="D38" t="s">
        <v>34</v>
      </c>
      <c r="E38" s="13"/>
      <c r="F38" s="44"/>
      <c r="H38" s="16"/>
      <c r="I38" s="47"/>
      <c r="J38" s="21"/>
      <c r="K38" s="21"/>
    </row>
    <row r="39" spans="1:14" x14ac:dyDescent="0.3">
      <c r="B39" s="4"/>
      <c r="C39" s="4"/>
      <c r="E39" s="13"/>
      <c r="F39" s="44"/>
      <c r="H39" s="16"/>
      <c r="I39" s="47"/>
      <c r="J39" s="21"/>
      <c r="K39" s="21"/>
    </row>
    <row r="40" spans="1:14" x14ac:dyDescent="0.3">
      <c r="A40" s="3" t="s">
        <v>95</v>
      </c>
      <c r="B40" s="4"/>
      <c r="C40" s="4"/>
      <c r="E40" s="13"/>
      <c r="F40" s="44"/>
      <c r="H40" s="16"/>
    </row>
    <row r="41" spans="1:14" x14ac:dyDescent="0.3">
      <c r="A41" s="10" t="s">
        <v>96</v>
      </c>
      <c r="B41" s="44"/>
      <c r="D41" s="67" t="s">
        <v>62</v>
      </c>
      <c r="E41" s="83" t="s">
        <v>61</v>
      </c>
      <c r="F41" s="83" t="s">
        <v>63</v>
      </c>
      <c r="H41" s="16"/>
    </row>
    <row r="42" spans="1:14" ht="15.6" x14ac:dyDescent="0.3">
      <c r="A42">
        <v>0</v>
      </c>
      <c r="B42" s="5">
        <v>12000</v>
      </c>
      <c r="C42" s="7">
        <v>2.5999999999999999E-2</v>
      </c>
      <c r="D42" s="13">
        <v>0</v>
      </c>
      <c r="E42" s="13">
        <f>IF(AND($B$18&gt;=A42,$B$18&lt;B42),($B$18-A42)*C42,0)</f>
        <v>0</v>
      </c>
      <c r="F42" s="18">
        <f>(IF(E42=0,0,D42+E42))</f>
        <v>0</v>
      </c>
      <c r="H42" s="16"/>
    </row>
    <row r="43" spans="1:14" ht="15.6" x14ac:dyDescent="0.3">
      <c r="A43" s="5">
        <f>B42</f>
        <v>12000</v>
      </c>
      <c r="B43" s="5">
        <v>48000</v>
      </c>
      <c r="C43" s="7">
        <v>1.2500000000000001E-2</v>
      </c>
      <c r="D43" s="12">
        <v>312</v>
      </c>
      <c r="E43" s="13">
        <f>IF(AND($B$18&gt;=A43,$B$18&lt;B43),($B$18-A43)*C43,0)</f>
        <v>0</v>
      </c>
      <c r="F43" s="18">
        <f>(IF(E43=0,0,D43+E43))</f>
        <v>0</v>
      </c>
      <c r="H43" s="16"/>
    </row>
    <row r="44" spans="1:14" ht="15.6" x14ac:dyDescent="0.3">
      <c r="A44" s="27">
        <f>B43</f>
        <v>48000</v>
      </c>
      <c r="B44" s="5"/>
      <c r="C44" s="7">
        <v>0.01</v>
      </c>
      <c r="D44" s="12">
        <v>762</v>
      </c>
      <c r="E44" s="13">
        <f>IF($B$18&gt;=A44,($B$18-A44)*C44,0)</f>
        <v>910</v>
      </c>
      <c r="F44" s="35">
        <f>(IF(E44=0,0,D44+E44))</f>
        <v>1672</v>
      </c>
      <c r="H44" s="16"/>
    </row>
    <row r="45" spans="1:14" x14ac:dyDescent="0.3">
      <c r="A45" s="13"/>
      <c r="B45" s="44"/>
      <c r="D45" s="13"/>
      <c r="E45" s="13"/>
      <c r="F45" s="13">
        <f>SUM(F42:F44)</f>
        <v>1672</v>
      </c>
      <c r="G45" s="30"/>
      <c r="H45" s="16"/>
    </row>
    <row r="46" spans="1:14" x14ac:dyDescent="0.3">
      <c r="C46" s="13" t="s">
        <v>98</v>
      </c>
      <c r="D46" s="13">
        <v>350</v>
      </c>
      <c r="E46">
        <v>942</v>
      </c>
      <c r="F46" s="84">
        <f>IF(F45&lt;=D46,D46,IF(AND(F45&gt;D46,F45&lt;E46),F45,IF(F45&gt;=D46,E46)))</f>
        <v>942</v>
      </c>
      <c r="G46" s="30" t="s">
        <v>28</v>
      </c>
      <c r="H46" s="16"/>
    </row>
    <row r="47" spans="1:14" x14ac:dyDescent="0.3">
      <c r="C47" s="13"/>
      <c r="F47" s="18"/>
      <c r="G47" s="30"/>
      <c r="H47" s="16"/>
    </row>
    <row r="48" spans="1:14" x14ac:dyDescent="0.3">
      <c r="A48" s="13"/>
      <c r="B48" s="44"/>
      <c r="D48" s="13"/>
      <c r="E48" s="13"/>
      <c r="F48" s="13"/>
      <c r="G48" s="30"/>
      <c r="H48" s="16"/>
    </row>
    <row r="49" spans="1:17" x14ac:dyDescent="0.3">
      <c r="A49" s="13"/>
      <c r="B49" s="44"/>
      <c r="D49" s="13"/>
      <c r="E49" s="13"/>
      <c r="F49" s="13"/>
      <c r="G49" s="30"/>
      <c r="H49" s="16"/>
    </row>
    <row r="50" spans="1:17" x14ac:dyDescent="0.3">
      <c r="B50" s="44"/>
      <c r="D50" s="16"/>
      <c r="G50" s="30"/>
      <c r="H50" s="16"/>
    </row>
    <row r="51" spans="1:17" x14ac:dyDescent="0.3">
      <c r="A51" s="10" t="s">
        <v>99</v>
      </c>
      <c r="B51" s="44"/>
      <c r="D51" s="67" t="s">
        <v>62</v>
      </c>
      <c r="E51" s="83" t="s">
        <v>61</v>
      </c>
      <c r="F51" s="83" t="s">
        <v>63</v>
      </c>
      <c r="G51" s="30"/>
      <c r="H51" s="16"/>
    </row>
    <row r="52" spans="1:17" ht="15.6" x14ac:dyDescent="0.3">
      <c r="A52">
        <v>0</v>
      </c>
      <c r="B52" s="5">
        <v>12000</v>
      </c>
      <c r="C52" s="7">
        <v>2.5999999999999999E-2</v>
      </c>
      <c r="D52" s="13">
        <v>0</v>
      </c>
      <c r="E52" s="13">
        <f ca="1">IF(AND(($B$18+$B$5+$B$86)&gt;=A52,($B$18+$B$5+$B$86)&lt;B52),($B$18+$B$5+$B$86-A52)*C52,0)</f>
        <v>0</v>
      </c>
      <c r="F52" s="18">
        <f t="shared" ref="F52:F54" ca="1" si="0">(IF(E52=0,0,D52+E52))</f>
        <v>0</v>
      </c>
      <c r="G52" s="30"/>
      <c r="H52" s="16"/>
    </row>
    <row r="53" spans="1:17" ht="15.6" x14ac:dyDescent="0.3">
      <c r="A53" s="5">
        <f>B52</f>
        <v>12000</v>
      </c>
      <c r="B53" s="5">
        <v>48000</v>
      </c>
      <c r="C53" s="7">
        <v>1.2500000000000001E-2</v>
      </c>
      <c r="D53" s="12">
        <v>312</v>
      </c>
      <c r="E53" s="13">
        <f ca="1">IF(AND(($B$18+$B$5+$B$86)&gt;=A53,($B$18+$B$5+$B$86)&lt;B53),($B$18+$B$5+$B$86-A53)*C53,0)</f>
        <v>0</v>
      </c>
      <c r="F53" s="18">
        <f t="shared" ca="1" si="0"/>
        <v>0</v>
      </c>
      <c r="G53" s="30"/>
      <c r="H53" s="16"/>
    </row>
    <row r="54" spans="1:17" ht="15.6" x14ac:dyDescent="0.3">
      <c r="A54" s="27">
        <f>B53</f>
        <v>48000</v>
      </c>
      <c r="B54" s="5"/>
      <c r="C54" s="7">
        <v>0.01</v>
      </c>
      <c r="D54" s="12">
        <v>762</v>
      </c>
      <c r="E54" s="13">
        <f ca="1">IF(($B$18+$B$5+$B$86)&gt;=A54,($B$18+$B$5+$B$86-A54)*C54,0)</f>
        <v>930</v>
      </c>
      <c r="F54" s="35">
        <f t="shared" ca="1" si="0"/>
        <v>1692</v>
      </c>
      <c r="G54" s="30"/>
      <c r="H54" s="16"/>
    </row>
    <row r="55" spans="1:17" x14ac:dyDescent="0.3">
      <c r="A55" s="13"/>
      <c r="B55" s="44"/>
      <c r="D55" s="16"/>
      <c r="F55" s="18">
        <f ca="1">SUM(F52:F54)</f>
        <v>1692</v>
      </c>
      <c r="G55" s="30"/>
      <c r="H55" s="16"/>
    </row>
    <row r="56" spans="1:17" x14ac:dyDescent="0.3">
      <c r="A56" s="13"/>
      <c r="B56" s="44"/>
      <c r="C56" s="13" t="s">
        <v>98</v>
      </c>
      <c r="D56" s="13">
        <v>350</v>
      </c>
      <c r="E56">
        <v>942</v>
      </c>
      <c r="F56" s="84">
        <f ca="1">IF(F55&lt;=D56,D56,IF(AND(F55&gt;D56,F55&lt;E56),F55,IF(F55&gt;=D56,E56)))</f>
        <v>942</v>
      </c>
      <c r="G56" s="30" t="s">
        <v>29</v>
      </c>
      <c r="H56" s="16"/>
    </row>
    <row r="57" spans="1:17" x14ac:dyDescent="0.3">
      <c r="A57" s="13"/>
      <c r="B57" s="44"/>
      <c r="D57" s="16"/>
      <c r="F57" s="18"/>
      <c r="G57" s="30"/>
      <c r="H57" s="16"/>
    </row>
    <row r="58" spans="1:17" x14ac:dyDescent="0.3">
      <c r="A58" s="13"/>
      <c r="B58" s="44"/>
      <c r="D58" s="16"/>
      <c r="E58" s="85" t="s">
        <v>97</v>
      </c>
      <c r="F58" s="18">
        <f ca="1">F56-F46</f>
        <v>0</v>
      </c>
      <c r="G58" s="30" t="s">
        <v>100</v>
      </c>
      <c r="H58" s="16"/>
    </row>
    <row r="59" spans="1:17" x14ac:dyDescent="0.3">
      <c r="B59" s="4"/>
      <c r="C59" s="4"/>
      <c r="E59" s="13"/>
      <c r="F59" s="44"/>
      <c r="H59" s="16"/>
      <c r="I59" s="47"/>
      <c r="J59" s="21"/>
      <c r="K59" s="21"/>
    </row>
    <row r="60" spans="1:17" x14ac:dyDescent="0.3">
      <c r="A60" s="3" t="s">
        <v>47</v>
      </c>
      <c r="B60" s="37"/>
      <c r="C60" s="4"/>
      <c r="E60" s="13"/>
      <c r="F60" s="13"/>
      <c r="G60" s="44"/>
      <c r="H60"/>
      <c r="I60" s="47"/>
      <c r="J60" s="32" t="s">
        <v>88</v>
      </c>
      <c r="K60" s="21"/>
      <c r="Q60" s="18"/>
    </row>
    <row r="61" spans="1:17" x14ac:dyDescent="0.3">
      <c r="B61" s="37"/>
      <c r="C61" s="69" t="s">
        <v>86</v>
      </c>
      <c r="D61" s="93"/>
      <c r="E61" s="13"/>
      <c r="F61" s="3" t="s">
        <v>91</v>
      </c>
      <c r="G61" s="44"/>
      <c r="H61"/>
      <c r="I61" s="47" t="s">
        <v>62</v>
      </c>
      <c r="J61" s="73" t="s">
        <v>61</v>
      </c>
      <c r="K61" s="73" t="s">
        <v>63</v>
      </c>
      <c r="Q61" s="18"/>
    </row>
    <row r="62" spans="1:17" ht="15.6" x14ac:dyDescent="0.3">
      <c r="A62" s="28" t="s">
        <v>87</v>
      </c>
      <c r="B62" s="33">
        <v>0.38</v>
      </c>
      <c r="D62" s="96"/>
      <c r="E62" s="30"/>
      <c r="F62">
        <v>0</v>
      </c>
      <c r="G62" s="5">
        <f t="shared" ref="G62:H64" si="1">C32</f>
        <v>41011</v>
      </c>
      <c r="H62" s="7">
        <f t="shared" si="1"/>
        <v>5.8999999999999997E-2</v>
      </c>
      <c r="I62" s="12">
        <v>0</v>
      </c>
      <c r="J62" s="12">
        <f ca="1">IF(AND(($B$18+$B$5+$B$86)&gt;=F62,($B$18+$B$5+$B$86)&lt;G62),($B$18+$B$5+$B$86-F62)*H62,0)</f>
        <v>0</v>
      </c>
      <c r="K62" s="53">
        <f t="shared" ref="K62:K65" ca="1" si="2">(IF(J62=0,0,I62+J62))</f>
        <v>0</v>
      </c>
    </row>
    <row r="63" spans="1:17" ht="15.6" x14ac:dyDescent="0.3">
      <c r="A63" s="28" t="s">
        <v>41</v>
      </c>
      <c r="B63" s="33">
        <v>0.17</v>
      </c>
      <c r="D63" s="96"/>
      <c r="E63" s="30"/>
      <c r="F63" s="5">
        <f>G62</f>
        <v>41011</v>
      </c>
      <c r="G63" s="5">
        <f t="shared" si="1"/>
        <v>82024</v>
      </c>
      <c r="H63" s="7">
        <f t="shared" si="1"/>
        <v>8.5999999999999993E-2</v>
      </c>
      <c r="I63" s="12">
        <f>(G62-F62)*H62</f>
        <v>2419.6489999999999</v>
      </c>
      <c r="J63" s="12">
        <f ca="1">IF(AND(($B$18+$B$5+$B$86)&gt;=F63,($B$18+$B$5+$B$86)&lt;G63),($B$18+$B$5+$B$86-F63)*H63,0)</f>
        <v>0</v>
      </c>
      <c r="K63" s="53">
        <f t="shared" ca="1" si="2"/>
        <v>0</v>
      </c>
    </row>
    <row r="64" spans="1:17" ht="15.6" x14ac:dyDescent="0.3">
      <c r="A64" s="28" t="s">
        <v>40</v>
      </c>
      <c r="B64" s="13">
        <f>IF(AND(B6="canadian corporation",B7="yes"),B5*B62,0)</f>
        <v>0</v>
      </c>
      <c r="D64" s="21"/>
      <c r="E64" s="30"/>
      <c r="F64" s="27">
        <f>G63</f>
        <v>82024</v>
      </c>
      <c r="G64" s="5">
        <f t="shared" si="1"/>
        <v>133353</v>
      </c>
      <c r="H64" s="7">
        <f t="shared" si="1"/>
        <v>0.122</v>
      </c>
      <c r="I64" s="12">
        <f>((G63-F63)*H63)+I63</f>
        <v>5946.7669999999998</v>
      </c>
      <c r="J64" s="12">
        <f ca="1">IF(AND(($B$18+$B$5+$B$86)&gt;=F64,($B$18+$B$5+$B$86)&lt;G64),($B$18+$B$5+$B$86-F64)*H64,0)</f>
        <v>0</v>
      </c>
      <c r="K64" s="53">
        <f t="shared" ca="1" si="2"/>
        <v>0</v>
      </c>
    </row>
    <row r="65" spans="1:17" ht="15.6" x14ac:dyDescent="0.3">
      <c r="A65" s="28" t="s">
        <v>42</v>
      </c>
      <c r="B65" s="13">
        <f>IF(AND(B6="canadian corporation",B7="no"),B5*B63,0)</f>
        <v>0</v>
      </c>
      <c r="D65" s="21"/>
      <c r="E65" s="30"/>
      <c r="F65" s="5">
        <f>G64</f>
        <v>133353</v>
      </c>
      <c r="G65" s="5"/>
      <c r="H65" s="7">
        <f>D35</f>
        <v>0.14050000000000001</v>
      </c>
      <c r="I65" s="12">
        <f t="shared" ref="I65" si="3">((G64-F64)*H64)+I64</f>
        <v>12208.904999999999</v>
      </c>
      <c r="J65" s="12">
        <f ca="1">IF(($B$18+$B$5+$B$86)&gt;=F65,($B$18+$B$5+$B$86-F65)*H65,0)</f>
        <v>1074.4035000000001</v>
      </c>
      <c r="K65" s="74">
        <f t="shared" ca="1" si="2"/>
        <v>13283.308499999999</v>
      </c>
    </row>
    <row r="66" spans="1:17" x14ac:dyDescent="0.3">
      <c r="A66" s="28" t="s">
        <v>43</v>
      </c>
      <c r="B66" s="42">
        <f>IF(B6="non-canadian corporation",B5,0)</f>
        <v>2000</v>
      </c>
      <c r="D66" s="21"/>
      <c r="E66" s="30"/>
      <c r="F66" s="13"/>
      <c r="G66" s="44"/>
      <c r="H66"/>
      <c r="I66" s="47"/>
      <c r="J66" s="21"/>
      <c r="K66" s="53">
        <f ca="1">SUM(K62:K65)</f>
        <v>13283.308499999999</v>
      </c>
    </row>
    <row r="67" spans="1:17" x14ac:dyDescent="0.3">
      <c r="B67" s="18">
        <f>SUM(B64:B66)</f>
        <v>2000</v>
      </c>
      <c r="D67" s="21"/>
      <c r="F67" s="13"/>
      <c r="G67" s="44"/>
      <c r="H67" s="63" t="s">
        <v>32</v>
      </c>
      <c r="I67" s="12">
        <f>B37</f>
        <v>14081</v>
      </c>
      <c r="J67" s="20">
        <f>D32</f>
        <v>5.8999999999999997E-2</v>
      </c>
      <c r="K67" s="54">
        <f ca="1">IF(($B$18+$B$5+$B$86)&lt;I67,($B$18+$B$5+$B$86)*J67,I67*J67)</f>
        <v>830.779</v>
      </c>
    </row>
    <row r="68" spans="1:17" x14ac:dyDescent="0.3">
      <c r="B68" s="18"/>
      <c r="D68" s="21"/>
      <c r="F68" s="13"/>
      <c r="G68" s="44"/>
      <c r="H68"/>
      <c r="I68" s="47"/>
      <c r="J68" s="21"/>
      <c r="K68" s="13">
        <f ca="1">IF((K66-K67)&lt;=0,0,K66-K67)</f>
        <v>12452.529499999999</v>
      </c>
    </row>
    <row r="69" spans="1:17" x14ac:dyDescent="0.3">
      <c r="A69" s="19" t="s">
        <v>37</v>
      </c>
      <c r="B69" s="37"/>
      <c r="C69" s="4"/>
      <c r="D69" s="21"/>
      <c r="E69" s="13"/>
      <c r="F69" s="44"/>
      <c r="H69" s="63" t="s">
        <v>92</v>
      </c>
      <c r="I69" s="47"/>
      <c r="J69" s="21"/>
      <c r="K69" s="75">
        <f ca="1">MIN(B77,K68)</f>
        <v>0</v>
      </c>
      <c r="Q69" s="18"/>
    </row>
    <row r="70" spans="1:17" x14ac:dyDescent="0.3">
      <c r="A70" t="s">
        <v>44</v>
      </c>
      <c r="B70" s="37">
        <f ca="1">MIN(J90,IF(B64&gt;0,B5*C70,0))</f>
        <v>0</v>
      </c>
      <c r="C70" s="55">
        <v>0.1502</v>
      </c>
      <c r="D70" s="97"/>
      <c r="E70" s="13"/>
      <c r="I70" s="47"/>
      <c r="J70" s="21"/>
      <c r="K70" s="12">
        <f ca="1">K68-K69</f>
        <v>12452.529499999999</v>
      </c>
      <c r="Q70" s="18"/>
    </row>
    <row r="71" spans="1:17" x14ac:dyDescent="0.3">
      <c r="A71" t="s">
        <v>45</v>
      </c>
      <c r="B71" s="38">
        <f ca="1">MIN(J90,IF(B65&gt;0,B5*C71,0))</f>
        <v>0</v>
      </c>
      <c r="C71" s="55">
        <v>0.105217</v>
      </c>
      <c r="D71" s="97"/>
      <c r="E71" s="13"/>
      <c r="H71" s="63" t="s">
        <v>93</v>
      </c>
      <c r="I71" s="47"/>
      <c r="J71" s="21"/>
      <c r="K71" s="75">
        <f ca="1">MIN(B118,K70)</f>
        <v>0</v>
      </c>
      <c r="Q71" s="18"/>
    </row>
    <row r="72" spans="1:17" x14ac:dyDescent="0.3">
      <c r="B72" s="37">
        <f ca="1">SUM(B70:B71)</f>
        <v>0</v>
      </c>
      <c r="C72" s="4"/>
      <c r="D72" s="21"/>
      <c r="E72" s="13"/>
      <c r="I72" s="47"/>
      <c r="J72" s="21"/>
      <c r="K72" s="12">
        <f ca="1">K70-K71</f>
        <v>12452.529499999999</v>
      </c>
      <c r="Q72" s="18"/>
    </row>
    <row r="73" spans="1:17" x14ac:dyDescent="0.3">
      <c r="B73" s="37"/>
      <c r="C73" s="4"/>
      <c r="D73" s="21"/>
      <c r="E73" s="13"/>
      <c r="Q73" s="18"/>
    </row>
    <row r="74" spans="1:17" x14ac:dyDescent="0.3">
      <c r="A74" s="19" t="s">
        <v>94</v>
      </c>
      <c r="B74" s="37"/>
      <c r="C74" s="4"/>
      <c r="D74" s="21"/>
      <c r="E74" s="13"/>
      <c r="F74" s="18"/>
      <c r="G74" s="4"/>
      <c r="H74" s="16"/>
      <c r="I74" s="47"/>
      <c r="J74" s="21"/>
      <c r="K74" s="21"/>
      <c r="Q74" s="18"/>
    </row>
    <row r="75" spans="1:17" x14ac:dyDescent="0.3">
      <c r="A75" t="s">
        <v>44</v>
      </c>
      <c r="B75" s="37">
        <f ca="1">MIN(K68,IF(B64&gt;0,B5*C75,0))</f>
        <v>0</v>
      </c>
      <c r="C75" s="55">
        <v>0.115</v>
      </c>
      <c r="D75" s="97"/>
      <c r="I75" s="47"/>
      <c r="J75" s="21"/>
      <c r="K75" s="21"/>
      <c r="Q75" s="18"/>
    </row>
    <row r="76" spans="1:17" x14ac:dyDescent="0.3">
      <c r="A76" t="s">
        <v>45</v>
      </c>
      <c r="B76" s="38">
        <f ca="1">MIN(K68,IF(B65&gt;0,B5*C76,0))</f>
        <v>0</v>
      </c>
      <c r="C76" s="58">
        <v>0.06</v>
      </c>
      <c r="D76" s="98"/>
      <c r="I76" s="47"/>
      <c r="J76" s="21"/>
      <c r="K76" s="21"/>
      <c r="Q76" s="18"/>
    </row>
    <row r="77" spans="1:17" x14ac:dyDescent="0.3">
      <c r="B77" s="37">
        <f ca="1">SUM(B75:B76)</f>
        <v>0</v>
      </c>
      <c r="C77" s="4"/>
      <c r="D77" s="21"/>
      <c r="I77" s="47"/>
      <c r="J77" s="21"/>
      <c r="K77" s="21"/>
      <c r="Q77" s="18"/>
    </row>
    <row r="78" spans="1:17" x14ac:dyDescent="0.3">
      <c r="B78" s="37"/>
      <c r="C78" s="4"/>
      <c r="I78" s="47"/>
      <c r="J78" s="21"/>
      <c r="K78" s="21"/>
      <c r="Q78" s="18"/>
    </row>
    <row r="79" spans="1:17" x14ac:dyDescent="0.3">
      <c r="A79" s="3" t="s">
        <v>50</v>
      </c>
      <c r="B79" s="37"/>
      <c r="C79" s="4"/>
      <c r="I79" s="47"/>
      <c r="J79" s="21"/>
      <c r="K79" s="21"/>
      <c r="Q79" s="18"/>
    </row>
    <row r="80" spans="1:17" x14ac:dyDescent="0.3">
      <c r="B80" s="37"/>
      <c r="C80" s="4"/>
      <c r="I80" s="47"/>
      <c r="J80" s="21"/>
      <c r="K80" s="21"/>
      <c r="Q80" s="18"/>
    </row>
    <row r="81" spans="1:17" x14ac:dyDescent="0.3">
      <c r="A81" s="19" t="s">
        <v>51</v>
      </c>
      <c r="B81" s="37"/>
      <c r="C81" s="4"/>
      <c r="H81" s="12"/>
      <c r="I81" s="47"/>
      <c r="J81" s="21"/>
      <c r="K81" s="21"/>
      <c r="Q81" s="18"/>
    </row>
    <row r="82" spans="1:17" x14ac:dyDescent="0.3">
      <c r="A82" t="s">
        <v>71</v>
      </c>
      <c r="B82" s="37">
        <f>$B$5</f>
        <v>2000</v>
      </c>
      <c r="C82" s="60" t="s">
        <v>28</v>
      </c>
      <c r="D82" s="19" t="s">
        <v>52</v>
      </c>
      <c r="E82" s="13"/>
      <c r="F82" s="18"/>
      <c r="G82" s="4"/>
      <c r="H82" s="67" t="s">
        <v>62</v>
      </c>
      <c r="I82" s="47" t="s">
        <v>61</v>
      </c>
      <c r="J82" s="73" t="s">
        <v>63</v>
      </c>
      <c r="K82" s="21"/>
      <c r="Q82" s="18"/>
    </row>
    <row r="83" spans="1:17" ht="15.6" x14ac:dyDescent="0.3">
      <c r="A83" t="s">
        <v>72</v>
      </c>
      <c r="B83" s="37">
        <f>IF($B$10="US",-IF(($B$11/$B$5)&gt;15%,$B$11-($B$5*15%),0),0)</f>
        <v>0</v>
      </c>
      <c r="C83" s="60" t="s">
        <v>29</v>
      </c>
      <c r="D83" t="s">
        <v>9</v>
      </c>
      <c r="E83" s="4">
        <v>0</v>
      </c>
      <c r="F83" s="5">
        <f t="shared" ref="F83:G86" si="4">C22</f>
        <v>45282</v>
      </c>
      <c r="G83" s="6">
        <f t="shared" si="4"/>
        <v>0.15</v>
      </c>
      <c r="H83" s="12">
        <v>0</v>
      </c>
      <c r="I83" s="12">
        <f ca="1">IF(AND(($B$18+$B$5+$B$86)&gt;=E83,($B$18+$B$5+$B$86)&lt;F83),($B$18+$B$5+$B$86-E83)*G83,0)</f>
        <v>0</v>
      </c>
      <c r="J83" s="12">
        <f ca="1">(IF(I83=0,0,H83+I83))</f>
        <v>0</v>
      </c>
      <c r="K83" s="21"/>
      <c r="Q83" s="18"/>
    </row>
    <row r="84" spans="1:17" ht="15.6" x14ac:dyDescent="0.3">
      <c r="A84" t="s">
        <v>73</v>
      </c>
      <c r="B84" s="37">
        <f>IF(B6="Canadian Corporation",0,IF($B$10="non-US",-IF(($B$11/$B$5)&gt;15%,$B$11-($B$5*15%),0),0))</f>
        <v>0</v>
      </c>
      <c r="C84" s="4"/>
      <c r="D84" t="s">
        <v>10</v>
      </c>
      <c r="E84" s="5">
        <f>F83</f>
        <v>45282</v>
      </c>
      <c r="F84" s="5">
        <f t="shared" si="4"/>
        <v>90563</v>
      </c>
      <c r="G84" s="6">
        <f t="shared" si="4"/>
        <v>0.20499999999999999</v>
      </c>
      <c r="H84" s="12">
        <f>(F83-E83)*G83</f>
        <v>6792.3</v>
      </c>
      <c r="I84" s="12">
        <f ca="1">IF(AND(($B$18+$B$5+$B$86)&gt;=E84,($B$18+$B$5+$B$86)&lt;F84),($B$18+$B$5+$B$86-E84)*G84,0)</f>
        <v>0</v>
      </c>
      <c r="J84" s="12">
        <f t="shared" ref="J84:J87" ca="1" si="5">(IF(I84=0,0,H84+I84))</f>
        <v>0</v>
      </c>
      <c r="K84" s="21"/>
      <c r="Q84" s="18"/>
    </row>
    <row r="85" spans="1:17" ht="15.6" x14ac:dyDescent="0.3">
      <c r="A85" t="s">
        <v>78</v>
      </c>
      <c r="B85" s="38">
        <f ca="1">-B120</f>
        <v>0</v>
      </c>
      <c r="C85" s="4"/>
      <c r="D85" t="s">
        <v>10</v>
      </c>
      <c r="E85" s="5">
        <f>F84</f>
        <v>90563</v>
      </c>
      <c r="F85" s="5">
        <f t="shared" si="4"/>
        <v>140388</v>
      </c>
      <c r="G85" s="6">
        <f t="shared" si="4"/>
        <v>0.26</v>
      </c>
      <c r="H85" s="12">
        <f>((F84-E84)*G84)+H84</f>
        <v>16074.904999999999</v>
      </c>
      <c r="I85" s="12">
        <f ca="1">IF(AND(($B$18+$B$5+$B$86)&gt;=E85,($B$18+$B$5+$B$86)&lt;F85),($B$18+$B$5+$B$86-E85)*G85,0)</f>
        <v>0</v>
      </c>
      <c r="J85" s="12">
        <f t="shared" ca="1" si="5"/>
        <v>0</v>
      </c>
      <c r="K85" s="21"/>
      <c r="Q85" s="18"/>
    </row>
    <row r="86" spans="1:17" ht="15.6" x14ac:dyDescent="0.3">
      <c r="A86" t="s">
        <v>80</v>
      </c>
      <c r="B86" s="38">
        <f ca="1">SUM(B84:B85)</f>
        <v>0</v>
      </c>
      <c r="C86" s="60" t="s">
        <v>79</v>
      </c>
      <c r="D86" t="s">
        <v>10</v>
      </c>
      <c r="E86" s="5">
        <f>F85</f>
        <v>140388</v>
      </c>
      <c r="F86" s="5">
        <f t="shared" si="4"/>
        <v>200000</v>
      </c>
      <c r="G86" s="6">
        <f t="shared" si="4"/>
        <v>0.28999999999999998</v>
      </c>
      <c r="H86" s="12">
        <f>((F85-E85)*G85)+H85</f>
        <v>29029.404999999999</v>
      </c>
      <c r="I86" s="12">
        <f ca="1">IF(AND(($B$18+$B$5+$B$86)&gt;=E86,($B$18+$B$5+$B$86)&lt;F86),($B$18+$B$5+$B$86-E86)*G86,0)</f>
        <v>177.48</v>
      </c>
      <c r="J86" s="12">
        <f t="shared" ca="1" si="5"/>
        <v>29206.884999999998</v>
      </c>
      <c r="K86" s="21"/>
      <c r="Q86" s="18"/>
    </row>
    <row r="87" spans="1:17" ht="15.6" x14ac:dyDescent="0.3">
      <c r="A87" t="s">
        <v>53</v>
      </c>
      <c r="B87" s="37">
        <f ca="1">B82+B83+B86</f>
        <v>2000</v>
      </c>
      <c r="C87" s="60" t="s">
        <v>81</v>
      </c>
      <c r="E87" s="5">
        <f>F86</f>
        <v>200000</v>
      </c>
      <c r="G87" s="6">
        <f>D26</f>
        <v>0.33</v>
      </c>
      <c r="H87" s="12">
        <f>((F86-E86)*G86)+H86</f>
        <v>46316.884999999995</v>
      </c>
      <c r="I87" s="12">
        <f ca="1">IF(($B$18+$B$5+$B$86)&gt;=E87,($B$18+$B$5+$B$86-E87)*G87,0)</f>
        <v>0</v>
      </c>
      <c r="J87" s="54">
        <f t="shared" ca="1" si="5"/>
        <v>0</v>
      </c>
      <c r="K87" s="21"/>
      <c r="Q87" s="18"/>
    </row>
    <row r="88" spans="1:17" x14ac:dyDescent="0.3">
      <c r="B88" s="37"/>
      <c r="C88" s="4"/>
      <c r="E88" s="13"/>
      <c r="F88" s="18"/>
      <c r="G88" s="4"/>
      <c r="H88" s="16"/>
      <c r="I88" s="47"/>
      <c r="J88" s="12">
        <f ca="1">SUM(J83:J87)</f>
        <v>29206.884999999998</v>
      </c>
      <c r="K88" s="21"/>
      <c r="Q88" s="18"/>
    </row>
    <row r="89" spans="1:17" x14ac:dyDescent="0.3">
      <c r="A89" t="s">
        <v>6</v>
      </c>
      <c r="B89" s="39">
        <f>$B$5+$B$18</f>
        <v>141000</v>
      </c>
      <c r="C89" s="60" t="s">
        <v>28</v>
      </c>
      <c r="G89" s="63" t="s">
        <v>32</v>
      </c>
      <c r="H89" s="13">
        <f>B28</f>
        <v>11474</v>
      </c>
      <c r="I89" s="78">
        <f>D22</f>
        <v>0.15</v>
      </c>
      <c r="J89" s="54">
        <f ca="1">IF(($B$5+$B$18+B86)&lt;H89,($B$5+$B$18+B86)*I89,H89*I89)</f>
        <v>1721.1</v>
      </c>
      <c r="K89" s="21"/>
      <c r="Q89" s="18"/>
    </row>
    <row r="90" spans="1:17" x14ac:dyDescent="0.3">
      <c r="A90" t="s">
        <v>73</v>
      </c>
      <c r="B90" s="39">
        <f>IF($B$10="non-US",-IF(($B$11/$B$5)&gt;15%,$B$11-($B$5*15%),0),0)</f>
        <v>0</v>
      </c>
      <c r="C90" s="4"/>
      <c r="G90" s="63"/>
      <c r="I90" s="47"/>
      <c r="J90" s="13">
        <f ca="1">IF((J88-J89)&lt;=0,0,J88-J89)</f>
        <v>27485.785</v>
      </c>
      <c r="K90" s="21"/>
      <c r="Q90" s="18"/>
    </row>
    <row r="91" spans="1:17" x14ac:dyDescent="0.3">
      <c r="A91" t="s">
        <v>78</v>
      </c>
      <c r="B91" s="38">
        <f ca="1">B85</f>
        <v>0</v>
      </c>
      <c r="C91" s="4"/>
      <c r="G91" s="63"/>
      <c r="I91" s="47"/>
      <c r="J91" s="46"/>
      <c r="K91" s="21"/>
      <c r="Q91" s="18"/>
    </row>
    <row r="92" spans="1:17" x14ac:dyDescent="0.3">
      <c r="A92" t="s">
        <v>80</v>
      </c>
      <c r="B92" s="38">
        <f ca="1">SUM(B90:B91)</f>
        <v>0</v>
      </c>
      <c r="C92" s="60" t="s">
        <v>29</v>
      </c>
      <c r="E92" s="13"/>
      <c r="F92" s="18"/>
      <c r="I92" s="47"/>
      <c r="J92" s="21"/>
      <c r="K92" s="21"/>
      <c r="Q92" s="18"/>
    </row>
    <row r="93" spans="1:17" x14ac:dyDescent="0.3">
      <c r="A93" t="s">
        <v>74</v>
      </c>
      <c r="B93" s="37">
        <f ca="1">B89+B92</f>
        <v>141000</v>
      </c>
      <c r="C93" s="60" t="s">
        <v>82</v>
      </c>
      <c r="I93" s="47"/>
      <c r="J93" s="21"/>
      <c r="K93" s="21"/>
      <c r="Q93" s="18"/>
    </row>
    <row r="94" spans="1:17" x14ac:dyDescent="0.3">
      <c r="B94" s="37"/>
      <c r="C94" s="4"/>
      <c r="I94" s="47"/>
      <c r="J94" s="21"/>
      <c r="K94" s="21"/>
      <c r="Q94" s="18"/>
    </row>
    <row r="95" spans="1:17" x14ac:dyDescent="0.3">
      <c r="A95" t="s">
        <v>54</v>
      </c>
      <c r="B95" s="59">
        <f ca="1">B87/B93</f>
        <v>1.4184397163120567E-2</v>
      </c>
      <c r="C95" s="4"/>
      <c r="I95" s="47"/>
      <c r="J95" s="21"/>
      <c r="K95" s="21"/>
      <c r="Q95" s="18"/>
    </row>
    <row r="96" spans="1:17" x14ac:dyDescent="0.3">
      <c r="B96" s="37"/>
      <c r="C96" s="4"/>
      <c r="I96" s="47"/>
      <c r="J96" s="21"/>
      <c r="K96" s="21"/>
      <c r="Q96" s="18"/>
    </row>
    <row r="97" spans="1:17" x14ac:dyDescent="0.3">
      <c r="A97" t="s">
        <v>52</v>
      </c>
      <c r="B97" s="37">
        <f ca="1">J90</f>
        <v>27485.785</v>
      </c>
      <c r="C97" s="4"/>
      <c r="I97" s="47"/>
      <c r="J97" s="21"/>
      <c r="K97" s="21"/>
      <c r="Q97" s="18"/>
    </row>
    <row r="98" spans="1:17" x14ac:dyDescent="0.3">
      <c r="B98" s="37"/>
      <c r="C98" s="4"/>
      <c r="E98" s="65"/>
      <c r="F98" s="39"/>
      <c r="G98" s="4"/>
      <c r="H98" s="61"/>
      <c r="I98" s="47"/>
      <c r="J98" s="73"/>
      <c r="K98" s="21"/>
      <c r="Q98" s="18"/>
    </row>
    <row r="99" spans="1:17" ht="15.6" x14ac:dyDescent="0.3">
      <c r="A99" t="s">
        <v>64</v>
      </c>
      <c r="B99" s="37">
        <f ca="1">B97*B95</f>
        <v>389.86929078014185</v>
      </c>
      <c r="C99" s="60" t="s">
        <v>28</v>
      </c>
      <c r="E99" s="4"/>
      <c r="G99" s="6"/>
      <c r="H99" s="39"/>
      <c r="I99" s="47"/>
      <c r="J99" s="39"/>
      <c r="K99" s="21"/>
      <c r="Q99" s="18"/>
    </row>
    <row r="100" spans="1:17" ht="15.6" x14ac:dyDescent="0.3">
      <c r="A100" t="s">
        <v>65</v>
      </c>
      <c r="B100" s="37">
        <f>IF(B6="Canadian Corporation",0,MIN($B$11,$B$5*15%))</f>
        <v>200</v>
      </c>
      <c r="C100" s="60" t="s">
        <v>29</v>
      </c>
      <c r="E100" s="5"/>
      <c r="G100" s="7"/>
      <c r="H100" s="39"/>
      <c r="I100" s="47"/>
      <c r="J100" s="39"/>
      <c r="K100" s="21"/>
      <c r="Q100" s="18"/>
    </row>
    <row r="101" spans="1:17" ht="15.6" x14ac:dyDescent="0.3">
      <c r="B101" s="37"/>
      <c r="C101" s="4"/>
      <c r="E101" s="5"/>
      <c r="G101" s="7"/>
      <c r="H101" s="39"/>
      <c r="I101" s="47"/>
      <c r="J101" s="39"/>
      <c r="K101" s="21"/>
      <c r="Q101" s="18"/>
    </row>
    <row r="102" spans="1:17" ht="15.6" x14ac:dyDescent="0.3">
      <c r="A102" t="s">
        <v>66</v>
      </c>
      <c r="B102" s="62">
        <f ca="1">MIN(B99,B100)</f>
        <v>200</v>
      </c>
      <c r="C102" s="60" t="s">
        <v>84</v>
      </c>
      <c r="E102" s="5"/>
      <c r="G102" s="7"/>
      <c r="H102" s="39"/>
      <c r="I102" s="47"/>
      <c r="J102" s="39"/>
      <c r="K102" s="21"/>
      <c r="Q102" s="18"/>
    </row>
    <row r="103" spans="1:17" ht="15.6" x14ac:dyDescent="0.3">
      <c r="B103" s="62"/>
      <c r="C103" s="4"/>
      <c r="E103" s="5"/>
      <c r="F103" s="5"/>
      <c r="G103" s="7"/>
      <c r="H103" s="39"/>
      <c r="I103" s="47"/>
      <c r="J103" s="39"/>
      <c r="K103" s="21"/>
      <c r="Q103" s="18"/>
    </row>
    <row r="104" spans="1:17" ht="15.6" x14ac:dyDescent="0.3">
      <c r="B104" s="62"/>
      <c r="C104" s="4"/>
      <c r="E104" s="13"/>
      <c r="F104" s="5"/>
      <c r="G104" s="4"/>
      <c r="H104" s="16"/>
      <c r="I104" s="47"/>
      <c r="J104" s="39"/>
      <c r="K104" s="21"/>
      <c r="Q104" s="18"/>
    </row>
    <row r="105" spans="1:17" x14ac:dyDescent="0.3">
      <c r="A105" s="19" t="s">
        <v>67</v>
      </c>
      <c r="B105" s="37"/>
      <c r="C105" s="4"/>
      <c r="H105" s="12"/>
      <c r="I105" s="47"/>
      <c r="J105" s="21"/>
      <c r="K105" s="21"/>
      <c r="L105" s="19"/>
      <c r="Q105" s="18"/>
    </row>
    <row r="106" spans="1:17" x14ac:dyDescent="0.3">
      <c r="A106" t="s">
        <v>53</v>
      </c>
      <c r="B106" s="37">
        <f ca="1">B87</f>
        <v>2000</v>
      </c>
      <c r="C106" s="4"/>
      <c r="D106" s="19" t="s">
        <v>68</v>
      </c>
      <c r="E106" s="13"/>
      <c r="F106" s="18"/>
      <c r="G106" s="4"/>
      <c r="H106" s="67" t="s">
        <v>62</v>
      </c>
      <c r="I106" s="47" t="s">
        <v>61</v>
      </c>
      <c r="J106" s="73" t="s">
        <v>63</v>
      </c>
      <c r="K106" s="53"/>
      <c r="Q106" s="18"/>
    </row>
    <row r="107" spans="1:17" ht="15.6" x14ac:dyDescent="0.3">
      <c r="A107" t="s">
        <v>22</v>
      </c>
      <c r="B107" s="39">
        <f ca="1">B93</f>
        <v>141000</v>
      </c>
      <c r="C107" s="4"/>
      <c r="D107" t="s">
        <v>9</v>
      </c>
      <c r="E107">
        <v>0</v>
      </c>
      <c r="F107" s="5">
        <f t="shared" ref="F107:G109" si="6">C32</f>
        <v>41011</v>
      </c>
      <c r="G107" s="7">
        <f t="shared" si="6"/>
        <v>5.8999999999999997E-2</v>
      </c>
      <c r="H107" s="12">
        <v>0</v>
      </c>
      <c r="I107" s="46">
        <f ca="1">IF(AND(($B$18+$B$5+$B$86)&gt;=E107,($B$18+$B$5+$B$86)&lt;F107),($B$18+$B$5+$B$86-E107)*G107,0)</f>
        <v>0</v>
      </c>
      <c r="J107" s="12">
        <f ca="1">(IF(I107=0,0,H107+I107))</f>
        <v>0</v>
      </c>
      <c r="K107" s="21"/>
      <c r="Q107" s="18"/>
    </row>
    <row r="108" spans="1:17" ht="15.6" x14ac:dyDescent="0.3">
      <c r="A108" t="s">
        <v>54</v>
      </c>
      <c r="B108" s="59">
        <f ca="1">B106/B107</f>
        <v>1.4184397163120567E-2</v>
      </c>
      <c r="C108" s="4"/>
      <c r="D108" t="s">
        <v>10</v>
      </c>
      <c r="E108" s="5">
        <f>F107</f>
        <v>41011</v>
      </c>
      <c r="F108" s="5">
        <f t="shared" si="6"/>
        <v>82024</v>
      </c>
      <c r="G108" s="7">
        <f t="shared" si="6"/>
        <v>8.5999999999999993E-2</v>
      </c>
      <c r="H108" s="12">
        <f>(F107-E107)*G107</f>
        <v>2419.6489999999999</v>
      </c>
      <c r="I108" s="46">
        <f ca="1">IF(AND(($B$18+$B$5+$B$86)&gt;=E108,($B$18+$B$5+$B$86)&lt;F108),($B$18+$B$5+$B$86-E108)*G108,0)</f>
        <v>0</v>
      </c>
      <c r="J108" s="12">
        <f t="shared" ref="J108:J109" ca="1" si="7">(IF(I108=0,0,H108+I108))</f>
        <v>0</v>
      </c>
      <c r="K108" s="21"/>
      <c r="Q108" s="18"/>
    </row>
    <row r="109" spans="1:17" ht="15.6" x14ac:dyDescent="0.3">
      <c r="B109" s="37"/>
      <c r="C109" s="4"/>
      <c r="D109" t="s">
        <v>10</v>
      </c>
      <c r="E109" s="27">
        <f>F108</f>
        <v>82024</v>
      </c>
      <c r="F109" s="5">
        <f t="shared" si="6"/>
        <v>133353</v>
      </c>
      <c r="G109" s="7">
        <f t="shared" si="6"/>
        <v>0.122</v>
      </c>
      <c r="H109" s="12">
        <f>((F108-E108)*G108)+H108</f>
        <v>5946.7669999999998</v>
      </c>
      <c r="I109" s="46">
        <f ca="1">IF(AND(($B$18+$B$5+$B$86)&gt;=E109,($B$18+$B$5+$B$86)&lt;F109),($B$18+$B$5+$B$86-E109)*G109,0)</f>
        <v>0</v>
      </c>
      <c r="J109" s="12">
        <f t="shared" ca="1" si="7"/>
        <v>0</v>
      </c>
      <c r="K109" s="21"/>
      <c r="Q109" s="18"/>
    </row>
    <row r="110" spans="1:17" ht="15.6" x14ac:dyDescent="0.3">
      <c r="A110" t="s">
        <v>68</v>
      </c>
      <c r="B110" s="37">
        <f ca="1">J113</f>
        <v>12452.529499999999</v>
      </c>
      <c r="C110" s="4"/>
      <c r="D110" t="s">
        <v>10</v>
      </c>
      <c r="E110" s="5">
        <f>F109</f>
        <v>133353</v>
      </c>
      <c r="F110" s="5"/>
      <c r="G110" s="7">
        <f>D35</f>
        <v>0.14050000000000001</v>
      </c>
      <c r="H110" s="12">
        <f>((F109-E109)*G109)+H109</f>
        <v>12208.904999999999</v>
      </c>
      <c r="I110" s="46">
        <f ca="1">IF(($B$18+$B$5+$B$86)&gt;=E110,($B$18+$B$5+$B$86-E110)*G110,0)</f>
        <v>1074.4035000000001</v>
      </c>
      <c r="J110" s="54">
        <f ca="1">(IF(I110=0,0,H110+I110))</f>
        <v>13283.308499999999</v>
      </c>
      <c r="K110" s="21"/>
      <c r="Q110" s="18"/>
    </row>
    <row r="111" spans="1:17" x14ac:dyDescent="0.3">
      <c r="B111" s="37"/>
      <c r="C111" s="4"/>
      <c r="E111" s="13"/>
      <c r="F111" s="18"/>
      <c r="G111" s="4"/>
      <c r="H111" s="20"/>
      <c r="I111" s="47"/>
      <c r="J111" s="53">
        <f ca="1">SUM(J107:J110)</f>
        <v>13283.308499999999</v>
      </c>
      <c r="K111" s="21"/>
      <c r="Q111" s="18"/>
    </row>
    <row r="112" spans="1:17" x14ac:dyDescent="0.3">
      <c r="A112" t="s">
        <v>64</v>
      </c>
      <c r="B112" s="37">
        <f ca="1">B110*B108</f>
        <v>176.63162411347517</v>
      </c>
      <c r="C112" s="60" t="s">
        <v>28</v>
      </c>
      <c r="E112" s="13"/>
      <c r="F112" s="18"/>
      <c r="G112" s="63" t="s">
        <v>32</v>
      </c>
      <c r="H112" s="13">
        <f>B37</f>
        <v>14081</v>
      </c>
      <c r="I112" s="78">
        <f>D32</f>
        <v>5.8999999999999997E-2</v>
      </c>
      <c r="J112" s="54">
        <f ca="1">IF(($B$5+$B$18+$B$86)&lt;H112,($B$5+$B$18+$B$86)*I112,H112*I112)</f>
        <v>830.779</v>
      </c>
      <c r="K112" s="21"/>
      <c r="Q112" s="18"/>
    </row>
    <row r="113" spans="1:17" x14ac:dyDescent="0.3">
      <c r="B113" s="37"/>
      <c r="C113" s="60"/>
      <c r="E113" s="36"/>
      <c r="F113" s="21"/>
      <c r="G113" s="4"/>
      <c r="H113" s="4"/>
      <c r="I113" s="47"/>
      <c r="J113" s="13">
        <f ca="1">IF((J111-J112)&lt;=0,0,J111-J112)</f>
        <v>12452.529499999999</v>
      </c>
      <c r="K113" s="21"/>
      <c r="Q113" s="18"/>
    </row>
    <row r="114" spans="1:17" x14ac:dyDescent="0.3">
      <c r="A114" t="s">
        <v>65</v>
      </c>
      <c r="B114" s="37">
        <f>B100</f>
        <v>200</v>
      </c>
      <c r="K114" s="21"/>
    </row>
    <row r="115" spans="1:17" x14ac:dyDescent="0.3">
      <c r="A115" t="s">
        <v>75</v>
      </c>
      <c r="B115" s="38">
        <f ca="1">-B102</f>
        <v>-200</v>
      </c>
      <c r="C115" s="60"/>
      <c r="F115" s="39"/>
      <c r="G115" s="64"/>
      <c r="H115" s="18"/>
      <c r="I115" s="47"/>
      <c r="J115" s="49"/>
      <c r="K115" s="21"/>
    </row>
    <row r="116" spans="1:17" x14ac:dyDescent="0.3">
      <c r="B116" s="37">
        <f ca="1">SUM(B114:B115)</f>
        <v>0</v>
      </c>
      <c r="C116" s="60" t="s">
        <v>29</v>
      </c>
      <c r="G116" s="18"/>
      <c r="H116" s="18"/>
      <c r="I116" s="47"/>
      <c r="J116" s="12"/>
      <c r="K116" s="21"/>
    </row>
    <row r="117" spans="1:17" x14ac:dyDescent="0.3">
      <c r="B117" s="37"/>
      <c r="C117" s="4"/>
      <c r="H117" s="18"/>
      <c r="I117" s="47"/>
      <c r="J117" s="53"/>
      <c r="K117" s="52"/>
      <c r="L117" s="16"/>
    </row>
    <row r="118" spans="1:17" x14ac:dyDescent="0.3">
      <c r="A118" t="s">
        <v>69</v>
      </c>
      <c r="B118" s="62">
        <f ca="1">MIN(B112,B116)</f>
        <v>0</v>
      </c>
      <c r="C118" s="60" t="s">
        <v>84</v>
      </c>
      <c r="I118" s="47"/>
      <c r="J118" s="21"/>
      <c r="K118" s="52"/>
      <c r="L118" s="16"/>
    </row>
    <row r="119" spans="1:17" x14ac:dyDescent="0.3">
      <c r="B119" s="37"/>
      <c r="C119" s="4"/>
      <c r="I119" s="47"/>
      <c r="J119" s="21"/>
      <c r="K119" s="52"/>
      <c r="L119" s="16"/>
    </row>
    <row r="120" spans="1:17" x14ac:dyDescent="0.3">
      <c r="A120" t="s">
        <v>83</v>
      </c>
      <c r="B120" s="62">
        <f ca="1">B100-B102-B118</f>
        <v>0</v>
      </c>
      <c r="C120" s="60" t="s">
        <v>85</v>
      </c>
      <c r="G120" s="18"/>
      <c r="H120" s="18"/>
      <c r="I120" s="47"/>
      <c r="J120" s="53"/>
      <c r="K120" s="52"/>
      <c r="L120" s="16"/>
    </row>
    <row r="121" spans="1:17" x14ac:dyDescent="0.3">
      <c r="B121" s="37"/>
      <c r="C121" s="4"/>
      <c r="G121" s="18"/>
      <c r="H121" s="18"/>
      <c r="I121" s="47"/>
      <c r="J121" s="53"/>
      <c r="K121" s="52"/>
      <c r="L121" s="16"/>
    </row>
    <row r="122" spans="1:17" x14ac:dyDescent="0.3">
      <c r="A122" s="2" t="s">
        <v>12</v>
      </c>
      <c r="G122" s="18"/>
      <c r="H122" s="49"/>
      <c r="I122" s="76"/>
      <c r="J122" s="49"/>
      <c r="K122" s="48"/>
      <c r="L122" s="16"/>
    </row>
    <row r="123" spans="1:17" x14ac:dyDescent="0.3">
      <c r="B123" s="11"/>
      <c r="C123" t="s">
        <v>13</v>
      </c>
      <c r="G123" s="18"/>
      <c r="H123" s="49"/>
      <c r="I123" s="81"/>
      <c r="J123" s="49"/>
      <c r="K123" s="48"/>
      <c r="L123" s="16"/>
    </row>
    <row r="124" spans="1:17" x14ac:dyDescent="0.3">
      <c r="B124" s="37"/>
      <c r="C124" s="4"/>
      <c r="H124" s="46"/>
      <c r="I124" s="47"/>
      <c r="J124" s="47"/>
      <c r="K124" s="47"/>
      <c r="L124" s="16"/>
    </row>
    <row r="125" spans="1:17" x14ac:dyDescent="0.3">
      <c r="A125" t="s">
        <v>19</v>
      </c>
      <c r="B125" s="37">
        <f ca="1">IF(AND((B5+B86+B18)&gt;=B22,(B5+B86+B18)&lt;=C22),(B5+B86)*D22,IF(AND((B5+B86+B18)&gt;B23,(B5+B86+B18)&lt;=C23),IF((B5+B86+B18-B23)&gt;(B5+B86),(B5+B86)*D23,((B5+B86+B18-B23)*D23)+((B5+B86-(B5+B86+B18-B23))*D22)),IF(AND((B5+B86+B18)&gt;B24,(B5+B86+B18)&lt;=C24),IF((B5+B86+B18-B24)&gt;(B5+B86),(B5+B86)*D24,IF((B5+B86+B18-B23)&gt;(B5+B86),(((B5+B86+B18-B24)*D24)+((B5+B86-(B5+B86+B18-B24))*D23)),((B5+B86+B18-B24)*D24)+((C23-B23)*D23)+((B5+B86-(B5+B86+B18-B23))*D22))),IF(AND((B5+B86+B18)&gt;B25,(B5+B86+B18)&lt;=C25),IF((B5+B86+B18-B25)&gt;(B5+B86),(B5+B86)*D25,IF((B5+B86+B18-B24)&gt;(B5+B86),((B5+B86+B18-B25)*D25)+(((B5+B86-(B5+B86+B18-B25))*D24)),IF((B5+B86+B18-B23)&gt;(B5+B86),(((B5+B86+B18-B25)*D25)+((C24-B24)*D24)+((B5+B86-(B5+B86+B18-B24))*D23)),((B5+B86+B18-B25)*D25)+((C24-B24)*D24)+((C23-B23)*D23)+((B5+B86-(B5+B86+B18-B23))*D22)))),IF((B5+B86+B18)&gt;B26,IF((B5+B86+B18-B26)&gt;(B5+B86),(B5+B86)*D26,IF((B5+B86+B18-B25)&gt;(B5+B86),(((B5+B86+B18-B26)*D26)+((B5+B86-(B5+B86+B18-B26))*D25)),IF((B5+B86+B18-B24)&gt;(B5+B86),(((B5+B86+B18-B26)*D26)+((C25-B25)*D25)+((B5+B86-(B5+B86+B18-B25))*D24)),IF((B5+B86+B18-B23)&gt;(B5+B86),(((B5+B86+B18-B26)*D26)+((C25-B25)*D25)+((C24-B24)*D24)+((B5+B86-(B5+B86+B18-B24))*D23)),((B5+B86+B18-B26)*D26)+((C25-B25)*D25)+((C24-B24)*D24)+((C23-B23)*D23)+((B5+B86-(B5+B86+B18-B23))*D22))))))))))</f>
        <v>538.36</v>
      </c>
      <c r="C125" t="s">
        <v>15</v>
      </c>
      <c r="G125" s="29"/>
      <c r="H125" s="47"/>
      <c r="I125" s="47"/>
      <c r="J125" s="47"/>
      <c r="K125" s="47"/>
      <c r="L125" s="13"/>
    </row>
    <row r="126" spans="1:17" x14ac:dyDescent="0.3">
      <c r="B126" s="37">
        <f>-IF(B18&gt;=B28,0,IF(B18&lt;B28,IF((B18+B5+B86)&gt;B28,(B28-B18)*D22,((B5+B86)*D22))))</f>
        <v>0</v>
      </c>
      <c r="C126" t="s">
        <v>31</v>
      </c>
      <c r="G126" s="29"/>
      <c r="H126" s="77"/>
      <c r="I126" s="47"/>
      <c r="J126" s="49"/>
      <c r="K126" s="48"/>
      <c r="L126" s="16"/>
    </row>
    <row r="127" spans="1:17" x14ac:dyDescent="0.3">
      <c r="B127" s="37">
        <f ca="1">-B72</f>
        <v>0</v>
      </c>
      <c r="C127" t="s">
        <v>46</v>
      </c>
      <c r="G127" s="29"/>
      <c r="H127" s="21"/>
      <c r="I127" s="53"/>
      <c r="J127" s="53"/>
      <c r="K127" s="52"/>
      <c r="L127" s="16"/>
    </row>
    <row r="128" spans="1:17" x14ac:dyDescent="0.3">
      <c r="B128" s="37">
        <f ca="1">IF(B102=0,0,-MIN(B102,SUM(B125:B127)))</f>
        <v>-200</v>
      </c>
      <c r="C128" t="s">
        <v>76</v>
      </c>
      <c r="G128" s="29"/>
      <c r="H128" s="21"/>
      <c r="I128" s="53"/>
      <c r="J128" s="53"/>
      <c r="K128" s="52"/>
      <c r="L128" s="16"/>
    </row>
    <row r="129" spans="1:17" x14ac:dyDescent="0.3">
      <c r="B129" s="37">
        <f ca="1">IF(AND((B5+B86+B18)&gt;=B32,(B5+B86+B18)&lt;=C32),(B5+B86)*D32,IF(AND((B5+B86+B18)&gt;B33,(B5+B86+B18)&lt;=C33),IF((B5+B86+B18-B33)&gt;(B5+B86),(B5+B86)*D33,((B5+B86+B18-B33)*D33)+((B5+B86-(B5+B86+B18-B33))*D32)),IF(AND((B5+B86+B18)&gt;B34,(B5+B86+B18)&lt;=C34),IF((B5+B86+B18-B34)&gt;(B5+B86),(B5+B86)*D34,IF((B5+B86+B18-B33)&gt;(B5+B86),(((B5+B86+B18-B34)*D34)+((B5+B86-(B5+B86+B18-B34))*D33)),((B5+B86+B18-B34)*D34)+((C33-B33)*D33)+((B5+B86-(B5+B86+B18-B33))*D32))),IF((B5+B86+B18)&gt;B35,IF((B5+B86+B18-B35)&gt;(B5+B86),(B5+B86)*D35,IF((B5+B86+B18-B34)&gt;(B5+B86),(((B5+B86+B18-B35)*D35)+((B5+B86-(B5+B86+B18-B35))*D34)),IF((B5+B86+B18-B33)&gt;(B5+B86),(((B5+B86+B18-B35)*D35)+((C34-B34)*D34)+((B5+B86-(B5+B86+B18-B34))*D33)),((B5+B86+B18-B35)*D35)+((C34-B34)*D34)+((C33-B33)*D33)+((B5+B86-(B5+B86+B18-B33))*D32))))))))</f>
        <v>281</v>
      </c>
      <c r="C129" t="s">
        <v>16</v>
      </c>
      <c r="G129" s="29"/>
      <c r="H129" s="21"/>
      <c r="I129" s="53"/>
      <c r="J129" s="53"/>
      <c r="K129" s="21"/>
    </row>
    <row r="130" spans="1:17" x14ac:dyDescent="0.3">
      <c r="B130" s="37">
        <f>-IF(B18&gt;=B37,0,IF(B18&lt;B37,IF((B18+B5+B86)&gt;B37,(B37-B18)*D32,((B5+B86)*D32))))</f>
        <v>0</v>
      </c>
      <c r="C130" t="s">
        <v>33</v>
      </c>
      <c r="G130" s="29"/>
      <c r="H130"/>
      <c r="I130" s="21"/>
      <c r="J130" s="53"/>
      <c r="K130" s="52"/>
      <c r="L130" s="13"/>
    </row>
    <row r="131" spans="1:17" x14ac:dyDescent="0.3">
      <c r="B131" s="37">
        <f ca="1">-B77</f>
        <v>0</v>
      </c>
      <c r="C131" t="s">
        <v>48</v>
      </c>
      <c r="G131" s="29"/>
      <c r="H131"/>
      <c r="I131" s="21"/>
      <c r="J131" s="21"/>
      <c r="K131" s="21"/>
    </row>
    <row r="132" spans="1:17" x14ac:dyDescent="0.3">
      <c r="B132" s="39">
        <f ca="1">IF(B118=0,0,-MIN(B118,SUM(B129,B130,B131)))</f>
        <v>0</v>
      </c>
      <c r="C132" t="s">
        <v>77</v>
      </c>
      <c r="G132" s="29"/>
      <c r="H132"/>
      <c r="I132" s="12"/>
      <c r="J132" s="53"/>
      <c r="K132" s="21"/>
      <c r="L132" s="13"/>
    </row>
    <row r="133" spans="1:17" x14ac:dyDescent="0.3">
      <c r="B133" s="38">
        <f ca="1">-F58</f>
        <v>0</v>
      </c>
      <c r="C133" t="s">
        <v>95</v>
      </c>
      <c r="G133" s="29"/>
      <c r="H133"/>
      <c r="I133" s="12"/>
      <c r="J133" s="53"/>
      <c r="K133" s="21"/>
      <c r="L133" s="13"/>
    </row>
    <row r="134" spans="1:17" x14ac:dyDescent="0.3">
      <c r="A134" s="10" t="s">
        <v>21</v>
      </c>
      <c r="B134" s="79">
        <f ca="1">SUM(B125:B133)</f>
        <v>619.36</v>
      </c>
      <c r="F134" s="47"/>
      <c r="I134" s="21"/>
      <c r="J134" s="21"/>
      <c r="K134" s="49"/>
      <c r="L134" s="48"/>
      <c r="M134" s="47"/>
    </row>
    <row r="135" spans="1:17" x14ac:dyDescent="0.3">
      <c r="E135" s="18"/>
      <c r="F135" s="49"/>
      <c r="K135" s="47"/>
      <c r="L135" s="47"/>
      <c r="M135" s="47"/>
      <c r="Q135" s="15"/>
    </row>
    <row r="136" spans="1:17" x14ac:dyDescent="0.3">
      <c r="B136" s="13"/>
      <c r="F136" s="47"/>
      <c r="K136" s="47"/>
      <c r="L136" s="47"/>
      <c r="M136" s="47"/>
    </row>
    <row r="137" spans="1:17" x14ac:dyDescent="0.3">
      <c r="A137" s="19" t="s">
        <v>36</v>
      </c>
      <c r="B137" s="13"/>
      <c r="F137" s="47"/>
      <c r="K137" s="47"/>
      <c r="L137" s="47"/>
      <c r="M137" s="47"/>
    </row>
    <row r="138" spans="1:17" x14ac:dyDescent="0.3">
      <c r="A138" t="s">
        <v>113</v>
      </c>
      <c r="B138" s="37">
        <f ca="1">SUM(B125:B128)</f>
        <v>338.36</v>
      </c>
      <c r="F138" s="47"/>
      <c r="K138" s="47"/>
      <c r="L138" s="47"/>
      <c r="M138" s="47"/>
    </row>
    <row r="139" spans="1:17" x14ac:dyDescent="0.3">
      <c r="A139" t="s">
        <v>114</v>
      </c>
      <c r="B139" s="37">
        <f ca="1">SUM(B129:B132)</f>
        <v>281</v>
      </c>
      <c r="F139" s="47"/>
      <c r="K139" s="47"/>
      <c r="L139" s="47"/>
      <c r="M139" s="47"/>
    </row>
    <row r="140" spans="1:17" x14ac:dyDescent="0.3">
      <c r="A140" t="s">
        <v>112</v>
      </c>
      <c r="B140" s="38">
        <f ca="1">B133</f>
        <v>0</v>
      </c>
      <c r="F140" s="47"/>
      <c r="K140" s="47"/>
      <c r="L140" s="47"/>
      <c r="M140" s="47"/>
    </row>
    <row r="141" spans="1:17" x14ac:dyDescent="0.3">
      <c r="B141" s="13">
        <f ca="1">SUM(B138:B140)</f>
        <v>619.36</v>
      </c>
      <c r="F141" s="47"/>
      <c r="K141" s="47"/>
      <c r="L141" s="47"/>
      <c r="M141" s="47"/>
    </row>
    <row r="142" spans="1:17" x14ac:dyDescent="0.3">
      <c r="B142" s="13"/>
      <c r="F142" s="47"/>
      <c r="K142" s="47"/>
      <c r="L142" s="47"/>
      <c r="M142" s="47"/>
    </row>
    <row r="143" spans="1:17" x14ac:dyDescent="0.3">
      <c r="B143" s="13"/>
      <c r="F143" s="47"/>
      <c r="K143" s="47"/>
      <c r="L143" s="47"/>
      <c r="M143" s="47"/>
    </row>
    <row r="144" spans="1:17" x14ac:dyDescent="0.3">
      <c r="B144" s="13"/>
      <c r="F144" s="47"/>
      <c r="K144" s="47"/>
      <c r="L144" s="47"/>
      <c r="M144" s="47"/>
    </row>
    <row r="145" spans="2:14" x14ac:dyDescent="0.3">
      <c r="B145" s="13"/>
      <c r="F145" s="47"/>
      <c r="K145" s="47"/>
      <c r="L145" s="47"/>
      <c r="M145" s="47"/>
    </row>
    <row r="146" spans="2:14" x14ac:dyDescent="0.3">
      <c r="B146" s="15"/>
      <c r="F146" s="47"/>
      <c r="K146" s="49"/>
      <c r="L146" s="47"/>
      <c r="M146" s="49"/>
      <c r="N146" s="18"/>
    </row>
    <row r="147" spans="2:14" x14ac:dyDescent="0.3">
      <c r="F147" s="47"/>
      <c r="K147" s="47"/>
      <c r="L147" s="47"/>
      <c r="M147" s="47"/>
    </row>
    <row r="148" spans="2:14" x14ac:dyDescent="0.3">
      <c r="F148" s="47"/>
      <c r="K148" s="47"/>
      <c r="L148" s="47"/>
      <c r="M148" s="47"/>
    </row>
    <row r="149" spans="2:14" x14ac:dyDescent="0.3">
      <c r="F149" s="47"/>
      <c r="G149" s="47"/>
      <c r="H149" s="46"/>
      <c r="I149" s="47"/>
      <c r="J149" s="47"/>
      <c r="K149" s="47"/>
      <c r="L149" s="47"/>
      <c r="M149" s="47"/>
    </row>
    <row r="150" spans="2:14" x14ac:dyDescent="0.3">
      <c r="H150" s="12"/>
    </row>
    <row r="152" spans="2:14" x14ac:dyDescent="0.3">
      <c r="H152" s="40"/>
      <c r="M152" s="22"/>
    </row>
  </sheetData>
  <dataValidations disablePrompts="1"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7" zoomScale="85" zoomScaleNormal="85" workbookViewId="0">
      <selection activeCell="B17" sqref="B17:D33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23</v>
      </c>
      <c r="F1" t="s">
        <v>27</v>
      </c>
      <c r="I1" s="30" t="s">
        <v>30</v>
      </c>
    </row>
    <row r="2" spans="1:14" x14ac:dyDescent="0.3">
      <c r="A2" s="2" t="s">
        <v>1</v>
      </c>
      <c r="E2" t="s">
        <v>24</v>
      </c>
      <c r="F2" t="s">
        <v>26</v>
      </c>
      <c r="I2" s="30" t="s">
        <v>70</v>
      </c>
    </row>
    <row r="3" spans="1:14" x14ac:dyDescent="0.3">
      <c r="A3" s="3" t="s">
        <v>89</v>
      </c>
      <c r="H3" s="46"/>
      <c r="I3" s="46"/>
      <c r="J3" s="49"/>
      <c r="K3" s="47"/>
      <c r="L3" s="21"/>
      <c r="M3" s="21"/>
      <c r="N3" s="21"/>
    </row>
    <row r="4" spans="1:14" x14ac:dyDescent="0.3">
      <c r="E4" t="s">
        <v>55</v>
      </c>
      <c r="F4" t="s">
        <v>23</v>
      </c>
      <c r="H4" s="47"/>
      <c r="I4" s="46"/>
      <c r="J4" s="46"/>
      <c r="K4" s="49"/>
      <c r="L4" s="21"/>
      <c r="M4" s="21"/>
      <c r="N4" s="21"/>
    </row>
    <row r="5" spans="1:14" x14ac:dyDescent="0.3">
      <c r="A5" t="s">
        <v>49</v>
      </c>
      <c r="B5" s="56">
        <v>2000</v>
      </c>
      <c r="E5" t="s">
        <v>56</v>
      </c>
      <c r="F5" t="s">
        <v>24</v>
      </c>
      <c r="H5" s="21"/>
      <c r="I5" s="37"/>
      <c r="J5" s="37"/>
      <c r="K5" s="37"/>
      <c r="L5" s="21"/>
      <c r="M5" s="21"/>
      <c r="N5" s="21"/>
    </row>
    <row r="6" spans="1:14" x14ac:dyDescent="0.3">
      <c r="A6" s="28" t="s">
        <v>57</v>
      </c>
      <c r="B6" s="1" t="s">
        <v>55</v>
      </c>
      <c r="D6" s="47"/>
      <c r="E6" s="47"/>
      <c r="F6" s="46"/>
      <c r="G6" s="47"/>
      <c r="H6" s="76"/>
      <c r="I6" s="76"/>
      <c r="J6" s="80"/>
      <c r="K6" s="80"/>
      <c r="L6" s="80"/>
      <c r="M6" s="80"/>
      <c r="N6" s="21"/>
    </row>
    <row r="7" spans="1:14" x14ac:dyDescent="0.3">
      <c r="A7" s="28" t="s">
        <v>58</v>
      </c>
      <c r="B7" s="1">
        <v>200</v>
      </c>
      <c r="D7" s="47"/>
      <c r="E7" s="47"/>
      <c r="F7" s="46"/>
      <c r="G7" s="47"/>
      <c r="H7" s="76"/>
      <c r="I7" s="76"/>
      <c r="J7" s="80"/>
      <c r="K7" s="80"/>
      <c r="L7" s="80"/>
      <c r="M7" s="80"/>
      <c r="N7" s="21"/>
    </row>
    <row r="8" spans="1:14" s="21" customFormat="1" x14ac:dyDescent="0.3">
      <c r="A8" s="57"/>
      <c r="B8"/>
      <c r="D8" s="47"/>
      <c r="E8" s="47"/>
      <c r="F8" s="46"/>
      <c r="G8" s="47"/>
      <c r="H8" s="76"/>
      <c r="I8" s="76"/>
      <c r="J8" s="80"/>
      <c r="K8" s="80"/>
      <c r="L8" s="80"/>
      <c r="M8" s="80"/>
    </row>
    <row r="9" spans="1:14" x14ac:dyDescent="0.3">
      <c r="A9" s="2" t="s">
        <v>4</v>
      </c>
      <c r="D9" s="47"/>
      <c r="E9" s="47"/>
      <c r="F9" s="46"/>
      <c r="G9" s="76"/>
      <c r="H9" s="76"/>
      <c r="I9" s="76"/>
      <c r="J9" s="39"/>
      <c r="K9" s="39"/>
      <c r="L9" s="47"/>
      <c r="M9" s="47"/>
      <c r="N9" s="21"/>
    </row>
    <row r="10" spans="1:14" x14ac:dyDescent="0.3">
      <c r="A10" t="s">
        <v>5</v>
      </c>
      <c r="B10" s="1" t="s">
        <v>90</v>
      </c>
      <c r="D10" s="47"/>
      <c r="E10" s="47"/>
      <c r="F10" s="46"/>
      <c r="G10" s="47"/>
      <c r="H10" s="76"/>
      <c r="I10" s="76"/>
      <c r="J10" s="47"/>
      <c r="K10" s="47"/>
      <c r="L10" s="47"/>
      <c r="M10" s="47"/>
      <c r="N10" s="21"/>
    </row>
    <row r="11" spans="1:14" x14ac:dyDescent="0.3">
      <c r="D11" s="47"/>
      <c r="E11" s="47"/>
      <c r="F11" s="47"/>
      <c r="G11" s="47"/>
      <c r="H11" s="76"/>
      <c r="I11" s="76"/>
      <c r="J11" s="47"/>
      <c r="K11" s="47"/>
      <c r="L11" s="47"/>
      <c r="M11" s="47"/>
      <c r="N11" s="21"/>
    </row>
    <row r="12" spans="1:14" x14ac:dyDescent="0.3">
      <c r="D12" s="47"/>
      <c r="E12" s="47"/>
      <c r="F12" s="78"/>
      <c r="G12" s="47"/>
      <c r="H12" s="76"/>
      <c r="I12" s="76"/>
      <c r="J12" s="47"/>
      <c r="K12" s="47"/>
      <c r="L12" s="47"/>
      <c r="M12" s="47"/>
      <c r="N12" s="21"/>
    </row>
    <row r="13" spans="1:14" x14ac:dyDescent="0.3">
      <c r="D13" s="47"/>
      <c r="E13" s="47"/>
      <c r="F13" s="47"/>
      <c r="G13" s="76"/>
      <c r="H13" s="76"/>
      <c r="I13" s="76"/>
      <c r="J13" s="47"/>
      <c r="K13" s="47"/>
      <c r="L13" s="47"/>
      <c r="M13" s="47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</row>
    <row r="16" spans="1:14" x14ac:dyDescent="0.3">
      <c r="A16" s="3" t="s">
        <v>8</v>
      </c>
      <c r="E16" s="21"/>
      <c r="F16" s="21"/>
      <c r="G16" s="21"/>
      <c r="H16" s="12"/>
      <c r="I16" s="21"/>
    </row>
    <row r="17" spans="1:14" x14ac:dyDescent="0.3">
      <c r="B17" s="93" t="s">
        <v>20</v>
      </c>
      <c r="C17" s="21"/>
      <c r="D17" s="21"/>
      <c r="E17" s="21"/>
      <c r="F17" s="93"/>
      <c r="G17" s="21"/>
      <c r="H17" s="21"/>
      <c r="I17" s="21"/>
    </row>
    <row r="18" spans="1:14" ht="15.6" x14ac:dyDescent="0.3">
      <c r="A18" t="s">
        <v>9</v>
      </c>
      <c r="B18" s="52">
        <v>0</v>
      </c>
      <c r="C18" s="27">
        <v>45282</v>
      </c>
      <c r="D18" s="94">
        <v>0.15</v>
      </c>
      <c r="E18" s="21"/>
      <c r="F18" s="52"/>
      <c r="G18" s="27"/>
      <c r="H18" s="94"/>
      <c r="I18" s="21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E19" s="21"/>
      <c r="F19" s="27"/>
      <c r="G19" s="27"/>
      <c r="H19" s="66"/>
      <c r="I19" s="21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E20" s="21"/>
      <c r="F20" s="27"/>
      <c r="G20" s="27"/>
      <c r="H20" s="66"/>
      <c r="I20" s="21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E21" s="21"/>
      <c r="F21" s="27"/>
      <c r="G21" s="27"/>
      <c r="H21" s="66"/>
      <c r="I21" s="21"/>
      <c r="N21" s="7"/>
    </row>
    <row r="22" spans="1:14" ht="15.6" x14ac:dyDescent="0.3">
      <c r="B22" s="27">
        <f>C21</f>
        <v>200000</v>
      </c>
      <c r="C22" s="21"/>
      <c r="D22" s="66">
        <v>0.33</v>
      </c>
      <c r="E22" s="21"/>
      <c r="F22" s="27"/>
      <c r="G22" s="21"/>
      <c r="H22" s="66"/>
      <c r="I22" s="21"/>
      <c r="N22" s="7"/>
    </row>
    <row r="23" spans="1:14" x14ac:dyDescent="0.3">
      <c r="B23" s="21"/>
      <c r="C23" s="93"/>
      <c r="D23" s="21"/>
      <c r="E23" s="21"/>
      <c r="F23" s="21"/>
      <c r="G23" s="21"/>
      <c r="H23" s="12"/>
      <c r="I23" s="21"/>
    </row>
    <row r="24" spans="1:14" ht="15.6" x14ac:dyDescent="0.3">
      <c r="A24" t="s">
        <v>35</v>
      </c>
      <c r="B24" s="27">
        <v>11474</v>
      </c>
      <c r="C24" s="27"/>
      <c r="D24" s="21"/>
      <c r="E24" s="21"/>
      <c r="F24" s="21"/>
      <c r="G24" s="52"/>
      <c r="H24" s="12"/>
      <c r="I24" s="21"/>
    </row>
    <row r="25" spans="1:14" x14ac:dyDescent="0.3">
      <c r="B25" s="21"/>
      <c r="C25" s="21"/>
      <c r="D25" s="21"/>
      <c r="E25" s="21"/>
      <c r="F25" s="21"/>
      <c r="G25" s="21"/>
      <c r="H25" s="12"/>
      <c r="I25" s="21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  <c r="I26" s="21"/>
    </row>
    <row r="27" spans="1:14" x14ac:dyDescent="0.3">
      <c r="A27" s="10" t="s">
        <v>90</v>
      </c>
      <c r="B27" s="93" t="s">
        <v>20</v>
      </c>
      <c r="C27" s="21"/>
      <c r="D27" s="21"/>
      <c r="E27" s="21"/>
      <c r="F27" s="93"/>
      <c r="G27" s="21"/>
      <c r="H27" s="21"/>
      <c r="I27" s="47"/>
      <c r="J27" s="32"/>
      <c r="K27" s="70"/>
    </row>
    <row r="28" spans="1:14" ht="15.6" x14ac:dyDescent="0.3">
      <c r="A28" t="s">
        <v>9</v>
      </c>
      <c r="B28" s="21">
        <v>0</v>
      </c>
      <c r="C28" s="27">
        <v>41011</v>
      </c>
      <c r="D28" s="66">
        <v>5.8999999999999997E-2</v>
      </c>
      <c r="E28" s="21"/>
      <c r="F28" s="21"/>
      <c r="G28" s="27"/>
      <c r="H28" s="66"/>
      <c r="I28" s="47"/>
      <c r="J28" s="66"/>
      <c r="K28" s="21"/>
    </row>
    <row r="29" spans="1:14" ht="15.6" x14ac:dyDescent="0.3">
      <c r="A29" t="s">
        <v>10</v>
      </c>
      <c r="B29" s="27">
        <f>C28</f>
        <v>41011</v>
      </c>
      <c r="C29" s="27">
        <v>82024</v>
      </c>
      <c r="D29" s="66">
        <v>8.5999999999999993E-2</v>
      </c>
      <c r="E29" s="21"/>
      <c r="F29" s="27"/>
      <c r="G29" s="27"/>
      <c r="H29" s="66"/>
      <c r="I29" s="47"/>
      <c r="J29" s="71"/>
      <c r="K29" s="53"/>
      <c r="L29" s="15"/>
    </row>
    <row r="30" spans="1:14" ht="15.6" x14ac:dyDescent="0.3">
      <c r="A30" t="s">
        <v>10</v>
      </c>
      <c r="B30" s="27">
        <f>C29</f>
        <v>82024</v>
      </c>
      <c r="C30" s="27">
        <v>133353</v>
      </c>
      <c r="D30" s="66">
        <v>0.122</v>
      </c>
      <c r="E30" s="21"/>
      <c r="F30" s="27"/>
      <c r="G30" s="27"/>
      <c r="H30" s="66"/>
      <c r="I30" s="47"/>
      <c r="J30" s="71"/>
      <c r="K30" s="52"/>
      <c r="L30" s="13"/>
      <c r="N30" s="18"/>
    </row>
    <row r="31" spans="1:14" ht="15.6" x14ac:dyDescent="0.3">
      <c r="A31" t="s">
        <v>10</v>
      </c>
      <c r="B31" s="27">
        <f>C30</f>
        <v>133353</v>
      </c>
      <c r="C31" s="27"/>
      <c r="D31" s="66">
        <v>0.14050000000000001</v>
      </c>
      <c r="E31" s="21"/>
      <c r="F31" s="27"/>
      <c r="G31" s="27"/>
      <c r="H31" s="66"/>
      <c r="I31" s="47"/>
      <c r="J31" s="71"/>
      <c r="K31" s="52"/>
      <c r="L31" s="13"/>
      <c r="N31" s="4"/>
    </row>
    <row r="32" spans="1:14" x14ac:dyDescent="0.3">
      <c r="B32" s="21"/>
      <c r="C32" s="93"/>
      <c r="D32" s="21"/>
      <c r="E32" s="21"/>
      <c r="F32" s="21"/>
      <c r="G32" s="21"/>
      <c r="H32" s="45"/>
      <c r="I32" s="47"/>
      <c r="J32" s="72"/>
      <c r="K32" s="20"/>
      <c r="L32" s="26"/>
    </row>
    <row r="33" spans="1:17" ht="15.6" x14ac:dyDescent="0.3">
      <c r="A33" t="s">
        <v>33</v>
      </c>
      <c r="B33" s="27">
        <v>14081</v>
      </c>
      <c r="C33" s="27"/>
      <c r="D33" s="21"/>
      <c r="E33" s="21"/>
      <c r="F33" s="21"/>
      <c r="G33" s="21"/>
      <c r="H33" s="45"/>
      <c r="I33" s="47"/>
      <c r="J33" s="72"/>
      <c r="K33" s="20"/>
      <c r="L33" s="26"/>
    </row>
    <row r="34" spans="1:17" x14ac:dyDescent="0.3">
      <c r="B34" s="4"/>
      <c r="C34" s="4"/>
      <c r="D34" t="s">
        <v>34</v>
      </c>
      <c r="E34" s="13"/>
      <c r="F34" s="44"/>
      <c r="H34" s="16"/>
      <c r="I34" s="47"/>
      <c r="J34" s="21"/>
      <c r="K34" s="21"/>
    </row>
    <row r="35" spans="1:17" x14ac:dyDescent="0.3">
      <c r="B35" s="37"/>
      <c r="C35" s="4"/>
      <c r="I35" s="47"/>
      <c r="J35" s="21"/>
      <c r="K35" s="21"/>
      <c r="Q35" s="18"/>
    </row>
    <row r="36" spans="1:17" x14ac:dyDescent="0.3">
      <c r="A36" s="3" t="s">
        <v>95</v>
      </c>
      <c r="B36" s="4"/>
      <c r="C36" s="4"/>
      <c r="E36" s="13"/>
      <c r="F36" s="44"/>
      <c r="H36" s="16"/>
    </row>
    <row r="37" spans="1:17" x14ac:dyDescent="0.3">
      <c r="A37" s="10" t="s">
        <v>96</v>
      </c>
      <c r="B37" s="44"/>
      <c r="D37" s="67" t="s">
        <v>62</v>
      </c>
      <c r="E37" s="83" t="s">
        <v>61</v>
      </c>
      <c r="F37" s="83" t="s">
        <v>63</v>
      </c>
      <c r="H37" s="16"/>
    </row>
    <row r="38" spans="1:17" ht="15.6" x14ac:dyDescent="0.3">
      <c r="A38">
        <v>0</v>
      </c>
      <c r="B38" s="5">
        <v>12000</v>
      </c>
      <c r="C38" s="7">
        <v>2.5999999999999999E-2</v>
      </c>
      <c r="D38" s="13">
        <v>0</v>
      </c>
      <c r="E38" s="13">
        <f>IF(AND($B$14&gt;=A38,$B$14&lt;B38),($B$14-A38)*C38,0)</f>
        <v>0</v>
      </c>
      <c r="F38" s="18">
        <f>(IF(E38=0,0,D38+E38))</f>
        <v>0</v>
      </c>
      <c r="H38" s="16"/>
    </row>
    <row r="39" spans="1:17" ht="15.6" x14ac:dyDescent="0.3">
      <c r="A39" s="5">
        <f>B38</f>
        <v>12000</v>
      </c>
      <c r="B39" s="5">
        <v>48000</v>
      </c>
      <c r="C39" s="7">
        <v>1.2500000000000001E-2</v>
      </c>
      <c r="D39" s="12">
        <v>312</v>
      </c>
      <c r="E39" s="13">
        <f>IF(AND($B$14&gt;=A39,$B$14&lt;B39),($B$14-A39)*C39,0)</f>
        <v>0</v>
      </c>
      <c r="F39" s="18">
        <f>(IF(E39=0,0,D39+E39))</f>
        <v>0</v>
      </c>
      <c r="H39" s="16"/>
    </row>
    <row r="40" spans="1:17" ht="15.6" x14ac:dyDescent="0.3">
      <c r="A40" s="27">
        <f>B39</f>
        <v>48000</v>
      </c>
      <c r="B40" s="5"/>
      <c r="C40" s="7">
        <v>0.01</v>
      </c>
      <c r="D40" s="12">
        <v>762</v>
      </c>
      <c r="E40" s="13">
        <f>IF($B$14&gt;=A40,($B$14-A40)*C40,0)</f>
        <v>910</v>
      </c>
      <c r="F40" s="35">
        <f>(IF(E40=0,0,D40+E40))</f>
        <v>1672</v>
      </c>
      <c r="H40" s="16"/>
    </row>
    <row r="41" spans="1:17" x14ac:dyDescent="0.3">
      <c r="A41" s="13"/>
      <c r="B41" s="44"/>
      <c r="D41" s="13"/>
      <c r="E41" s="13"/>
      <c r="F41" s="13">
        <f>SUM(F38:F40)</f>
        <v>1672</v>
      </c>
      <c r="G41" s="30"/>
      <c r="H41" s="16"/>
    </row>
    <row r="42" spans="1:17" x14ac:dyDescent="0.3">
      <c r="C42" s="13" t="s">
        <v>98</v>
      </c>
      <c r="D42" s="13">
        <v>350</v>
      </c>
      <c r="E42">
        <v>942</v>
      </c>
      <c r="F42" s="84">
        <f>IF(F41&lt;=D42,D42,IF(AND(F41&gt;D42,F41&lt;E42),F41,IF(F41&gt;=D42,E42)))</f>
        <v>942</v>
      </c>
      <c r="G42" s="30" t="s">
        <v>28</v>
      </c>
      <c r="H42" s="16"/>
    </row>
    <row r="43" spans="1:17" x14ac:dyDescent="0.3">
      <c r="C43" s="13"/>
      <c r="F43" s="18"/>
      <c r="G43" s="30"/>
      <c r="H43" s="16"/>
    </row>
    <row r="44" spans="1:17" x14ac:dyDescent="0.3">
      <c r="A44" s="13"/>
      <c r="B44" s="44"/>
      <c r="D44" s="13"/>
      <c r="E44" s="13"/>
      <c r="F44" s="13"/>
      <c r="G44" s="30"/>
      <c r="H44" s="16"/>
    </row>
    <row r="45" spans="1:17" x14ac:dyDescent="0.3">
      <c r="A45" s="13"/>
      <c r="B45" s="44"/>
      <c r="D45" s="13"/>
      <c r="E45" s="13"/>
      <c r="F45" s="13"/>
      <c r="G45" s="30"/>
      <c r="H45" s="16"/>
    </row>
    <row r="46" spans="1:17" x14ac:dyDescent="0.3">
      <c r="B46" s="44"/>
      <c r="D46" s="16"/>
      <c r="G46" s="30"/>
      <c r="H46" s="16"/>
    </row>
    <row r="47" spans="1:17" x14ac:dyDescent="0.3">
      <c r="A47" s="10" t="s">
        <v>99</v>
      </c>
      <c r="B47" s="44"/>
      <c r="D47" s="67" t="s">
        <v>62</v>
      </c>
      <c r="E47" s="83" t="s">
        <v>61</v>
      </c>
      <c r="F47" s="83" t="s">
        <v>63</v>
      </c>
      <c r="G47" s="30"/>
      <c r="H47" s="16"/>
    </row>
    <row r="48" spans="1:17" ht="15.6" x14ac:dyDescent="0.3">
      <c r="A48">
        <v>0</v>
      </c>
      <c r="B48" s="5">
        <v>12000</v>
      </c>
      <c r="C48" s="7">
        <v>2.5999999999999999E-2</v>
      </c>
      <c r="D48" s="13">
        <v>0</v>
      </c>
      <c r="E48" s="13">
        <f>IF(AND(($B$14+$B$5+$B$86)&gt;=A48,($B$14+$B$5+$B$86)&lt;B48),($B$14+$B$5+$B$86-A48)*C48,0)</f>
        <v>0</v>
      </c>
      <c r="F48" s="18">
        <f t="shared" ref="F48:F50" si="0">(IF(E48=0,0,D48+E48))</f>
        <v>0</v>
      </c>
      <c r="G48" s="30"/>
      <c r="H48" s="16"/>
    </row>
    <row r="49" spans="1:17" ht="15.6" x14ac:dyDescent="0.3">
      <c r="A49" s="5">
        <f>B48</f>
        <v>12000</v>
      </c>
      <c r="B49" s="5">
        <v>48000</v>
      </c>
      <c r="C49" s="7">
        <v>1.2500000000000001E-2</v>
      </c>
      <c r="D49" s="12">
        <v>312</v>
      </c>
      <c r="E49" s="13">
        <f>IF(AND(($B$14+$B$5+$B$86)&gt;=A49,($B$14+$B$5+$B$86)&lt;B49),($B$14+$B$5+$B$86-A49)*C49,0)</f>
        <v>0</v>
      </c>
      <c r="F49" s="18">
        <f t="shared" si="0"/>
        <v>0</v>
      </c>
      <c r="G49" s="30"/>
      <c r="H49" s="16"/>
    </row>
    <row r="50" spans="1:17" ht="15.6" x14ac:dyDescent="0.3">
      <c r="A50" s="27">
        <f>B49</f>
        <v>48000</v>
      </c>
      <c r="B50" s="5"/>
      <c r="C50" s="7">
        <v>0.01</v>
      </c>
      <c r="D50" s="12">
        <v>762</v>
      </c>
      <c r="E50" s="13">
        <f>IF(($B$14+$B$5+$B$86)&gt;=A50,($B$14+$B$5+$B$86-A50)*C50,0)</f>
        <v>930</v>
      </c>
      <c r="F50" s="35">
        <f t="shared" si="0"/>
        <v>1692</v>
      </c>
      <c r="G50" s="30"/>
      <c r="H50" s="16"/>
    </row>
    <row r="51" spans="1:17" x14ac:dyDescent="0.3">
      <c r="A51" s="13"/>
      <c r="B51" s="44"/>
      <c r="D51" s="16"/>
      <c r="F51" s="18">
        <f>SUM(F48:F50)</f>
        <v>1692</v>
      </c>
      <c r="G51" s="30"/>
      <c r="H51" s="16"/>
    </row>
    <row r="52" spans="1:17" x14ac:dyDescent="0.3">
      <c r="A52" s="13"/>
      <c r="B52" s="44"/>
      <c r="C52" s="13" t="s">
        <v>98</v>
      </c>
      <c r="D52" s="13">
        <v>350</v>
      </c>
      <c r="E52">
        <v>942</v>
      </c>
      <c r="F52" s="84">
        <f>IF(F51&lt;=D52,D52,IF(AND(F51&gt;D52,F51&lt;E52),F51,IF(F51&gt;=D52,E52)))</f>
        <v>942</v>
      </c>
      <c r="G52" s="30" t="s">
        <v>29</v>
      </c>
      <c r="H52" s="16"/>
    </row>
    <row r="53" spans="1:17" x14ac:dyDescent="0.3">
      <c r="A53" s="13"/>
      <c r="B53" s="44"/>
      <c r="D53" s="16"/>
      <c r="F53" s="18"/>
      <c r="G53" s="30"/>
      <c r="H53" s="16"/>
    </row>
    <row r="54" spans="1:17" x14ac:dyDescent="0.3">
      <c r="A54" s="13"/>
      <c r="B54" s="44"/>
      <c r="D54" s="16"/>
      <c r="E54" s="85" t="s">
        <v>97</v>
      </c>
      <c r="F54" s="18">
        <f>F52-F42</f>
        <v>0</v>
      </c>
      <c r="G54" s="30" t="s">
        <v>100</v>
      </c>
      <c r="H54" s="16"/>
    </row>
    <row r="55" spans="1:17" x14ac:dyDescent="0.3">
      <c r="B55" s="37"/>
      <c r="C55" s="4"/>
      <c r="I55" s="47"/>
      <c r="J55" s="21"/>
      <c r="K55" s="21"/>
      <c r="Q55" s="18"/>
    </row>
    <row r="56" spans="1:17" x14ac:dyDescent="0.3">
      <c r="A56" s="3" t="s">
        <v>50</v>
      </c>
      <c r="B56" s="37"/>
      <c r="C56" s="4"/>
      <c r="I56" s="47"/>
      <c r="J56" s="21"/>
      <c r="K56" s="21"/>
      <c r="Q56" s="18"/>
    </row>
    <row r="57" spans="1:17" x14ac:dyDescent="0.3">
      <c r="B57" s="37"/>
      <c r="C57" s="4"/>
      <c r="I57" s="47"/>
      <c r="J57" s="21"/>
      <c r="K57" s="21"/>
      <c r="Q57" s="18"/>
    </row>
    <row r="58" spans="1:17" x14ac:dyDescent="0.3">
      <c r="A58" s="19" t="s">
        <v>51</v>
      </c>
      <c r="B58" s="37"/>
      <c r="C58" s="4"/>
      <c r="H58" s="12"/>
      <c r="I58" s="47"/>
      <c r="J58" s="21"/>
      <c r="K58" s="21"/>
      <c r="Q58" s="18"/>
    </row>
    <row r="59" spans="1:17" x14ac:dyDescent="0.3">
      <c r="A59" t="s">
        <v>71</v>
      </c>
      <c r="B59" s="37">
        <f>$B$5</f>
        <v>2000</v>
      </c>
      <c r="C59" s="60" t="s">
        <v>28</v>
      </c>
      <c r="D59" s="19" t="s">
        <v>52</v>
      </c>
      <c r="E59" s="13"/>
      <c r="F59" s="18"/>
      <c r="G59" s="4"/>
      <c r="H59" s="67" t="s">
        <v>62</v>
      </c>
      <c r="I59" s="47" t="s">
        <v>61</v>
      </c>
      <c r="J59" s="73" t="s">
        <v>63</v>
      </c>
      <c r="K59" s="21"/>
      <c r="Q59" s="18"/>
    </row>
    <row r="60" spans="1:17" ht="15.6" x14ac:dyDescent="0.3">
      <c r="A60" t="s">
        <v>72</v>
      </c>
      <c r="B60" s="37">
        <f>IF($B$6="US",-IF(($B$7/$B$5)&gt;15%,$B$7-($B$5*15%),0),0)</f>
        <v>0</v>
      </c>
      <c r="C60" s="60" t="s">
        <v>29</v>
      </c>
      <c r="D60" t="s">
        <v>9</v>
      </c>
      <c r="E60" s="4">
        <v>0</v>
      </c>
      <c r="F60" s="5">
        <f t="shared" ref="F60:G63" si="1">C18</f>
        <v>45282</v>
      </c>
      <c r="G60" s="6">
        <f t="shared" si="1"/>
        <v>0.15</v>
      </c>
      <c r="H60" s="12">
        <v>0</v>
      </c>
      <c r="I60" s="12">
        <f ca="1">IF(AND(($B$14+$B$5+$B$63)&gt;=E60,($B$14+$B$5+$B$63)&lt;F60),($B$14+$B$5+$B$63-E60)*G60,0)</f>
        <v>0</v>
      </c>
      <c r="J60" s="12">
        <f ca="1">(IF(I60=0,0,H60+I60))</f>
        <v>0</v>
      </c>
      <c r="K60" s="21"/>
      <c r="Q60" s="18"/>
    </row>
    <row r="61" spans="1:17" ht="15.6" x14ac:dyDescent="0.3">
      <c r="A61" t="s">
        <v>73</v>
      </c>
      <c r="B61" s="37">
        <f>IF($B$6="non-US",-IF(($B$7/$B$5)&gt;15%,$B$7-($B$5*15%),0),0)</f>
        <v>0</v>
      </c>
      <c r="C61" s="4"/>
      <c r="D61" t="s">
        <v>10</v>
      </c>
      <c r="E61" s="5">
        <f>F60</f>
        <v>45282</v>
      </c>
      <c r="F61" s="5">
        <f t="shared" si="1"/>
        <v>90563</v>
      </c>
      <c r="G61" s="6">
        <f t="shared" si="1"/>
        <v>0.20499999999999999</v>
      </c>
      <c r="H61" s="12">
        <f>(F60-E60)*G60</f>
        <v>6792.3</v>
      </c>
      <c r="I61" s="12">
        <f ca="1">IF(AND(($B$14+$B$5+$B$63)&gt;=E61,($B$14+$B$5+$B$63)&lt;F61),($B$14+$B$5+$B$63-E61)*G61,0)</f>
        <v>0</v>
      </c>
      <c r="J61" s="12">
        <f t="shared" ref="J61:J64" ca="1" si="2">(IF(I61=0,0,H61+I61))</f>
        <v>0</v>
      </c>
      <c r="K61" s="21"/>
      <c r="Q61" s="18"/>
    </row>
    <row r="62" spans="1:17" ht="15.6" x14ac:dyDescent="0.3">
      <c r="A62" t="s">
        <v>78</v>
      </c>
      <c r="B62" s="38">
        <f ca="1">-B97</f>
        <v>0</v>
      </c>
      <c r="C62" s="4"/>
      <c r="D62" t="s">
        <v>10</v>
      </c>
      <c r="E62" s="5">
        <f>F61</f>
        <v>90563</v>
      </c>
      <c r="F62" s="5">
        <f t="shared" si="1"/>
        <v>140388</v>
      </c>
      <c r="G62" s="6">
        <f t="shared" si="1"/>
        <v>0.26</v>
      </c>
      <c r="H62" s="12">
        <f>((F61-E61)*G61)+H61</f>
        <v>16074.904999999999</v>
      </c>
      <c r="I62" s="12">
        <f ca="1">IF(AND(($B$14+$B$5+$B$63)&gt;=E62,($B$14+$B$5+$B$63)&lt;F62),($B$14+$B$5+$B$63-E62)*G62,0)</f>
        <v>0</v>
      </c>
      <c r="J62" s="12">
        <f t="shared" ca="1" si="2"/>
        <v>0</v>
      </c>
      <c r="K62" s="21"/>
      <c r="Q62" s="18"/>
    </row>
    <row r="63" spans="1:17" ht="15.6" x14ac:dyDescent="0.3">
      <c r="A63" t="s">
        <v>80</v>
      </c>
      <c r="B63" s="38">
        <f ca="1">SUM(B61:B62)</f>
        <v>0</v>
      </c>
      <c r="C63" s="60" t="s">
        <v>79</v>
      </c>
      <c r="D63" t="s">
        <v>10</v>
      </c>
      <c r="E63" s="5">
        <f>F62</f>
        <v>140388</v>
      </c>
      <c r="F63" s="5">
        <f t="shared" si="1"/>
        <v>200000</v>
      </c>
      <c r="G63" s="6">
        <f t="shared" si="1"/>
        <v>0.28999999999999998</v>
      </c>
      <c r="H63" s="12">
        <f>((F62-E62)*G62)+H62</f>
        <v>29029.404999999999</v>
      </c>
      <c r="I63" s="12">
        <f ca="1">IF(AND(($B$14+$B$5+$B$63)&gt;=E63,($B$14+$B$5+$B$63)&lt;F63),($B$14+$B$5+$B$63-E63)*G63,0)</f>
        <v>177.48</v>
      </c>
      <c r="J63" s="12">
        <f t="shared" ca="1" si="2"/>
        <v>29206.884999999998</v>
      </c>
      <c r="K63" s="21"/>
      <c r="Q63" s="18"/>
    </row>
    <row r="64" spans="1:17" ht="15.6" x14ac:dyDescent="0.3">
      <c r="A64" t="s">
        <v>53</v>
      </c>
      <c r="B64" s="37">
        <f ca="1">B59+B60+B63</f>
        <v>2000</v>
      </c>
      <c r="C64" s="60" t="s">
        <v>81</v>
      </c>
      <c r="E64" s="5">
        <f>F63</f>
        <v>200000</v>
      </c>
      <c r="G64" s="6">
        <f>D22</f>
        <v>0.33</v>
      </c>
      <c r="H64" s="12">
        <f>((F63-E63)*G63)+H63</f>
        <v>46316.884999999995</v>
      </c>
      <c r="I64" s="12">
        <f ca="1">IF(($B$14+$B$5+$B$63)&gt;=E64,($B$14+$B$5+$B$63-E64)*G64,0)</f>
        <v>0</v>
      </c>
      <c r="J64" s="54">
        <f t="shared" ca="1" si="2"/>
        <v>0</v>
      </c>
      <c r="K64" s="21"/>
      <c r="Q64" s="18"/>
    </row>
    <row r="65" spans="1:17" x14ac:dyDescent="0.3">
      <c r="B65" s="37"/>
      <c r="C65" s="4"/>
      <c r="E65" s="13"/>
      <c r="F65" s="18"/>
      <c r="G65" s="4"/>
      <c r="H65" s="16"/>
      <c r="I65" s="47"/>
      <c r="J65" s="12">
        <f ca="1">SUM(J60:J64)</f>
        <v>29206.884999999998</v>
      </c>
      <c r="K65" s="21"/>
      <c r="Q65" s="18"/>
    </row>
    <row r="66" spans="1:17" x14ac:dyDescent="0.3">
      <c r="A66" t="s">
        <v>6</v>
      </c>
      <c r="B66" s="39">
        <f>$B$5+$B$14</f>
        <v>141000</v>
      </c>
      <c r="C66" s="60" t="s">
        <v>28</v>
      </c>
      <c r="G66" s="63" t="s">
        <v>32</v>
      </c>
      <c r="H66" s="13">
        <f>B24</f>
        <v>11474</v>
      </c>
      <c r="I66" s="78">
        <f>D18</f>
        <v>0.15</v>
      </c>
      <c r="J66" s="54">
        <f ca="1">IF(($B$5+$B$14+B63)&lt;H66,($B$5+$B$14+B63)*I66,H66*I66)</f>
        <v>1721.1</v>
      </c>
      <c r="K66" s="21"/>
      <c r="Q66" s="18"/>
    </row>
    <row r="67" spans="1:17" x14ac:dyDescent="0.3">
      <c r="A67" t="s">
        <v>73</v>
      </c>
      <c r="B67" s="39">
        <f>IF($B$6="non-US",-IF(($B$7/$B$5)&gt;15%,$B$7-($B$5*15%),0),0)</f>
        <v>0</v>
      </c>
      <c r="C67" s="4"/>
      <c r="G67" s="63"/>
      <c r="I67" s="47"/>
      <c r="J67" s="13">
        <f ca="1">IF((J65-J66)&lt;=0,0,J65-J66)</f>
        <v>27485.785</v>
      </c>
      <c r="K67" s="21"/>
      <c r="Q67" s="18"/>
    </row>
    <row r="68" spans="1:17" x14ac:dyDescent="0.3">
      <c r="A68" t="s">
        <v>78</v>
      </c>
      <c r="B68" s="38">
        <f ca="1">B62</f>
        <v>0</v>
      </c>
      <c r="C68" s="4"/>
      <c r="G68" s="63"/>
      <c r="I68" s="47"/>
      <c r="J68" s="46"/>
      <c r="K68" s="21"/>
      <c r="Q68" s="18"/>
    </row>
    <row r="69" spans="1:17" x14ac:dyDescent="0.3">
      <c r="A69" t="s">
        <v>80</v>
      </c>
      <c r="B69" s="38">
        <f ca="1">SUM(B67:B68)</f>
        <v>0</v>
      </c>
      <c r="C69" s="60" t="s">
        <v>29</v>
      </c>
      <c r="E69" s="13"/>
      <c r="F69" s="18"/>
      <c r="I69" s="47"/>
      <c r="J69" s="21"/>
      <c r="K69" s="21"/>
      <c r="Q69" s="18"/>
    </row>
    <row r="70" spans="1:17" x14ac:dyDescent="0.3">
      <c r="A70" t="s">
        <v>74</v>
      </c>
      <c r="B70" s="37">
        <f ca="1">B66+B69</f>
        <v>141000</v>
      </c>
      <c r="C70" s="60" t="s">
        <v>82</v>
      </c>
      <c r="I70" s="47"/>
      <c r="J70" s="21"/>
      <c r="K70" s="21"/>
      <c r="Q70" s="18"/>
    </row>
    <row r="71" spans="1:17" x14ac:dyDescent="0.3">
      <c r="B71" s="37"/>
      <c r="C71" s="4"/>
      <c r="I71" s="47"/>
      <c r="J71" s="21"/>
      <c r="K71" s="21"/>
      <c r="Q71" s="18"/>
    </row>
    <row r="72" spans="1:17" x14ac:dyDescent="0.3">
      <c r="A72" t="s">
        <v>54</v>
      </c>
      <c r="B72" s="59">
        <f ca="1">B64/B70</f>
        <v>1.4184397163120567E-2</v>
      </c>
      <c r="C72" s="4"/>
      <c r="I72" s="47"/>
      <c r="J72" s="21"/>
      <c r="K72" s="21"/>
      <c r="Q72" s="18"/>
    </row>
    <row r="73" spans="1:17" x14ac:dyDescent="0.3">
      <c r="B73" s="37"/>
      <c r="C73" s="4"/>
      <c r="I73" s="47"/>
      <c r="J73" s="21"/>
      <c r="K73" s="21"/>
      <c r="Q73" s="18"/>
    </row>
    <row r="74" spans="1:17" x14ac:dyDescent="0.3">
      <c r="A74" t="s">
        <v>52</v>
      </c>
      <c r="B74" s="37">
        <f ca="1">J67</f>
        <v>27485.785</v>
      </c>
      <c r="C74" s="4"/>
      <c r="I74" s="47"/>
      <c r="J74" s="21"/>
      <c r="K74" s="21"/>
      <c r="Q74" s="18"/>
    </row>
    <row r="75" spans="1:17" x14ac:dyDescent="0.3">
      <c r="B75" s="37"/>
      <c r="C75" s="4"/>
      <c r="E75" s="65"/>
      <c r="F75" s="39"/>
      <c r="G75" s="4"/>
      <c r="H75" s="61"/>
      <c r="I75" s="47"/>
      <c r="J75" s="73"/>
      <c r="K75" s="21"/>
      <c r="Q75" s="18"/>
    </row>
    <row r="76" spans="1:17" ht="15.6" x14ac:dyDescent="0.3">
      <c r="A76" t="s">
        <v>64</v>
      </c>
      <c r="B76" s="37">
        <f ca="1">B74*B72</f>
        <v>389.86929078014185</v>
      </c>
      <c r="C76" s="60" t="s">
        <v>28</v>
      </c>
      <c r="E76" s="4"/>
      <c r="G76" s="6"/>
      <c r="H76" s="39"/>
      <c r="I76" s="47"/>
      <c r="J76" s="39"/>
      <c r="K76" s="21"/>
      <c r="Q76" s="18"/>
    </row>
    <row r="77" spans="1:17" ht="15.6" x14ac:dyDescent="0.3">
      <c r="A77" t="s">
        <v>65</v>
      </c>
      <c r="B77" s="37">
        <f>MIN($B$7,$B$5*15%)</f>
        <v>200</v>
      </c>
      <c r="C77" s="60" t="s">
        <v>29</v>
      </c>
      <c r="E77" s="5"/>
      <c r="G77" s="7"/>
      <c r="H77" s="39"/>
      <c r="I77" s="47"/>
      <c r="J77" s="39"/>
      <c r="K77" s="21"/>
      <c r="Q77" s="18"/>
    </row>
    <row r="78" spans="1:17" ht="15.6" x14ac:dyDescent="0.3">
      <c r="B78" s="37"/>
      <c r="C78" s="4"/>
      <c r="E78" s="5"/>
      <c r="G78" s="7"/>
      <c r="H78" s="39"/>
      <c r="I78" s="47"/>
      <c r="J78" s="39"/>
      <c r="K78" s="21"/>
      <c r="Q78" s="18"/>
    </row>
    <row r="79" spans="1:17" ht="15.6" x14ac:dyDescent="0.3">
      <c r="A79" t="s">
        <v>66</v>
      </c>
      <c r="B79" s="62">
        <f ca="1">MIN(B76,B77)</f>
        <v>200</v>
      </c>
      <c r="C79" s="60" t="s">
        <v>84</v>
      </c>
      <c r="E79" s="5"/>
      <c r="G79" s="7"/>
      <c r="H79" s="39"/>
      <c r="I79" s="47"/>
      <c r="J79" s="39"/>
      <c r="K79" s="21"/>
      <c r="Q79" s="18"/>
    </row>
    <row r="80" spans="1:17" ht="15.6" x14ac:dyDescent="0.3">
      <c r="B80" s="62"/>
      <c r="C80" s="4"/>
      <c r="E80" s="5"/>
      <c r="F80" s="5"/>
      <c r="G80" s="7"/>
      <c r="H80" s="39"/>
      <c r="I80" s="47"/>
      <c r="J80" s="39"/>
      <c r="K80" s="21"/>
      <c r="Q80" s="18"/>
    </row>
    <row r="81" spans="1:17" ht="15.6" x14ac:dyDescent="0.3">
      <c r="B81" s="62"/>
      <c r="C81" s="4"/>
      <c r="E81" s="13"/>
      <c r="F81" s="5"/>
      <c r="G81" s="4"/>
      <c r="H81" s="16"/>
      <c r="I81" s="47"/>
      <c r="J81" s="39"/>
      <c r="K81" s="21"/>
      <c r="Q81" s="18"/>
    </row>
    <row r="82" spans="1:17" x14ac:dyDescent="0.3">
      <c r="A82" s="19" t="s">
        <v>67</v>
      </c>
      <c r="B82" s="37"/>
      <c r="C82" s="4"/>
      <c r="H82" s="12"/>
      <c r="I82" s="47"/>
      <c r="J82" s="21"/>
      <c r="K82" s="21"/>
      <c r="L82" s="19"/>
      <c r="Q82" s="18"/>
    </row>
    <row r="83" spans="1:17" x14ac:dyDescent="0.3">
      <c r="A83" t="s">
        <v>53</v>
      </c>
      <c r="B83" s="37">
        <f ca="1">B64</f>
        <v>2000</v>
      </c>
      <c r="C83" s="4"/>
      <c r="D83" s="19" t="s">
        <v>68</v>
      </c>
      <c r="E83" s="13"/>
      <c r="F83" s="18"/>
      <c r="G83" s="4"/>
      <c r="H83" s="67" t="s">
        <v>62</v>
      </c>
      <c r="I83" s="47" t="s">
        <v>61</v>
      </c>
      <c r="J83" s="73" t="s">
        <v>63</v>
      </c>
      <c r="K83" s="53"/>
      <c r="Q83" s="18"/>
    </row>
    <row r="84" spans="1:17" ht="15.6" x14ac:dyDescent="0.3">
      <c r="A84" t="s">
        <v>22</v>
      </c>
      <c r="B84" s="39">
        <f ca="1">B70</f>
        <v>141000</v>
      </c>
      <c r="C84" s="4"/>
      <c r="D84" t="s">
        <v>9</v>
      </c>
      <c r="E84">
        <v>0</v>
      </c>
      <c r="F84" s="5">
        <f t="shared" ref="F84:G86" si="3">C28</f>
        <v>41011</v>
      </c>
      <c r="G84" s="7">
        <f t="shared" si="3"/>
        <v>5.8999999999999997E-2</v>
      </c>
      <c r="H84" s="12">
        <v>0</v>
      </c>
      <c r="I84" s="46">
        <f ca="1">IF(AND(($B$14+$B$5+$B$63)&gt;=E84,($B$14+$B$5+$B$63)&lt;F84),($B$14+$B$5+$B$63-E84)*G84,0)</f>
        <v>0</v>
      </c>
      <c r="J84" s="12">
        <f ca="1">(IF(I84=0,0,H84+I84))</f>
        <v>0</v>
      </c>
      <c r="K84" s="21"/>
      <c r="Q84" s="18"/>
    </row>
    <row r="85" spans="1:17" ht="15.6" x14ac:dyDescent="0.3">
      <c r="A85" t="s">
        <v>54</v>
      </c>
      <c r="B85" s="59">
        <f ca="1">B83/B84</f>
        <v>1.4184397163120567E-2</v>
      </c>
      <c r="C85" s="4"/>
      <c r="D85" t="s">
        <v>10</v>
      </c>
      <c r="E85" s="5">
        <f>F84</f>
        <v>41011</v>
      </c>
      <c r="F85" s="5">
        <f t="shared" si="3"/>
        <v>82024</v>
      </c>
      <c r="G85" s="7">
        <f t="shared" si="3"/>
        <v>8.5999999999999993E-2</v>
      </c>
      <c r="H85" s="12">
        <f>(F84-E84)*G84</f>
        <v>2419.6489999999999</v>
      </c>
      <c r="I85" s="46">
        <f ca="1">IF(AND(($B$14+$B$5+$B$63)&gt;=E85,($B$14+$B$5+$B$63)&lt;F85),($B$14+$B$5+$B$63-E85)*G85,0)</f>
        <v>0</v>
      </c>
      <c r="J85" s="12">
        <f t="shared" ref="J85:J86" ca="1" si="4">(IF(I85=0,0,H85+I85))</f>
        <v>0</v>
      </c>
      <c r="K85" s="21"/>
      <c r="Q85" s="18"/>
    </row>
    <row r="86" spans="1:17" ht="15.6" x14ac:dyDescent="0.3">
      <c r="B86" s="37"/>
      <c r="C86" s="4"/>
      <c r="D86" t="s">
        <v>10</v>
      </c>
      <c r="E86" s="27">
        <f>F85</f>
        <v>82024</v>
      </c>
      <c r="F86" s="5">
        <f t="shared" si="3"/>
        <v>133353</v>
      </c>
      <c r="G86" s="7">
        <f t="shared" si="3"/>
        <v>0.122</v>
      </c>
      <c r="H86" s="12">
        <f>((F85-E85)*G85)+H85</f>
        <v>5946.7669999999998</v>
      </c>
      <c r="I86" s="46">
        <f ca="1">IF(AND(($B$14+$B$5+$B$63)&gt;=E86,($B$14+$B$5+$B$63)&lt;F86),($B$14+$B$5+$B$63-E86)*G86,0)</f>
        <v>0</v>
      </c>
      <c r="J86" s="12">
        <f t="shared" ca="1" si="4"/>
        <v>0</v>
      </c>
      <c r="K86" s="21"/>
      <c r="Q86" s="18"/>
    </row>
    <row r="87" spans="1:17" ht="15.6" x14ac:dyDescent="0.3">
      <c r="A87" t="s">
        <v>68</v>
      </c>
      <c r="B87" s="37">
        <f ca="1">J90</f>
        <v>12452.529499999999</v>
      </c>
      <c r="C87" s="4"/>
      <c r="D87" t="s">
        <v>10</v>
      </c>
      <c r="E87" s="5">
        <f>F86</f>
        <v>133353</v>
      </c>
      <c r="F87" s="5"/>
      <c r="G87" s="7">
        <f>D31</f>
        <v>0.14050000000000001</v>
      </c>
      <c r="H87" s="12">
        <f>((F86-E86)*G86)+H86</f>
        <v>12208.904999999999</v>
      </c>
      <c r="I87" s="46">
        <f ca="1">IF(($B$14+$B$5+$B$63)&gt;=E87,($B$14+$B$5+$B$63-E87)*G87,0)</f>
        <v>1074.4035000000001</v>
      </c>
      <c r="J87" s="54">
        <f ca="1">(IF(I87=0,0,H87+I87))</f>
        <v>13283.308499999999</v>
      </c>
      <c r="K87" s="21"/>
      <c r="Q87" s="18"/>
    </row>
    <row r="88" spans="1:17" x14ac:dyDescent="0.3">
      <c r="B88" s="37"/>
      <c r="C88" s="4"/>
      <c r="E88" s="13"/>
      <c r="F88" s="18"/>
      <c r="G88" s="4"/>
      <c r="H88" s="20"/>
      <c r="I88" s="47"/>
      <c r="J88" s="53">
        <f ca="1">SUM(J84:J87)</f>
        <v>13283.308499999999</v>
      </c>
      <c r="K88" s="21"/>
      <c r="Q88" s="18"/>
    </row>
    <row r="89" spans="1:17" x14ac:dyDescent="0.3">
      <c r="A89" t="s">
        <v>64</v>
      </c>
      <c r="B89" s="37">
        <f ca="1">B87*B85</f>
        <v>176.63162411347517</v>
      </c>
      <c r="C89" s="60" t="s">
        <v>28</v>
      </c>
      <c r="E89" s="13"/>
      <c r="F89" s="18"/>
      <c r="G89" s="63" t="s">
        <v>32</v>
      </c>
      <c r="H89" s="13">
        <f>B33</f>
        <v>14081</v>
      </c>
      <c r="I89" s="78">
        <f>D28</f>
        <v>5.8999999999999997E-2</v>
      </c>
      <c r="J89" s="54">
        <f ca="1">IF(($B$5+$B$14+$B$63)&lt;H89,($B$5+$B$14+$B$63)*I89,H89*I89)</f>
        <v>830.779</v>
      </c>
      <c r="K89" s="21"/>
      <c r="Q89" s="18"/>
    </row>
    <row r="90" spans="1:17" x14ac:dyDescent="0.3">
      <c r="B90" s="37"/>
      <c r="C90" s="60"/>
      <c r="E90" s="36"/>
      <c r="F90" s="21"/>
      <c r="G90" s="4"/>
      <c r="H90" s="4"/>
      <c r="I90" s="47"/>
      <c r="J90" s="13">
        <f ca="1">IF((J88-J89)&lt;=0,0,J88-J89)</f>
        <v>12452.529499999999</v>
      </c>
      <c r="K90" s="21"/>
      <c r="Q90" s="18"/>
    </row>
    <row r="91" spans="1:17" x14ac:dyDescent="0.3">
      <c r="A91" t="s">
        <v>65</v>
      </c>
      <c r="B91" s="37">
        <f>B77</f>
        <v>200</v>
      </c>
      <c r="K91" s="21"/>
    </row>
    <row r="92" spans="1:17" x14ac:dyDescent="0.3">
      <c r="A92" t="s">
        <v>75</v>
      </c>
      <c r="B92" s="38">
        <f ca="1">-B79</f>
        <v>-200</v>
      </c>
      <c r="C92" s="60"/>
      <c r="F92" s="39"/>
      <c r="G92" s="64"/>
      <c r="H92" s="18"/>
      <c r="I92" s="47"/>
      <c r="J92" s="49"/>
      <c r="K92" s="21"/>
    </row>
    <row r="93" spans="1:17" x14ac:dyDescent="0.3">
      <c r="B93" s="37">
        <f ca="1">SUM(B91:B92)</f>
        <v>0</v>
      </c>
      <c r="C93" s="60" t="s">
        <v>29</v>
      </c>
      <c r="G93" s="18"/>
      <c r="H93" s="18"/>
      <c r="I93" s="47"/>
      <c r="J93" s="12"/>
      <c r="K93" s="21"/>
    </row>
    <row r="94" spans="1:17" x14ac:dyDescent="0.3">
      <c r="B94" s="37"/>
      <c r="C94" s="4"/>
      <c r="H94" s="18"/>
      <c r="I94" s="47"/>
      <c r="J94" s="53"/>
      <c r="K94" s="52"/>
      <c r="L94" s="16"/>
    </row>
    <row r="95" spans="1:17" x14ac:dyDescent="0.3">
      <c r="A95" t="s">
        <v>69</v>
      </c>
      <c r="B95" s="62">
        <f ca="1">MIN(B89,B93)</f>
        <v>0</v>
      </c>
      <c r="C95" s="60" t="s">
        <v>84</v>
      </c>
      <c r="I95" s="47"/>
      <c r="J95" s="21"/>
      <c r="K95" s="52"/>
      <c r="L95" s="16"/>
    </row>
    <row r="96" spans="1:17" x14ac:dyDescent="0.3">
      <c r="B96" s="37"/>
      <c r="C96" s="4"/>
      <c r="I96" s="47"/>
      <c r="J96" s="21"/>
      <c r="K96" s="52"/>
      <c r="L96" s="16"/>
    </row>
    <row r="97" spans="1:17" x14ac:dyDescent="0.3">
      <c r="A97" t="s">
        <v>83</v>
      </c>
      <c r="B97" s="62">
        <f ca="1">B77-B79-B95</f>
        <v>0</v>
      </c>
      <c r="C97" s="60" t="s">
        <v>85</v>
      </c>
      <c r="G97" s="18"/>
      <c r="H97" s="18"/>
      <c r="I97" s="47"/>
      <c r="J97" s="53"/>
      <c r="K97" s="52"/>
      <c r="L97" s="16"/>
    </row>
    <row r="98" spans="1:17" x14ac:dyDescent="0.3">
      <c r="B98" s="37"/>
      <c r="C98" s="4"/>
      <c r="G98" s="18"/>
      <c r="H98" s="18"/>
      <c r="I98" s="47"/>
      <c r="J98" s="53"/>
      <c r="K98" s="52"/>
      <c r="L98" s="16"/>
    </row>
    <row r="99" spans="1:17" x14ac:dyDescent="0.3">
      <c r="A99" s="2" t="s">
        <v>12</v>
      </c>
      <c r="G99" s="18"/>
      <c r="H99" s="49"/>
      <c r="I99" s="76"/>
      <c r="J99" s="49"/>
      <c r="K99" s="48"/>
      <c r="L99" s="16"/>
    </row>
    <row r="100" spans="1:17" x14ac:dyDescent="0.3">
      <c r="B100" s="11"/>
      <c r="C100" t="s">
        <v>13</v>
      </c>
      <c r="G100" s="18"/>
      <c r="H100" s="49"/>
      <c r="I100" s="81"/>
      <c r="J100" s="49"/>
      <c r="K100" s="48"/>
      <c r="L100" s="16"/>
    </row>
    <row r="101" spans="1:17" x14ac:dyDescent="0.3">
      <c r="B101" s="37"/>
      <c r="C101" s="4"/>
      <c r="H101" s="46"/>
      <c r="I101" s="47"/>
      <c r="J101" s="47"/>
      <c r="K101" s="47"/>
      <c r="L101" s="16"/>
    </row>
    <row r="102" spans="1:17" x14ac:dyDescent="0.3">
      <c r="A102" t="s">
        <v>19</v>
      </c>
      <c r="B102" s="37">
        <f ca="1">IF(AND((B5+B63+B14)&gt;=B18,(B5+B63+B14)&lt;=C18),(B5+B63)*D18,IF(AND((B5+B63+B14)&gt;B19,(B5+B63+B14)&lt;=C19),IF((B5+B63+B14-B19)&gt;(B5+B63),(B5+B63)*D19,((B5+B63+B14-B19)*D19)+((B5+B63-(B5+B63+B14-B19))*D18)),IF(AND((B5+B63+B14)&gt;B20,(B5+B63+B14)&lt;=C20),IF((B5+B63+B14-B20)&gt;(B5+B63),(B5+B63)*D20,IF((B5+B63+B14-B19)&gt;(B5+B63),(((B5+B63+B14-B20)*D20)+((B5+B63-(B5+B63+B14-B20))*D19)),((B5+B63+B14-B20)*D20)+((C19-B19)*D19)+((B5+B63-(B5+B63+B14-B19))*D18))),IF(AND((B5+B63+B14)&gt;B21,(B5+B63+B14)&lt;=C21),IF((B5+B63+B14-B21)&gt;(B5+B63),(B5+B63)*D21,IF((B5+B63+B14-B20)&gt;(B5+B63),((B5+B63+B14-B21)*D21)+(((B5+B63-(B5+B63+B14-B21))*D20)),IF((B5+B63+B14-B19)&gt;(B5+B63),(((B5+B63+B14-B21)*D21)+((C20-B20)*D20)+((B5+B63-(B5+B63+B14-B20))*D19)),((B5+B63+B14-B21)*D21)+((C20-B20)*D20)+((C19-B19)*D19)+((B5+B63-(B5+B63+B14-B19))*D18)))),IF((B5+B63+B14)&gt;B22,IF((B5+B63+B14-B22)&gt;(B5+B63),(B5+B63)*D22,IF((B5+B63+B14-B21)&gt;(B5+B63),(((B5+B63+B14-B22)*D22)+((B5+B63-(B5+B63+B14-B22))*D21)),IF((B5+B63+B14-B20)&gt;(B5+B63),(((B5+B63+B14-B22)*D22)+((C21-B21)*D21)+((B5+B63-(B5+B63+B14-B21))*D20)),IF((B5+B63+B14-B19)&gt;(B5+B63),(((B5+B63+B14-B22)*D22)+((C21-B21)*D21)+((C20-B20)*D20)+((B5+B63-(B5+B63+B14-B20))*D19)),((B5+B63+B14-B22)*D22)+((C21-B21)*D21)+((C20-B20)*D20)+((C19-B19)*D19)+((B5+B63-(B5+B63+B14-B19))*D18))))))))))</f>
        <v>538.36</v>
      </c>
      <c r="C102" t="s">
        <v>15</v>
      </c>
      <c r="G102" s="29"/>
      <c r="H102" s="47"/>
      <c r="I102" s="47"/>
      <c r="J102" s="47"/>
      <c r="K102" s="47"/>
      <c r="L102" s="13"/>
    </row>
    <row r="103" spans="1:17" x14ac:dyDescent="0.3">
      <c r="B103" s="37">
        <f>-IF(B14&gt;=B24,0,IF(B14&lt;B24,IF((B14+B5+B63)&gt;B24,(B24-B14)*D18,((B5+B63)*D18))))</f>
        <v>0</v>
      </c>
      <c r="C103" t="s">
        <v>31</v>
      </c>
      <c r="G103" s="29"/>
      <c r="I103" s="47"/>
      <c r="J103" s="49"/>
      <c r="K103" s="48"/>
      <c r="L103" s="16"/>
    </row>
    <row r="104" spans="1:17" x14ac:dyDescent="0.3">
      <c r="B104" s="37">
        <f ca="1">IF(B79=0,0,-MIN(B79,SUM(B102:B103)))</f>
        <v>-200</v>
      </c>
      <c r="C104" t="s">
        <v>76</v>
      </c>
      <c r="G104" s="29"/>
      <c r="H104" s="77"/>
      <c r="I104" s="53"/>
      <c r="J104" s="53"/>
      <c r="K104" s="52"/>
      <c r="L104" s="16"/>
    </row>
    <row r="105" spans="1:17" x14ac:dyDescent="0.3">
      <c r="B105" s="37">
        <f ca="1">IF(AND((B5+B63+B14)&gt;=B28,(B5+B63+B14)&lt;=C28),(B5+B63)*D28,IF(AND((B5+B63+B14)&gt;B29,(B5+B63+B14)&lt;=C29),IF((B5+B63+B14-B29)&gt;(B5+B63),(B5+B63)*D29,((B5+B63+B14-B29)*D29)+((B5+B63-(B5+B63+B14-B29))*D28)),IF(AND((B5+B63+B14)&gt;B30,(B5+B63+B14)&lt;=C30),IF((B5+B63+B14-B30)&gt;(B5+B63),(B5+B63)*D30,IF((B5+B63+B14-B29)&gt;(B5+B63),(((B5+B63+B14-B30)*D30)+((B5+B63-(B5+B63+B14-B30))*D29)),((B5+B63+B14-B30)*D30)+((C29-B29)*D29)+((B5+B63-(B5+B63+B14-B29))*D28))),IF((B5+B63+B14)&gt;B31,IF((B5+B63+B14-B31)&gt;(B5+B63),(B5+B63)*D31,IF((B5+B63+B14-B30)&gt;(B5+B63),(((B5+B63+B14-B31)*D31)+((B5+B63-(B5+B63+B14-B31))*D30)),IF((B5+B63+B14-B29)&gt;(B5+B63),(((B5+B63+B14-B31)*D31)+((C30-B30)*D30)+((B5+B63-(B5+B63+B14-B30))*D29)),((B5+B63+B14-B31)*D31)+((C30-B30)*D30)+((C29-B29)*D29)+((B5+B63-(B5+B63+B14-B29))*D28))))))))</f>
        <v>281</v>
      </c>
      <c r="C105" t="s">
        <v>16</v>
      </c>
      <c r="G105" s="29"/>
      <c r="H105" s="21"/>
      <c r="I105" s="53"/>
      <c r="J105" s="53"/>
      <c r="K105" s="21"/>
    </row>
    <row r="106" spans="1:17" x14ac:dyDescent="0.3">
      <c r="B106" s="37">
        <f>-IF(B14&gt;=B33,0,IF(B14&lt;B33,IF((B14+B5+B63)&gt;B33,(B33-B14)*D28,((B5+B63)*D28))))</f>
        <v>0</v>
      </c>
      <c r="C106" t="s">
        <v>33</v>
      </c>
      <c r="G106" s="29"/>
      <c r="H106"/>
      <c r="I106" s="21"/>
      <c r="J106" s="53"/>
      <c r="K106" s="52"/>
      <c r="L106" s="13"/>
    </row>
    <row r="107" spans="1:17" x14ac:dyDescent="0.3">
      <c r="B107" s="39">
        <f ca="1">IF(B95=0,0,-MIN(B95,SUM(B105,B106)))</f>
        <v>0</v>
      </c>
      <c r="C107" t="s">
        <v>77</v>
      </c>
      <c r="G107" s="29"/>
      <c r="H107"/>
      <c r="I107" s="12"/>
      <c r="J107" s="53"/>
      <c r="K107" s="21"/>
      <c r="L107" s="13"/>
    </row>
    <row r="108" spans="1:17" x14ac:dyDescent="0.3">
      <c r="B108" s="38">
        <f>-F54</f>
        <v>0</v>
      </c>
      <c r="C108" t="s">
        <v>95</v>
      </c>
      <c r="G108" s="29"/>
      <c r="H108"/>
      <c r="I108" s="12"/>
      <c r="J108" s="53"/>
      <c r="K108" s="21"/>
      <c r="L108" s="13"/>
    </row>
    <row r="109" spans="1:17" x14ac:dyDescent="0.3">
      <c r="A109" s="10" t="s">
        <v>21</v>
      </c>
      <c r="B109" s="79">
        <f ca="1">SUM(B102:B108)</f>
        <v>619.36</v>
      </c>
      <c r="F109" s="47"/>
      <c r="I109" s="21"/>
      <c r="J109" s="21"/>
      <c r="K109" s="49"/>
      <c r="L109" s="48"/>
      <c r="M109" s="47"/>
    </row>
    <row r="110" spans="1:17" x14ac:dyDescent="0.3">
      <c r="E110" s="18"/>
      <c r="F110" s="49"/>
      <c r="K110" s="47"/>
      <c r="L110" s="47"/>
      <c r="M110" s="47"/>
      <c r="Q110" s="15"/>
    </row>
    <row r="111" spans="1:17" x14ac:dyDescent="0.3">
      <c r="B111" s="13"/>
      <c r="F111" s="47"/>
      <c r="K111" s="47"/>
      <c r="L111" s="47"/>
      <c r="M111" s="47"/>
    </row>
    <row r="112" spans="1:17" x14ac:dyDescent="0.3">
      <c r="A112" s="19" t="s">
        <v>36</v>
      </c>
      <c r="B112" s="13"/>
      <c r="F112" s="47"/>
      <c r="K112" s="47"/>
      <c r="L112" s="47"/>
      <c r="M112" s="47"/>
    </row>
    <row r="113" spans="1:14" x14ac:dyDescent="0.3">
      <c r="A113" t="s">
        <v>113</v>
      </c>
      <c r="B113" s="37">
        <f ca="1">SUM(B102:B104)</f>
        <v>338.36</v>
      </c>
      <c r="F113" s="47"/>
      <c r="K113" s="47"/>
      <c r="L113" s="47"/>
      <c r="M113" s="47"/>
    </row>
    <row r="114" spans="1:14" x14ac:dyDescent="0.3">
      <c r="A114" t="s">
        <v>114</v>
      </c>
      <c r="B114" s="37">
        <f ca="1">SUM(B105:B107)</f>
        <v>281</v>
      </c>
      <c r="F114" s="47"/>
      <c r="K114" s="47"/>
      <c r="L114" s="47"/>
      <c r="M114" s="47"/>
    </row>
    <row r="115" spans="1:14" x14ac:dyDescent="0.3">
      <c r="A115" t="s">
        <v>112</v>
      </c>
      <c r="B115" s="38">
        <f>B108</f>
        <v>0</v>
      </c>
      <c r="F115" s="47"/>
      <c r="K115" s="47"/>
      <c r="L115" s="47"/>
      <c r="M115" s="47"/>
    </row>
    <row r="116" spans="1:14" x14ac:dyDescent="0.3">
      <c r="B116" s="13">
        <f ca="1">SUM(B113:B115)</f>
        <v>619.36</v>
      </c>
      <c r="F116" s="47"/>
      <c r="K116" s="47"/>
      <c r="L116" s="47"/>
      <c r="M116" s="47"/>
    </row>
    <row r="117" spans="1:14" x14ac:dyDescent="0.3">
      <c r="B117" s="13"/>
      <c r="F117" s="47"/>
      <c r="K117" s="47"/>
      <c r="L117" s="47"/>
      <c r="M117" s="47"/>
    </row>
    <row r="118" spans="1:14" x14ac:dyDescent="0.3">
      <c r="B118" s="13"/>
      <c r="F118" s="47"/>
      <c r="K118" s="47"/>
      <c r="L118" s="47"/>
      <c r="M118" s="47"/>
    </row>
    <row r="119" spans="1:14" x14ac:dyDescent="0.3">
      <c r="B119" s="13"/>
      <c r="F119" s="47"/>
      <c r="K119" s="47"/>
      <c r="L119" s="47"/>
      <c r="M119" s="47"/>
    </row>
    <row r="120" spans="1:14" x14ac:dyDescent="0.3">
      <c r="B120" s="15"/>
      <c r="F120" s="47"/>
      <c r="K120" s="49"/>
      <c r="L120" s="47"/>
      <c r="M120" s="49"/>
      <c r="N120" s="18"/>
    </row>
    <row r="121" spans="1:14" x14ac:dyDescent="0.3">
      <c r="F121" s="47"/>
      <c r="K121" s="47"/>
      <c r="L121" s="47"/>
      <c r="M121" s="47"/>
    </row>
    <row r="122" spans="1:14" x14ac:dyDescent="0.3">
      <c r="F122" s="47"/>
      <c r="K122" s="47"/>
      <c r="L122" s="47"/>
      <c r="M122" s="47"/>
    </row>
    <row r="123" spans="1:14" x14ac:dyDescent="0.3">
      <c r="F123" s="47"/>
      <c r="G123" s="47"/>
      <c r="H123" s="46"/>
      <c r="I123" s="47"/>
      <c r="J123" s="47"/>
      <c r="K123" s="47"/>
      <c r="L123" s="47"/>
      <c r="M123" s="47"/>
    </row>
    <row r="124" spans="1:14" x14ac:dyDescent="0.3">
      <c r="H124" s="12"/>
    </row>
    <row r="126" spans="1:14" x14ac:dyDescent="0.3">
      <c r="H126" s="40"/>
      <c r="M126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A7" zoomScale="85" zoomScaleNormal="85" workbookViewId="0">
      <selection activeCell="E17" sqref="E17:I33"/>
    </sheetView>
  </sheetViews>
  <sheetFormatPr defaultRowHeight="14.4" x14ac:dyDescent="0.3"/>
  <cols>
    <col min="1" max="1" width="29.8867187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8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107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108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90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7"/>
      <c r="G10" s="47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5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72809</v>
      </c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B17" s="93" t="s">
        <v>20</v>
      </c>
      <c r="C17" s="21"/>
      <c r="D17" s="21"/>
      <c r="E17" s="21"/>
      <c r="F17" s="93"/>
      <c r="G17" s="21"/>
      <c r="H17" s="21"/>
      <c r="I17" s="21"/>
    </row>
    <row r="18" spans="1:14" ht="15.6" x14ac:dyDescent="0.3">
      <c r="A18" t="s">
        <v>9</v>
      </c>
      <c r="B18" s="52">
        <v>0</v>
      </c>
      <c r="C18" s="27">
        <v>45282</v>
      </c>
      <c r="D18" s="94">
        <v>0.15</v>
      </c>
      <c r="E18" s="21"/>
      <c r="F18" s="52"/>
      <c r="G18" s="27"/>
      <c r="H18" s="94"/>
      <c r="I18" s="27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E19" s="21"/>
      <c r="F19" s="27"/>
      <c r="G19" s="27"/>
      <c r="H19" s="66"/>
      <c r="I19" s="27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E20" s="21"/>
      <c r="F20" s="27"/>
      <c r="G20" s="27"/>
      <c r="H20" s="66"/>
      <c r="I20" s="27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E21" s="21"/>
      <c r="F21" s="27"/>
      <c r="G21" s="27"/>
      <c r="H21" s="66"/>
      <c r="I21" s="99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6">
        <v>0.33</v>
      </c>
      <c r="E22" s="21"/>
      <c r="F22" s="27"/>
      <c r="G22" s="21"/>
      <c r="H22" s="66"/>
      <c r="I22" s="52"/>
      <c r="J22" s="7"/>
      <c r="K22" s="7"/>
      <c r="L22" s="5"/>
      <c r="N22" s="7"/>
    </row>
    <row r="23" spans="1:14" x14ac:dyDescent="0.3">
      <c r="B23" s="21"/>
      <c r="C23" s="93"/>
      <c r="D23" s="21"/>
      <c r="E23" s="21"/>
      <c r="F23" s="21"/>
      <c r="G23" s="21"/>
      <c r="H23" s="12"/>
      <c r="I23" s="21"/>
    </row>
    <row r="24" spans="1:14" ht="15.6" x14ac:dyDescent="0.3">
      <c r="A24" t="s">
        <v>35</v>
      </c>
      <c r="B24" s="27">
        <v>11474</v>
      </c>
      <c r="C24" s="27"/>
      <c r="D24" s="21"/>
      <c r="E24" s="21"/>
      <c r="F24" s="21"/>
      <c r="G24" s="52"/>
      <c r="H24" s="12"/>
      <c r="I24" s="21"/>
    </row>
    <row r="25" spans="1:14" x14ac:dyDescent="0.3">
      <c r="B25" s="21"/>
      <c r="C25" s="21"/>
      <c r="D25" s="21"/>
      <c r="E25" s="21"/>
      <c r="F25" s="21"/>
      <c r="G25" s="21"/>
      <c r="H25" s="12"/>
      <c r="I25" s="21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  <c r="I26" s="21"/>
    </row>
    <row r="27" spans="1:14" x14ac:dyDescent="0.3">
      <c r="A27" s="10" t="s">
        <v>90</v>
      </c>
      <c r="B27" s="93" t="s">
        <v>20</v>
      </c>
      <c r="C27" s="21"/>
      <c r="D27" s="21"/>
      <c r="E27" s="21"/>
      <c r="F27" s="93"/>
      <c r="G27" s="21"/>
      <c r="H27" s="21"/>
      <c r="I27" s="70"/>
      <c r="J27" s="10"/>
      <c r="K27" s="25"/>
    </row>
    <row r="28" spans="1:14" ht="15.6" x14ac:dyDescent="0.3">
      <c r="A28" t="s">
        <v>9</v>
      </c>
      <c r="B28" s="21">
        <v>0</v>
      </c>
      <c r="C28" s="27">
        <v>41011</v>
      </c>
      <c r="D28" s="66">
        <v>5.8999999999999997E-2</v>
      </c>
      <c r="E28" s="21"/>
      <c r="F28" s="21"/>
      <c r="G28" s="27"/>
      <c r="H28" s="66"/>
      <c r="I28" s="27"/>
      <c r="J28" s="7"/>
    </row>
    <row r="29" spans="1:14" ht="15.6" x14ac:dyDescent="0.3">
      <c r="A29" t="s">
        <v>10</v>
      </c>
      <c r="B29" s="27">
        <f>C28</f>
        <v>41011</v>
      </c>
      <c r="C29" s="27">
        <v>82024</v>
      </c>
      <c r="D29" s="66">
        <v>8.5999999999999993E-2</v>
      </c>
      <c r="E29" s="21"/>
      <c r="F29" s="27"/>
      <c r="G29" s="27"/>
      <c r="H29" s="66"/>
      <c r="I29" s="27"/>
      <c r="J29" s="24"/>
      <c r="K29" s="18"/>
      <c r="L29" s="15"/>
    </row>
    <row r="30" spans="1:14" ht="15.6" x14ac:dyDescent="0.3">
      <c r="A30" t="s">
        <v>10</v>
      </c>
      <c r="B30" s="27">
        <f>C29</f>
        <v>82024</v>
      </c>
      <c r="C30" s="27">
        <v>133353</v>
      </c>
      <c r="D30" s="66">
        <v>0.122</v>
      </c>
      <c r="E30" s="21"/>
      <c r="F30" s="27"/>
      <c r="G30" s="27"/>
      <c r="H30" s="66"/>
      <c r="I30" s="52"/>
      <c r="J30" s="24"/>
      <c r="K30" s="4"/>
      <c r="L30" s="13"/>
      <c r="N30" s="18"/>
    </row>
    <row r="31" spans="1:14" ht="15.6" x14ac:dyDescent="0.3">
      <c r="A31" t="s">
        <v>10</v>
      </c>
      <c r="B31" s="27">
        <f>C30</f>
        <v>133353</v>
      </c>
      <c r="C31" s="27"/>
      <c r="D31" s="66">
        <v>0.14050000000000001</v>
      </c>
      <c r="E31" s="21"/>
      <c r="F31" s="27"/>
      <c r="G31" s="27"/>
      <c r="H31" s="66"/>
      <c r="I31" s="52"/>
      <c r="J31" s="24"/>
      <c r="K31" s="4"/>
      <c r="L31" s="13"/>
      <c r="N31" s="4"/>
    </row>
    <row r="32" spans="1:14" x14ac:dyDescent="0.3">
      <c r="B32" s="21"/>
      <c r="C32" s="93"/>
      <c r="D32" s="21"/>
      <c r="E32" s="21"/>
      <c r="F32" s="21"/>
      <c r="G32" s="21"/>
      <c r="H32" s="45"/>
      <c r="I32" s="52"/>
      <c r="J32" s="26"/>
      <c r="K32" s="16"/>
      <c r="L32" s="26"/>
    </row>
    <row r="33" spans="1:12" ht="15.6" x14ac:dyDescent="0.3">
      <c r="A33" t="s">
        <v>33</v>
      </c>
      <c r="B33" s="27">
        <v>14081</v>
      </c>
      <c r="C33" s="27"/>
      <c r="D33" s="21"/>
      <c r="E33" s="21"/>
      <c r="F33" s="21"/>
      <c r="G33" s="21"/>
      <c r="H33" s="45"/>
      <c r="I33" s="52"/>
      <c r="J33" s="26"/>
      <c r="K33" s="16"/>
      <c r="L33" s="26"/>
    </row>
    <row r="34" spans="1:12" x14ac:dyDescent="0.3">
      <c r="B34" s="4"/>
      <c r="C34" s="4"/>
      <c r="D34" t="s">
        <v>34</v>
      </c>
      <c r="E34" s="13"/>
      <c r="F34" s="44"/>
      <c r="H34" s="16"/>
    </row>
    <row r="35" spans="1:12" x14ac:dyDescent="0.3">
      <c r="B35" s="4"/>
      <c r="C35" s="4"/>
      <c r="E35" s="13"/>
      <c r="F35" s="44"/>
      <c r="H35" s="16"/>
    </row>
    <row r="36" spans="1:12" x14ac:dyDescent="0.3">
      <c r="A36" s="3" t="s">
        <v>95</v>
      </c>
      <c r="B36" s="4"/>
      <c r="C36" s="4"/>
      <c r="E36" s="13"/>
      <c r="F36" s="44"/>
      <c r="H36" s="16"/>
    </row>
    <row r="37" spans="1:12" x14ac:dyDescent="0.3">
      <c r="A37" s="10" t="s">
        <v>96</v>
      </c>
      <c r="B37" s="44"/>
      <c r="D37" s="67" t="s">
        <v>62</v>
      </c>
      <c r="E37" s="83" t="s">
        <v>61</v>
      </c>
      <c r="F37" s="83" t="s">
        <v>63</v>
      </c>
      <c r="H37" s="16"/>
    </row>
    <row r="38" spans="1:12" ht="15.6" x14ac:dyDescent="0.3">
      <c r="A38">
        <v>0</v>
      </c>
      <c r="B38" s="5">
        <v>12000</v>
      </c>
      <c r="C38" s="7">
        <v>2.5999999999999999E-2</v>
      </c>
      <c r="D38" s="13">
        <v>0</v>
      </c>
      <c r="E38" s="13">
        <f>IF(AND($B$12&gt;=A38,$B$12&lt;B38),($B$12-A38)*C38,0)</f>
        <v>0</v>
      </c>
      <c r="F38" s="18">
        <f>(IF(E38=0,0,D38+E38))</f>
        <v>0</v>
      </c>
      <c r="H38" s="16"/>
    </row>
    <row r="39" spans="1:12" ht="15.6" x14ac:dyDescent="0.3">
      <c r="A39" s="5">
        <f>B38</f>
        <v>12000</v>
      </c>
      <c r="B39" s="5">
        <v>48000</v>
      </c>
      <c r="C39" s="7">
        <v>1.2500000000000001E-2</v>
      </c>
      <c r="D39" s="12">
        <v>312</v>
      </c>
      <c r="E39" s="13">
        <f t="shared" ref="E39" si="0">IF(AND($B$12&gt;=A39,$B$12&lt;B39),($B$12-A39)*C39,0)</f>
        <v>0</v>
      </c>
      <c r="F39" s="18">
        <f>(IF(E39=0,0,D39+E39))</f>
        <v>0</v>
      </c>
      <c r="H39" s="16"/>
    </row>
    <row r="40" spans="1:12" ht="15.6" x14ac:dyDescent="0.3">
      <c r="A40" s="27">
        <f>B39</f>
        <v>48000</v>
      </c>
      <c r="B40" s="5"/>
      <c r="C40" s="7">
        <v>0.01</v>
      </c>
      <c r="D40" s="12">
        <v>762</v>
      </c>
      <c r="E40" s="13">
        <f>IF($B$12&gt;=A40,($B$12-A40)*C40,0)</f>
        <v>248.09</v>
      </c>
      <c r="F40" s="35">
        <f>(IF(E40=0,0,D40+E40))</f>
        <v>1010.09</v>
      </c>
      <c r="H40" s="16"/>
    </row>
    <row r="41" spans="1:12" x14ac:dyDescent="0.3">
      <c r="A41" s="13"/>
      <c r="B41" s="44"/>
      <c r="D41" s="13"/>
      <c r="E41" s="13"/>
      <c r="F41" s="13">
        <f>SUM(F38:F40)</f>
        <v>1010.09</v>
      </c>
      <c r="G41" s="30"/>
      <c r="H41" s="16"/>
    </row>
    <row r="42" spans="1:12" x14ac:dyDescent="0.3">
      <c r="C42" s="13" t="s">
        <v>98</v>
      </c>
      <c r="D42" s="13">
        <v>350</v>
      </c>
      <c r="E42">
        <v>942</v>
      </c>
      <c r="F42" s="84">
        <f>IF(F41&lt;=D42,D42,IF(AND(F41&gt;D42,F41&lt;E42),F41,IF(F41&gt;=D42,E42)))</f>
        <v>942</v>
      </c>
      <c r="G42" s="30" t="s">
        <v>28</v>
      </c>
      <c r="H42" s="16"/>
    </row>
    <row r="43" spans="1:12" x14ac:dyDescent="0.3">
      <c r="C43" s="13"/>
      <c r="F43" s="18"/>
      <c r="G43" s="30"/>
      <c r="H43" s="16"/>
    </row>
    <row r="44" spans="1:12" x14ac:dyDescent="0.3">
      <c r="A44" s="13"/>
      <c r="B44" s="44"/>
      <c r="D44" s="13"/>
      <c r="E44" s="13"/>
      <c r="F44" s="13"/>
      <c r="G44" s="30"/>
      <c r="H44" s="16"/>
    </row>
    <row r="45" spans="1:12" x14ac:dyDescent="0.3">
      <c r="A45" s="13"/>
      <c r="B45" s="44"/>
      <c r="D45" s="13"/>
      <c r="E45" s="13"/>
      <c r="F45" s="13"/>
      <c r="G45" s="30"/>
      <c r="H45" s="16"/>
    </row>
    <row r="46" spans="1:12" x14ac:dyDescent="0.3">
      <c r="B46" s="44"/>
      <c r="D46" s="16"/>
      <c r="G46" s="30"/>
      <c r="H46" s="16"/>
    </row>
    <row r="47" spans="1:12" x14ac:dyDescent="0.3">
      <c r="A47" s="10" t="s">
        <v>99</v>
      </c>
      <c r="B47" s="44"/>
      <c r="D47" s="67" t="s">
        <v>62</v>
      </c>
      <c r="E47" s="83" t="s">
        <v>61</v>
      </c>
      <c r="F47" s="83" t="s">
        <v>63</v>
      </c>
      <c r="G47" s="30"/>
      <c r="H47" s="16"/>
    </row>
    <row r="48" spans="1:12" ht="15.6" x14ac:dyDescent="0.3">
      <c r="A48">
        <v>0</v>
      </c>
      <c r="B48" s="5">
        <v>12000</v>
      </c>
      <c r="C48" s="7">
        <v>2.5999999999999999E-2</v>
      </c>
      <c r="D48" s="13">
        <v>0</v>
      </c>
      <c r="E48" s="13">
        <f>IF(AND(($B$12+$B$4-$B$63)&gt;=A48,($B$12+$B$4-$B$63)&lt;B48),($B$12+$B$4-$B$63-A48)*C48,0)</f>
        <v>0</v>
      </c>
      <c r="F48" s="18">
        <f t="shared" ref="F48:F50" si="1">(IF(E48=0,0,D48+E48))</f>
        <v>0</v>
      </c>
      <c r="G48" s="30"/>
      <c r="H48" s="16"/>
    </row>
    <row r="49" spans="1:8" ht="15.6" x14ac:dyDescent="0.3">
      <c r="A49" s="5">
        <f>B48</f>
        <v>12000</v>
      </c>
      <c r="B49" s="5">
        <v>48000</v>
      </c>
      <c r="C49" s="7">
        <v>1.2500000000000001E-2</v>
      </c>
      <c r="D49" s="12">
        <v>312</v>
      </c>
      <c r="E49" s="13">
        <f>IF(AND(($B$12+$B$4-$B$63)&gt;=A49,($B$12+$B$4-$B$63)&lt;B49),($B$12+$B$4-$B$63-A49)*C49,0)</f>
        <v>0</v>
      </c>
      <c r="F49" s="18">
        <f t="shared" si="1"/>
        <v>0</v>
      </c>
      <c r="G49" s="30"/>
      <c r="H49" s="16"/>
    </row>
    <row r="50" spans="1:8" ht="15.6" x14ac:dyDescent="0.3">
      <c r="A50" s="27">
        <f>B49</f>
        <v>48000</v>
      </c>
      <c r="B50" s="5"/>
      <c r="C50" s="7">
        <v>0.01</v>
      </c>
      <c r="D50" s="12">
        <v>762</v>
      </c>
      <c r="E50" s="13">
        <f>IF(($B$12+$B$4-$B$63)&gt;=A50,($B$12+$B$4-$B$63-A50)*C50,0)</f>
        <v>256.59000000000003</v>
      </c>
      <c r="F50" s="35">
        <f t="shared" si="1"/>
        <v>1018.59</v>
      </c>
      <c r="G50" s="30"/>
      <c r="H50" s="16"/>
    </row>
    <row r="51" spans="1:8" x14ac:dyDescent="0.3">
      <c r="A51" s="13"/>
      <c r="B51" s="44"/>
      <c r="D51" s="16"/>
      <c r="F51" s="18">
        <f>SUM(F48:F50)</f>
        <v>1018.59</v>
      </c>
      <c r="G51" s="30"/>
      <c r="H51" s="16"/>
    </row>
    <row r="52" spans="1:8" x14ac:dyDescent="0.3">
      <c r="A52" s="13"/>
      <c r="B52" s="44"/>
      <c r="C52" s="13" t="s">
        <v>98</v>
      </c>
      <c r="D52" s="13">
        <v>350</v>
      </c>
      <c r="E52">
        <v>942</v>
      </c>
      <c r="F52" s="84">
        <f>IF(F51&lt;=D52,D52,IF(AND(F51&gt;D52,F51&lt;E52),F51,IF(F51&gt;=D52,E52)))</f>
        <v>942</v>
      </c>
      <c r="G52" s="30" t="s">
        <v>29</v>
      </c>
      <c r="H52" s="16"/>
    </row>
    <row r="53" spans="1:8" x14ac:dyDescent="0.3">
      <c r="A53" s="13"/>
      <c r="B53" s="44"/>
      <c r="D53" s="16"/>
      <c r="F53" s="18"/>
      <c r="G53" s="30"/>
      <c r="H53" s="16"/>
    </row>
    <row r="54" spans="1:8" x14ac:dyDescent="0.3">
      <c r="A54" s="13"/>
      <c r="B54" s="44"/>
      <c r="D54" s="16"/>
      <c r="E54" s="85" t="s">
        <v>97</v>
      </c>
      <c r="F54" s="18">
        <f>F52-F42</f>
        <v>0</v>
      </c>
      <c r="G54" s="30" t="s">
        <v>100</v>
      </c>
      <c r="H54" s="16"/>
    </row>
    <row r="55" spans="1:8" x14ac:dyDescent="0.3">
      <c r="A55" s="13"/>
      <c r="B55" s="44"/>
      <c r="D55" s="16"/>
      <c r="F55" s="18"/>
      <c r="G55" s="30"/>
      <c r="H55" s="16"/>
    </row>
    <row r="56" spans="1:8" x14ac:dyDescent="0.3">
      <c r="A56" s="3" t="s">
        <v>101</v>
      </c>
      <c r="B56" s="4"/>
      <c r="C56" s="4"/>
    </row>
    <row r="57" spans="1:8" x14ac:dyDescent="0.3">
      <c r="A57" s="3"/>
      <c r="B57" s="4"/>
      <c r="C57" s="4"/>
    </row>
    <row r="58" spans="1:8" x14ac:dyDescent="0.3">
      <c r="A58" s="28" t="s">
        <v>102</v>
      </c>
      <c r="B58" s="4">
        <v>72809</v>
      </c>
      <c r="C58" s="4"/>
    </row>
    <row r="59" spans="1:8" x14ac:dyDescent="0.3">
      <c r="A59" s="28" t="s">
        <v>103</v>
      </c>
      <c r="B59" s="86">
        <v>0.15</v>
      </c>
      <c r="C59" s="4"/>
    </row>
    <row r="60" spans="1:8" x14ac:dyDescent="0.3">
      <c r="A60" s="3"/>
      <c r="B60" s="4"/>
      <c r="C60" s="4"/>
    </row>
    <row r="61" spans="1:8" ht="28.8" x14ac:dyDescent="0.3">
      <c r="A61" s="87" t="s">
        <v>104</v>
      </c>
      <c r="B61" s="4">
        <f>IF(B12&gt;B58,B4*B59,0)</f>
        <v>0</v>
      </c>
      <c r="C61" s="4"/>
    </row>
    <row r="62" spans="1:8" ht="28.8" x14ac:dyDescent="0.3">
      <c r="A62" s="87" t="s">
        <v>105</v>
      </c>
      <c r="B62" s="88">
        <f>IF(AND(B12&lt;=B58,(B4+B12)&gt;=B58),(B4+B12-B58)*B59,0)</f>
        <v>150</v>
      </c>
      <c r="C62" s="4"/>
    </row>
    <row r="63" spans="1:8" x14ac:dyDescent="0.3">
      <c r="A63" s="28" t="s">
        <v>106</v>
      </c>
      <c r="B63" s="4">
        <f>SUM(B61:B62)</f>
        <v>150</v>
      </c>
      <c r="C63" s="4"/>
    </row>
    <row r="64" spans="1:8" x14ac:dyDescent="0.3">
      <c r="A64" s="13"/>
      <c r="B64" s="44"/>
      <c r="D64" s="16"/>
      <c r="F64" s="18"/>
      <c r="H64" s="16"/>
    </row>
    <row r="65" spans="1:17" x14ac:dyDescent="0.3">
      <c r="A65" s="13"/>
      <c r="B65" s="44"/>
      <c r="D65" s="16"/>
      <c r="F65" s="18"/>
      <c r="H65" s="16"/>
    </row>
    <row r="66" spans="1:17" x14ac:dyDescent="0.3">
      <c r="A66" s="2" t="s">
        <v>12</v>
      </c>
      <c r="E66" s="36"/>
      <c r="F66" s="21"/>
      <c r="G66" s="4"/>
      <c r="H66" s="4"/>
      <c r="I66" s="16"/>
    </row>
    <row r="67" spans="1:17" x14ac:dyDescent="0.3">
      <c r="B67" s="11"/>
      <c r="C67" t="s">
        <v>13</v>
      </c>
      <c r="H67" s="36"/>
      <c r="J67" s="4"/>
      <c r="K67" s="4"/>
      <c r="L67" s="16"/>
    </row>
    <row r="68" spans="1:17" x14ac:dyDescent="0.3">
      <c r="H68" s="36"/>
      <c r="I68" s="18"/>
      <c r="J68" s="4"/>
      <c r="K68" s="4"/>
      <c r="L68" s="16"/>
    </row>
    <row r="69" spans="1:17" x14ac:dyDescent="0.3">
      <c r="A69" t="s">
        <v>19</v>
      </c>
      <c r="B69" s="17">
        <f>IF(AND((B4-B63+B12)&gt;=B18,(B4-B63+B12)&lt;=C18),(B4-B63)*D18,IF(AND((B4-B63+B12)&gt;B19,(B4-B63+B12)&lt;=C19),IF((B4-B63+B12-B19)&gt;(B4-B63),(B4-B63)*D19,((B4-B63+B12-B19)*D19)+((B4-B63-(B4-B63+B12-B19))*D18)),IF(AND((B4-B63+B12)&gt;B20,(B4-B63+B12)&lt;=C20),IF((B4-B63+B12-B20)&gt;(B4-B63),(B4-B63)*D20,IF((B4-B63+B12-B19)&gt;(B4-B63),(((B4-B63+B12-B20)*D20)+((B4-B63-(B4-B63+B12-B20))*D19)),((B4-B63+B12-B20)*D20)+((C19-B19)*D19)+((B4-B63-(B4-B63+B12-B19))*D18))),IF(AND((B4-B63+B12)&gt;B21,(B4-B63+B12)&lt;=C21),IF((B4-B63+B12-B21)&gt;(B4-B63),(B4-B63)*D21,IF((B4-B63+B12-B20)&gt;(B4-B63),((B4-B63+B12-B21)*D21)+(((B4-B63-(B4-B63+B12-B21))*D20)),IF((B4-B63+B12-B19)&gt;(B4-B63),(((B4-B63+B12-B21)*D21)+((C20-B20)*D20)+((B4-B63-(B4-B63+B12-B20))*D19)),((B4-B63+B12-B21)*D21)+((C20-B20)*D20)+((C19-B19)*D19)+((B4-B63-(B4-B63+B12-B19))*D18)))),IF((B4-B63+B12)&gt;B22,IF((B4-B63+B12-B22)&gt;(B4-B63),(B4-B63)*D22,IF((B4-B63+B12-B21)&gt;(B4-B63),(((B4-B63+B12-B22)*D22)+((B4-B63-(B4-B63+B12-B22))*D21)),IF((B4-B63+B12-B20)&gt;(B4-B63),(((B4-B63+B12-B22)*D22)+((C21-B21)*D21)+((B4-B63-(B4-B63+B12-B21))*D20)),IF((B4-B63+B12-B19)&gt;(B4-B63),(((B4-B63+B12-B22)*D22)+((C21-B21)*D21)+((C20-B20)*D20)+((B4-B63-(B4-B63+B12-B20))*D19)),((B4-B63+B12-B22)*D22)+((C21-B21)*D21)+((C20-B20)*D20)+((C19-B19)*D19)+((B4-B63-(B4-B63+B12-B19))*D18))))))))))</f>
        <v>174.25</v>
      </c>
      <c r="C69" t="s">
        <v>15</v>
      </c>
      <c r="H69" s="43"/>
      <c r="K69" s="4"/>
      <c r="L69" s="16"/>
    </row>
    <row r="70" spans="1:17" x14ac:dyDescent="0.3">
      <c r="B70" s="37">
        <f>-IF(B12&gt;=B24,0,IF(B12&lt;B24,IF((B12+B4-B63)&gt;B24,(B24-B12)*D18,(B4-B63)*D18)))</f>
        <v>0</v>
      </c>
      <c r="C70" t="s">
        <v>31</v>
      </c>
      <c r="H70" s="43"/>
      <c r="K70" s="4"/>
      <c r="L70" s="16"/>
    </row>
    <row r="71" spans="1:17" x14ac:dyDescent="0.3">
      <c r="B71" s="12">
        <f>IF(AND((B4-B63+B12)&gt;=B28,(B4-B63+B12)&lt;=C28),(B4-B63)*D28,IF(AND((B4-B63+B12)&gt;B29,(B4-B63+B12)&lt;=C29),IF((B4-B63+B12-B29)&gt;(B4-B63),(B4-B63)*D29,((B4-B63+B12-B29)*D29)+((B4-B63-(B4-B63+B12-B29))*D28)),IF(AND((B4-B63+B12)&gt;B30,(B4-B63+B12)&lt;=C30),IF((B4-B63+B12-B30)&gt;(B4-B63),(B4-B63)*D30,IF((B4-B63+B12-B29)&gt;(B4-B63),(((B4-B63+B12-B30)*D30)+((B4-B63-(B4-B63+B12-B30))*D29)),((B4-B63+B12-B30)*D30)+((C29-B29)*D29)+((B4-B63-(B4-B63+B12-B29))*D28))),IF((B4-B63+B12)&gt;B31,IF((B4-B63+B12-B31)&gt;(B4-B63),(B4-B63)*D31,IF((B4-B63+B12-B30)&gt;(B4-B63),(((B4-B63+B12-B31)*D31)+((B4-B63-(B4-B63+B12-B31))*D30)),IF((B4-B63+B12-B29)&gt;(B4-B63),(((B4-B63+B12-B31)*D31)+((C30-B30)*D30)+((B4-B63-(B4-B63+B12-B30))*D29)),((B4-B63+B12-B31)*D31)+((C30-B30)*D30)+((C29-B29)*D29)+((B4-B63-(B4-B63+B12-B29))*D28))))))))</f>
        <v>73.099999999999994</v>
      </c>
      <c r="C71" t="s">
        <v>16</v>
      </c>
    </row>
    <row r="72" spans="1:17" x14ac:dyDescent="0.3">
      <c r="B72" s="39">
        <f>-IF(B12&gt;=B33,0,IF(B12&lt;B33,IF((B12+B4-B63)&gt;B33,(B33-B12)*D28,(B4-B63)*D28)))</f>
        <v>0</v>
      </c>
      <c r="C72" t="s">
        <v>33</v>
      </c>
    </row>
    <row r="73" spans="1:17" x14ac:dyDescent="0.3">
      <c r="B73" s="39">
        <f>-F54</f>
        <v>0</v>
      </c>
      <c r="C73" t="s">
        <v>95</v>
      </c>
    </row>
    <row r="74" spans="1:17" x14ac:dyDescent="0.3">
      <c r="B74" s="89">
        <f>B63</f>
        <v>150</v>
      </c>
      <c r="C74" s="90" t="s">
        <v>101</v>
      </c>
    </row>
    <row r="75" spans="1:17" x14ac:dyDescent="0.3">
      <c r="A75" s="10" t="s">
        <v>21</v>
      </c>
      <c r="B75" s="45">
        <f>SUM(B69:B74)</f>
        <v>397.35</v>
      </c>
      <c r="F75" s="47"/>
      <c r="G75" s="47"/>
      <c r="H75" s="46"/>
      <c r="I75" s="47"/>
      <c r="J75" s="47"/>
      <c r="K75" s="49"/>
      <c r="L75" s="48"/>
      <c r="M75" s="47"/>
    </row>
    <row r="76" spans="1:17" x14ac:dyDescent="0.3">
      <c r="E76" s="18"/>
      <c r="F76" s="49"/>
      <c r="G76" s="47"/>
      <c r="H76" s="46"/>
      <c r="I76" s="49"/>
      <c r="J76" s="49"/>
      <c r="K76" s="47"/>
      <c r="L76" s="47"/>
      <c r="M76" s="47"/>
      <c r="Q76" s="15"/>
    </row>
    <row r="77" spans="1:17" x14ac:dyDescent="0.3">
      <c r="B77" s="13"/>
      <c r="F77" s="47"/>
      <c r="G77" s="47"/>
      <c r="H77" s="46"/>
      <c r="I77" s="47"/>
      <c r="J77" s="47"/>
      <c r="K77" s="47"/>
      <c r="L77" s="47"/>
      <c r="M77" s="47"/>
    </row>
    <row r="78" spans="1:17" x14ac:dyDescent="0.3">
      <c r="A78" s="19" t="s">
        <v>36</v>
      </c>
      <c r="B78" s="13"/>
      <c r="F78" s="47"/>
      <c r="G78" s="47"/>
      <c r="H78" s="46"/>
      <c r="I78" s="46"/>
      <c r="J78" s="49"/>
      <c r="K78" s="47"/>
      <c r="L78" s="47"/>
      <c r="M78" s="47"/>
    </row>
    <row r="79" spans="1:17" x14ac:dyDescent="0.3">
      <c r="A79" t="s">
        <v>113</v>
      </c>
      <c r="B79" s="13">
        <f>SUM(B69:B70)</f>
        <v>174.25</v>
      </c>
      <c r="F79" s="47"/>
      <c r="G79" s="47"/>
      <c r="H79" s="46"/>
      <c r="I79" s="47"/>
      <c r="J79" s="47"/>
      <c r="K79" s="47"/>
      <c r="L79" s="47"/>
      <c r="M79" s="47"/>
    </row>
    <row r="80" spans="1:17" x14ac:dyDescent="0.3">
      <c r="A80" t="s">
        <v>114</v>
      </c>
      <c r="B80" s="84">
        <f>SUM(B71:B72)</f>
        <v>73.099999999999994</v>
      </c>
      <c r="F80" s="47"/>
      <c r="G80" s="47"/>
      <c r="H80" s="46"/>
      <c r="I80" s="49"/>
      <c r="J80" s="49"/>
      <c r="K80" s="47"/>
      <c r="L80" s="47"/>
      <c r="M80" s="47"/>
    </row>
    <row r="81" spans="1:13" x14ac:dyDescent="0.3">
      <c r="A81" t="s">
        <v>112</v>
      </c>
      <c r="B81" s="39">
        <f>B73</f>
        <v>0</v>
      </c>
      <c r="F81" s="47"/>
      <c r="G81" s="47"/>
      <c r="H81" s="46"/>
      <c r="I81" s="49"/>
      <c r="J81" s="49"/>
      <c r="K81" s="47"/>
      <c r="L81" s="47"/>
      <c r="M81" s="47"/>
    </row>
    <row r="82" spans="1:13" x14ac:dyDescent="0.3">
      <c r="A82" s="91" t="s">
        <v>101</v>
      </c>
      <c r="B82" s="92">
        <f>B74</f>
        <v>150</v>
      </c>
      <c r="F82" s="47"/>
      <c r="G82" s="47"/>
      <c r="H82" s="46"/>
      <c r="I82" s="49"/>
      <c r="J82" s="49"/>
      <c r="K82" s="47"/>
      <c r="L82" s="47"/>
      <c r="M82" s="47"/>
    </row>
    <row r="83" spans="1:13" x14ac:dyDescent="0.3">
      <c r="B83" s="13">
        <f>SUM(B79:B82)</f>
        <v>397.35</v>
      </c>
      <c r="F83" s="47"/>
      <c r="G83" s="47"/>
      <c r="H83" s="46"/>
      <c r="I83" s="47"/>
      <c r="J83" s="47"/>
      <c r="K83" s="47"/>
      <c r="L83" s="47"/>
      <c r="M83" s="47"/>
    </row>
    <row r="84" spans="1:13" x14ac:dyDescent="0.3">
      <c r="B84" s="13"/>
      <c r="F84" s="47"/>
      <c r="G84" s="47"/>
      <c r="H84" s="46"/>
      <c r="I84" s="46"/>
      <c r="J84" s="49"/>
      <c r="K84" s="47"/>
      <c r="L84" s="47"/>
      <c r="M84" s="47"/>
    </row>
    <row r="85" spans="1:13" x14ac:dyDescent="0.3">
      <c r="B85" s="13"/>
      <c r="F85" s="47"/>
      <c r="G85" s="47"/>
      <c r="H85" s="46"/>
      <c r="I85" s="47"/>
      <c r="J85" s="47"/>
      <c r="K85" s="47"/>
      <c r="L85" s="47"/>
      <c r="M85" s="47"/>
    </row>
    <row r="86" spans="1:13" x14ac:dyDescent="0.3">
      <c r="B86" s="13"/>
      <c r="F86" s="47"/>
      <c r="G86" s="47"/>
      <c r="H86" s="46"/>
      <c r="I86" s="49"/>
      <c r="J86" s="49"/>
      <c r="K86" s="47"/>
      <c r="L86" s="47"/>
      <c r="M86" s="47"/>
    </row>
    <row r="87" spans="1:13" x14ac:dyDescent="0.3">
      <c r="B87" s="13"/>
      <c r="F87" s="47"/>
      <c r="G87" s="47"/>
      <c r="H87" s="46"/>
      <c r="I87" s="47"/>
      <c r="J87" s="47"/>
      <c r="K87" s="47"/>
      <c r="L87" s="47"/>
      <c r="M87" s="47"/>
    </row>
    <row r="88" spans="1:13" x14ac:dyDescent="0.3">
      <c r="B88" s="15"/>
      <c r="F88" s="47"/>
      <c r="G88" s="47"/>
      <c r="H88" s="50"/>
      <c r="I88" s="47"/>
      <c r="J88" s="47"/>
      <c r="K88" s="47"/>
      <c r="L88" s="47"/>
      <c r="M88" s="47"/>
    </row>
    <row r="89" spans="1:13" x14ac:dyDescent="0.3">
      <c r="F89" s="47"/>
      <c r="G89" s="47"/>
      <c r="H89" s="46"/>
      <c r="I89" s="47"/>
      <c r="J89" s="47"/>
      <c r="K89" s="47"/>
      <c r="L89" s="47"/>
      <c r="M89" s="47"/>
    </row>
    <row r="90" spans="1:13" x14ac:dyDescent="0.3">
      <c r="F90" s="47"/>
      <c r="G90" s="47"/>
      <c r="H90" s="46"/>
      <c r="I90" s="48"/>
      <c r="J90" s="48"/>
      <c r="K90" s="47"/>
      <c r="L90" s="47"/>
      <c r="M90" s="47"/>
    </row>
    <row r="91" spans="1:13" x14ac:dyDescent="0.3">
      <c r="F91" s="47"/>
      <c r="G91" s="47"/>
      <c r="H91" s="46"/>
      <c r="I91" s="47"/>
      <c r="J91" s="47"/>
      <c r="K91" s="47"/>
      <c r="L91" s="47"/>
      <c r="M91" s="47"/>
    </row>
    <row r="92" spans="1:13" x14ac:dyDescent="0.3">
      <c r="H92" s="12"/>
    </row>
    <row r="94" spans="1:13" x14ac:dyDescent="0.3">
      <c r="H94" s="40"/>
      <c r="M94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2016-11-14T23:54:24Z</dcterms:modified>
</cp:coreProperties>
</file>