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Nunavut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4" l="1"/>
  <c r="B30" i="24"/>
  <c r="B29" i="24"/>
  <c r="B22" i="24"/>
  <c r="B21" i="24"/>
  <c r="B20" i="24"/>
  <c r="B19" i="24"/>
  <c r="B35" i="19"/>
  <c r="B34" i="19"/>
  <c r="B33" i="19"/>
  <c r="B26" i="19"/>
  <c r="B25" i="19"/>
  <c r="B24" i="19"/>
  <c r="B23" i="19"/>
  <c r="B31" i="3"/>
  <c r="B30" i="3"/>
  <c r="B29" i="3"/>
  <c r="B22" i="3"/>
  <c r="B21" i="3"/>
  <c r="B20" i="3"/>
  <c r="B19" i="3"/>
  <c r="B32" i="1"/>
  <c r="B31" i="1"/>
  <c r="B30" i="1"/>
  <c r="B23" i="1"/>
  <c r="B22" i="1"/>
  <c r="B21" i="1"/>
  <c r="B20" i="1"/>
  <c r="B72" i="27" l="1"/>
  <c r="B71" i="27"/>
  <c r="B65" i="1"/>
  <c r="B62" i="27" l="1"/>
  <c r="B60" i="27"/>
  <c r="B59" i="27"/>
  <c r="C39" i="27"/>
  <c r="B53" i="27"/>
  <c r="B52" i="27"/>
  <c r="B54" i="27" s="1"/>
  <c r="B64" i="27" s="1"/>
  <c r="C41" i="27"/>
  <c r="C43" i="27" s="1"/>
  <c r="B39" i="27"/>
  <c r="B41" i="27" s="1"/>
  <c r="B43" i="27" s="1"/>
  <c r="B31" i="27"/>
  <c r="B30" i="27"/>
  <c r="B29" i="27"/>
  <c r="B61" i="27" s="1"/>
  <c r="B22" i="27"/>
  <c r="B21" i="27"/>
  <c r="B20" i="27"/>
  <c r="B19" i="27"/>
  <c r="B70" i="27" l="1"/>
  <c r="B73" i="27" s="1"/>
  <c r="B69" i="27"/>
  <c r="B65" i="27"/>
  <c r="B45" i="27"/>
  <c r="B63" i="27" s="1"/>
  <c r="C40" i="1" l="1"/>
  <c r="C42" i="1" s="1"/>
  <c r="C44" i="1" s="1"/>
  <c r="B40" i="1"/>
  <c r="B42" i="1" s="1"/>
  <c r="B44" i="1" s="1"/>
  <c r="B46" i="1" l="1"/>
  <c r="B56" i="1" s="1"/>
  <c r="B39" i="24"/>
  <c r="B41" i="24"/>
  <c r="B43" i="24" s="1"/>
  <c r="B43" i="19"/>
  <c r="B45" i="19"/>
  <c r="B47" i="19" s="1"/>
  <c r="C39" i="3"/>
  <c r="C41" i="3" s="1"/>
  <c r="C43" i="3" s="1"/>
  <c r="B39" i="3" l="1"/>
  <c r="B41" i="3" s="1"/>
  <c r="B43" i="3" s="1"/>
  <c r="B45" i="3" s="1"/>
  <c r="B55" i="3" s="1"/>
  <c r="B62" i="3" s="1"/>
  <c r="B54" i="1" l="1"/>
  <c r="I58" i="24" l="1"/>
  <c r="I81" i="19"/>
  <c r="I81" i="24" l="1"/>
  <c r="I104" i="19"/>
  <c r="J59" i="19"/>
  <c r="G54" i="19"/>
  <c r="F55" i="19" s="1"/>
  <c r="H54" i="19"/>
  <c r="G55" i="19"/>
  <c r="F56" i="19" s="1"/>
  <c r="H55" i="19"/>
  <c r="G56" i="19"/>
  <c r="H56" i="19"/>
  <c r="H57" i="19"/>
  <c r="I59" i="19"/>
  <c r="I55" i="19" l="1"/>
  <c r="I56" i="19" s="1"/>
  <c r="I57" i="19" s="1"/>
  <c r="F57" i="19"/>
  <c r="B69" i="24" l="1"/>
  <c r="B53" i="24"/>
  <c r="B98" i="24"/>
  <c r="B95" i="24"/>
  <c r="H81" i="24"/>
  <c r="G79" i="24"/>
  <c r="G78" i="24"/>
  <c r="F78" i="24"/>
  <c r="E79" i="24" s="1"/>
  <c r="G77" i="24"/>
  <c r="F77" i="24"/>
  <c r="E78" i="24" s="1"/>
  <c r="G76" i="24"/>
  <c r="F76" i="24"/>
  <c r="E77" i="24" s="1"/>
  <c r="B59" i="24"/>
  <c r="H58" i="24"/>
  <c r="B58" i="24"/>
  <c r="G56" i="24"/>
  <c r="G55" i="24"/>
  <c r="F55" i="24"/>
  <c r="E56" i="24" s="1"/>
  <c r="G54" i="24"/>
  <c r="F54" i="24"/>
  <c r="E55" i="24" s="1"/>
  <c r="G53" i="24"/>
  <c r="F53" i="24"/>
  <c r="E54" i="24" s="1"/>
  <c r="G52" i="24"/>
  <c r="F52" i="24"/>
  <c r="E53" i="24" s="1"/>
  <c r="B52" i="24"/>
  <c r="B51" i="24"/>
  <c r="H77" i="24" l="1"/>
  <c r="H78" i="24" s="1"/>
  <c r="H79" i="24" s="1"/>
  <c r="H53" i="24"/>
  <c r="H54" i="24" s="1"/>
  <c r="H55" i="24" s="1"/>
  <c r="H56" i="24" s="1"/>
  <c r="B83" i="24"/>
  <c r="H104" i="19" l="1"/>
  <c r="H81" i="19"/>
  <c r="B92" i="19"/>
  <c r="B76" i="19"/>
  <c r="B51" i="3" l="1"/>
  <c r="B53" i="3" l="1"/>
  <c r="G102" i="19"/>
  <c r="G101" i="19"/>
  <c r="G100" i="19"/>
  <c r="G99" i="19"/>
  <c r="G79" i="19"/>
  <c r="G78" i="19"/>
  <c r="G77" i="19"/>
  <c r="G76" i="19"/>
  <c r="G75" i="19"/>
  <c r="F78" i="19"/>
  <c r="E79" i="19" s="1"/>
  <c r="F77" i="19"/>
  <c r="F76" i="19"/>
  <c r="F101" i="19"/>
  <c r="E102" i="19" s="1"/>
  <c r="F100" i="19"/>
  <c r="F99" i="19"/>
  <c r="F75" i="19"/>
  <c r="E101" i="19" l="1"/>
  <c r="E78" i="19"/>
  <c r="E76" i="19"/>
  <c r="H76" i="19"/>
  <c r="E100" i="19"/>
  <c r="H100" i="19"/>
  <c r="E77" i="19"/>
  <c r="B82" i="19"/>
  <c r="H101" i="19" l="1"/>
  <c r="H102" i="19" s="1"/>
  <c r="H77" i="19"/>
  <c r="H78" i="19" s="1"/>
  <c r="H79" i="19" s="1"/>
  <c r="B106" i="19" l="1"/>
  <c r="B75" i="19"/>
  <c r="B74" i="19"/>
  <c r="B81" i="19" l="1"/>
  <c r="B58" i="19" l="1"/>
  <c r="B56" i="19"/>
  <c r="B57" i="19"/>
  <c r="B59" i="19" l="1"/>
  <c r="B55" i="1" l="1"/>
  <c r="B64" i="1" s="1"/>
  <c r="B53" i="1"/>
  <c r="B52" i="1"/>
  <c r="B63" i="1" l="1"/>
  <c r="B66" i="1" s="1"/>
  <c r="B57" i="1"/>
  <c r="B54" i="3"/>
  <c r="B61" i="3" s="1"/>
  <c r="B52" i="3" l="1"/>
  <c r="B56" i="3" l="1"/>
  <c r="B60" i="3"/>
  <c r="B63" i="3" s="1"/>
  <c r="B118" i="19"/>
  <c r="B122" i="19"/>
  <c r="C43" i="19"/>
  <c r="C45" i="19"/>
  <c r="C47" i="19"/>
  <c r="B49" i="19"/>
  <c r="J54" i="19"/>
  <c r="K54" i="19"/>
  <c r="J55" i="19"/>
  <c r="K55" i="19"/>
  <c r="J56" i="19"/>
  <c r="K56" i="19"/>
  <c r="J57" i="19"/>
  <c r="K57" i="19"/>
  <c r="K58" i="19"/>
  <c r="K59" i="19"/>
  <c r="K60" i="19"/>
  <c r="K61" i="19"/>
  <c r="B62" i="19"/>
  <c r="K62" i="19"/>
  <c r="B63" i="19"/>
  <c r="K63" i="19"/>
  <c r="B64" i="19"/>
  <c r="K64" i="19"/>
  <c r="B67" i="19"/>
  <c r="B68" i="19"/>
  <c r="B69" i="19"/>
  <c r="I75" i="19"/>
  <c r="J75" i="19"/>
  <c r="I76" i="19"/>
  <c r="J76" i="19"/>
  <c r="B77" i="19"/>
  <c r="I77" i="19"/>
  <c r="J77" i="19"/>
  <c r="B78" i="19"/>
  <c r="I78" i="19"/>
  <c r="J78" i="19"/>
  <c r="B79" i="19"/>
  <c r="I79" i="19"/>
  <c r="J79" i="19"/>
  <c r="J80" i="19"/>
  <c r="J81" i="19"/>
  <c r="J82" i="19"/>
  <c r="B83" i="19"/>
  <c r="B84" i="19"/>
  <c r="B85" i="19"/>
  <c r="B87" i="19"/>
  <c r="B89" i="19"/>
  <c r="B91" i="19"/>
  <c r="B94" i="19"/>
  <c r="B98" i="19"/>
  <c r="B99" i="19"/>
  <c r="I99" i="19"/>
  <c r="J99" i="19"/>
  <c r="B100" i="19"/>
  <c r="I100" i="19"/>
  <c r="J100" i="19"/>
  <c r="I101" i="19"/>
  <c r="J101" i="19"/>
  <c r="B102" i="19"/>
  <c r="I102" i="19"/>
  <c r="J102" i="19"/>
  <c r="J103" i="19"/>
  <c r="B104" i="19"/>
  <c r="J104" i="19"/>
  <c r="J105" i="19"/>
  <c r="B107" i="19"/>
  <c r="B108" i="19"/>
  <c r="B110" i="19"/>
  <c r="B112" i="19"/>
  <c r="B117" i="19"/>
  <c r="B119" i="19"/>
  <c r="B120" i="19"/>
  <c r="B121" i="19"/>
  <c r="B123" i="19"/>
  <c r="B124" i="19"/>
  <c r="B125" i="19"/>
  <c r="B126" i="19"/>
  <c r="B130" i="19"/>
  <c r="B131" i="19"/>
  <c r="B132" i="19"/>
  <c r="B133" i="19"/>
  <c r="C39" i="24"/>
  <c r="C41" i="24"/>
  <c r="C43" i="24"/>
  <c r="B45" i="24"/>
  <c r="I52" i="24"/>
  <c r="J52" i="24"/>
  <c r="I53" i="24"/>
  <c r="J53" i="24"/>
  <c r="B54" i="24"/>
  <c r="I54" i="24"/>
  <c r="J54" i="24"/>
  <c r="B55" i="24"/>
  <c r="I55" i="24"/>
  <c r="J55" i="24"/>
  <c r="B56" i="24"/>
  <c r="I56" i="24"/>
  <c r="J56" i="24"/>
  <c r="J57" i="24"/>
  <c r="J58" i="24"/>
  <c r="J59" i="24"/>
  <c r="B60" i="24"/>
  <c r="B61" i="24"/>
  <c r="B62" i="24"/>
  <c r="B64" i="24"/>
  <c r="B66" i="24"/>
  <c r="B68" i="24"/>
  <c r="B71" i="24"/>
  <c r="B75" i="24"/>
  <c r="B76" i="24"/>
  <c r="I76" i="24"/>
  <c r="J76" i="24"/>
  <c r="B77" i="24"/>
  <c r="I77" i="24"/>
  <c r="J77" i="24"/>
  <c r="I78" i="24"/>
  <c r="J78" i="24"/>
  <c r="B79" i="24"/>
  <c r="I79" i="24"/>
  <c r="J79" i="24"/>
  <c r="J80" i="24"/>
  <c r="B81" i="24"/>
  <c r="J81" i="24"/>
  <c r="J82" i="24"/>
  <c r="B84" i="24"/>
  <c r="B85" i="24"/>
  <c r="B87" i="24"/>
  <c r="B89" i="24"/>
  <c r="B94" i="24"/>
  <c r="B96" i="24"/>
  <c r="B97" i="24"/>
  <c r="B99" i="24"/>
  <c r="B100" i="24"/>
  <c r="B101" i="24"/>
  <c r="B105" i="24"/>
  <c r="B106" i="24"/>
  <c r="B107" i="24"/>
  <c r="B108" i="24"/>
</calcChain>
</file>

<file path=xl/sharedStrings.xml><?xml version="1.0" encoding="utf-8"?>
<sst xmlns="http://schemas.openxmlformats.org/spreadsheetml/2006/main" count="412" uniqueCount="116">
  <si>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</si>
  <si>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</si>
  <si>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</si>
  <si>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</si>
  <si>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</si>
  <si>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</si>
  <si>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</si>
  <si>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</si>
  <si>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</si>
  <si>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</si>
  <si>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</si>
  <si>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</si>
  <si>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</si>
  <si>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</si>
  <si>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</si>
  <si>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</si>
  <si>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</si>
  <si>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Total Tax Savings</t>
  </si>
  <si>
    <t>Interest income</t>
  </si>
  <si>
    <t>Taxes Payable</t>
  </si>
  <si>
    <t>2016 rates</t>
  </si>
  <si>
    <t>Additional Taxes Payable</t>
  </si>
  <si>
    <t>Maximum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</si>
  <si>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</si>
  <si>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</si>
  <si>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</si>
  <si>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</si>
  <si>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</si>
  <si>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</si>
  <si>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</si>
  <si>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</si>
  <si>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</si>
  <si>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</si>
  <si>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</si>
  <si>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</si>
  <si>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</si>
  <si>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</si>
  <si>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</si>
  <si>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</si>
  <si>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</si>
  <si>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</si>
  <si>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</si>
  <si>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</si>
  <si>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</si>
  <si>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</si>
  <si>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</si>
  <si>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</si>
  <si>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</si>
  <si>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</si>
  <si>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</si>
  <si>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</si>
  <si>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</si>
  <si>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</si>
  <si>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</si>
  <si>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</si>
  <si>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</si>
  <si>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</si>
  <si>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</si>
  <si>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</si>
  <si>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</si>
  <si>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</si>
  <si>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</si>
  <si>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</si>
  <si>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</si>
  <si>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</si>
  <si>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</si>
  <si>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</si>
  <si>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</si>
  <si>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</si>
  <si>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</si>
  <si>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</si>
  <si>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</si>
  <si>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</si>
  <si>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</si>
  <si>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</si>
  <si>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</si>
  <si>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</si>
  <si>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</si>
  <si>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</si>
  <si>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</si>
  <si>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</si>
  <si>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</si>
  <si>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</si>
  <si>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</si>
  <si>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</si>
  <si>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</si>
  <si>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</si>
  <si>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</si>
  <si>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</si>
  <si>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</si>
  <si>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</si>
  <si>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</si>
  <si>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</si>
  <si>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Nunavut</t>
  </si>
  <si>
    <t>2016 NU rates</t>
  </si>
  <si>
    <t>NU dividend tax credit</t>
  </si>
  <si>
    <t>NU foreign tax credit</t>
  </si>
  <si>
    <t>NU Dividend Tax Credit</t>
  </si>
  <si>
    <t>Total income only</t>
  </si>
  <si>
    <t>NU Provincial Credit</t>
  </si>
  <si>
    <t>With adjustment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</si>
  <si>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</si>
  <si>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</si>
  <si>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</si>
  <si>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</si>
  <si>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</si>
  <si>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</si>
  <si>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</si>
  <si>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</si>
  <si>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adjustment and clawback</t>
  </si>
  <si>
    <t>Additional Federal Tax Savings</t>
  </si>
  <si>
    <t>Additional NU Tax Savings</t>
  </si>
  <si>
    <t>Additional NU Credit</t>
  </si>
  <si>
    <t>Additional Federal Taxes</t>
  </si>
  <si>
    <t>Additional NU Taxes</t>
  </si>
  <si>
    <t>Reduction in NU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</si>
</sst>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3" fontId="0" fillId="0" borderId="0" xfId="0" applyNumberFormat="1" applyFont="1"/>
    <xf numFmtId="9" fontId="0" fillId="0" borderId="1" xfId="2" applyFont="1" applyBorder="1"/>
    <xf numFmtId="9" fontId="0" fillId="0" borderId="0" xfId="2" applyFont="1"/>
    <xf numFmtId="0" fontId="0" fillId="0" borderId="0" xfId="0" applyFont="1" applyAlignment="1">
      <alignment wrapText="1"/>
    </xf>
    <xf numFmtId="3" fontId="0" fillId="0" borderId="1" xfId="0" applyNumberFormat="1" applyBorder="1"/>
    <xf numFmtId="164" fontId="0" fillId="0" borderId="0" xfId="0" applyNumberFormat="1" applyBorder="1"/>
    <xf numFmtId="165" fontId="0" fillId="4" borderId="1" xfId="1" applyNumberFormat="1" applyFont="1" applyFill="1" applyBorder="1"/>
    <xf numFmtId="0" fontId="0" fillId="4" borderId="0" xfId="0" applyFont="1" applyFill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3" fontId="5" fillId="0" borderId="0" xfId="0" applyNumberFormat="1" applyFont="1" applyFill="1" applyBorder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7"/>
  <sheetViews>
    <sheetView topLeftCell="A7" zoomScale="85" zoomScaleNormal="85" workbookViewId="0">
      <selection activeCell="D40" sqref="D40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20" x14ac:dyDescent="0.3">
      <c r="A2" s="2" t="s">
        <v>1</v>
      </c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20" x14ac:dyDescent="0.3">
      <c r="A3" s="3" t="s">
        <v>2</v>
      </c>
      <c r="E3" s="45"/>
      <c r="F3" s="45"/>
      <c r="G3" s="45"/>
      <c r="H3" s="45"/>
      <c r="I3" s="45"/>
      <c r="J3" s="45"/>
      <c r="K3" s="45"/>
      <c r="L3" s="45"/>
      <c r="M3" s="45"/>
      <c r="N3" s="45"/>
    </row>
    <row r="4" spans="1:20" x14ac:dyDescent="0.3">
      <c r="A4" t="s">
        <v>3</v>
      </c>
      <c r="B4" s="1">
        <v>2000</v>
      </c>
      <c r="E4" s="45"/>
      <c r="F4" s="45"/>
      <c r="G4" s="45"/>
      <c r="H4" s="45"/>
      <c r="I4" s="45"/>
      <c r="J4" s="45"/>
      <c r="K4" s="45"/>
      <c r="L4" s="45"/>
      <c r="M4" s="45"/>
      <c r="N4" s="45"/>
    </row>
    <row r="5" spans="1:20" x14ac:dyDescent="0.3"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20" x14ac:dyDescent="0.3">
      <c r="E6" s="45"/>
      <c r="F6" s="45"/>
      <c r="G6" s="45"/>
      <c r="H6" s="45"/>
      <c r="I6" s="45"/>
      <c r="J6" s="45"/>
      <c r="K6" s="45"/>
      <c r="L6" s="45"/>
      <c r="M6" s="45"/>
      <c r="N6" s="45"/>
      <c r="O6" s="21"/>
      <c r="P6" s="51"/>
      <c r="Q6" s="21"/>
      <c r="R6" s="21"/>
      <c r="S6" s="21"/>
      <c r="T6" s="21"/>
    </row>
    <row r="7" spans="1:20" x14ac:dyDescent="0.3">
      <c r="A7" s="2" t="s">
        <v>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93</v>
      </c>
      <c r="E8" s="45"/>
      <c r="F8" s="45"/>
      <c r="G8" s="45"/>
      <c r="H8" s="45"/>
      <c r="I8" s="45"/>
      <c r="J8" s="45"/>
      <c r="K8" s="45"/>
      <c r="L8" s="46"/>
      <c r="M8" s="46"/>
      <c r="N8" s="46"/>
      <c r="O8" s="50"/>
      <c r="P8" s="50"/>
      <c r="Q8" s="50"/>
      <c r="R8" s="50"/>
      <c r="S8" s="50"/>
      <c r="T8" s="50"/>
    </row>
    <row r="9" spans="1:20" x14ac:dyDescent="0.3">
      <c r="E9" s="45"/>
      <c r="F9" s="44"/>
      <c r="G9" s="44"/>
      <c r="H9" s="44"/>
      <c r="I9" s="45"/>
      <c r="J9" s="45"/>
      <c r="K9" s="45"/>
      <c r="L9" s="45"/>
      <c r="M9" s="45"/>
      <c r="N9" s="45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16000</v>
      </c>
      <c r="H12" s="13"/>
    </row>
    <row r="13" spans="1:20" x14ac:dyDescent="0.3">
      <c r="D13" s="4"/>
      <c r="H13" s="80"/>
    </row>
    <row r="14" spans="1:20" x14ac:dyDescent="0.3">
      <c r="D14" s="4"/>
    </row>
    <row r="16" spans="1:20" x14ac:dyDescent="0.3">
      <c r="A16" s="2" t="s">
        <v>7</v>
      </c>
    </row>
    <row r="17" spans="1:9" x14ac:dyDescent="0.3">
      <c r="A17" s="3" t="s">
        <v>8</v>
      </c>
    </row>
    <row r="18" spans="1:9" x14ac:dyDescent="0.3">
      <c r="B18" s="91" t="s">
        <v>20</v>
      </c>
      <c r="C18" s="21"/>
      <c r="D18" s="21"/>
      <c r="E18" s="21"/>
      <c r="F18" s="91"/>
      <c r="G18" s="21"/>
      <c r="H18" s="21"/>
      <c r="I18" s="21"/>
    </row>
    <row r="19" spans="1:9" ht="15.6" x14ac:dyDescent="0.3">
      <c r="A19" t="s">
        <v>9</v>
      </c>
      <c r="B19" s="50">
        <v>0</v>
      </c>
      <c r="C19" s="26">
        <v>45282</v>
      </c>
      <c r="D19" s="92">
        <v>0.15</v>
      </c>
      <c r="E19" s="21"/>
      <c r="F19" s="50"/>
      <c r="G19" s="26"/>
      <c r="H19" s="92"/>
      <c r="I19" s="21"/>
    </row>
    <row r="20" spans="1:9" ht="15.6" x14ac:dyDescent="0.3">
      <c r="A20" t="s">
        <v>10</v>
      </c>
      <c r="B20" s="26">
        <f>C19</f>
        <v>45282</v>
      </c>
      <c r="C20" s="26">
        <v>90563</v>
      </c>
      <c r="D20" s="64">
        <v>0.20499999999999999</v>
      </c>
      <c r="E20" s="21"/>
      <c r="F20" s="26"/>
      <c r="G20" s="26"/>
      <c r="H20" s="64"/>
      <c r="I20" s="21"/>
    </row>
    <row r="21" spans="1:9" ht="15.6" x14ac:dyDescent="0.3">
      <c r="A21" t="s">
        <v>10</v>
      </c>
      <c r="B21" s="26">
        <f>C20</f>
        <v>90563</v>
      </c>
      <c r="C21" s="26">
        <v>140388</v>
      </c>
      <c r="D21" s="64">
        <v>0.26</v>
      </c>
      <c r="E21" s="21"/>
      <c r="F21" s="26"/>
      <c r="G21" s="26"/>
      <c r="H21" s="64"/>
      <c r="I21" s="21"/>
    </row>
    <row r="22" spans="1:9" ht="15.6" x14ac:dyDescent="0.3">
      <c r="A22" t="s">
        <v>10</v>
      </c>
      <c r="B22" s="26">
        <f>C21</f>
        <v>140388</v>
      </c>
      <c r="C22" s="26">
        <v>200000</v>
      </c>
      <c r="D22" s="64">
        <v>0.28999999999999998</v>
      </c>
      <c r="E22" s="21"/>
      <c r="F22" s="26"/>
      <c r="G22" s="26"/>
      <c r="H22" s="64"/>
      <c r="I22" s="21"/>
    </row>
    <row r="23" spans="1:9" ht="15.6" x14ac:dyDescent="0.3">
      <c r="B23" s="26">
        <f>C22</f>
        <v>200000</v>
      </c>
      <c r="C23" s="21"/>
      <c r="D23" s="64">
        <v>0.33</v>
      </c>
      <c r="E23" s="21"/>
      <c r="F23" s="26"/>
      <c r="G23" s="21"/>
      <c r="H23" s="64"/>
      <c r="I23" s="21"/>
    </row>
    <row r="24" spans="1:9" x14ac:dyDescent="0.3">
      <c r="B24" s="21"/>
      <c r="C24" s="91"/>
      <c r="D24" s="21"/>
      <c r="E24" s="21"/>
      <c r="F24" s="50"/>
      <c r="G24" s="21"/>
      <c r="H24" s="21"/>
      <c r="I24" s="21"/>
    </row>
    <row r="25" spans="1:9" ht="15.6" x14ac:dyDescent="0.3">
      <c r="A25" t="s">
        <v>38</v>
      </c>
      <c r="B25" s="26">
        <v>11474</v>
      </c>
      <c r="C25" s="26"/>
      <c r="D25" s="21"/>
      <c r="E25" s="21"/>
      <c r="F25" s="21"/>
      <c r="G25" s="50"/>
      <c r="H25" s="12"/>
      <c r="I25" s="21"/>
    </row>
    <row r="26" spans="1:9" x14ac:dyDescent="0.3">
      <c r="B26" s="21"/>
      <c r="C26" s="21"/>
      <c r="D26" s="21"/>
      <c r="E26" s="21"/>
      <c r="F26" s="21"/>
      <c r="G26" s="21"/>
      <c r="H26" s="21"/>
      <c r="I26" s="21"/>
    </row>
    <row r="27" spans="1:9" x14ac:dyDescent="0.3">
      <c r="A27" s="3" t="s">
        <v>11</v>
      </c>
      <c r="B27" s="21"/>
      <c r="C27" s="21"/>
      <c r="D27" s="21"/>
      <c r="E27" s="21"/>
      <c r="F27" s="21"/>
      <c r="G27" s="21"/>
      <c r="H27" s="21"/>
      <c r="I27" s="21"/>
    </row>
    <row r="28" spans="1:9" x14ac:dyDescent="0.3">
      <c r="A28" s="10" t="s">
        <v>93</v>
      </c>
      <c r="B28" s="91" t="s">
        <v>20</v>
      </c>
      <c r="C28" s="21"/>
      <c r="D28" s="21"/>
      <c r="E28" s="21"/>
      <c r="F28" s="91"/>
      <c r="G28" s="21"/>
      <c r="H28" s="21"/>
      <c r="I28" s="21"/>
    </row>
    <row r="29" spans="1:9" ht="15.6" x14ac:dyDescent="0.3">
      <c r="A29" t="s">
        <v>9</v>
      </c>
      <c r="B29" s="21">
        <v>0</v>
      </c>
      <c r="C29" s="26">
        <v>43176</v>
      </c>
      <c r="D29" s="64">
        <v>0.04</v>
      </c>
      <c r="E29" s="21"/>
      <c r="F29" s="21"/>
      <c r="G29" s="26"/>
      <c r="H29" s="64"/>
      <c r="I29" s="21"/>
    </row>
    <row r="30" spans="1:9" ht="15.6" x14ac:dyDescent="0.3">
      <c r="A30" t="s">
        <v>10</v>
      </c>
      <c r="B30" s="26">
        <f>C29</f>
        <v>43176</v>
      </c>
      <c r="C30" s="26">
        <v>86351</v>
      </c>
      <c r="D30" s="64">
        <v>7.0000000000000007E-2</v>
      </c>
      <c r="E30" s="21"/>
      <c r="F30" s="26"/>
      <c r="G30" s="26"/>
      <c r="H30" s="64"/>
      <c r="I30" s="21"/>
    </row>
    <row r="31" spans="1:9" ht="15.6" x14ac:dyDescent="0.3">
      <c r="A31" t="s">
        <v>10</v>
      </c>
      <c r="B31" s="26">
        <f>C30</f>
        <v>86351</v>
      </c>
      <c r="C31" s="26">
        <v>140388</v>
      </c>
      <c r="D31" s="64">
        <v>0.09</v>
      </c>
      <c r="E31" s="21"/>
      <c r="F31" s="26"/>
      <c r="G31" s="26"/>
      <c r="H31" s="64"/>
      <c r="I31" s="21"/>
    </row>
    <row r="32" spans="1:9" ht="15.6" x14ac:dyDescent="0.3">
      <c r="A32" t="s">
        <v>10</v>
      </c>
      <c r="B32" s="26">
        <f>C31</f>
        <v>140388</v>
      </c>
      <c r="C32" s="26"/>
      <c r="D32" s="64">
        <v>0.115</v>
      </c>
      <c r="E32" s="21"/>
      <c r="F32" s="26"/>
      <c r="G32" s="26"/>
      <c r="H32" s="64"/>
      <c r="I32" s="21"/>
    </row>
    <row r="33" spans="1:14" x14ac:dyDescent="0.3">
      <c r="B33" s="21"/>
      <c r="C33" s="91"/>
      <c r="D33" s="21"/>
      <c r="E33" s="21"/>
      <c r="F33" s="21"/>
      <c r="G33" s="21"/>
      <c r="H33" s="43"/>
      <c r="I33" s="21"/>
    </row>
    <row r="34" spans="1:14" ht="15.6" x14ac:dyDescent="0.3">
      <c r="A34" t="s">
        <v>35</v>
      </c>
      <c r="B34" s="26">
        <v>12947</v>
      </c>
      <c r="C34" s="26"/>
      <c r="D34" s="21"/>
      <c r="E34" s="21"/>
      <c r="F34" s="21"/>
      <c r="G34" s="21"/>
      <c r="H34" s="43"/>
      <c r="I34" s="50"/>
      <c r="J34" s="4"/>
      <c r="K34" s="4"/>
      <c r="L34" s="4"/>
      <c r="N34" s="4"/>
    </row>
    <row r="35" spans="1:14" x14ac:dyDescent="0.3">
      <c r="B35" s="4"/>
      <c r="C35" s="4"/>
      <c r="D35" t="s">
        <v>37</v>
      </c>
      <c r="E35" s="12"/>
      <c r="F35" s="94"/>
      <c r="G35" s="21"/>
      <c r="H35" s="20"/>
      <c r="I35" s="21"/>
    </row>
    <row r="36" spans="1:14" x14ac:dyDescent="0.3">
      <c r="B36" s="4"/>
      <c r="C36" s="4"/>
      <c r="E36" s="13"/>
      <c r="F36" s="42"/>
      <c r="H36" s="16"/>
    </row>
    <row r="37" spans="1:14" x14ac:dyDescent="0.3">
      <c r="A37" s="3" t="s">
        <v>99</v>
      </c>
      <c r="B37" s="4"/>
      <c r="C37" s="4"/>
      <c r="H37" s="13"/>
    </row>
    <row r="38" spans="1:14" x14ac:dyDescent="0.3">
      <c r="A38" s="3"/>
      <c r="B38" s="4" t="s">
        <v>98</v>
      </c>
      <c r="C38" s="4" t="s">
        <v>100</v>
      </c>
      <c r="H38" s="13"/>
    </row>
    <row r="39" spans="1:14" x14ac:dyDescent="0.3">
      <c r="A39" s="3"/>
      <c r="B39" t="s">
        <v>27</v>
      </c>
      <c r="C39" t="s">
        <v>28</v>
      </c>
      <c r="H39" s="13"/>
    </row>
    <row r="40" spans="1:14" x14ac:dyDescent="0.3">
      <c r="A40" s="13"/>
      <c r="B40" s="18">
        <f>$B$12</f>
        <v>16000</v>
      </c>
      <c r="C40" s="18">
        <f>$B$12-$B$4</f>
        <v>14000</v>
      </c>
      <c r="H40" s="13"/>
    </row>
    <row r="41" spans="1:14" x14ac:dyDescent="0.3">
      <c r="B41" s="82">
        <v>0.02</v>
      </c>
      <c r="C41" s="82">
        <v>0.02</v>
      </c>
      <c r="H41" s="13"/>
      <c r="I41" s="18"/>
    </row>
    <row r="42" spans="1:14" x14ac:dyDescent="0.3">
      <c r="B42" s="13">
        <f>B40*B41</f>
        <v>320</v>
      </c>
      <c r="C42" s="13">
        <f>C40*C41</f>
        <v>280</v>
      </c>
      <c r="H42" s="13"/>
    </row>
    <row r="43" spans="1:14" x14ac:dyDescent="0.3">
      <c r="A43" s="13" t="s">
        <v>22</v>
      </c>
      <c r="B43" s="34">
        <v>1200</v>
      </c>
      <c r="C43" s="34">
        <v>1200</v>
      </c>
      <c r="H43" s="13"/>
    </row>
    <row r="44" spans="1:14" x14ac:dyDescent="0.3">
      <c r="B44" s="18">
        <f>MIN(B42,B43)</f>
        <v>320</v>
      </c>
      <c r="C44" s="18">
        <f>MIN(C42,C43)</f>
        <v>280</v>
      </c>
      <c r="H44" s="13"/>
    </row>
    <row r="45" spans="1:14" x14ac:dyDescent="0.3">
      <c r="A45" s="3"/>
      <c r="B45" s="4"/>
      <c r="C45" s="4"/>
      <c r="H45" s="13"/>
    </row>
    <row r="46" spans="1:14" x14ac:dyDescent="0.3">
      <c r="A46" s="27" t="s">
        <v>99</v>
      </c>
      <c r="B46" s="81">
        <f>C44-B44</f>
        <v>-40</v>
      </c>
      <c r="C46" s="4"/>
      <c r="H46" s="13"/>
    </row>
    <row r="47" spans="1:14" x14ac:dyDescent="0.3">
      <c r="B47" s="4"/>
      <c r="C47" s="4"/>
      <c r="E47" s="13"/>
      <c r="F47" s="42"/>
      <c r="H47" s="16"/>
    </row>
    <row r="48" spans="1:14" x14ac:dyDescent="0.3">
      <c r="B48" s="4"/>
      <c r="C48" s="4"/>
      <c r="E48" s="13"/>
      <c r="F48" s="42"/>
      <c r="H48" s="16"/>
    </row>
    <row r="49" spans="1:12" x14ac:dyDescent="0.3">
      <c r="A49" s="2" t="s">
        <v>12</v>
      </c>
      <c r="H49" s="18"/>
    </row>
    <row r="50" spans="1:12" x14ac:dyDescent="0.3">
      <c r="B50" s="11"/>
      <c r="C50" t="s">
        <v>13</v>
      </c>
      <c r="I50" s="18"/>
      <c r="J50" s="4"/>
      <c r="K50" s="13"/>
    </row>
    <row r="52" spans="1:12" x14ac:dyDescent="0.3">
      <c r="A52" t="s">
        <v>14</v>
      </c>
      <c r="B52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300</v>
      </c>
      <c r="C52" t="s">
        <v>15</v>
      </c>
      <c r="H52" s="49"/>
      <c r="I52" s="49"/>
      <c r="J52" s="49"/>
      <c r="K52" s="49"/>
      <c r="L52" s="49"/>
    </row>
    <row r="53" spans="1:12" x14ac:dyDescent="0.3">
      <c r="B53" s="36">
        <f>-IF((B12&gt;=B25),IF((B12-B4)&gt;=B25,0,IF(((B12-B4)&lt;B25),((B25-(B12-B4))*D19))),IF(B12&lt;B25,B4*D19))</f>
        <v>0</v>
      </c>
      <c r="C53" t="s">
        <v>34</v>
      </c>
      <c r="H53" s="49"/>
      <c r="I53" s="4"/>
      <c r="J53" s="49"/>
      <c r="K53" s="49"/>
      <c r="L53" s="49"/>
    </row>
    <row r="54" spans="1:12" x14ac:dyDescent="0.3">
      <c r="B54" s="12">
        <f>IF(AND(B12&gt;=B29,B12&lt;=C29),B4*D29,IF(AND(B12&gt;B30,B12&lt;=C30),IF((B12-B30)&gt;B4,B4*D30,((B12-B30)*D30)+((B4-(B12-B30))*D29)),IF(AND(B12&gt;B31,B12&lt;=C31),IF((B12-B31)&gt;B4,B4*D31,IF((B12-B30)&gt;B4,(((B12-B31)*D31)+((B4-(B12-B31))*D30)),(((B12-B31)*D31))+((B31-B30)*D30)+((B4-(B12-B30))*D29))),IF(B12&gt;B32,IF((B12-B32)&gt;B4,B4*D32,IF((B12-B31)&gt;B4,((B12-B32)*D32)+((B4-(B12-B32))*D31),IF((B12-B30)&gt;B4,((B12-B32)*D32)+((B32-B31)*D31)+((B4-(B12-B31))*D30),((B12-B32)*D32)+((B32-B31)*D31)+((B31-B30)*D30)+((B4-(B12-B30))*D29))))))))</f>
        <v>80</v>
      </c>
      <c r="C54" t="s">
        <v>16</v>
      </c>
      <c r="H54" s="49"/>
      <c r="I54" s="18"/>
      <c r="J54" s="49"/>
      <c r="K54" s="49"/>
      <c r="L54" s="49"/>
    </row>
    <row r="55" spans="1:12" x14ac:dyDescent="0.3">
      <c r="B55" s="38">
        <f>-IF((B12&gt;=B34),IF((B12-B4)&gt;=B34,0,IF(((B12-B4)&lt;B34),((B34-(B12-B4))*D29))),IF(B12&lt;B34,B4*D29))</f>
        <v>0</v>
      </c>
      <c r="C55" t="s">
        <v>36</v>
      </c>
      <c r="H55" s="49"/>
      <c r="I55" s="49"/>
      <c r="J55" s="49"/>
      <c r="K55" s="49"/>
      <c r="L55" s="49"/>
    </row>
    <row r="56" spans="1:12" x14ac:dyDescent="0.3">
      <c r="B56" s="37">
        <f>B46</f>
        <v>-40</v>
      </c>
      <c r="C56" t="s">
        <v>99</v>
      </c>
      <c r="H56" s="49"/>
      <c r="I56" s="49"/>
      <c r="J56" s="49"/>
      <c r="K56" s="49"/>
      <c r="L56" s="49"/>
    </row>
    <row r="57" spans="1:12" x14ac:dyDescent="0.3">
      <c r="A57" t="s">
        <v>17</v>
      </c>
      <c r="B57" s="14">
        <f>SUM(B52:B56)</f>
        <v>340</v>
      </c>
      <c r="G57" s="49"/>
      <c r="H57" s="49"/>
      <c r="I57" s="49"/>
      <c r="J57" s="49"/>
      <c r="K57" s="49"/>
      <c r="L57" s="49"/>
    </row>
    <row r="58" spans="1:12" x14ac:dyDescent="0.3">
      <c r="G58" s="49"/>
      <c r="H58" s="49"/>
      <c r="I58" s="49"/>
      <c r="J58" s="49"/>
      <c r="K58" s="49"/>
      <c r="L58" s="49"/>
    </row>
    <row r="59" spans="1:12" x14ac:dyDescent="0.3">
      <c r="G59" s="49"/>
      <c r="H59" s="49"/>
      <c r="I59" s="49"/>
      <c r="J59" s="49"/>
      <c r="K59" s="49"/>
      <c r="L59" s="49"/>
    </row>
    <row r="60" spans="1:12" x14ac:dyDescent="0.3">
      <c r="G60" s="49"/>
      <c r="H60" s="49"/>
      <c r="I60" s="49"/>
      <c r="J60" s="49"/>
      <c r="K60" s="49"/>
      <c r="L60" s="49"/>
    </row>
    <row r="61" spans="1:12" x14ac:dyDescent="0.3">
      <c r="G61" s="49"/>
      <c r="H61" s="49"/>
      <c r="I61" s="49"/>
      <c r="J61" s="49"/>
      <c r="K61" s="49"/>
      <c r="L61" s="49"/>
    </row>
    <row r="62" spans="1:12" x14ac:dyDescent="0.3">
      <c r="A62" s="19" t="s">
        <v>39</v>
      </c>
      <c r="B62" s="13"/>
      <c r="G62" s="49"/>
      <c r="H62" s="49"/>
      <c r="I62" s="49"/>
      <c r="J62" s="49"/>
      <c r="K62" s="49"/>
      <c r="L62" s="49"/>
    </row>
    <row r="63" spans="1:12" x14ac:dyDescent="0.3">
      <c r="A63" t="s">
        <v>110</v>
      </c>
      <c r="B63" s="38">
        <f>SUM(B52:B53)</f>
        <v>300</v>
      </c>
    </row>
    <row r="64" spans="1:12" x14ac:dyDescent="0.3">
      <c r="A64" t="s">
        <v>111</v>
      </c>
      <c r="B64" s="38">
        <f>SUM(B54:B55)</f>
        <v>80</v>
      </c>
    </row>
    <row r="65" spans="1:2" x14ac:dyDescent="0.3">
      <c r="A65" t="s">
        <v>112</v>
      </c>
      <c r="B65" s="37">
        <f>B56</f>
        <v>-40</v>
      </c>
    </row>
    <row r="66" spans="1:2" x14ac:dyDescent="0.3">
      <c r="B66" s="38">
        <f>SUM(B63:B65)</f>
        <v>340</v>
      </c>
    </row>
    <row r="77" spans="1:2" x14ac:dyDescent="0.3">
      <c r="A77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opLeftCell="A8" zoomScale="85" zoomScaleNormal="85" workbookViewId="0">
      <selection activeCell="B17" sqref="B17:D33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6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18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93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5"/>
      <c r="G10" s="45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3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50000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B17" s="91" t="s">
        <v>20</v>
      </c>
      <c r="C17" s="21"/>
      <c r="D17" s="21"/>
      <c r="E17" s="21"/>
      <c r="F17" s="91"/>
      <c r="G17" s="21"/>
      <c r="H17" s="21"/>
      <c r="I17" s="21"/>
    </row>
    <row r="18" spans="1:14" ht="15.6" x14ac:dyDescent="0.3">
      <c r="A18" t="s">
        <v>9</v>
      </c>
      <c r="B18" s="50">
        <v>0</v>
      </c>
      <c r="C18" s="26">
        <v>45282</v>
      </c>
      <c r="D18" s="92">
        <v>0.15</v>
      </c>
      <c r="E18" s="21"/>
      <c r="F18" s="50"/>
      <c r="G18" s="26"/>
      <c r="H18" s="92"/>
      <c r="I18" s="26"/>
      <c r="J18" s="6"/>
      <c r="K18" s="6"/>
      <c r="L18" s="4"/>
      <c r="M18" s="5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4">
        <v>0.20499999999999999</v>
      </c>
      <c r="E19" s="21"/>
      <c r="F19" s="26"/>
      <c r="G19" s="26"/>
      <c r="H19" s="64"/>
      <c r="I19" s="26"/>
      <c r="J19" s="7"/>
      <c r="K19" s="7"/>
      <c r="L19" s="5"/>
      <c r="M19" s="5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4">
        <v>0.26</v>
      </c>
      <c r="E20" s="21"/>
      <c r="F20" s="26"/>
      <c r="G20" s="26"/>
      <c r="H20" s="64"/>
      <c r="I20" s="26"/>
      <c r="J20" s="7"/>
      <c r="K20" s="7"/>
      <c r="L20" s="5"/>
      <c r="M20" s="5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4">
        <v>0.28999999999999998</v>
      </c>
      <c r="E21" s="21"/>
      <c r="F21" s="26"/>
      <c r="G21" s="26"/>
      <c r="H21" s="64"/>
      <c r="I21" s="93"/>
      <c r="J21" s="7"/>
      <c r="K21" s="7"/>
      <c r="L21" s="5"/>
      <c r="M21" s="5"/>
      <c r="N21" s="7"/>
    </row>
    <row r="22" spans="1:14" ht="15.6" x14ac:dyDescent="0.3">
      <c r="B22" s="26">
        <f>C21</f>
        <v>200000</v>
      </c>
      <c r="C22" s="21"/>
      <c r="D22" s="64">
        <v>0.33</v>
      </c>
      <c r="E22" s="21"/>
      <c r="F22" s="26"/>
      <c r="G22" s="21"/>
      <c r="H22" s="64"/>
      <c r="I22" s="50"/>
      <c r="J22" s="7"/>
      <c r="K22" s="7"/>
      <c r="L22" s="5"/>
      <c r="N22" s="7"/>
    </row>
    <row r="23" spans="1:14" x14ac:dyDescent="0.3">
      <c r="B23" s="21"/>
      <c r="C23" s="91"/>
      <c r="D23" s="21"/>
      <c r="E23" s="21"/>
      <c r="F23" s="21"/>
      <c r="G23" s="21"/>
      <c r="H23" s="12"/>
      <c r="I23" s="21"/>
    </row>
    <row r="24" spans="1:14" ht="15.6" x14ac:dyDescent="0.3">
      <c r="A24" t="s">
        <v>38</v>
      </c>
      <c r="B24" s="26">
        <v>11474</v>
      </c>
      <c r="C24" s="26"/>
      <c r="D24" s="21"/>
      <c r="E24" s="21"/>
      <c r="F24" s="21"/>
      <c r="G24" s="50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93</v>
      </c>
      <c r="B27" s="91" t="s">
        <v>20</v>
      </c>
      <c r="C27" s="21"/>
      <c r="D27" s="21"/>
      <c r="E27" s="21"/>
      <c r="F27" s="91"/>
      <c r="G27" s="21"/>
      <c r="H27" s="21"/>
      <c r="I27" s="68"/>
      <c r="J27" s="10"/>
      <c r="K27" s="24"/>
    </row>
    <row r="28" spans="1:14" ht="15.6" x14ac:dyDescent="0.3">
      <c r="A28" t="s">
        <v>9</v>
      </c>
      <c r="B28" s="21">
        <v>0</v>
      </c>
      <c r="C28" s="26">
        <v>43176</v>
      </c>
      <c r="D28" s="64">
        <v>0.04</v>
      </c>
      <c r="E28" s="21"/>
      <c r="F28" s="21"/>
      <c r="G28" s="26"/>
      <c r="H28" s="64"/>
      <c r="I28" s="26"/>
      <c r="J28" s="7"/>
    </row>
    <row r="29" spans="1:14" ht="15.6" x14ac:dyDescent="0.3">
      <c r="A29" t="s">
        <v>10</v>
      </c>
      <c r="B29" s="26">
        <f>C28</f>
        <v>43176</v>
      </c>
      <c r="C29" s="26">
        <v>86351</v>
      </c>
      <c r="D29" s="64">
        <v>7.0000000000000007E-2</v>
      </c>
      <c r="E29" s="21"/>
      <c r="F29" s="26"/>
      <c r="G29" s="26"/>
      <c r="H29" s="64"/>
      <c r="I29" s="26"/>
      <c r="J29" s="23"/>
      <c r="K29" s="18"/>
      <c r="L29" s="15"/>
    </row>
    <row r="30" spans="1:14" ht="15.6" x14ac:dyDescent="0.3">
      <c r="A30" t="s">
        <v>10</v>
      </c>
      <c r="B30" s="26">
        <f>C29</f>
        <v>86351</v>
      </c>
      <c r="C30" s="26">
        <v>140388</v>
      </c>
      <c r="D30" s="64">
        <v>0.09</v>
      </c>
      <c r="E30" s="21"/>
      <c r="F30" s="26"/>
      <c r="G30" s="26"/>
      <c r="H30" s="64"/>
      <c r="I30" s="50"/>
      <c r="J30" s="23"/>
      <c r="K30" s="4"/>
      <c r="L30" s="13"/>
      <c r="N30" s="18"/>
    </row>
    <row r="31" spans="1:14" ht="15.6" x14ac:dyDescent="0.3">
      <c r="A31" t="s">
        <v>10</v>
      </c>
      <c r="B31" s="26">
        <f>C30</f>
        <v>140388</v>
      </c>
      <c r="C31" s="26"/>
      <c r="D31" s="64">
        <v>0.115</v>
      </c>
      <c r="E31" s="21"/>
      <c r="F31" s="26"/>
      <c r="G31" s="26"/>
      <c r="H31" s="64"/>
      <c r="I31" s="50"/>
      <c r="J31" s="23"/>
      <c r="K31" s="4"/>
      <c r="L31" s="13"/>
      <c r="N31" s="4"/>
    </row>
    <row r="32" spans="1:14" x14ac:dyDescent="0.3">
      <c r="B32" s="21"/>
      <c r="C32" s="91"/>
      <c r="D32" s="21"/>
      <c r="E32" s="21"/>
      <c r="F32" s="21"/>
      <c r="G32" s="21"/>
      <c r="H32" s="43"/>
      <c r="I32" s="50"/>
      <c r="J32" s="25"/>
      <c r="K32" s="16"/>
      <c r="L32" s="25"/>
    </row>
    <row r="33" spans="1:12" ht="15.6" x14ac:dyDescent="0.3">
      <c r="A33" t="s">
        <v>36</v>
      </c>
      <c r="B33" s="26">
        <v>12947</v>
      </c>
      <c r="C33" s="26"/>
      <c r="D33" s="21"/>
      <c r="E33" s="21"/>
      <c r="F33" s="21"/>
      <c r="G33" s="21"/>
      <c r="H33" s="43"/>
      <c r="I33" s="50"/>
      <c r="J33" s="25"/>
      <c r="K33" s="16"/>
      <c r="L33" s="25"/>
    </row>
    <row r="34" spans="1:12" x14ac:dyDescent="0.3">
      <c r="B34" s="4"/>
      <c r="C34" s="4"/>
      <c r="D34" t="s">
        <v>37</v>
      </c>
      <c r="E34" s="13"/>
      <c r="F34" s="42"/>
      <c r="H34" s="16"/>
    </row>
    <row r="35" spans="1:12" x14ac:dyDescent="0.3">
      <c r="B35" s="4"/>
      <c r="C35" s="4"/>
      <c r="E35" s="13"/>
      <c r="F35" s="42"/>
      <c r="H35" s="16"/>
    </row>
    <row r="36" spans="1:12" x14ac:dyDescent="0.3">
      <c r="A36" s="3" t="s">
        <v>99</v>
      </c>
      <c r="B36" s="4"/>
      <c r="C36" s="4"/>
    </row>
    <row r="37" spans="1:12" x14ac:dyDescent="0.3">
      <c r="A37" s="3"/>
      <c r="B37" s="4" t="s">
        <v>98</v>
      </c>
      <c r="C37" s="4" t="s">
        <v>100</v>
      </c>
    </row>
    <row r="38" spans="1:12" x14ac:dyDescent="0.3">
      <c r="A38" s="3"/>
      <c r="B38" t="s">
        <v>27</v>
      </c>
      <c r="C38" t="s">
        <v>28</v>
      </c>
    </row>
    <row r="39" spans="1:12" x14ac:dyDescent="0.3">
      <c r="A39" s="13"/>
      <c r="B39" s="18">
        <f>$B$12</f>
        <v>50000</v>
      </c>
      <c r="C39" s="18">
        <f>$B$12+$B$4</f>
        <v>51000</v>
      </c>
    </row>
    <row r="40" spans="1:12" x14ac:dyDescent="0.3">
      <c r="B40" s="82">
        <v>0.02</v>
      </c>
      <c r="C40" s="82">
        <v>0.02</v>
      </c>
      <c r="I40" s="18"/>
    </row>
    <row r="41" spans="1:12" x14ac:dyDescent="0.3">
      <c r="B41" s="13">
        <f>B39*B40</f>
        <v>1000</v>
      </c>
      <c r="C41" s="13">
        <f>C39*C40</f>
        <v>1020</v>
      </c>
    </row>
    <row r="42" spans="1:12" x14ac:dyDescent="0.3">
      <c r="A42" s="13" t="s">
        <v>22</v>
      </c>
      <c r="B42" s="34">
        <v>1200</v>
      </c>
      <c r="C42" s="34">
        <v>1200</v>
      </c>
    </row>
    <row r="43" spans="1:12" x14ac:dyDescent="0.3">
      <c r="B43" s="18">
        <f>MIN(B41,B42)</f>
        <v>1000</v>
      </c>
      <c r="C43" s="18">
        <f>MIN(C41,C42)</f>
        <v>1020</v>
      </c>
    </row>
    <row r="44" spans="1:12" x14ac:dyDescent="0.3">
      <c r="A44" s="3"/>
      <c r="B44" s="4"/>
      <c r="C44" s="4"/>
    </row>
    <row r="45" spans="1:12" x14ac:dyDescent="0.3">
      <c r="A45" s="27" t="s">
        <v>99</v>
      </c>
      <c r="B45" s="81">
        <f>C43-B43</f>
        <v>20</v>
      </c>
      <c r="C45" s="4"/>
    </row>
    <row r="46" spans="1:12" x14ac:dyDescent="0.3">
      <c r="B46" s="4"/>
      <c r="C46" s="4"/>
      <c r="E46" s="13"/>
      <c r="F46" s="42"/>
      <c r="H46" s="16"/>
    </row>
    <row r="47" spans="1:12" x14ac:dyDescent="0.3">
      <c r="B47" s="4"/>
      <c r="C47" s="4"/>
      <c r="E47" s="13"/>
      <c r="F47" s="42"/>
      <c r="H47" s="16"/>
    </row>
    <row r="48" spans="1:12" x14ac:dyDescent="0.3">
      <c r="A48" s="2" t="s">
        <v>12</v>
      </c>
      <c r="E48" s="35"/>
      <c r="F48" s="21"/>
      <c r="G48" s="4"/>
      <c r="H48" s="4"/>
      <c r="I48" s="16"/>
    </row>
    <row r="49" spans="1:17" x14ac:dyDescent="0.3">
      <c r="B49" s="11"/>
      <c r="C49" t="s">
        <v>13</v>
      </c>
      <c r="H49" s="35"/>
      <c r="J49" s="4"/>
      <c r="K49" s="4"/>
      <c r="L49" s="16"/>
    </row>
    <row r="50" spans="1:17" x14ac:dyDescent="0.3">
      <c r="H50" s="35"/>
      <c r="I50" s="18"/>
      <c r="J50" s="4"/>
      <c r="K50" s="4"/>
      <c r="L50" s="16"/>
    </row>
    <row r="51" spans="1:17" x14ac:dyDescent="0.3">
      <c r="A51" t="s">
        <v>19</v>
      </c>
      <c r="B51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205</v>
      </c>
      <c r="C51" t="s">
        <v>15</v>
      </c>
      <c r="H51" s="41"/>
      <c r="K51" s="4"/>
      <c r="L51" s="16"/>
    </row>
    <row r="52" spans="1:17" x14ac:dyDescent="0.3">
      <c r="B52" s="36">
        <f>-IF(B12&gt;=B24,0,IF(B12&lt;B24,IF((B12+B4)&gt;B24,(B24-B12)*D18,B4*D18)))</f>
        <v>0</v>
      </c>
      <c r="C52" t="s">
        <v>34</v>
      </c>
      <c r="H52" s="41"/>
      <c r="K52" s="4"/>
      <c r="L52" s="16"/>
    </row>
    <row r="53" spans="1:17" x14ac:dyDescent="0.3">
      <c r="B53" s="12">
        <f>IF(AND((B4+B12)&gt;=B28,(B4+B12)&lt;=C28),B4*D28,IF(AND((B4+B12)&gt;B29,(B4+B12)&lt;=C29),IF((B4+B12-B29)&gt;B4,B4*D29,((B4+B12-B29)*D29)+((B4-(B4+B12-B29))*D28)),IF(AND((B4+B12)&gt;B30,(B4+B12)&lt;=C30),IF((B4+B12-B30)&gt;B4,B4*D30,IF((B4+B12-B29)&gt;B4,(((B4+B12-B30)*D30)+((B4-(B4+B12-B30))*D29)),((B4+B12-B30)*D30)+((C29-B29)*D29)+((B4-(B4+B12-B29))*D28))),IF((B4+B12)&gt;B31,IF((B4+B12-B31)&gt;B4,B4*D31,IF((B4+B12-B30)&gt;B4,(((B4+B12-B31)*D31)+((B4-(B4+B12-B31))*D30)),IF((B4+B12-B29)&gt;B4,(((B4+B12-B31)*D31)+((C30-B30)*D30)+((B4-(B4+B12-B30))*D29)),((B4+B12-B31)*D31)+((C30-B30)*D30)+((C29-B29)*D29)+((B4-(B4+B12-B29))*D28))))))))</f>
        <v>70</v>
      </c>
      <c r="C53" t="s">
        <v>16</v>
      </c>
    </row>
    <row r="54" spans="1:17" x14ac:dyDescent="0.3">
      <c r="B54" s="38">
        <f>-IF(B12&gt;=B33,0,IF(B12&lt;B33,IF((B12+B4)&gt;B33,(B33-B12)*D28,B4*D28)))</f>
        <v>0</v>
      </c>
      <c r="C54" t="s">
        <v>36</v>
      </c>
    </row>
    <row r="55" spans="1:17" x14ac:dyDescent="0.3">
      <c r="B55" s="37">
        <f>-B45</f>
        <v>-20</v>
      </c>
      <c r="C55" t="s">
        <v>99</v>
      </c>
    </row>
    <row r="56" spans="1:17" x14ac:dyDescent="0.3">
      <c r="A56" s="10" t="s">
        <v>21</v>
      </c>
      <c r="B56" s="43">
        <f>SUM(B51:B55)</f>
        <v>255</v>
      </c>
      <c r="F56" s="45"/>
      <c r="G56" s="45"/>
      <c r="H56" s="44"/>
      <c r="I56" s="45"/>
      <c r="J56" s="45"/>
      <c r="K56" s="47"/>
      <c r="L56" s="46"/>
      <c r="M56" s="45"/>
    </row>
    <row r="57" spans="1:17" x14ac:dyDescent="0.3">
      <c r="E57" s="18"/>
      <c r="F57" s="47"/>
      <c r="G57" s="45"/>
      <c r="H57" s="44"/>
      <c r="I57" s="47"/>
      <c r="J57" s="47"/>
      <c r="K57" s="45"/>
      <c r="L57" s="45"/>
      <c r="M57" s="45"/>
      <c r="Q57" s="15"/>
    </row>
    <row r="58" spans="1:17" x14ac:dyDescent="0.3">
      <c r="B58" s="13"/>
      <c r="F58" s="45"/>
      <c r="G58" s="45"/>
      <c r="H58" s="44"/>
      <c r="I58" s="45"/>
      <c r="J58" s="45"/>
      <c r="K58" s="45"/>
      <c r="L58" s="45"/>
      <c r="M58" s="45"/>
    </row>
    <row r="59" spans="1:17" x14ac:dyDescent="0.3">
      <c r="A59" s="19" t="s">
        <v>39</v>
      </c>
      <c r="B59" s="13"/>
      <c r="F59" s="45"/>
      <c r="G59" s="45"/>
      <c r="H59" s="44"/>
      <c r="I59" s="47"/>
      <c r="J59" s="47"/>
      <c r="K59" s="45"/>
      <c r="L59" s="45"/>
      <c r="M59" s="45"/>
    </row>
    <row r="60" spans="1:17" x14ac:dyDescent="0.3">
      <c r="A60" t="s">
        <v>113</v>
      </c>
      <c r="B60" s="38">
        <f>SUM(B51:B52)</f>
        <v>205</v>
      </c>
      <c r="F60" s="45"/>
      <c r="G60" s="45"/>
      <c r="H60" s="44"/>
      <c r="I60" s="45"/>
      <c r="J60" s="45"/>
      <c r="K60" s="45"/>
      <c r="L60" s="45"/>
      <c r="M60" s="45"/>
    </row>
    <row r="61" spans="1:17" x14ac:dyDescent="0.3">
      <c r="A61" t="s">
        <v>114</v>
      </c>
      <c r="B61" s="38">
        <f>SUM(B53:B54)</f>
        <v>70</v>
      </c>
      <c r="F61" s="45"/>
      <c r="G61" s="45"/>
      <c r="H61" s="44"/>
      <c r="I61" s="44"/>
      <c r="J61" s="47"/>
      <c r="K61" s="45"/>
      <c r="L61" s="45"/>
      <c r="M61" s="45"/>
    </row>
    <row r="62" spans="1:17" x14ac:dyDescent="0.3">
      <c r="A62" t="s">
        <v>115</v>
      </c>
      <c r="B62" s="37">
        <f>B55</f>
        <v>-20</v>
      </c>
      <c r="F62" s="45"/>
      <c r="G62" s="45"/>
      <c r="H62" s="44"/>
      <c r="I62" s="45"/>
      <c r="J62" s="45"/>
      <c r="K62" s="45"/>
      <c r="L62" s="45"/>
      <c r="M62" s="45"/>
    </row>
    <row r="63" spans="1:17" x14ac:dyDescent="0.3">
      <c r="B63" s="38">
        <f>SUM(B60:B62)</f>
        <v>255</v>
      </c>
      <c r="F63" s="45"/>
      <c r="G63" s="45"/>
      <c r="H63" s="44"/>
      <c r="I63" s="47"/>
      <c r="J63" s="47"/>
      <c r="K63" s="45"/>
      <c r="L63" s="45"/>
      <c r="M63" s="45"/>
    </row>
    <row r="64" spans="1:17" x14ac:dyDescent="0.3">
      <c r="B64" s="13"/>
      <c r="F64" s="45"/>
      <c r="G64" s="45"/>
      <c r="H64" s="44"/>
      <c r="I64" s="45"/>
      <c r="J64" s="45"/>
      <c r="K64" s="45"/>
      <c r="L64" s="45"/>
      <c r="M64" s="45"/>
    </row>
    <row r="65" spans="2:13" x14ac:dyDescent="0.3">
      <c r="B65" s="15"/>
      <c r="F65" s="45"/>
      <c r="G65" s="45"/>
      <c r="H65" s="48"/>
      <c r="I65" s="45"/>
      <c r="J65" s="45"/>
      <c r="K65" s="45"/>
      <c r="L65" s="45"/>
      <c r="M65" s="45"/>
    </row>
    <row r="66" spans="2:13" x14ac:dyDescent="0.3">
      <c r="F66" s="45"/>
      <c r="G66" s="45"/>
      <c r="H66" s="44"/>
      <c r="I66" s="45"/>
      <c r="J66" s="45"/>
      <c r="K66" s="45"/>
      <c r="L66" s="45"/>
      <c r="M66" s="45"/>
    </row>
    <row r="67" spans="2:13" x14ac:dyDescent="0.3">
      <c r="F67" s="45"/>
      <c r="G67" s="45"/>
      <c r="H67" s="44"/>
      <c r="I67" s="46"/>
      <c r="J67" s="46"/>
      <c r="K67" s="45"/>
      <c r="L67" s="45"/>
      <c r="M67" s="45"/>
    </row>
    <row r="68" spans="2:13" x14ac:dyDescent="0.3">
      <c r="F68" s="45"/>
      <c r="G68" s="45"/>
      <c r="H68" s="44"/>
      <c r="I68" s="45"/>
      <c r="J68" s="45"/>
      <c r="K68" s="45"/>
      <c r="L68" s="45"/>
      <c r="M68" s="45"/>
    </row>
    <row r="69" spans="2:13" x14ac:dyDescent="0.3">
      <c r="H69" s="12"/>
    </row>
    <row r="71" spans="2:13" x14ac:dyDescent="0.3">
      <c r="H71" s="39"/>
      <c r="M71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opLeftCell="A16" zoomScale="85" zoomScaleNormal="85" workbookViewId="0">
      <selection activeCell="B21" sqref="B21:D37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29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29" t="s">
        <v>73</v>
      </c>
    </row>
    <row r="3" spans="1:14" x14ac:dyDescent="0.3">
      <c r="A3" s="3" t="s">
        <v>26</v>
      </c>
      <c r="H3" s="44"/>
      <c r="I3" s="44"/>
      <c r="J3" s="47"/>
      <c r="K3" s="45"/>
      <c r="L3" s="21"/>
      <c r="M3" s="21"/>
      <c r="N3" s="21"/>
    </row>
    <row r="4" spans="1:14" x14ac:dyDescent="0.3">
      <c r="E4" t="s">
        <v>58</v>
      </c>
      <c r="F4" t="s">
        <v>24</v>
      </c>
      <c r="H4" s="45"/>
      <c r="I4" s="44"/>
      <c r="J4" s="44"/>
      <c r="K4" s="47"/>
      <c r="L4" s="21"/>
      <c r="M4" s="21"/>
      <c r="N4" s="21"/>
    </row>
    <row r="5" spans="1:14" x14ac:dyDescent="0.3">
      <c r="A5" t="s">
        <v>26</v>
      </c>
      <c r="B5" s="54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ht="28.8" x14ac:dyDescent="0.3">
      <c r="A6" s="27" t="s">
        <v>42</v>
      </c>
      <c r="B6" s="33" t="s">
        <v>29</v>
      </c>
      <c r="E6" s="29"/>
      <c r="F6" t="s">
        <v>63</v>
      </c>
      <c r="H6" s="21"/>
      <c r="I6" s="12"/>
      <c r="J6" s="36"/>
      <c r="K6" s="36"/>
      <c r="L6" s="21"/>
      <c r="M6" s="21"/>
      <c r="N6" s="21"/>
    </row>
    <row r="7" spans="1:14" x14ac:dyDescent="0.3">
      <c r="A7" s="27" t="s">
        <v>41</v>
      </c>
      <c r="B7" s="33" t="s">
        <v>25</v>
      </c>
      <c r="E7" s="29"/>
      <c r="F7" s="29"/>
      <c r="H7" s="21"/>
      <c r="I7" s="44"/>
      <c r="J7" s="45"/>
      <c r="K7" s="38"/>
      <c r="L7" s="21"/>
      <c r="M7" s="21"/>
      <c r="N7" s="21"/>
    </row>
    <row r="8" spans="1:14" x14ac:dyDescent="0.3">
      <c r="A8" s="27"/>
      <c r="E8" s="45"/>
      <c r="F8" s="45"/>
      <c r="G8" s="45"/>
      <c r="H8" s="45"/>
      <c r="I8" s="47"/>
      <c r="J8" s="44"/>
      <c r="K8" s="44"/>
      <c r="L8" s="21"/>
      <c r="M8" s="21"/>
      <c r="N8" s="21"/>
    </row>
    <row r="9" spans="1:14" x14ac:dyDescent="0.3">
      <c r="A9" s="29" t="s">
        <v>62</v>
      </c>
      <c r="D9" s="45"/>
      <c r="E9" s="45"/>
      <c r="F9" s="44"/>
      <c r="G9" s="45"/>
      <c r="H9" s="74"/>
      <c r="I9" s="74"/>
      <c r="J9" s="45"/>
      <c r="K9" s="45"/>
      <c r="L9" s="45"/>
      <c r="M9" s="45"/>
      <c r="N9" s="21"/>
    </row>
    <row r="10" spans="1:14" x14ac:dyDescent="0.3">
      <c r="A10" s="27" t="s">
        <v>60</v>
      </c>
      <c r="B10" s="1" t="s">
        <v>58</v>
      </c>
      <c r="D10" s="45"/>
      <c r="E10" s="45"/>
      <c r="F10" s="44"/>
      <c r="G10" s="45"/>
      <c r="H10" s="74"/>
      <c r="I10" s="74"/>
      <c r="J10" s="78"/>
      <c r="K10" s="78"/>
      <c r="L10" s="78"/>
      <c r="M10" s="78"/>
      <c r="N10" s="21"/>
    </row>
    <row r="11" spans="1:14" x14ac:dyDescent="0.3">
      <c r="A11" s="27" t="s">
        <v>61</v>
      </c>
      <c r="B11" s="1">
        <v>200</v>
      </c>
      <c r="D11" s="45"/>
      <c r="E11" s="45"/>
      <c r="F11" s="44"/>
      <c r="G11" s="45"/>
      <c r="H11" s="74"/>
      <c r="I11" s="74"/>
      <c r="J11" s="78"/>
      <c r="K11" s="78"/>
      <c r="L11" s="78"/>
      <c r="M11" s="78"/>
      <c r="N11" s="21"/>
    </row>
    <row r="12" spans="1:14" s="21" customFormat="1" x14ac:dyDescent="0.3">
      <c r="A12" s="55"/>
      <c r="B12"/>
      <c r="D12" s="45"/>
      <c r="E12" s="45"/>
      <c r="F12" s="44"/>
      <c r="G12" s="45"/>
      <c r="H12" s="74"/>
      <c r="I12" s="74"/>
      <c r="J12" s="78"/>
      <c r="K12" s="78"/>
      <c r="L12" s="78"/>
      <c r="M12" s="78"/>
    </row>
    <row r="13" spans="1:14" x14ac:dyDescent="0.3">
      <c r="A13" s="2" t="s">
        <v>4</v>
      </c>
      <c r="D13" s="45"/>
      <c r="E13" s="45"/>
      <c r="F13" s="44"/>
      <c r="G13" s="74"/>
      <c r="H13" s="74"/>
      <c r="I13" s="74"/>
      <c r="J13" s="38"/>
      <c r="K13" s="38"/>
      <c r="L13" s="45"/>
      <c r="M13" s="45"/>
      <c r="N13" s="21"/>
    </row>
    <row r="14" spans="1:14" x14ac:dyDescent="0.3">
      <c r="A14" t="s">
        <v>5</v>
      </c>
      <c r="B14" s="1" t="s">
        <v>93</v>
      </c>
      <c r="D14" s="45"/>
      <c r="E14" s="45"/>
      <c r="F14" s="44"/>
      <c r="G14" s="45"/>
      <c r="H14" s="74"/>
      <c r="I14" s="74"/>
      <c r="J14" s="45"/>
      <c r="K14" s="45"/>
      <c r="L14" s="45"/>
      <c r="M14" s="45"/>
      <c r="N14" s="21"/>
    </row>
    <row r="15" spans="1:14" x14ac:dyDescent="0.3">
      <c r="D15" s="45"/>
      <c r="E15" s="45"/>
      <c r="F15" s="45"/>
      <c r="G15" s="45"/>
      <c r="H15" s="74"/>
      <c r="I15" s="74"/>
      <c r="J15" s="45"/>
      <c r="K15" s="45"/>
      <c r="L15" s="45"/>
      <c r="M15" s="45"/>
      <c r="N15" s="21"/>
    </row>
    <row r="16" spans="1:14" x14ac:dyDescent="0.3">
      <c r="D16" s="45"/>
      <c r="E16" s="45"/>
      <c r="F16" s="76"/>
      <c r="G16" s="45"/>
      <c r="H16" s="74"/>
      <c r="I16" s="74"/>
      <c r="J16" s="45"/>
      <c r="K16" s="45"/>
      <c r="L16" s="45"/>
      <c r="M16" s="45"/>
      <c r="N16" s="21"/>
    </row>
    <row r="17" spans="1:14" x14ac:dyDescent="0.3">
      <c r="D17" s="45"/>
      <c r="E17" s="45"/>
      <c r="F17" s="45"/>
      <c r="G17" s="74"/>
      <c r="H17" s="74"/>
      <c r="I17" s="74"/>
      <c r="J17" s="45"/>
      <c r="K17" s="45"/>
      <c r="L17" s="45"/>
      <c r="M17" s="45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  <c r="E20" s="21"/>
      <c r="F20" s="21"/>
      <c r="G20" s="21"/>
      <c r="H20" s="12"/>
    </row>
    <row r="21" spans="1:14" x14ac:dyDescent="0.3">
      <c r="B21" s="91" t="s">
        <v>20</v>
      </c>
      <c r="C21" s="21"/>
      <c r="D21" s="21"/>
      <c r="E21" s="21"/>
      <c r="F21" s="91"/>
      <c r="G21" s="21"/>
      <c r="H21" s="21"/>
    </row>
    <row r="22" spans="1:14" ht="15.6" x14ac:dyDescent="0.3">
      <c r="A22" t="s">
        <v>9</v>
      </c>
      <c r="B22" s="50">
        <v>0</v>
      </c>
      <c r="C22" s="26">
        <v>45282</v>
      </c>
      <c r="D22" s="92">
        <v>0.15</v>
      </c>
      <c r="E22" s="21"/>
      <c r="F22" s="50"/>
      <c r="G22" s="26"/>
      <c r="H22" s="92"/>
      <c r="N22" s="6"/>
    </row>
    <row r="23" spans="1:14" ht="15.6" x14ac:dyDescent="0.3">
      <c r="A23" t="s">
        <v>10</v>
      </c>
      <c r="B23" s="26">
        <f>C22</f>
        <v>45282</v>
      </c>
      <c r="C23" s="26">
        <v>90563</v>
      </c>
      <c r="D23" s="64">
        <v>0.20499999999999999</v>
      </c>
      <c r="E23" s="21"/>
      <c r="F23" s="26"/>
      <c r="G23" s="26"/>
      <c r="H23" s="64"/>
      <c r="N23" s="7"/>
    </row>
    <row r="24" spans="1:14" ht="15.6" x14ac:dyDescent="0.3">
      <c r="A24" t="s">
        <v>10</v>
      </c>
      <c r="B24" s="26">
        <f>C23</f>
        <v>90563</v>
      </c>
      <c r="C24" s="26">
        <v>140388</v>
      </c>
      <c r="D24" s="64">
        <v>0.26</v>
      </c>
      <c r="E24" s="21"/>
      <c r="F24" s="26"/>
      <c r="G24" s="26"/>
      <c r="H24" s="64"/>
      <c r="N24" s="7"/>
    </row>
    <row r="25" spans="1:14" ht="15.6" x14ac:dyDescent="0.3">
      <c r="A25" t="s">
        <v>10</v>
      </c>
      <c r="B25" s="26">
        <f>C24</f>
        <v>140388</v>
      </c>
      <c r="C25" s="26">
        <v>200000</v>
      </c>
      <c r="D25" s="64">
        <v>0.28999999999999998</v>
      </c>
      <c r="E25" s="21"/>
      <c r="F25" s="26"/>
      <c r="G25" s="26"/>
      <c r="H25" s="64"/>
      <c r="N25" s="7"/>
    </row>
    <row r="26" spans="1:14" ht="15.6" x14ac:dyDescent="0.3">
      <c r="B26" s="26">
        <f>C25</f>
        <v>200000</v>
      </c>
      <c r="C26" s="21"/>
      <c r="D26" s="64">
        <v>0.33</v>
      </c>
      <c r="E26" s="21"/>
      <c r="F26" s="26"/>
      <c r="G26" s="21"/>
      <c r="H26" s="64"/>
      <c r="N26" s="7"/>
    </row>
    <row r="27" spans="1:14" x14ac:dyDescent="0.3">
      <c r="B27" s="21"/>
      <c r="C27" s="91"/>
      <c r="D27" s="21"/>
      <c r="E27" s="21"/>
      <c r="F27" s="21"/>
      <c r="G27" s="21"/>
      <c r="H27" s="12"/>
    </row>
    <row r="28" spans="1:14" ht="15.6" x14ac:dyDescent="0.3">
      <c r="A28" t="s">
        <v>38</v>
      </c>
      <c r="B28" s="26">
        <v>11474</v>
      </c>
      <c r="C28" s="26"/>
      <c r="D28" s="21"/>
      <c r="E28" s="21"/>
      <c r="F28" s="21"/>
      <c r="G28" s="50"/>
      <c r="H28" s="12"/>
    </row>
    <row r="29" spans="1:14" x14ac:dyDescent="0.3">
      <c r="B29" s="21"/>
      <c r="C29" s="21"/>
      <c r="D29" s="21"/>
      <c r="E29" s="21"/>
      <c r="F29" s="21"/>
      <c r="G29" s="21"/>
      <c r="H29" s="12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</row>
    <row r="31" spans="1:14" x14ac:dyDescent="0.3">
      <c r="A31" s="10" t="s">
        <v>93</v>
      </c>
      <c r="B31" s="91" t="s">
        <v>20</v>
      </c>
      <c r="C31" s="21"/>
      <c r="D31" s="21"/>
      <c r="E31" s="21"/>
      <c r="F31" s="91"/>
      <c r="G31" s="21"/>
      <c r="H31" s="21"/>
      <c r="I31" s="45"/>
      <c r="J31" s="31"/>
      <c r="K31" s="68"/>
    </row>
    <row r="32" spans="1:14" ht="15.6" x14ac:dyDescent="0.3">
      <c r="A32" t="s">
        <v>9</v>
      </c>
      <c r="B32" s="21">
        <v>0</v>
      </c>
      <c r="C32" s="26">
        <v>43176</v>
      </c>
      <c r="D32" s="64">
        <v>0.04</v>
      </c>
      <c r="E32" s="21"/>
      <c r="F32" s="21"/>
      <c r="G32" s="26"/>
      <c r="H32" s="64"/>
      <c r="I32" s="45"/>
      <c r="J32" s="64"/>
      <c r="K32" s="21"/>
    </row>
    <row r="33" spans="1:14" ht="15.6" x14ac:dyDescent="0.3">
      <c r="A33" t="s">
        <v>10</v>
      </c>
      <c r="B33" s="26">
        <f>C32</f>
        <v>43176</v>
      </c>
      <c r="C33" s="26">
        <v>86351</v>
      </c>
      <c r="D33" s="64">
        <v>7.0000000000000007E-2</v>
      </c>
      <c r="E33" s="21"/>
      <c r="F33" s="26"/>
      <c r="G33" s="26"/>
      <c r="H33" s="64"/>
      <c r="I33" s="45"/>
      <c r="J33" s="69"/>
      <c r="K33" s="51"/>
      <c r="L33" s="15"/>
    </row>
    <row r="34" spans="1:14" ht="15.6" x14ac:dyDescent="0.3">
      <c r="A34" t="s">
        <v>10</v>
      </c>
      <c r="B34" s="26">
        <f>C33</f>
        <v>86351</v>
      </c>
      <c r="C34" s="26">
        <v>140388</v>
      </c>
      <c r="D34" s="64">
        <v>0.09</v>
      </c>
      <c r="E34" s="21"/>
      <c r="F34" s="26"/>
      <c r="G34" s="26"/>
      <c r="H34" s="64"/>
      <c r="I34" s="45"/>
      <c r="J34" s="69"/>
      <c r="K34" s="50"/>
      <c r="L34" s="13"/>
      <c r="N34" s="18"/>
    </row>
    <row r="35" spans="1:14" ht="15.6" x14ac:dyDescent="0.3">
      <c r="A35" t="s">
        <v>10</v>
      </c>
      <c r="B35" s="26">
        <f>C34</f>
        <v>140388</v>
      </c>
      <c r="C35" s="26"/>
      <c r="D35" s="64">
        <v>0.115</v>
      </c>
      <c r="E35" s="21"/>
      <c r="F35" s="26"/>
      <c r="G35" s="26"/>
      <c r="H35" s="64"/>
      <c r="I35" s="45"/>
      <c r="J35" s="69"/>
      <c r="K35" s="50"/>
      <c r="L35" s="13"/>
      <c r="N35" s="4"/>
    </row>
    <row r="36" spans="1:14" x14ac:dyDescent="0.3">
      <c r="B36" s="21"/>
      <c r="C36" s="91"/>
      <c r="D36" s="21"/>
      <c r="E36" s="21"/>
      <c r="F36" s="21"/>
      <c r="G36" s="21"/>
      <c r="H36" s="43"/>
      <c r="I36" s="45"/>
      <c r="J36" s="70"/>
      <c r="K36" s="20"/>
      <c r="L36" s="25"/>
    </row>
    <row r="37" spans="1:14" ht="15.6" x14ac:dyDescent="0.3">
      <c r="A37" t="s">
        <v>36</v>
      </c>
      <c r="B37" s="26">
        <v>12947</v>
      </c>
      <c r="C37" s="26"/>
      <c r="D37" s="21"/>
      <c r="E37" s="21"/>
      <c r="F37" s="21"/>
      <c r="G37" s="21"/>
      <c r="H37" s="43"/>
      <c r="I37" s="45"/>
      <c r="J37" s="70"/>
      <c r="K37" s="20"/>
      <c r="L37" s="25"/>
    </row>
    <row r="38" spans="1:14" x14ac:dyDescent="0.3">
      <c r="B38" s="4"/>
      <c r="C38" s="4"/>
      <c r="D38" t="s">
        <v>37</v>
      </c>
      <c r="E38" s="13"/>
      <c r="F38" s="42"/>
      <c r="H38" s="16"/>
      <c r="I38" s="45"/>
      <c r="J38" s="21"/>
      <c r="K38" s="21"/>
    </row>
    <row r="39" spans="1:14" x14ac:dyDescent="0.3">
      <c r="B39" s="4"/>
      <c r="C39" s="4"/>
      <c r="E39" s="13"/>
      <c r="F39" s="42"/>
      <c r="H39" s="16"/>
      <c r="I39" s="45"/>
      <c r="J39" s="21"/>
      <c r="K39" s="21"/>
    </row>
    <row r="40" spans="1:14" x14ac:dyDescent="0.3">
      <c r="A40" s="3" t="s">
        <v>99</v>
      </c>
      <c r="B40" s="4"/>
      <c r="C40" s="4"/>
    </row>
    <row r="41" spans="1:14" x14ac:dyDescent="0.3">
      <c r="A41" s="3"/>
      <c r="B41" s="4" t="s">
        <v>98</v>
      </c>
      <c r="C41" s="4" t="s">
        <v>100</v>
      </c>
    </row>
    <row r="42" spans="1:14" x14ac:dyDescent="0.3">
      <c r="A42" s="3"/>
      <c r="B42" t="s">
        <v>27</v>
      </c>
      <c r="C42" t="s">
        <v>28</v>
      </c>
    </row>
    <row r="43" spans="1:14" x14ac:dyDescent="0.3">
      <c r="A43" s="13"/>
      <c r="B43" s="18">
        <f>$B$18</f>
        <v>139000</v>
      </c>
      <c r="C43" s="18">
        <f ca="1">$B$18+$B$5+$B$78</f>
        <v>141000</v>
      </c>
    </row>
    <row r="44" spans="1:14" x14ac:dyDescent="0.3">
      <c r="B44" s="82">
        <v>0.02</v>
      </c>
      <c r="C44" s="82">
        <v>0.02</v>
      </c>
      <c r="I44" s="18"/>
    </row>
    <row r="45" spans="1:14" x14ac:dyDescent="0.3">
      <c r="B45" s="13">
        <f>B43*B44</f>
        <v>2780</v>
      </c>
      <c r="C45" s="13">
        <f ca="1">C43*C44</f>
        <v>2820</v>
      </c>
    </row>
    <row r="46" spans="1:14" x14ac:dyDescent="0.3">
      <c r="A46" s="13" t="s">
        <v>22</v>
      </c>
      <c r="B46" s="34">
        <v>1200</v>
      </c>
      <c r="C46" s="34">
        <v>1200</v>
      </c>
    </row>
    <row r="47" spans="1:14" x14ac:dyDescent="0.3">
      <c r="B47" s="18">
        <f>MIN(B45,B46)</f>
        <v>1200</v>
      </c>
      <c r="C47" s="18">
        <f ca="1">MIN(C45,C46)</f>
        <v>1200</v>
      </c>
    </row>
    <row r="48" spans="1:14" x14ac:dyDescent="0.3">
      <c r="A48" s="3"/>
      <c r="B48" s="4"/>
      <c r="C48" s="4"/>
    </row>
    <row r="49" spans="1:17" x14ac:dyDescent="0.3">
      <c r="A49" s="27" t="s">
        <v>99</v>
      </c>
      <c r="B49" s="81">
        <f ca="1">C47-B47</f>
        <v>0</v>
      </c>
      <c r="C49" s="4"/>
    </row>
    <row r="50" spans="1:17" x14ac:dyDescent="0.3">
      <c r="B50" s="4"/>
      <c r="C50" s="4"/>
      <c r="E50" s="13"/>
      <c r="F50" s="42"/>
      <c r="H50" s="16"/>
      <c r="I50" s="45"/>
      <c r="J50" s="21"/>
      <c r="K50" s="21"/>
    </row>
    <row r="51" spans="1:17" x14ac:dyDescent="0.3">
      <c r="B51" s="4"/>
      <c r="C51" s="4"/>
      <c r="E51" s="13"/>
      <c r="F51" s="42"/>
      <c r="H51" s="16"/>
      <c r="I51" s="45"/>
      <c r="J51" s="21"/>
      <c r="K51" s="21"/>
    </row>
    <row r="52" spans="1:17" x14ac:dyDescent="0.3">
      <c r="A52" s="3" t="s">
        <v>50</v>
      </c>
      <c r="B52" s="36"/>
      <c r="C52" s="4"/>
      <c r="D52" s="21"/>
      <c r="E52" s="13"/>
      <c r="F52" s="13"/>
      <c r="G52" s="42"/>
      <c r="H52"/>
      <c r="I52" s="45"/>
      <c r="J52" s="31" t="s">
        <v>91</v>
      </c>
      <c r="K52" s="21"/>
      <c r="Q52" s="18"/>
    </row>
    <row r="53" spans="1:17" x14ac:dyDescent="0.3">
      <c r="B53" s="36"/>
      <c r="C53" s="67" t="s">
        <v>89</v>
      </c>
      <c r="D53" s="91"/>
      <c r="E53" s="13"/>
      <c r="F53" s="3" t="s">
        <v>94</v>
      </c>
      <c r="G53" s="42"/>
      <c r="H53"/>
      <c r="I53" s="45" t="s">
        <v>65</v>
      </c>
      <c r="J53" s="71" t="s">
        <v>64</v>
      </c>
      <c r="K53" s="71" t="s">
        <v>66</v>
      </c>
      <c r="Q53" s="18"/>
    </row>
    <row r="54" spans="1:17" ht="15.6" x14ac:dyDescent="0.3">
      <c r="A54" s="27" t="s">
        <v>90</v>
      </c>
      <c r="B54" s="32">
        <v>0.38</v>
      </c>
      <c r="D54" s="95"/>
      <c r="E54" s="29"/>
      <c r="F54">
        <v>0</v>
      </c>
      <c r="G54" s="5">
        <f t="shared" ref="G54:H56" si="0">C32</f>
        <v>43176</v>
      </c>
      <c r="H54" s="7">
        <f t="shared" si="0"/>
        <v>0.04</v>
      </c>
      <c r="I54" s="12">
        <v>0</v>
      </c>
      <c r="J54" s="12">
        <f ca="1">IF(AND(($B$18+$B$5+$B$78)&gt;=F54,($B$18+$B$5+$B$78)&lt;G54),($B$18+$B$5+$B$78-F54)*H54,0)</f>
        <v>0</v>
      </c>
      <c r="K54" s="51">
        <f t="shared" ref="K54:K57" ca="1" si="1">(IF(J54=0,0,I54+J54))</f>
        <v>0</v>
      </c>
    </row>
    <row r="55" spans="1:17" ht="15.6" x14ac:dyDescent="0.3">
      <c r="A55" s="27" t="s">
        <v>44</v>
      </c>
      <c r="B55" s="32">
        <v>0.17</v>
      </c>
      <c r="D55" s="95"/>
      <c r="E55" s="29"/>
      <c r="F55" s="5">
        <f>G54</f>
        <v>43176</v>
      </c>
      <c r="G55" s="5">
        <f t="shared" si="0"/>
        <v>86351</v>
      </c>
      <c r="H55" s="7">
        <f t="shared" si="0"/>
        <v>7.0000000000000007E-2</v>
      </c>
      <c r="I55" s="12">
        <f>(G54-F54)*H54</f>
        <v>1727.04</v>
      </c>
      <c r="J55" s="12">
        <f ca="1">IF(AND(($B$18+$B$5+$B$78)&gt;=F55,($B$18+$B$5+$B$78)&lt;G55),($B$18+$B$5+$B$78-F55)*H55,0)</f>
        <v>0</v>
      </c>
      <c r="K55" s="51">
        <f t="shared" ca="1" si="1"/>
        <v>0</v>
      </c>
    </row>
    <row r="56" spans="1:17" ht="15.6" x14ac:dyDescent="0.3">
      <c r="A56" s="27" t="s">
        <v>43</v>
      </c>
      <c r="B56" s="13">
        <f>IF(AND(B6="canadian corporation",B7="yes"),B5*B54,0)</f>
        <v>0</v>
      </c>
      <c r="D56" s="21"/>
      <c r="E56" s="29"/>
      <c r="F56" s="26">
        <f>G55</f>
        <v>86351</v>
      </c>
      <c r="G56" s="5">
        <f t="shared" si="0"/>
        <v>140388</v>
      </c>
      <c r="H56" s="7">
        <f t="shared" si="0"/>
        <v>0.09</v>
      </c>
      <c r="I56" s="12">
        <f>((G55-F55)*H55)+I55</f>
        <v>4749.2900000000009</v>
      </c>
      <c r="J56" s="12">
        <f ca="1">IF(AND(($B$18+$B$5+$B$78)&gt;=F56,($B$18+$B$5+$B$78)&lt;G56),($B$18+$B$5+$B$78-F56)*H56,0)</f>
        <v>0</v>
      </c>
      <c r="K56" s="51">
        <f t="shared" ca="1" si="1"/>
        <v>0</v>
      </c>
    </row>
    <row r="57" spans="1:17" ht="15.6" x14ac:dyDescent="0.3">
      <c r="A57" s="27" t="s">
        <v>45</v>
      </c>
      <c r="B57" s="13">
        <f>IF(AND(B6="canadian corporation",B7="no"),B5*B55,0)</f>
        <v>0</v>
      </c>
      <c r="D57" s="21"/>
      <c r="E57" s="29"/>
      <c r="F57" s="5">
        <f>G56</f>
        <v>140388</v>
      </c>
      <c r="G57" s="5"/>
      <c r="H57" s="7">
        <f>D35</f>
        <v>0.115</v>
      </c>
      <c r="I57" s="12">
        <f t="shared" ref="I57" si="2">((G56-F56)*H56)+I56</f>
        <v>9612.6200000000008</v>
      </c>
      <c r="J57" s="12">
        <f ca="1">IF(($B$18+$B$5+$B$78)&gt;=F57,($B$18+$B$5+$B$78-F57)*H57,0)</f>
        <v>70.38000000000001</v>
      </c>
      <c r="K57" s="72">
        <f t="shared" ca="1" si="1"/>
        <v>9683</v>
      </c>
    </row>
    <row r="58" spans="1:17" x14ac:dyDescent="0.3">
      <c r="A58" s="27" t="s">
        <v>46</v>
      </c>
      <c r="B58" s="40">
        <f>IF(B6="non-canadian corporation",B5,0)</f>
        <v>2000</v>
      </c>
      <c r="D58" s="21"/>
      <c r="E58" s="29"/>
      <c r="F58" s="13"/>
      <c r="G58" s="42"/>
      <c r="H58"/>
      <c r="I58" s="45"/>
      <c r="J58" s="21"/>
      <c r="K58" s="51">
        <f ca="1">SUM(K54:K57)</f>
        <v>9683</v>
      </c>
    </row>
    <row r="59" spans="1:17" x14ac:dyDescent="0.3">
      <c r="B59" s="18">
        <f>SUM(B56:B58)</f>
        <v>2000</v>
      </c>
      <c r="D59" s="21"/>
      <c r="F59" s="13"/>
      <c r="G59" s="42"/>
      <c r="H59" s="61" t="s">
        <v>35</v>
      </c>
      <c r="I59" s="12">
        <f>B37</f>
        <v>12947</v>
      </c>
      <c r="J59" s="20">
        <f>D32</f>
        <v>0.04</v>
      </c>
      <c r="K59" s="52">
        <f ca="1">IF(($B$18+$B$5+$B$78)&lt;I59,($B$18+$B$5+$B$78)*J59,I59*J59)</f>
        <v>517.88</v>
      </c>
    </row>
    <row r="60" spans="1:17" x14ac:dyDescent="0.3">
      <c r="B60" s="18"/>
      <c r="D60" s="21"/>
      <c r="F60" s="13"/>
      <c r="G60" s="42"/>
      <c r="H60"/>
      <c r="I60" s="45"/>
      <c r="J60" s="21"/>
      <c r="K60" s="13">
        <f ca="1">IF((K58-K59)&lt;=0,0,K58-K59)</f>
        <v>9165.1200000000008</v>
      </c>
    </row>
    <row r="61" spans="1:17" x14ac:dyDescent="0.3">
      <c r="A61" s="19" t="s">
        <v>40</v>
      </c>
      <c r="B61" s="36"/>
      <c r="C61" s="4"/>
      <c r="D61" s="21"/>
      <c r="E61" s="13"/>
      <c r="F61" s="42"/>
      <c r="H61" s="61" t="s">
        <v>95</v>
      </c>
      <c r="I61" s="45"/>
      <c r="J61" s="21"/>
      <c r="K61" s="73">
        <f ca="1">MIN(B69,K60)</f>
        <v>0</v>
      </c>
      <c r="Q61" s="18"/>
    </row>
    <row r="62" spans="1:17" x14ac:dyDescent="0.3">
      <c r="A62" t="s">
        <v>47</v>
      </c>
      <c r="B62" s="36">
        <f ca="1">MIN(J82,IF(B56&gt;0,B5*C62,0))</f>
        <v>0</v>
      </c>
      <c r="C62" s="53">
        <v>0.1502</v>
      </c>
      <c r="D62" s="96"/>
      <c r="E62" s="13"/>
      <c r="I62" s="45"/>
      <c r="J62" s="21"/>
      <c r="K62" s="12">
        <f ca="1">K60-K61</f>
        <v>9165.1200000000008</v>
      </c>
      <c r="Q62" s="18"/>
    </row>
    <row r="63" spans="1:17" x14ac:dyDescent="0.3">
      <c r="A63" t="s">
        <v>48</v>
      </c>
      <c r="B63" s="37">
        <f ca="1">MIN(J82,IF(B57&gt;0,B5*C63,0))</f>
        <v>0</v>
      </c>
      <c r="C63" s="53">
        <v>0.105217</v>
      </c>
      <c r="D63" s="96"/>
      <c r="E63" s="13"/>
      <c r="H63" s="61" t="s">
        <v>96</v>
      </c>
      <c r="I63" s="45"/>
      <c r="J63" s="21"/>
      <c r="K63" s="73">
        <f ca="1">MIN(B110,K62)</f>
        <v>0</v>
      </c>
      <c r="Q63" s="18"/>
    </row>
    <row r="64" spans="1:17" x14ac:dyDescent="0.3">
      <c r="B64" s="36">
        <f ca="1">SUM(B62:B63)</f>
        <v>0</v>
      </c>
      <c r="C64" s="4"/>
      <c r="D64" s="21"/>
      <c r="E64" s="13"/>
      <c r="I64" s="45"/>
      <c r="J64" s="21"/>
      <c r="K64" s="12">
        <f ca="1">K62-K63</f>
        <v>9165.1200000000008</v>
      </c>
      <c r="Q64" s="18"/>
    </row>
    <row r="65" spans="1:17" x14ac:dyDescent="0.3">
      <c r="B65" s="36"/>
      <c r="C65" s="4"/>
      <c r="D65" s="21"/>
      <c r="E65" s="13"/>
      <c r="Q65" s="18"/>
    </row>
    <row r="66" spans="1:17" x14ac:dyDescent="0.3">
      <c r="A66" s="19" t="s">
        <v>97</v>
      </c>
      <c r="B66" s="36"/>
      <c r="C66" s="4"/>
      <c r="D66" s="21"/>
      <c r="E66" s="13"/>
      <c r="F66" s="18"/>
      <c r="G66" s="4"/>
      <c r="H66" s="16"/>
      <c r="I66" s="45"/>
      <c r="J66" s="21"/>
      <c r="K66" s="21"/>
      <c r="Q66" s="18"/>
    </row>
    <row r="67" spans="1:17" x14ac:dyDescent="0.3">
      <c r="A67" t="s">
        <v>47</v>
      </c>
      <c r="B67" s="36">
        <f ca="1">MIN(K60,IF(B56&gt;0,B5*C67,0))</f>
        <v>0</v>
      </c>
      <c r="C67" s="53">
        <v>5.5100000000000003E-2</v>
      </c>
      <c r="D67" s="96"/>
      <c r="I67" s="45"/>
      <c r="J67" s="21"/>
      <c r="K67" s="21"/>
      <c r="Q67" s="18"/>
    </row>
    <row r="68" spans="1:17" x14ac:dyDescent="0.3">
      <c r="A68" t="s">
        <v>48</v>
      </c>
      <c r="B68" s="37">
        <f ca="1">MIN(K60,IF(B57&gt;0,B5*C68,0))</f>
        <v>0</v>
      </c>
      <c r="C68" s="56">
        <v>2.9100000000000001E-2</v>
      </c>
      <c r="D68" s="97"/>
      <c r="I68" s="45"/>
      <c r="J68" s="21"/>
      <c r="K68" s="21"/>
      <c r="Q68" s="18"/>
    </row>
    <row r="69" spans="1:17" x14ac:dyDescent="0.3">
      <c r="B69" s="36">
        <f ca="1">SUM(B67:B68)</f>
        <v>0</v>
      </c>
      <c r="C69" s="4"/>
      <c r="D69" s="21"/>
      <c r="I69" s="45"/>
      <c r="J69" s="21"/>
      <c r="K69" s="21"/>
      <c r="Q69" s="18"/>
    </row>
    <row r="70" spans="1:17" x14ac:dyDescent="0.3">
      <c r="B70" s="36"/>
      <c r="C70" s="4"/>
      <c r="D70" s="21"/>
      <c r="I70" s="45"/>
      <c r="J70" s="21"/>
      <c r="K70" s="21"/>
      <c r="Q70" s="18"/>
    </row>
    <row r="71" spans="1:17" x14ac:dyDescent="0.3">
      <c r="A71" s="3" t="s">
        <v>53</v>
      </c>
      <c r="B71" s="36"/>
      <c r="C71" s="4"/>
      <c r="D71" s="21"/>
      <c r="I71" s="45"/>
      <c r="J71" s="21"/>
      <c r="K71" s="21"/>
      <c r="Q71" s="18"/>
    </row>
    <row r="72" spans="1:17" x14ac:dyDescent="0.3">
      <c r="B72" s="36"/>
      <c r="C72" s="4"/>
      <c r="I72" s="45"/>
      <c r="J72" s="21"/>
      <c r="K72" s="21"/>
      <c r="Q72" s="18"/>
    </row>
    <row r="73" spans="1:17" x14ac:dyDescent="0.3">
      <c r="A73" s="19" t="s">
        <v>54</v>
      </c>
      <c r="B73" s="36"/>
      <c r="C73" s="4"/>
      <c r="H73" s="12"/>
      <c r="I73" s="45"/>
      <c r="J73" s="21"/>
      <c r="K73" s="21"/>
      <c r="Q73" s="18"/>
    </row>
    <row r="74" spans="1:17" x14ac:dyDescent="0.3">
      <c r="A74" t="s">
        <v>74</v>
      </c>
      <c r="B74" s="36">
        <f>$B$5</f>
        <v>2000</v>
      </c>
      <c r="C74" s="58" t="s">
        <v>31</v>
      </c>
      <c r="D74" s="19" t="s">
        <v>55</v>
      </c>
      <c r="E74" s="13"/>
      <c r="F74" s="18"/>
      <c r="G74" s="4"/>
      <c r="H74" s="65" t="s">
        <v>65</v>
      </c>
      <c r="I74" s="45" t="s">
        <v>64</v>
      </c>
      <c r="J74" s="71" t="s">
        <v>66</v>
      </c>
      <c r="K74" s="21"/>
      <c r="Q74" s="18"/>
    </row>
    <row r="75" spans="1:17" ht="15.6" x14ac:dyDescent="0.3">
      <c r="A75" t="s">
        <v>75</v>
      </c>
      <c r="B75" s="36">
        <f>IF($B$10="US",-IF(($B$11/$B$5)&gt;15%,$B$11-($B$5*15%),0),0)</f>
        <v>0</v>
      </c>
      <c r="C75" s="58" t="s">
        <v>32</v>
      </c>
      <c r="D75" t="s">
        <v>9</v>
      </c>
      <c r="E75" s="4">
        <v>0</v>
      </c>
      <c r="F75" s="5">
        <f t="shared" ref="F75:G78" si="3">C22</f>
        <v>45282</v>
      </c>
      <c r="G75" s="6">
        <f t="shared" si="3"/>
        <v>0.15</v>
      </c>
      <c r="H75" s="12">
        <v>0</v>
      </c>
      <c r="I75" s="12">
        <f ca="1">IF(AND(($B$18+$B$5+$B$78)&gt;=E75,($B$18+$B$5+$B$78)&lt;F75),($B$18+$B$5+$B$78-E75)*G75,0)</f>
        <v>0</v>
      </c>
      <c r="J75" s="12">
        <f ca="1">(IF(I75=0,0,H75+I75))</f>
        <v>0</v>
      </c>
      <c r="K75" s="21"/>
      <c r="Q75" s="18"/>
    </row>
    <row r="76" spans="1:17" ht="15.6" x14ac:dyDescent="0.3">
      <c r="A76" t="s">
        <v>76</v>
      </c>
      <c r="B76" s="36">
        <f>IF(B6="Canadian Corporation",0,IF($B$10="non-US",-IF(($B$11/$B$5)&gt;15%,$B$11-($B$5*15%),0),0))</f>
        <v>0</v>
      </c>
      <c r="C76" s="4"/>
      <c r="D76" t="s">
        <v>10</v>
      </c>
      <c r="E76" s="5">
        <f>F75</f>
        <v>45282</v>
      </c>
      <c r="F76" s="5">
        <f t="shared" si="3"/>
        <v>90563</v>
      </c>
      <c r="G76" s="6">
        <f t="shared" si="3"/>
        <v>0.20499999999999999</v>
      </c>
      <c r="H76" s="12">
        <f>(F75-E75)*G75</f>
        <v>6792.3</v>
      </c>
      <c r="I76" s="12">
        <f ca="1">IF(AND(($B$18+$B$5+$B$78)&gt;=E76,($B$18+$B$5+$B$78)&lt;F76),($B$18+$B$5+$B$78-E76)*G76,0)</f>
        <v>0</v>
      </c>
      <c r="J76" s="12">
        <f t="shared" ref="J76:J79" ca="1" si="4">(IF(I76=0,0,H76+I76))</f>
        <v>0</v>
      </c>
      <c r="K76" s="21"/>
      <c r="Q76" s="18"/>
    </row>
    <row r="77" spans="1:17" ht="15.6" x14ac:dyDescent="0.3">
      <c r="A77" t="s">
        <v>81</v>
      </c>
      <c r="B77" s="37">
        <f ca="1">-B112</f>
        <v>0</v>
      </c>
      <c r="C77" s="4"/>
      <c r="D77" t="s">
        <v>10</v>
      </c>
      <c r="E77" s="5">
        <f>F76</f>
        <v>90563</v>
      </c>
      <c r="F77" s="5">
        <f t="shared" si="3"/>
        <v>140388</v>
      </c>
      <c r="G77" s="6">
        <f t="shared" si="3"/>
        <v>0.26</v>
      </c>
      <c r="H77" s="12">
        <f>((F76-E76)*G76)+H76</f>
        <v>16074.904999999999</v>
      </c>
      <c r="I77" s="12">
        <f ca="1">IF(AND(($B$18+$B$5+$B$78)&gt;=E77,($B$18+$B$5+$B$78)&lt;F77),($B$18+$B$5+$B$78-E77)*G77,0)</f>
        <v>0</v>
      </c>
      <c r="J77" s="12">
        <f t="shared" ca="1" si="4"/>
        <v>0</v>
      </c>
      <c r="K77" s="21"/>
      <c r="Q77" s="18"/>
    </row>
    <row r="78" spans="1:17" ht="15.6" x14ac:dyDescent="0.3">
      <c r="A78" t="s">
        <v>83</v>
      </c>
      <c r="B78" s="37">
        <f ca="1">SUM(B76:B77)</f>
        <v>0</v>
      </c>
      <c r="C78" s="58" t="s">
        <v>82</v>
      </c>
      <c r="D78" t="s">
        <v>10</v>
      </c>
      <c r="E78" s="5">
        <f>F77</f>
        <v>140388</v>
      </c>
      <c r="F78" s="5">
        <f t="shared" si="3"/>
        <v>200000</v>
      </c>
      <c r="G78" s="6">
        <f t="shared" si="3"/>
        <v>0.28999999999999998</v>
      </c>
      <c r="H78" s="12">
        <f>((F77-E77)*G77)+H77</f>
        <v>29029.404999999999</v>
      </c>
      <c r="I78" s="12">
        <f ca="1">IF(AND(($B$18+$B$5+$B$78)&gt;=E78,($B$18+$B$5+$B$78)&lt;F78),($B$18+$B$5+$B$78-E78)*G78,0)</f>
        <v>177.48</v>
      </c>
      <c r="J78" s="12">
        <f t="shared" ca="1" si="4"/>
        <v>29206.884999999998</v>
      </c>
      <c r="K78" s="21"/>
      <c r="Q78" s="18"/>
    </row>
    <row r="79" spans="1:17" ht="15.6" x14ac:dyDescent="0.3">
      <c r="A79" t="s">
        <v>56</v>
      </c>
      <c r="B79" s="36">
        <f ca="1">B74+B75+B78</f>
        <v>2000</v>
      </c>
      <c r="C79" s="58" t="s">
        <v>84</v>
      </c>
      <c r="E79" s="5">
        <f>F78</f>
        <v>200000</v>
      </c>
      <c r="G79" s="6">
        <f>D26</f>
        <v>0.33</v>
      </c>
      <c r="H79" s="12">
        <f>((F78-E78)*G78)+H78</f>
        <v>46316.884999999995</v>
      </c>
      <c r="I79" s="12">
        <f ca="1">IF(($B$18+$B$5+$B$78)&gt;=E79,($B$18+$B$5+$B$78-E79)*G79,0)</f>
        <v>0</v>
      </c>
      <c r="J79" s="52">
        <f t="shared" ca="1" si="4"/>
        <v>0</v>
      </c>
      <c r="K79" s="21"/>
      <c r="Q79" s="18"/>
    </row>
    <row r="80" spans="1:17" x14ac:dyDescent="0.3">
      <c r="B80" s="36"/>
      <c r="C80" s="4"/>
      <c r="E80" s="13"/>
      <c r="F80" s="18"/>
      <c r="G80" s="4"/>
      <c r="H80" s="16"/>
      <c r="I80" s="45"/>
      <c r="J80" s="12">
        <f ca="1">SUM(J75:J79)</f>
        <v>29206.884999999998</v>
      </c>
      <c r="K80" s="21"/>
      <c r="Q80" s="18"/>
    </row>
    <row r="81" spans="1:17" x14ac:dyDescent="0.3">
      <c r="A81" t="s">
        <v>6</v>
      </c>
      <c r="B81" s="38">
        <f>$B$5+$B$18</f>
        <v>141000</v>
      </c>
      <c r="C81" s="58" t="s">
        <v>31</v>
      </c>
      <c r="G81" s="61" t="s">
        <v>35</v>
      </c>
      <c r="H81" s="13">
        <f>B28</f>
        <v>11474</v>
      </c>
      <c r="I81" s="76">
        <f>D22</f>
        <v>0.15</v>
      </c>
      <c r="J81" s="52">
        <f ca="1">IF(($B$5+$B$18+B78)&lt;H81,($B$5+$B$18+B78)*I81,H81*I81)</f>
        <v>1721.1</v>
      </c>
      <c r="K81" s="21"/>
      <c r="Q81" s="18"/>
    </row>
    <row r="82" spans="1:17" x14ac:dyDescent="0.3">
      <c r="A82" t="s">
        <v>76</v>
      </c>
      <c r="B82" s="38">
        <f>IF($B$10="non-US",-IF(($B$11/$B$5)&gt;15%,$B$11-($B$5*15%),0),0)</f>
        <v>0</v>
      </c>
      <c r="C82" s="4"/>
      <c r="G82" s="61"/>
      <c r="I82" s="45"/>
      <c r="J82" s="13">
        <f ca="1">IF((J80-J81)&lt;=0,0,J80-J81)</f>
        <v>27485.785</v>
      </c>
      <c r="K82" s="21"/>
      <c r="Q82" s="18"/>
    </row>
    <row r="83" spans="1:17" x14ac:dyDescent="0.3">
      <c r="A83" t="s">
        <v>81</v>
      </c>
      <c r="B83" s="37">
        <f ca="1">B77</f>
        <v>0</v>
      </c>
      <c r="C83" s="4"/>
      <c r="G83" s="61"/>
      <c r="I83" s="45"/>
      <c r="J83" s="44"/>
      <c r="K83" s="21"/>
      <c r="Q83" s="18"/>
    </row>
    <row r="84" spans="1:17" x14ac:dyDescent="0.3">
      <c r="A84" t="s">
        <v>83</v>
      </c>
      <c r="B84" s="37">
        <f ca="1">SUM(B82:B83)</f>
        <v>0</v>
      </c>
      <c r="C84" s="58" t="s">
        <v>32</v>
      </c>
      <c r="E84" s="13"/>
      <c r="F84" s="18"/>
      <c r="I84" s="45"/>
      <c r="J84" s="21"/>
      <c r="K84" s="21"/>
      <c r="Q84" s="18"/>
    </row>
    <row r="85" spans="1:17" x14ac:dyDescent="0.3">
      <c r="A85" t="s">
        <v>77</v>
      </c>
      <c r="B85" s="36">
        <f ca="1">B81+B84</f>
        <v>141000</v>
      </c>
      <c r="C85" s="58" t="s">
        <v>85</v>
      </c>
      <c r="I85" s="45"/>
      <c r="J85" s="21"/>
      <c r="K85" s="21"/>
      <c r="Q85" s="18"/>
    </row>
    <row r="86" spans="1:17" x14ac:dyDescent="0.3">
      <c r="B86" s="36"/>
      <c r="C86" s="4"/>
      <c r="I86" s="45"/>
      <c r="J86" s="21"/>
      <c r="K86" s="21"/>
      <c r="Q86" s="18"/>
    </row>
    <row r="87" spans="1:17" x14ac:dyDescent="0.3">
      <c r="A87" t="s">
        <v>57</v>
      </c>
      <c r="B87" s="57">
        <f ca="1">B79/B85</f>
        <v>1.4184397163120567E-2</v>
      </c>
      <c r="C87" s="4"/>
      <c r="I87" s="45"/>
      <c r="J87" s="21"/>
      <c r="K87" s="21"/>
      <c r="Q87" s="18"/>
    </row>
    <row r="88" spans="1:17" x14ac:dyDescent="0.3">
      <c r="B88" s="36"/>
      <c r="C88" s="4"/>
      <c r="I88" s="45"/>
      <c r="J88" s="21"/>
      <c r="K88" s="21"/>
      <c r="Q88" s="18"/>
    </row>
    <row r="89" spans="1:17" x14ac:dyDescent="0.3">
      <c r="A89" t="s">
        <v>55</v>
      </c>
      <c r="B89" s="36">
        <f ca="1">J82</f>
        <v>27485.785</v>
      </c>
      <c r="C89" s="4"/>
      <c r="I89" s="45"/>
      <c r="J89" s="21"/>
      <c r="K89" s="21"/>
      <c r="Q89" s="18"/>
    </row>
    <row r="90" spans="1:17" x14ac:dyDescent="0.3">
      <c r="B90" s="36"/>
      <c r="C90" s="4"/>
      <c r="E90" s="63"/>
      <c r="F90" s="38"/>
      <c r="G90" s="4"/>
      <c r="H90" s="59"/>
      <c r="I90" s="45"/>
      <c r="J90" s="71"/>
      <c r="K90" s="21"/>
      <c r="Q90" s="18"/>
    </row>
    <row r="91" spans="1:17" ht="15.6" x14ac:dyDescent="0.3">
      <c r="A91" t="s">
        <v>67</v>
      </c>
      <c r="B91" s="36">
        <f ca="1">B89*B87</f>
        <v>389.86929078014185</v>
      </c>
      <c r="C91" s="58" t="s">
        <v>31</v>
      </c>
      <c r="E91" s="4"/>
      <c r="G91" s="6"/>
      <c r="H91" s="38"/>
      <c r="I91" s="45"/>
      <c r="J91" s="38"/>
      <c r="K91" s="21"/>
      <c r="Q91" s="18"/>
    </row>
    <row r="92" spans="1:17" ht="15.6" x14ac:dyDescent="0.3">
      <c r="A92" t="s">
        <v>68</v>
      </c>
      <c r="B92" s="36">
        <f>IF(B6="Canadian Corporation",0,MIN($B$11,$B$5*15%))</f>
        <v>200</v>
      </c>
      <c r="C92" s="58" t="s">
        <v>32</v>
      </c>
      <c r="E92" s="5"/>
      <c r="G92" s="7"/>
      <c r="H92" s="38"/>
      <c r="I92" s="45"/>
      <c r="J92" s="38"/>
      <c r="K92" s="21"/>
      <c r="Q92" s="18"/>
    </row>
    <row r="93" spans="1:17" ht="15.6" x14ac:dyDescent="0.3">
      <c r="B93" s="36"/>
      <c r="C93" s="4"/>
      <c r="E93" s="5"/>
      <c r="G93" s="7"/>
      <c r="H93" s="38"/>
      <c r="I93" s="45"/>
      <c r="J93" s="38"/>
      <c r="K93" s="21"/>
      <c r="Q93" s="18"/>
    </row>
    <row r="94" spans="1:17" ht="15.6" x14ac:dyDescent="0.3">
      <c r="A94" t="s">
        <v>69</v>
      </c>
      <c r="B94" s="60">
        <f ca="1">MIN(B91,B92)</f>
        <v>200</v>
      </c>
      <c r="C94" s="58" t="s">
        <v>87</v>
      </c>
      <c r="E94" s="5"/>
      <c r="G94" s="7"/>
      <c r="H94" s="38"/>
      <c r="I94" s="45"/>
      <c r="J94" s="38"/>
      <c r="K94" s="21"/>
      <c r="Q94" s="18"/>
    </row>
    <row r="95" spans="1:17" ht="15.6" x14ac:dyDescent="0.3">
      <c r="B95" s="60"/>
      <c r="C95" s="4"/>
      <c r="E95" s="5"/>
      <c r="F95" s="5"/>
      <c r="G95" s="7"/>
      <c r="H95" s="38"/>
      <c r="I95" s="45"/>
      <c r="J95" s="38"/>
      <c r="K95" s="21"/>
      <c r="Q95" s="18"/>
    </row>
    <row r="96" spans="1:17" ht="15.6" x14ac:dyDescent="0.3">
      <c r="B96" s="60"/>
      <c r="C96" s="4"/>
      <c r="E96" s="13"/>
      <c r="F96" s="5"/>
      <c r="G96" s="4"/>
      <c r="H96" s="16"/>
      <c r="I96" s="45"/>
      <c r="J96" s="38"/>
      <c r="K96" s="21"/>
      <c r="Q96" s="18"/>
    </row>
    <row r="97" spans="1:17" x14ac:dyDescent="0.3">
      <c r="A97" s="19" t="s">
        <v>70</v>
      </c>
      <c r="B97" s="36"/>
      <c r="C97" s="4"/>
      <c r="H97" s="12"/>
      <c r="I97" s="45"/>
      <c r="J97" s="21"/>
      <c r="K97" s="21"/>
      <c r="L97" s="19"/>
      <c r="Q97" s="18"/>
    </row>
    <row r="98" spans="1:17" x14ac:dyDescent="0.3">
      <c r="A98" t="s">
        <v>56</v>
      </c>
      <c r="B98" s="36">
        <f ca="1">B79</f>
        <v>2000</v>
      </c>
      <c r="C98" s="4"/>
      <c r="D98" s="19" t="s">
        <v>71</v>
      </c>
      <c r="E98" s="13"/>
      <c r="F98" s="18"/>
      <c r="G98" s="4"/>
      <c r="H98" s="65" t="s">
        <v>65</v>
      </c>
      <c r="I98" s="45" t="s">
        <v>64</v>
      </c>
      <c r="J98" s="71" t="s">
        <v>66</v>
      </c>
      <c r="K98" s="51"/>
      <c r="Q98" s="18"/>
    </row>
    <row r="99" spans="1:17" ht="15.6" x14ac:dyDescent="0.3">
      <c r="A99" t="s">
        <v>23</v>
      </c>
      <c r="B99" s="38">
        <f ca="1">B85</f>
        <v>141000</v>
      </c>
      <c r="C99" s="4"/>
      <c r="D99" t="s">
        <v>9</v>
      </c>
      <c r="E99">
        <v>0</v>
      </c>
      <c r="F99" s="5">
        <f t="shared" ref="F99:G101" si="5">C32</f>
        <v>43176</v>
      </c>
      <c r="G99" s="7">
        <f t="shared" si="5"/>
        <v>0.04</v>
      </c>
      <c r="H99" s="12">
        <v>0</v>
      </c>
      <c r="I99" s="44">
        <f ca="1">IF(AND(($B$18+$B$5+$B$78)&gt;=E99,($B$18+$B$5+$B$78)&lt;F99),($B$18+$B$5+$B$78-E99)*G99,0)</f>
        <v>0</v>
      </c>
      <c r="J99" s="12">
        <f ca="1">(IF(I99=0,0,H99+I99))</f>
        <v>0</v>
      </c>
      <c r="K99" s="21"/>
      <c r="Q99" s="18"/>
    </row>
    <row r="100" spans="1:17" ht="15.6" x14ac:dyDescent="0.3">
      <c r="A100" t="s">
        <v>57</v>
      </c>
      <c r="B100" s="57">
        <f ca="1">B98/B99</f>
        <v>1.4184397163120567E-2</v>
      </c>
      <c r="C100" s="4"/>
      <c r="D100" t="s">
        <v>10</v>
      </c>
      <c r="E100" s="5">
        <f>F99</f>
        <v>43176</v>
      </c>
      <c r="F100" s="5">
        <f t="shared" si="5"/>
        <v>86351</v>
      </c>
      <c r="G100" s="7">
        <f t="shared" si="5"/>
        <v>7.0000000000000007E-2</v>
      </c>
      <c r="H100" s="12">
        <f>(F99-E99)*G99</f>
        <v>1727.04</v>
      </c>
      <c r="I100" s="44">
        <f ca="1">IF(AND(($B$18+$B$5+$B$78)&gt;=E100,($B$18+$B$5+$B$78)&lt;F100),($B$18+$B$5+$B$78-E100)*G100,0)</f>
        <v>0</v>
      </c>
      <c r="J100" s="12">
        <f t="shared" ref="J100:J101" ca="1" si="6">(IF(I100=0,0,H100+I100))</f>
        <v>0</v>
      </c>
      <c r="K100" s="21"/>
      <c r="Q100" s="18"/>
    </row>
    <row r="101" spans="1:17" ht="15.6" x14ac:dyDescent="0.3">
      <c r="B101" s="36"/>
      <c r="C101" s="4"/>
      <c r="D101" t="s">
        <v>10</v>
      </c>
      <c r="E101" s="26">
        <f>F100</f>
        <v>86351</v>
      </c>
      <c r="F101" s="5">
        <f t="shared" si="5"/>
        <v>140388</v>
      </c>
      <c r="G101" s="7">
        <f t="shared" si="5"/>
        <v>0.09</v>
      </c>
      <c r="H101" s="12">
        <f>((F100-E100)*G100)+H100</f>
        <v>4749.2900000000009</v>
      </c>
      <c r="I101" s="44">
        <f ca="1">IF(AND(($B$18+$B$5+$B$78)&gt;=E101,($B$18+$B$5+$B$78)&lt;F101),($B$18+$B$5+$B$78-E101)*G101,0)</f>
        <v>0</v>
      </c>
      <c r="J101" s="12">
        <f t="shared" ca="1" si="6"/>
        <v>0</v>
      </c>
      <c r="K101" s="21"/>
      <c r="Q101" s="18"/>
    </row>
    <row r="102" spans="1:17" ht="15.6" x14ac:dyDescent="0.3">
      <c r="A102" t="s">
        <v>71</v>
      </c>
      <c r="B102" s="36">
        <f ca="1">J105</f>
        <v>9165.1200000000008</v>
      </c>
      <c r="C102" s="4"/>
      <c r="D102" t="s">
        <v>10</v>
      </c>
      <c r="E102" s="5">
        <f>F101</f>
        <v>140388</v>
      </c>
      <c r="F102" s="5"/>
      <c r="G102" s="7">
        <f>D35</f>
        <v>0.115</v>
      </c>
      <c r="H102" s="12">
        <f>((F101-E101)*G101)+H101</f>
        <v>9612.6200000000008</v>
      </c>
      <c r="I102" s="44">
        <f ca="1">IF(($B$18+$B$5+$B$78)&gt;=E102,($B$18+$B$5+$B$78-E102)*G102,0)</f>
        <v>70.38000000000001</v>
      </c>
      <c r="J102" s="52">
        <f ca="1">(IF(I102=0,0,H102+I102))</f>
        <v>9683</v>
      </c>
      <c r="K102" s="21"/>
      <c r="Q102" s="18"/>
    </row>
    <row r="103" spans="1:17" x14ac:dyDescent="0.3">
      <c r="B103" s="36"/>
      <c r="C103" s="4"/>
      <c r="E103" s="13"/>
      <c r="F103" s="18"/>
      <c r="G103" s="4"/>
      <c r="H103" s="20"/>
      <c r="I103" s="45"/>
      <c r="J103" s="51">
        <f ca="1">SUM(J99:J102)</f>
        <v>9683</v>
      </c>
      <c r="K103" s="21"/>
      <c r="Q103" s="18"/>
    </row>
    <row r="104" spans="1:17" x14ac:dyDescent="0.3">
      <c r="A104" t="s">
        <v>67</v>
      </c>
      <c r="B104" s="36">
        <f ca="1">B102*B100</f>
        <v>130.00170212765957</v>
      </c>
      <c r="C104" s="58" t="s">
        <v>31</v>
      </c>
      <c r="E104" s="13"/>
      <c r="F104" s="18"/>
      <c r="G104" s="61" t="s">
        <v>35</v>
      </c>
      <c r="H104" s="13">
        <f>B37</f>
        <v>12947</v>
      </c>
      <c r="I104" s="76">
        <f>D32</f>
        <v>0.04</v>
      </c>
      <c r="J104" s="52">
        <f ca="1">IF(($B$5+$B$18+$B$78)&lt;H104,($B$5+$B$18+$B$78)*I104,H104*I104)</f>
        <v>517.88</v>
      </c>
      <c r="K104" s="21"/>
      <c r="Q104" s="18"/>
    </row>
    <row r="105" spans="1:17" x14ac:dyDescent="0.3">
      <c r="B105" s="36"/>
      <c r="C105" s="58"/>
      <c r="E105" s="35"/>
      <c r="F105" s="21"/>
      <c r="G105" s="4"/>
      <c r="H105" s="4"/>
      <c r="I105" s="45"/>
      <c r="J105" s="13">
        <f ca="1">IF((J103-J104)&lt;=0,0,J103-J104)</f>
        <v>9165.1200000000008</v>
      </c>
      <c r="K105" s="21"/>
      <c r="Q105" s="18"/>
    </row>
    <row r="106" spans="1:17" x14ac:dyDescent="0.3">
      <c r="A106" t="s">
        <v>68</v>
      </c>
      <c r="B106" s="36">
        <f>B92</f>
        <v>200</v>
      </c>
      <c r="K106" s="21"/>
    </row>
    <row r="107" spans="1:17" x14ac:dyDescent="0.3">
      <c r="A107" t="s">
        <v>78</v>
      </c>
      <c r="B107" s="37">
        <f ca="1">-B94</f>
        <v>-200</v>
      </c>
      <c r="C107" s="58"/>
      <c r="F107" s="38"/>
      <c r="G107" s="62"/>
      <c r="H107" s="18"/>
      <c r="I107" s="45"/>
      <c r="J107" s="47"/>
      <c r="K107" s="21"/>
    </row>
    <row r="108" spans="1:17" x14ac:dyDescent="0.3">
      <c r="B108" s="36">
        <f ca="1">SUM(B106:B107)</f>
        <v>0</v>
      </c>
      <c r="C108" s="58" t="s">
        <v>32</v>
      </c>
      <c r="G108" s="18"/>
      <c r="H108" s="18"/>
      <c r="I108" s="45"/>
      <c r="J108" s="12"/>
      <c r="K108" s="21"/>
    </row>
    <row r="109" spans="1:17" x14ac:dyDescent="0.3">
      <c r="B109" s="36"/>
      <c r="C109" s="4"/>
      <c r="H109" s="18"/>
      <c r="I109" s="45"/>
      <c r="J109" s="51"/>
      <c r="K109" s="50"/>
      <c r="L109" s="16"/>
    </row>
    <row r="110" spans="1:17" x14ac:dyDescent="0.3">
      <c r="A110" t="s">
        <v>72</v>
      </c>
      <c r="B110" s="60">
        <f ca="1">MIN(B104,B108)</f>
        <v>0</v>
      </c>
      <c r="C110" s="58" t="s">
        <v>87</v>
      </c>
      <c r="I110" s="45"/>
      <c r="J110" s="21"/>
      <c r="K110" s="50"/>
      <c r="L110" s="16"/>
    </row>
    <row r="111" spans="1:17" x14ac:dyDescent="0.3">
      <c r="B111" s="36"/>
      <c r="C111" s="4"/>
      <c r="I111" s="45"/>
      <c r="J111" s="21"/>
      <c r="K111" s="50"/>
      <c r="L111" s="16"/>
    </row>
    <row r="112" spans="1:17" x14ac:dyDescent="0.3">
      <c r="A112" t="s">
        <v>86</v>
      </c>
      <c r="B112" s="60">
        <f ca="1">B92-B94-B110</f>
        <v>0</v>
      </c>
      <c r="C112" s="58" t="s">
        <v>88</v>
      </c>
      <c r="G112" s="18"/>
      <c r="H112" s="18"/>
      <c r="I112" s="45"/>
      <c r="J112" s="51"/>
      <c r="K112" s="50"/>
      <c r="L112" s="16"/>
    </row>
    <row r="113" spans="1:17" x14ac:dyDescent="0.3">
      <c r="B113" s="36"/>
      <c r="C113" s="4"/>
      <c r="G113" s="18"/>
      <c r="H113" s="18"/>
      <c r="I113" s="45"/>
      <c r="J113" s="51"/>
      <c r="K113" s="50"/>
      <c r="L113" s="16"/>
    </row>
    <row r="114" spans="1:17" x14ac:dyDescent="0.3">
      <c r="A114" s="2" t="s">
        <v>12</v>
      </c>
      <c r="G114" s="18"/>
      <c r="H114" s="47"/>
      <c r="I114" s="74"/>
      <c r="J114" s="47"/>
      <c r="K114" s="46"/>
      <c r="L114" s="16"/>
    </row>
    <row r="115" spans="1:17" x14ac:dyDescent="0.3">
      <c r="B115" s="11"/>
      <c r="C115" t="s">
        <v>13</v>
      </c>
      <c r="G115" s="18"/>
      <c r="H115" s="47"/>
      <c r="I115" s="79"/>
      <c r="J115" s="47"/>
      <c r="K115" s="46"/>
      <c r="L115" s="16"/>
    </row>
    <row r="116" spans="1:17" x14ac:dyDescent="0.3">
      <c r="B116" s="36"/>
      <c r="C116" s="4"/>
      <c r="H116" s="44"/>
      <c r="I116" s="45"/>
      <c r="J116" s="45"/>
      <c r="K116" s="45"/>
      <c r="L116" s="16"/>
    </row>
    <row r="117" spans="1:17" x14ac:dyDescent="0.3">
      <c r="A117" t="s">
        <v>19</v>
      </c>
      <c r="B117" s="36">
        <f ca="1">IF(AND((B5+B78+B18)&gt;=B22,(B5+B78+B18)&lt;=C22),(B5+B78)*D22,IF(AND((B5+B78+B18)&gt;B23,(B5+B78+B18)&lt;=C23),IF((B5+B78+B18-B23)&gt;(B5+B78),(B5+B78)*D23,((B5+B78+B18-B23)*D23)+((B5+B78-(B5+B78+B18-B23))*D22)),IF(AND((B5+B78+B18)&gt;B24,(B5+B78+B18)&lt;=C24),IF((B5+B78+B18-B24)&gt;(B5+B78),(B5+B78)*D24,IF((B5+B78+B18-B23)&gt;(B5+B78),(((B5+B78+B18-B24)*D24)+((B5+B78-(B5+B78+B18-B24))*D23)),((B5+B78+B18-B24)*D24)+((C23-B23)*D23)+((B5+B78-(B5+B78+B18-B23))*D22))),IF(AND((B5+B78+B18)&gt;B25,(B5+B78+B18)&lt;=C25),IF((B5+B78+B18-B25)&gt;(B5+B78),(B5+B78)*D25,IF((B5+B78+B18-B24)&gt;(B5+B78),((B5+B78+B18-B25)*D25)+(((B5+B78-(B5+B78+B18-B25))*D24)),IF((B5+B78+B18-B23)&gt;(B5+B78),(((B5+B78+B18-B25)*D25)+((C24-B24)*D24)+((B5+B78-(B5+B78+B18-B24))*D23)),((B5+B78+B18-B25)*D25)+((C24-B24)*D24)+((C23-B23)*D23)+((B5+B78-(B5+B78+B18-B23))*D22)))),IF((B5+B78+B18)&gt;B26,IF((B5+B78+B18-B26)&gt;(B5+B78),(B5+B78)*D26,IF((B5+B78+B18-B25)&gt;(B5+B78),(((B5+B78+B18-B26)*D26)+((B5+B78-(B5+B78+B18-B26))*D25)),IF((B5+B78+B18-B24)&gt;(B5+B78),(((B5+B78+B18-B26)*D26)+((C25-B25)*D25)+((B5+B78-(B5+B78+B18-B25))*D24)),IF((B5+B78+B18-B23)&gt;(B5+B78),(((B5+B78+B18-B26)*D26)+((C25-B25)*D25)+((C24-B24)*D24)+((B5+B78-(B5+B78+B18-B24))*D23)),((B5+B78+B18-B26)*D26)+((C25-B25)*D25)+((C24-B24)*D24)+((C23-B23)*D23)+((B5+B78-(B5+B78+B18-B23))*D22))))))))))</f>
        <v>538.36</v>
      </c>
      <c r="C117" t="s">
        <v>15</v>
      </c>
      <c r="G117" s="28"/>
      <c r="H117" s="45"/>
      <c r="I117" s="45"/>
      <c r="J117" s="45"/>
      <c r="K117" s="45"/>
      <c r="L117" s="13"/>
    </row>
    <row r="118" spans="1:17" x14ac:dyDescent="0.3">
      <c r="B118" s="36">
        <f>-IF(B18&gt;=B28,0,IF(B18&lt;B28,IF((B18+B5+B78)&gt;B28,(B28-B18)*D22,((B5+B78)*D22))))</f>
        <v>0</v>
      </c>
      <c r="C118" t="s">
        <v>34</v>
      </c>
      <c r="G118" s="28"/>
      <c r="H118" s="75"/>
      <c r="I118" s="45"/>
      <c r="J118" s="47"/>
      <c r="K118" s="46"/>
      <c r="L118" s="16"/>
    </row>
    <row r="119" spans="1:17" x14ac:dyDescent="0.3">
      <c r="B119" s="36">
        <f ca="1">-B64</f>
        <v>0</v>
      </c>
      <c r="C119" t="s">
        <v>49</v>
      </c>
      <c r="G119" s="28"/>
      <c r="H119" s="21"/>
      <c r="I119" s="51"/>
      <c r="J119" s="51"/>
      <c r="K119" s="50"/>
      <c r="L119" s="16"/>
    </row>
    <row r="120" spans="1:17" x14ac:dyDescent="0.3">
      <c r="B120" s="36">
        <f ca="1">IF(B94=0,0,-MIN(B94,SUM(B117:B119)))</f>
        <v>-200</v>
      </c>
      <c r="C120" t="s">
        <v>79</v>
      </c>
      <c r="G120" s="28"/>
      <c r="H120" s="21"/>
      <c r="I120" s="51"/>
      <c r="J120" s="51"/>
      <c r="K120" s="50"/>
      <c r="L120" s="16"/>
    </row>
    <row r="121" spans="1:17" x14ac:dyDescent="0.3">
      <c r="B121" s="36">
        <f ca="1">IF(AND((B5+B78+B18)&gt;=B32,(B5+B78+B18)&lt;=C32),(B5+B78)*D32,IF(AND((B5+B78+B18)&gt;B33,(B5+B78+B18)&lt;=C33),IF((B5+B78+B18-B33)&gt;(B5+B78),(B5+B78)*D33,((B5+B78+B18-B33)*D33)+((B5+B78-(B5+B78+B18-B33))*D32)),IF(AND((B5+B78+B18)&gt;B34,(B5+B78+B18)&lt;=C34),IF((B5+B78+B18-B34)&gt;(B5+B78),(B5+B78)*D34,IF((B5+B78+B18-B33)&gt;(B5+B78),(((B5+B78+B18-B34)*D34)+((B5+B78-(B5+B78+B18-B34))*D33)),((B5+B78+B18-B34)*D34)+((C33-B33)*D33)+((B5+B78-(B5+B78+B18-B33))*D32))),IF((B5+B78+B18)&gt;B35,IF((B5+B78+B18-B35)&gt;(B5+B78),(B5+B78)*D35,IF((B5+B78+B18-B34)&gt;(B5+B78),(((B5+B78+B18-B35)*D35)+((B5+B78-(B5+B78+B18-B35))*D34)),IF((B5+B78+B18-B33)&gt;(B5+B78),(((B5+B78+B18-B35)*D35)+((C34-B34)*D34)+((B5+B78-(B5+B78+B18-B34))*D33)),((B5+B78+B18-B35)*D35)+((C34-B34)*D34)+((C33-B33)*D33)+((B5+B78-(B5+B78+B18-B33))*D32))))))))</f>
        <v>195.3</v>
      </c>
      <c r="C121" t="s">
        <v>16</v>
      </c>
      <c r="G121" s="28"/>
      <c r="H121" s="21"/>
      <c r="I121" s="51"/>
      <c r="J121" s="51"/>
      <c r="K121" s="21"/>
    </row>
    <row r="122" spans="1:17" x14ac:dyDescent="0.3">
      <c r="B122" s="36">
        <f>-IF(B18&gt;=B37,0,IF(B18&lt;B37,IF((B18+B5+B78)&gt;B37,(B37-B18)*D32,((B5+B78)*D32))))</f>
        <v>0</v>
      </c>
      <c r="C122" t="s">
        <v>36</v>
      </c>
      <c r="G122" s="28"/>
      <c r="H122"/>
      <c r="I122" s="21"/>
      <c r="J122" s="51"/>
      <c r="K122" s="50"/>
      <c r="L122" s="13"/>
    </row>
    <row r="123" spans="1:17" x14ac:dyDescent="0.3">
      <c r="B123" s="36">
        <f ca="1">-B69</f>
        <v>0</v>
      </c>
      <c r="C123" t="s">
        <v>51</v>
      </c>
      <c r="G123" s="28"/>
      <c r="H123"/>
      <c r="I123" s="21"/>
      <c r="J123" s="21"/>
      <c r="K123" s="21"/>
    </row>
    <row r="124" spans="1:17" x14ac:dyDescent="0.3">
      <c r="B124" s="38">
        <f ca="1">IF(B110=0,0,-MIN(B110,SUM(B121,B122,B123)))</f>
        <v>0</v>
      </c>
      <c r="C124" t="s">
        <v>80</v>
      </c>
      <c r="G124" s="28"/>
      <c r="H124"/>
      <c r="I124" s="12"/>
      <c r="J124" s="51"/>
      <c r="K124" s="21"/>
      <c r="L124" s="13"/>
    </row>
    <row r="125" spans="1:17" x14ac:dyDescent="0.3">
      <c r="B125" s="37">
        <f ca="1">B49</f>
        <v>0</v>
      </c>
      <c r="C125" s="27" t="s">
        <v>99</v>
      </c>
      <c r="G125" s="28"/>
      <c r="H125"/>
      <c r="I125" s="12"/>
      <c r="J125" s="51"/>
      <c r="K125" s="21"/>
      <c r="L125" s="13"/>
    </row>
    <row r="126" spans="1:17" x14ac:dyDescent="0.3">
      <c r="A126" s="10" t="s">
        <v>21</v>
      </c>
      <c r="B126" s="77">
        <f ca="1">SUM(B117:B125)</f>
        <v>533.66000000000008</v>
      </c>
      <c r="F126" s="45"/>
      <c r="I126" s="21"/>
      <c r="J126" s="21"/>
      <c r="K126" s="47"/>
      <c r="L126" s="46"/>
      <c r="M126" s="45"/>
    </row>
    <row r="127" spans="1:17" x14ac:dyDescent="0.3">
      <c r="E127" s="18"/>
      <c r="F127" s="47"/>
      <c r="K127" s="45"/>
      <c r="L127" s="45"/>
      <c r="M127" s="45"/>
      <c r="Q127" s="15"/>
    </row>
    <row r="128" spans="1:17" x14ac:dyDescent="0.3">
      <c r="B128" s="13"/>
      <c r="F128" s="45"/>
      <c r="K128" s="45"/>
      <c r="L128" s="45"/>
      <c r="M128" s="45"/>
    </row>
    <row r="129" spans="1:14" x14ac:dyDescent="0.3">
      <c r="A129" s="19" t="s">
        <v>39</v>
      </c>
      <c r="B129" s="13"/>
      <c r="F129" s="45"/>
      <c r="K129" s="45"/>
      <c r="L129" s="45"/>
      <c r="M129" s="45"/>
    </row>
    <row r="130" spans="1:14" x14ac:dyDescent="0.3">
      <c r="A130" t="s">
        <v>113</v>
      </c>
      <c r="B130" s="36">
        <f ca="1">SUM(B117:B120)</f>
        <v>338.36</v>
      </c>
      <c r="F130" s="45"/>
      <c r="K130" s="45"/>
      <c r="L130" s="45"/>
      <c r="M130" s="45"/>
    </row>
    <row r="131" spans="1:14" x14ac:dyDescent="0.3">
      <c r="A131" t="s">
        <v>114</v>
      </c>
      <c r="B131" s="38">
        <f ca="1">SUM(B121:B124)</f>
        <v>195.3</v>
      </c>
      <c r="F131" s="45"/>
      <c r="K131" s="45"/>
      <c r="L131" s="45"/>
      <c r="M131" s="45"/>
    </row>
    <row r="132" spans="1:14" x14ac:dyDescent="0.3">
      <c r="A132" t="s">
        <v>115</v>
      </c>
      <c r="B132" s="37">
        <f ca="1">B125</f>
        <v>0</v>
      </c>
      <c r="F132" s="45"/>
      <c r="K132" s="45"/>
      <c r="L132" s="45"/>
      <c r="M132" s="45"/>
    </row>
    <row r="133" spans="1:14" x14ac:dyDescent="0.3">
      <c r="B133" s="36">
        <f ca="1">SUM(B130:B132)</f>
        <v>533.66000000000008</v>
      </c>
      <c r="F133" s="45"/>
      <c r="K133" s="45"/>
      <c r="L133" s="45"/>
      <c r="M133" s="45"/>
    </row>
    <row r="134" spans="1:14" x14ac:dyDescent="0.3">
      <c r="B134" s="13"/>
      <c r="F134" s="45"/>
      <c r="K134" s="45"/>
      <c r="L134" s="45"/>
      <c r="M134" s="45"/>
    </row>
    <row r="135" spans="1:14" x14ac:dyDescent="0.3">
      <c r="B135" s="13"/>
      <c r="F135" s="45"/>
      <c r="K135" s="45"/>
      <c r="L135" s="45"/>
      <c r="M135" s="45"/>
    </row>
    <row r="136" spans="1:14" x14ac:dyDescent="0.3">
      <c r="B136" s="13"/>
      <c r="F136" s="45"/>
      <c r="K136" s="45"/>
      <c r="L136" s="45"/>
      <c r="M136" s="45"/>
    </row>
    <row r="137" spans="1:14" x14ac:dyDescent="0.3">
      <c r="B137" s="15"/>
      <c r="F137" s="45"/>
      <c r="K137" s="47"/>
      <c r="L137" s="45"/>
      <c r="M137" s="47"/>
      <c r="N137" s="18"/>
    </row>
    <row r="138" spans="1:14" x14ac:dyDescent="0.3">
      <c r="F138" s="45"/>
      <c r="K138" s="45"/>
      <c r="L138" s="45"/>
      <c r="M138" s="45"/>
    </row>
    <row r="139" spans="1:14" x14ac:dyDescent="0.3">
      <c r="F139" s="45"/>
      <c r="K139" s="45"/>
      <c r="L139" s="45"/>
      <c r="M139" s="45"/>
    </row>
    <row r="140" spans="1:14" x14ac:dyDescent="0.3">
      <c r="F140" s="45"/>
      <c r="G140" s="45"/>
      <c r="H140" s="44"/>
      <c r="I140" s="45"/>
      <c r="J140" s="45"/>
      <c r="K140" s="45"/>
      <c r="L140" s="45"/>
      <c r="M140" s="45"/>
    </row>
    <row r="141" spans="1:14" x14ac:dyDescent="0.3">
      <c r="H141" s="12"/>
    </row>
    <row r="143" spans="1:14" x14ac:dyDescent="0.3">
      <c r="H143" s="39"/>
      <c r="M143" s="22"/>
    </row>
  </sheetData>
  <dataValidations disablePrompts="1"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opLeftCell="A5" zoomScale="85" zoomScaleNormal="85" workbookViewId="0">
      <selection activeCell="B17" sqref="B17:D33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29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29" t="s">
        <v>73</v>
      </c>
    </row>
    <row r="3" spans="1:14" x14ac:dyDescent="0.3">
      <c r="A3" s="3" t="s">
        <v>92</v>
      </c>
      <c r="H3" s="44"/>
      <c r="I3" s="44"/>
      <c r="J3" s="47"/>
      <c r="K3" s="45"/>
      <c r="L3" s="21"/>
      <c r="M3" s="21"/>
      <c r="N3" s="21"/>
    </row>
    <row r="4" spans="1:14" x14ac:dyDescent="0.3">
      <c r="E4" t="s">
        <v>58</v>
      </c>
      <c r="F4" t="s">
        <v>24</v>
      </c>
      <c r="H4" s="45"/>
      <c r="I4" s="44"/>
      <c r="J4" s="44"/>
      <c r="K4" s="47"/>
      <c r="L4" s="21"/>
      <c r="M4" s="21"/>
      <c r="N4" s="21"/>
    </row>
    <row r="5" spans="1:14" x14ac:dyDescent="0.3">
      <c r="A5" t="s">
        <v>52</v>
      </c>
      <c r="B5" s="54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x14ac:dyDescent="0.3">
      <c r="A6" s="27" t="s">
        <v>60</v>
      </c>
      <c r="B6" s="1" t="s">
        <v>58</v>
      </c>
      <c r="D6" s="45"/>
      <c r="E6" s="45"/>
      <c r="F6" s="44"/>
      <c r="G6" s="45"/>
      <c r="H6" s="74"/>
      <c r="I6" s="74"/>
      <c r="J6" s="78"/>
      <c r="K6" s="78"/>
      <c r="L6" s="78"/>
      <c r="M6" s="78"/>
      <c r="N6" s="21"/>
    </row>
    <row r="7" spans="1:14" x14ac:dyDescent="0.3">
      <c r="A7" s="27" t="s">
        <v>61</v>
      </c>
      <c r="B7" s="1">
        <v>200</v>
      </c>
      <c r="D7" s="45"/>
      <c r="E7" s="45"/>
      <c r="F7" s="44"/>
      <c r="G7" s="45"/>
      <c r="H7" s="74"/>
      <c r="I7" s="74"/>
      <c r="J7" s="78"/>
      <c r="K7" s="78"/>
      <c r="L7" s="78"/>
      <c r="M7" s="78"/>
      <c r="N7" s="21"/>
    </row>
    <row r="8" spans="1:14" s="21" customFormat="1" x14ac:dyDescent="0.3">
      <c r="A8" s="55"/>
      <c r="B8"/>
      <c r="D8" s="45"/>
      <c r="E8" s="45"/>
      <c r="F8" s="44"/>
      <c r="G8" s="45"/>
      <c r="H8" s="74"/>
      <c r="I8" s="74"/>
      <c r="J8" s="78"/>
      <c r="K8" s="78"/>
      <c r="L8" s="78"/>
      <c r="M8" s="78"/>
    </row>
    <row r="9" spans="1:14" x14ac:dyDescent="0.3">
      <c r="A9" s="2" t="s">
        <v>4</v>
      </c>
      <c r="D9" s="45"/>
      <c r="E9" s="45"/>
      <c r="F9" s="44"/>
      <c r="G9" s="74"/>
      <c r="H9" s="74"/>
      <c r="I9" s="74"/>
      <c r="J9" s="38"/>
      <c r="K9" s="38"/>
      <c r="L9" s="45"/>
      <c r="M9" s="45"/>
      <c r="N9" s="21"/>
    </row>
    <row r="10" spans="1:14" x14ac:dyDescent="0.3">
      <c r="A10" t="s">
        <v>5</v>
      </c>
      <c r="B10" s="1" t="s">
        <v>93</v>
      </c>
      <c r="D10" s="45"/>
      <c r="E10" s="45"/>
      <c r="F10" s="44"/>
      <c r="G10" s="45"/>
      <c r="H10" s="74"/>
      <c r="I10" s="74"/>
      <c r="J10" s="45"/>
      <c r="K10" s="45"/>
      <c r="L10" s="45"/>
      <c r="M10" s="45"/>
      <c r="N10" s="21"/>
    </row>
    <row r="11" spans="1:14" x14ac:dyDescent="0.3">
      <c r="D11" s="45"/>
      <c r="E11" s="45"/>
      <c r="F11" s="45"/>
      <c r="G11" s="45"/>
      <c r="H11" s="74"/>
      <c r="I11" s="74"/>
      <c r="J11" s="45"/>
      <c r="K11" s="45"/>
      <c r="L11" s="45"/>
      <c r="M11" s="45"/>
      <c r="N11" s="21"/>
    </row>
    <row r="12" spans="1:14" x14ac:dyDescent="0.3">
      <c r="D12" s="45"/>
      <c r="E12" s="45"/>
      <c r="F12" s="76"/>
      <c r="G12" s="45"/>
      <c r="H12" s="74"/>
      <c r="I12" s="74"/>
      <c r="J12" s="45"/>
      <c r="K12" s="45"/>
      <c r="L12" s="45"/>
      <c r="M12" s="45"/>
      <c r="N12" s="21"/>
    </row>
    <row r="13" spans="1:14" x14ac:dyDescent="0.3">
      <c r="D13" s="45"/>
      <c r="E13" s="45"/>
      <c r="F13" s="45"/>
      <c r="G13" s="74"/>
      <c r="H13" s="74"/>
      <c r="I13" s="74"/>
      <c r="J13" s="45"/>
      <c r="K13" s="45"/>
      <c r="L13" s="45"/>
      <c r="M13" s="45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</row>
    <row r="16" spans="1:14" x14ac:dyDescent="0.3">
      <c r="A16" s="3" t="s">
        <v>8</v>
      </c>
      <c r="F16" s="21"/>
      <c r="G16" s="21"/>
      <c r="H16" s="12"/>
      <c r="I16" s="21"/>
    </row>
    <row r="17" spans="1:14" x14ac:dyDescent="0.3">
      <c r="B17" s="91" t="s">
        <v>20</v>
      </c>
      <c r="C17" s="21"/>
      <c r="D17" s="21"/>
      <c r="F17" s="91"/>
      <c r="G17" s="21"/>
      <c r="H17" s="21"/>
      <c r="I17" s="21"/>
    </row>
    <row r="18" spans="1:14" ht="15.6" x14ac:dyDescent="0.3">
      <c r="A18" t="s">
        <v>9</v>
      </c>
      <c r="B18" s="50">
        <v>0</v>
      </c>
      <c r="C18" s="26">
        <v>45282</v>
      </c>
      <c r="D18" s="92">
        <v>0.15</v>
      </c>
      <c r="F18" s="50"/>
      <c r="G18" s="26"/>
      <c r="H18" s="92"/>
      <c r="I18" s="21"/>
      <c r="N18" s="6"/>
    </row>
    <row r="19" spans="1:14" ht="15.6" x14ac:dyDescent="0.3">
      <c r="A19" t="s">
        <v>10</v>
      </c>
      <c r="B19" s="26">
        <f>C18</f>
        <v>45282</v>
      </c>
      <c r="C19" s="26">
        <v>90563</v>
      </c>
      <c r="D19" s="64">
        <v>0.20499999999999999</v>
      </c>
      <c r="F19" s="26"/>
      <c r="G19" s="26"/>
      <c r="H19" s="64"/>
      <c r="I19" s="21"/>
      <c r="N19" s="7"/>
    </row>
    <row r="20" spans="1:14" ht="15.6" x14ac:dyDescent="0.3">
      <c r="A20" t="s">
        <v>10</v>
      </c>
      <c r="B20" s="26">
        <f>C19</f>
        <v>90563</v>
      </c>
      <c r="C20" s="26">
        <v>140388</v>
      </c>
      <c r="D20" s="64">
        <v>0.26</v>
      </c>
      <c r="F20" s="26"/>
      <c r="G20" s="26"/>
      <c r="H20" s="64"/>
      <c r="I20" s="21"/>
      <c r="N20" s="7"/>
    </row>
    <row r="21" spans="1:14" ht="15.6" x14ac:dyDescent="0.3">
      <c r="A21" t="s">
        <v>10</v>
      </c>
      <c r="B21" s="26">
        <f>C20</f>
        <v>140388</v>
      </c>
      <c r="C21" s="26">
        <v>200000</v>
      </c>
      <c r="D21" s="64">
        <v>0.28999999999999998</v>
      </c>
      <c r="F21" s="26"/>
      <c r="G21" s="26"/>
      <c r="H21" s="64"/>
      <c r="I21" s="21"/>
      <c r="N21" s="7"/>
    </row>
    <row r="22" spans="1:14" ht="15.6" x14ac:dyDescent="0.3">
      <c r="B22" s="26">
        <f>C21</f>
        <v>200000</v>
      </c>
      <c r="C22" s="21"/>
      <c r="D22" s="64">
        <v>0.33</v>
      </c>
      <c r="F22" s="26"/>
      <c r="G22" s="21"/>
      <c r="H22" s="64"/>
      <c r="I22" s="21"/>
      <c r="N22" s="7"/>
    </row>
    <row r="23" spans="1:14" x14ac:dyDescent="0.3">
      <c r="B23" s="21"/>
      <c r="C23" s="91"/>
      <c r="D23" s="21"/>
      <c r="F23" s="21"/>
      <c r="G23" s="21"/>
      <c r="H23" s="12"/>
      <c r="I23" s="21"/>
    </row>
    <row r="24" spans="1:14" ht="15.6" x14ac:dyDescent="0.3">
      <c r="A24" t="s">
        <v>38</v>
      </c>
      <c r="B24" s="26">
        <v>11474</v>
      </c>
      <c r="C24" s="26"/>
      <c r="D24" s="21"/>
      <c r="F24" s="21"/>
      <c r="G24" s="50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93</v>
      </c>
      <c r="B27" s="91" t="s">
        <v>20</v>
      </c>
      <c r="C27" s="21"/>
      <c r="D27" s="21"/>
      <c r="F27" s="91"/>
      <c r="G27" s="21"/>
      <c r="H27" s="21"/>
      <c r="I27" s="45"/>
      <c r="J27" s="31"/>
      <c r="K27" s="68"/>
    </row>
    <row r="28" spans="1:14" ht="15.6" x14ac:dyDescent="0.3">
      <c r="A28" t="s">
        <v>9</v>
      </c>
      <c r="B28" s="21">
        <v>0</v>
      </c>
      <c r="C28" s="26">
        <v>43176</v>
      </c>
      <c r="D28" s="64">
        <v>0.04</v>
      </c>
      <c r="F28" s="21"/>
      <c r="G28" s="26"/>
      <c r="H28" s="64"/>
      <c r="I28" s="45"/>
      <c r="J28" s="64"/>
      <c r="K28" s="21"/>
    </row>
    <row r="29" spans="1:14" ht="15.6" x14ac:dyDescent="0.3">
      <c r="A29" t="s">
        <v>10</v>
      </c>
      <c r="B29" s="26">
        <f>C28</f>
        <v>43176</v>
      </c>
      <c r="C29" s="26">
        <v>86351</v>
      </c>
      <c r="D29" s="64">
        <v>7.0000000000000007E-2</v>
      </c>
      <c r="F29" s="26"/>
      <c r="G29" s="26"/>
      <c r="H29" s="64"/>
      <c r="I29" s="45"/>
      <c r="J29" s="69"/>
      <c r="K29" s="51"/>
      <c r="L29" s="15"/>
    </row>
    <row r="30" spans="1:14" ht="15.6" x14ac:dyDescent="0.3">
      <c r="A30" t="s">
        <v>10</v>
      </c>
      <c r="B30" s="26">
        <f>C29</f>
        <v>86351</v>
      </c>
      <c r="C30" s="26">
        <v>140388</v>
      </c>
      <c r="D30" s="64">
        <v>0.09</v>
      </c>
      <c r="F30" s="26"/>
      <c r="G30" s="26"/>
      <c r="H30" s="64"/>
      <c r="I30" s="45"/>
      <c r="J30" s="69"/>
      <c r="K30" s="50"/>
      <c r="L30" s="13"/>
      <c r="N30" s="18"/>
    </row>
    <row r="31" spans="1:14" ht="15.6" x14ac:dyDescent="0.3">
      <c r="A31" t="s">
        <v>10</v>
      </c>
      <c r="B31" s="26">
        <f>C30</f>
        <v>140388</v>
      </c>
      <c r="C31" s="26"/>
      <c r="D31" s="64">
        <v>0.115</v>
      </c>
      <c r="F31" s="26"/>
      <c r="G31" s="26"/>
      <c r="H31" s="64"/>
      <c r="I31" s="45"/>
      <c r="J31" s="69"/>
      <c r="K31" s="50"/>
      <c r="L31" s="13"/>
      <c r="N31" s="4"/>
    </row>
    <row r="32" spans="1:14" x14ac:dyDescent="0.3">
      <c r="B32" s="21"/>
      <c r="C32" s="91"/>
      <c r="D32" s="21"/>
      <c r="F32" s="21"/>
      <c r="G32" s="21"/>
      <c r="H32" s="43"/>
      <c r="I32" s="45"/>
      <c r="J32" s="70"/>
      <c r="K32" s="20"/>
      <c r="L32" s="25"/>
    </row>
    <row r="33" spans="1:17" ht="15.6" x14ac:dyDescent="0.3">
      <c r="A33" t="s">
        <v>36</v>
      </c>
      <c r="B33" s="26">
        <v>12947</v>
      </c>
      <c r="C33" s="26"/>
      <c r="D33" s="21"/>
      <c r="F33" s="21"/>
      <c r="G33" s="21"/>
      <c r="H33" s="43"/>
      <c r="I33" s="45"/>
      <c r="J33" s="70"/>
      <c r="K33" s="20"/>
      <c r="L33" s="25"/>
    </row>
    <row r="34" spans="1:17" x14ac:dyDescent="0.3">
      <c r="B34" s="4"/>
      <c r="C34" s="4"/>
      <c r="D34" t="s">
        <v>37</v>
      </c>
      <c r="E34" s="13"/>
      <c r="F34" s="94"/>
      <c r="G34" s="21"/>
      <c r="H34" s="20"/>
      <c r="I34" s="45"/>
      <c r="J34" s="21"/>
      <c r="K34" s="21"/>
    </row>
    <row r="35" spans="1:17" x14ac:dyDescent="0.3">
      <c r="B35" s="4"/>
      <c r="C35" s="4"/>
      <c r="E35" s="13"/>
      <c r="F35" s="42"/>
      <c r="H35" s="16"/>
      <c r="I35" s="45"/>
      <c r="J35" s="21"/>
      <c r="K35" s="21"/>
    </row>
    <row r="36" spans="1:17" x14ac:dyDescent="0.3">
      <c r="A36" s="3" t="s">
        <v>99</v>
      </c>
      <c r="B36" s="4"/>
      <c r="C36" s="4"/>
    </row>
    <row r="37" spans="1:17" x14ac:dyDescent="0.3">
      <c r="A37" s="3"/>
      <c r="B37" s="4" t="s">
        <v>98</v>
      </c>
      <c r="C37" s="4" t="s">
        <v>100</v>
      </c>
    </row>
    <row r="38" spans="1:17" x14ac:dyDescent="0.3">
      <c r="A38" s="3"/>
      <c r="B38" t="s">
        <v>27</v>
      </c>
      <c r="C38" t="s">
        <v>28</v>
      </c>
    </row>
    <row r="39" spans="1:17" x14ac:dyDescent="0.3">
      <c r="A39" s="13"/>
      <c r="B39" s="18">
        <f>$B$14</f>
        <v>139000</v>
      </c>
      <c r="C39" s="18">
        <f ca="1">$B$14+$B$5+$B$55</f>
        <v>141000</v>
      </c>
    </row>
    <row r="40" spans="1:17" x14ac:dyDescent="0.3">
      <c r="B40" s="82">
        <v>0.02</v>
      </c>
      <c r="C40" s="82">
        <v>0.02</v>
      </c>
      <c r="I40" s="18"/>
    </row>
    <row r="41" spans="1:17" x14ac:dyDescent="0.3">
      <c r="B41" s="13">
        <f>B39*B40</f>
        <v>2780</v>
      </c>
      <c r="C41" s="13">
        <f ca="1">C39*C40</f>
        <v>2820</v>
      </c>
    </row>
    <row r="42" spans="1:17" x14ac:dyDescent="0.3">
      <c r="A42" s="13" t="s">
        <v>22</v>
      </c>
      <c r="B42" s="34">
        <v>1200</v>
      </c>
      <c r="C42" s="34">
        <v>1200</v>
      </c>
    </row>
    <row r="43" spans="1:17" x14ac:dyDescent="0.3">
      <c r="B43" s="18">
        <f>MIN(B41,B42)</f>
        <v>1200</v>
      </c>
      <c r="C43" s="18">
        <f ca="1">MIN(C41,C42)</f>
        <v>1200</v>
      </c>
    </row>
    <row r="44" spans="1:17" x14ac:dyDescent="0.3">
      <c r="A44" s="3"/>
      <c r="B44" s="4"/>
      <c r="C44" s="4"/>
    </row>
    <row r="45" spans="1:17" x14ac:dyDescent="0.3">
      <c r="A45" s="27" t="s">
        <v>99</v>
      </c>
      <c r="B45" s="81">
        <f ca="1">C43-B43</f>
        <v>0</v>
      </c>
      <c r="C45" s="4"/>
    </row>
    <row r="46" spans="1:17" x14ac:dyDescent="0.3">
      <c r="B46" s="4"/>
      <c r="C46" s="4"/>
      <c r="E46" s="13"/>
      <c r="F46" s="42"/>
      <c r="H46" s="16"/>
      <c r="I46" s="45"/>
      <c r="J46" s="21"/>
      <c r="K46" s="21"/>
    </row>
    <row r="47" spans="1:17" x14ac:dyDescent="0.3">
      <c r="B47" s="36"/>
      <c r="C47" s="4"/>
      <c r="I47" s="45"/>
      <c r="J47" s="21"/>
      <c r="K47" s="21"/>
      <c r="Q47" s="18"/>
    </row>
    <row r="48" spans="1:17" x14ac:dyDescent="0.3">
      <c r="A48" s="3" t="s">
        <v>53</v>
      </c>
      <c r="B48" s="36"/>
      <c r="C48" s="4"/>
      <c r="I48" s="45"/>
      <c r="J48" s="21"/>
      <c r="K48" s="21"/>
      <c r="Q48" s="18"/>
    </row>
    <row r="49" spans="1:17" x14ac:dyDescent="0.3">
      <c r="B49" s="36"/>
      <c r="C49" s="4"/>
      <c r="I49" s="45"/>
      <c r="J49" s="21"/>
      <c r="K49" s="21"/>
      <c r="Q49" s="18"/>
    </row>
    <row r="50" spans="1:17" x14ac:dyDescent="0.3">
      <c r="A50" s="19" t="s">
        <v>54</v>
      </c>
      <c r="B50" s="36"/>
      <c r="C50" s="4"/>
      <c r="H50" s="12"/>
      <c r="I50" s="45"/>
      <c r="J50" s="21"/>
      <c r="K50" s="21"/>
      <c r="Q50" s="18"/>
    </row>
    <row r="51" spans="1:17" x14ac:dyDescent="0.3">
      <c r="A51" t="s">
        <v>74</v>
      </c>
      <c r="B51" s="36">
        <f>$B$5</f>
        <v>2000</v>
      </c>
      <c r="C51" s="58" t="s">
        <v>31</v>
      </c>
      <c r="D51" s="19" t="s">
        <v>55</v>
      </c>
      <c r="E51" s="13"/>
      <c r="F51" s="18"/>
      <c r="G51" s="4"/>
      <c r="H51" s="65" t="s">
        <v>65</v>
      </c>
      <c r="I51" s="45" t="s">
        <v>64</v>
      </c>
      <c r="J51" s="71" t="s">
        <v>66</v>
      </c>
      <c r="K51" s="21"/>
      <c r="Q51" s="18"/>
    </row>
    <row r="52" spans="1:17" ht="15.6" x14ac:dyDescent="0.3">
      <c r="A52" t="s">
        <v>75</v>
      </c>
      <c r="B52" s="36">
        <f>IF($B$6="US",-IF(($B$7/$B$5)&gt;15%,$B$7-($B$5*15%),0),0)</f>
        <v>0</v>
      </c>
      <c r="C52" s="58" t="s">
        <v>32</v>
      </c>
      <c r="D52" t="s">
        <v>9</v>
      </c>
      <c r="E52" s="4">
        <v>0</v>
      </c>
      <c r="F52" s="5">
        <f t="shared" ref="F52:G55" si="0">C18</f>
        <v>45282</v>
      </c>
      <c r="G52" s="6">
        <f t="shared" si="0"/>
        <v>0.15</v>
      </c>
      <c r="H52" s="12">
        <v>0</v>
      </c>
      <c r="I52" s="12">
        <f ca="1">IF(AND(($B$14+$B$5+$B$55)&gt;=E52,($B$14+$B$5+$B$55)&lt;F52),($B$14+$B$5+$B$55-E52)*G52,0)</f>
        <v>0</v>
      </c>
      <c r="J52" s="12">
        <f ca="1">(IF(I52=0,0,H52+I52))</f>
        <v>0</v>
      </c>
      <c r="K52" s="21"/>
      <c r="Q52" s="18"/>
    </row>
    <row r="53" spans="1:17" ht="15.6" x14ac:dyDescent="0.3">
      <c r="A53" t="s">
        <v>76</v>
      </c>
      <c r="B53" s="36">
        <f>IF($B$6="non-US",-IF(($B$7/$B$5)&gt;15%,$B$7-($B$5*15%),0),0)</f>
        <v>0</v>
      </c>
      <c r="C53" s="4"/>
      <c r="D53" t="s">
        <v>10</v>
      </c>
      <c r="E53" s="5">
        <f>F52</f>
        <v>45282</v>
      </c>
      <c r="F53" s="5">
        <f t="shared" si="0"/>
        <v>90563</v>
      </c>
      <c r="G53" s="6">
        <f t="shared" si="0"/>
        <v>0.20499999999999999</v>
      </c>
      <c r="H53" s="12">
        <f>(F52-E52)*G52</f>
        <v>6792.3</v>
      </c>
      <c r="I53" s="12">
        <f ca="1">IF(AND(($B$14+$B$5+$B$55)&gt;=E53,($B$14+$B$5+$B$55)&lt;F53),($B$14+$B$5+$B$55-E53)*G53,0)</f>
        <v>0</v>
      </c>
      <c r="J53" s="12">
        <f t="shared" ref="J53:J56" ca="1" si="1">(IF(I53=0,0,H53+I53))</f>
        <v>0</v>
      </c>
      <c r="K53" s="21"/>
      <c r="Q53" s="18"/>
    </row>
    <row r="54" spans="1:17" ht="15.6" x14ac:dyDescent="0.3">
      <c r="A54" t="s">
        <v>81</v>
      </c>
      <c r="B54" s="37">
        <f ca="1">-B89</f>
        <v>0</v>
      </c>
      <c r="C54" s="4"/>
      <c r="D54" t="s">
        <v>10</v>
      </c>
      <c r="E54" s="5">
        <f>F53</f>
        <v>90563</v>
      </c>
      <c r="F54" s="5">
        <f t="shared" si="0"/>
        <v>140388</v>
      </c>
      <c r="G54" s="6">
        <f t="shared" si="0"/>
        <v>0.26</v>
      </c>
      <c r="H54" s="12">
        <f>((F53-E53)*G53)+H53</f>
        <v>16074.904999999999</v>
      </c>
      <c r="I54" s="12">
        <f ca="1">IF(AND(($B$14+$B$5+$B$55)&gt;=E54,($B$14+$B$5+$B$55)&lt;F54),($B$14+$B$5+$B$55-E54)*G54,0)</f>
        <v>0</v>
      </c>
      <c r="J54" s="12">
        <f t="shared" ca="1" si="1"/>
        <v>0</v>
      </c>
      <c r="K54" s="21"/>
      <c r="Q54" s="18"/>
    </row>
    <row r="55" spans="1:17" ht="15.6" x14ac:dyDescent="0.3">
      <c r="A55" t="s">
        <v>83</v>
      </c>
      <c r="B55" s="37">
        <f ca="1">SUM(B53:B54)</f>
        <v>0</v>
      </c>
      <c r="C55" s="58" t="s">
        <v>82</v>
      </c>
      <c r="D55" t="s">
        <v>10</v>
      </c>
      <c r="E55" s="5">
        <f>F54</f>
        <v>140388</v>
      </c>
      <c r="F55" s="5">
        <f t="shared" si="0"/>
        <v>200000</v>
      </c>
      <c r="G55" s="6">
        <f t="shared" si="0"/>
        <v>0.28999999999999998</v>
      </c>
      <c r="H55" s="12">
        <f>((F54-E54)*G54)+H54</f>
        <v>29029.404999999999</v>
      </c>
      <c r="I55" s="12">
        <f ca="1">IF(AND(($B$14+$B$5+$B$55)&gt;=E55,($B$14+$B$5+$B$55)&lt;F55),($B$14+$B$5+$B$55-E55)*G55,0)</f>
        <v>177.48</v>
      </c>
      <c r="J55" s="12">
        <f t="shared" ca="1" si="1"/>
        <v>29206.884999999998</v>
      </c>
      <c r="K55" s="21"/>
      <c r="Q55" s="18"/>
    </row>
    <row r="56" spans="1:17" ht="15.6" x14ac:dyDescent="0.3">
      <c r="A56" t="s">
        <v>56</v>
      </c>
      <c r="B56" s="36">
        <f ca="1">B51+B52+B55</f>
        <v>2000</v>
      </c>
      <c r="C56" s="58" t="s">
        <v>84</v>
      </c>
      <c r="E56" s="5">
        <f>F55</f>
        <v>200000</v>
      </c>
      <c r="G56" s="6">
        <f>D22</f>
        <v>0.33</v>
      </c>
      <c r="H56" s="12">
        <f>((F55-E55)*G55)+H55</f>
        <v>46316.884999999995</v>
      </c>
      <c r="I56" s="12">
        <f ca="1">IF(($B$14+$B$5+$B$55)&gt;=E56,($B$14+$B$5+$B$55-E56)*G56,0)</f>
        <v>0</v>
      </c>
      <c r="J56" s="52">
        <f t="shared" ca="1" si="1"/>
        <v>0</v>
      </c>
      <c r="K56" s="21"/>
      <c r="Q56" s="18"/>
    </row>
    <row r="57" spans="1:17" x14ac:dyDescent="0.3">
      <c r="B57" s="36"/>
      <c r="C57" s="4"/>
      <c r="E57" s="13"/>
      <c r="F57" s="18"/>
      <c r="G57" s="4"/>
      <c r="H57" s="16"/>
      <c r="I57" s="45"/>
      <c r="J57" s="12">
        <f ca="1">SUM(J52:J56)</f>
        <v>29206.884999999998</v>
      </c>
      <c r="K57" s="21"/>
      <c r="Q57" s="18"/>
    </row>
    <row r="58" spans="1:17" x14ac:dyDescent="0.3">
      <c r="A58" t="s">
        <v>6</v>
      </c>
      <c r="B58" s="38">
        <f>$B$5+$B$14</f>
        <v>141000</v>
      </c>
      <c r="C58" s="58" t="s">
        <v>31</v>
      </c>
      <c r="G58" s="61" t="s">
        <v>35</v>
      </c>
      <c r="H58" s="13">
        <f>B24</f>
        <v>11474</v>
      </c>
      <c r="I58" s="76">
        <f>D18</f>
        <v>0.15</v>
      </c>
      <c r="J58" s="52">
        <f ca="1">IF(($B$5+$B$14+B55)&lt;H58,($B$5+$B$14+B55)*I58,H58*I58)</f>
        <v>1721.1</v>
      </c>
      <c r="K58" s="21"/>
      <c r="Q58" s="18"/>
    </row>
    <row r="59" spans="1:17" x14ac:dyDescent="0.3">
      <c r="A59" t="s">
        <v>76</v>
      </c>
      <c r="B59" s="38">
        <f>IF($B$6="non-US",-IF(($B$7/$B$5)&gt;15%,$B$7-($B$5*15%),0),0)</f>
        <v>0</v>
      </c>
      <c r="C59" s="4"/>
      <c r="G59" s="61"/>
      <c r="I59" s="45"/>
      <c r="J59" s="13">
        <f ca="1">IF((J57-J58)&lt;=0,0,J57-J58)</f>
        <v>27485.785</v>
      </c>
      <c r="K59" s="21"/>
      <c r="Q59" s="18"/>
    </row>
    <row r="60" spans="1:17" x14ac:dyDescent="0.3">
      <c r="A60" t="s">
        <v>81</v>
      </c>
      <c r="B60" s="37">
        <f ca="1">B54</f>
        <v>0</v>
      </c>
      <c r="C60" s="4"/>
      <c r="G60" s="61"/>
      <c r="I60" s="45"/>
      <c r="J60" s="44"/>
      <c r="K60" s="21"/>
      <c r="Q60" s="18"/>
    </row>
    <row r="61" spans="1:17" x14ac:dyDescent="0.3">
      <c r="A61" t="s">
        <v>83</v>
      </c>
      <c r="B61" s="37">
        <f ca="1">SUM(B59:B60)</f>
        <v>0</v>
      </c>
      <c r="C61" s="58" t="s">
        <v>32</v>
      </c>
      <c r="E61" s="13"/>
      <c r="F61" s="18"/>
      <c r="I61" s="45"/>
      <c r="J61" s="21"/>
      <c r="K61" s="21"/>
      <c r="Q61" s="18"/>
    </row>
    <row r="62" spans="1:17" x14ac:dyDescent="0.3">
      <c r="A62" t="s">
        <v>77</v>
      </c>
      <c r="B62" s="36">
        <f ca="1">B58+B61</f>
        <v>141000</v>
      </c>
      <c r="C62" s="58" t="s">
        <v>85</v>
      </c>
      <c r="I62" s="45"/>
      <c r="J62" s="21"/>
      <c r="K62" s="21"/>
      <c r="Q62" s="18"/>
    </row>
    <row r="63" spans="1:17" x14ac:dyDescent="0.3">
      <c r="B63" s="36"/>
      <c r="C63" s="4"/>
      <c r="I63" s="45"/>
      <c r="J63" s="21"/>
      <c r="K63" s="21"/>
      <c r="Q63" s="18"/>
    </row>
    <row r="64" spans="1:17" x14ac:dyDescent="0.3">
      <c r="A64" t="s">
        <v>57</v>
      </c>
      <c r="B64" s="57">
        <f ca="1">B56/B62</f>
        <v>1.4184397163120567E-2</v>
      </c>
      <c r="C64" s="4"/>
      <c r="I64" s="45"/>
      <c r="J64" s="21"/>
      <c r="K64" s="21"/>
      <c r="Q64" s="18"/>
    </row>
    <row r="65" spans="1:17" x14ac:dyDescent="0.3">
      <c r="B65" s="36"/>
      <c r="C65" s="4"/>
      <c r="I65" s="45"/>
      <c r="J65" s="21"/>
      <c r="K65" s="21"/>
      <c r="Q65" s="18"/>
    </row>
    <row r="66" spans="1:17" x14ac:dyDescent="0.3">
      <c r="A66" t="s">
        <v>55</v>
      </c>
      <c r="B66" s="36">
        <f ca="1">J59</f>
        <v>27485.785</v>
      </c>
      <c r="C66" s="4"/>
      <c r="I66" s="45"/>
      <c r="J66" s="21"/>
      <c r="K66" s="21"/>
      <c r="Q66" s="18"/>
    </row>
    <row r="67" spans="1:17" x14ac:dyDescent="0.3">
      <c r="B67" s="36"/>
      <c r="C67" s="4"/>
      <c r="E67" s="63"/>
      <c r="F67" s="38"/>
      <c r="G67" s="4"/>
      <c r="H67" s="59"/>
      <c r="I67" s="45"/>
      <c r="J67" s="71"/>
      <c r="K67" s="21"/>
      <c r="Q67" s="18"/>
    </row>
    <row r="68" spans="1:17" ht="15.6" x14ac:dyDescent="0.3">
      <c r="A68" t="s">
        <v>67</v>
      </c>
      <c r="B68" s="36">
        <f ca="1">B66*B64</f>
        <v>389.86929078014185</v>
      </c>
      <c r="C68" s="58" t="s">
        <v>31</v>
      </c>
      <c r="E68" s="4"/>
      <c r="G68" s="6"/>
      <c r="H68" s="38"/>
      <c r="I68" s="45"/>
      <c r="J68" s="38"/>
      <c r="K68" s="21"/>
      <c r="Q68" s="18"/>
    </row>
    <row r="69" spans="1:17" ht="15.6" x14ac:dyDescent="0.3">
      <c r="A69" t="s">
        <v>68</v>
      </c>
      <c r="B69" s="36">
        <f>MIN($B$7,$B$5*15%)</f>
        <v>200</v>
      </c>
      <c r="C69" s="58" t="s">
        <v>32</v>
      </c>
      <c r="E69" s="5"/>
      <c r="G69" s="7"/>
      <c r="H69" s="38"/>
      <c r="I69" s="45"/>
      <c r="J69" s="38"/>
      <c r="K69" s="21"/>
      <c r="Q69" s="18"/>
    </row>
    <row r="70" spans="1:17" ht="15.6" x14ac:dyDescent="0.3">
      <c r="B70" s="36"/>
      <c r="C70" s="4"/>
      <c r="E70" s="5"/>
      <c r="G70" s="7"/>
      <c r="H70" s="38"/>
      <c r="I70" s="45"/>
      <c r="J70" s="38"/>
      <c r="K70" s="21"/>
      <c r="Q70" s="18"/>
    </row>
    <row r="71" spans="1:17" ht="15.6" x14ac:dyDescent="0.3">
      <c r="A71" t="s">
        <v>69</v>
      </c>
      <c r="B71" s="60">
        <f ca="1">MIN(B68,B69)</f>
        <v>200</v>
      </c>
      <c r="C71" s="58" t="s">
        <v>87</v>
      </c>
      <c r="E71" s="5"/>
      <c r="G71" s="7"/>
      <c r="H71" s="38"/>
      <c r="I71" s="45"/>
      <c r="J71" s="38"/>
      <c r="K71" s="21"/>
      <c r="Q71" s="18"/>
    </row>
    <row r="72" spans="1:17" ht="15.6" x14ac:dyDescent="0.3">
      <c r="B72" s="60"/>
      <c r="C72" s="4"/>
      <c r="E72" s="5"/>
      <c r="F72" s="5"/>
      <c r="G72" s="7"/>
      <c r="H72" s="38"/>
      <c r="I72" s="45"/>
      <c r="J72" s="38"/>
      <c r="K72" s="21"/>
      <c r="Q72" s="18"/>
    </row>
    <row r="73" spans="1:17" ht="15.6" x14ac:dyDescent="0.3">
      <c r="B73" s="60"/>
      <c r="C73" s="4"/>
      <c r="E73" s="13"/>
      <c r="F73" s="5"/>
      <c r="G73" s="4"/>
      <c r="H73" s="16"/>
      <c r="I73" s="45"/>
      <c r="J73" s="38"/>
      <c r="K73" s="21"/>
      <c r="Q73" s="18"/>
    </row>
    <row r="74" spans="1:17" x14ac:dyDescent="0.3">
      <c r="A74" s="19" t="s">
        <v>70</v>
      </c>
      <c r="B74" s="36"/>
      <c r="C74" s="4"/>
      <c r="H74" s="12"/>
      <c r="I74" s="45"/>
      <c r="J74" s="21"/>
      <c r="K74" s="21"/>
      <c r="L74" s="19"/>
      <c r="Q74" s="18"/>
    </row>
    <row r="75" spans="1:17" x14ac:dyDescent="0.3">
      <c r="A75" t="s">
        <v>56</v>
      </c>
      <c r="B75" s="36">
        <f ca="1">B56</f>
        <v>2000</v>
      </c>
      <c r="C75" s="4"/>
      <c r="D75" s="19" t="s">
        <v>71</v>
      </c>
      <c r="E75" s="13"/>
      <c r="F75" s="18"/>
      <c r="G75" s="4"/>
      <c r="H75" s="65" t="s">
        <v>65</v>
      </c>
      <c r="I75" s="45" t="s">
        <v>64</v>
      </c>
      <c r="J75" s="71" t="s">
        <v>66</v>
      </c>
      <c r="K75" s="51"/>
      <c r="Q75" s="18"/>
    </row>
    <row r="76" spans="1:17" ht="15.6" x14ac:dyDescent="0.3">
      <c r="A76" t="s">
        <v>23</v>
      </c>
      <c r="B76" s="38">
        <f ca="1">B62</f>
        <v>141000</v>
      </c>
      <c r="C76" s="4"/>
      <c r="D76" t="s">
        <v>9</v>
      </c>
      <c r="E76">
        <v>0</v>
      </c>
      <c r="F76" s="5">
        <f t="shared" ref="F76:G78" si="2">C28</f>
        <v>43176</v>
      </c>
      <c r="G76" s="7">
        <f t="shared" si="2"/>
        <v>0.04</v>
      </c>
      <c r="H76" s="12">
        <v>0</v>
      </c>
      <c r="I76" s="44">
        <f ca="1">IF(AND(($B$14+$B$5+$B$55)&gt;=E76,($B$14+$B$5+$B$55)&lt;F76),($B$14+$B$5+$B$55-E76)*G76,0)</f>
        <v>0</v>
      </c>
      <c r="J76" s="12">
        <f ca="1">(IF(I76=0,0,H76+I76))</f>
        <v>0</v>
      </c>
      <c r="K76" s="21"/>
      <c r="Q76" s="18"/>
    </row>
    <row r="77" spans="1:17" ht="15.6" x14ac:dyDescent="0.3">
      <c r="A77" t="s">
        <v>57</v>
      </c>
      <c r="B77" s="57">
        <f ca="1">B75/B76</f>
        <v>1.4184397163120567E-2</v>
      </c>
      <c r="C77" s="4"/>
      <c r="D77" t="s">
        <v>10</v>
      </c>
      <c r="E77" s="5">
        <f>F76</f>
        <v>43176</v>
      </c>
      <c r="F77" s="5">
        <f t="shared" si="2"/>
        <v>86351</v>
      </c>
      <c r="G77" s="7">
        <f t="shared" si="2"/>
        <v>7.0000000000000007E-2</v>
      </c>
      <c r="H77" s="12">
        <f>(F76-E76)*G76</f>
        <v>1727.04</v>
      </c>
      <c r="I77" s="44">
        <f ca="1">IF(AND(($B$14+$B$5+$B$55)&gt;=E77,($B$14+$B$5+$B$55)&lt;F77),($B$14+$B$5+$B$55-E77)*G77,0)</f>
        <v>0</v>
      </c>
      <c r="J77" s="12">
        <f t="shared" ref="J77:J78" ca="1" si="3">(IF(I77=0,0,H77+I77))</f>
        <v>0</v>
      </c>
      <c r="K77" s="21"/>
      <c r="Q77" s="18"/>
    </row>
    <row r="78" spans="1:17" ht="15.6" x14ac:dyDescent="0.3">
      <c r="B78" s="36"/>
      <c r="C78" s="4"/>
      <c r="D78" t="s">
        <v>10</v>
      </c>
      <c r="E78" s="26">
        <f>F77</f>
        <v>86351</v>
      </c>
      <c r="F78" s="5">
        <f t="shared" si="2"/>
        <v>140388</v>
      </c>
      <c r="G78" s="7">
        <f t="shared" si="2"/>
        <v>0.09</v>
      </c>
      <c r="H78" s="12">
        <f>((F77-E77)*G77)+H77</f>
        <v>4749.2900000000009</v>
      </c>
      <c r="I78" s="44">
        <f ca="1">IF(AND(($B$14+$B$5+$B$55)&gt;=E78,($B$14+$B$5+$B$55)&lt;F78),($B$14+$B$5+$B$55-E78)*G78,0)</f>
        <v>0</v>
      </c>
      <c r="J78" s="12">
        <f t="shared" ca="1" si="3"/>
        <v>0</v>
      </c>
      <c r="K78" s="21"/>
      <c r="Q78" s="18"/>
    </row>
    <row r="79" spans="1:17" ht="15.6" x14ac:dyDescent="0.3">
      <c r="A79" t="s">
        <v>71</v>
      </c>
      <c r="B79" s="36">
        <f ca="1">J82</f>
        <v>9165.1200000000008</v>
      </c>
      <c r="C79" s="4"/>
      <c r="D79" t="s">
        <v>10</v>
      </c>
      <c r="E79" s="5">
        <f>F78</f>
        <v>140388</v>
      </c>
      <c r="F79" s="5"/>
      <c r="G79" s="7">
        <f>D31</f>
        <v>0.115</v>
      </c>
      <c r="H79" s="12">
        <f>((F78-E78)*G78)+H78</f>
        <v>9612.6200000000008</v>
      </c>
      <c r="I79" s="44">
        <f ca="1">IF(($B$14+$B$5+$B$55)&gt;=E79,($B$14+$B$5+$B$55-E79)*G79,0)</f>
        <v>70.38000000000001</v>
      </c>
      <c r="J79" s="52">
        <f ca="1">(IF(I79=0,0,H79+I79))</f>
        <v>9683</v>
      </c>
      <c r="K79" s="21"/>
      <c r="Q79" s="18"/>
    </row>
    <row r="80" spans="1:17" x14ac:dyDescent="0.3">
      <c r="B80" s="36"/>
      <c r="C80" s="4"/>
      <c r="E80" s="13"/>
      <c r="F80" s="18"/>
      <c r="G80" s="4"/>
      <c r="H80" s="20"/>
      <c r="I80" s="45"/>
      <c r="J80" s="51">
        <f ca="1">SUM(J76:J79)</f>
        <v>9683</v>
      </c>
      <c r="K80" s="21"/>
      <c r="Q80" s="18"/>
    </row>
    <row r="81" spans="1:17" x14ac:dyDescent="0.3">
      <c r="A81" t="s">
        <v>67</v>
      </c>
      <c r="B81" s="36">
        <f ca="1">B79*B77</f>
        <v>130.00170212765957</v>
      </c>
      <c r="C81" s="58" t="s">
        <v>31</v>
      </c>
      <c r="E81" s="13"/>
      <c r="F81" s="18"/>
      <c r="G81" s="61" t="s">
        <v>35</v>
      </c>
      <c r="H81" s="13">
        <f>B33</f>
        <v>12947</v>
      </c>
      <c r="I81" s="76">
        <f>D28</f>
        <v>0.04</v>
      </c>
      <c r="J81" s="52">
        <f ca="1">IF(($B$5+$B$14+$B$55)&lt;H81,($B$5+$B$14+$B$55)*I81,H81*I81)</f>
        <v>517.88</v>
      </c>
      <c r="K81" s="21"/>
      <c r="Q81" s="18"/>
    </row>
    <row r="82" spans="1:17" x14ac:dyDescent="0.3">
      <c r="B82" s="36"/>
      <c r="C82" s="58"/>
      <c r="E82" s="35"/>
      <c r="F82" s="21"/>
      <c r="G82" s="4"/>
      <c r="H82" s="4"/>
      <c r="I82" s="45"/>
      <c r="J82" s="13">
        <f ca="1">IF((J80-J81)&lt;=0,0,J80-J81)</f>
        <v>9165.1200000000008</v>
      </c>
      <c r="K82" s="21"/>
      <c r="Q82" s="18"/>
    </row>
    <row r="83" spans="1:17" x14ac:dyDescent="0.3">
      <c r="A83" t="s">
        <v>68</v>
      </c>
      <c r="B83" s="36">
        <f>B69</f>
        <v>200</v>
      </c>
      <c r="K83" s="21"/>
    </row>
    <row r="84" spans="1:17" x14ac:dyDescent="0.3">
      <c r="A84" t="s">
        <v>78</v>
      </c>
      <c r="B84" s="37">
        <f ca="1">-B71</f>
        <v>-200</v>
      </c>
      <c r="C84" s="58"/>
      <c r="F84" s="38"/>
      <c r="G84" s="62"/>
      <c r="H84" s="18"/>
      <c r="I84" s="45"/>
      <c r="J84" s="47"/>
      <c r="K84" s="21"/>
    </row>
    <row r="85" spans="1:17" x14ac:dyDescent="0.3">
      <c r="B85" s="36">
        <f ca="1">SUM(B83:B84)</f>
        <v>0</v>
      </c>
      <c r="C85" s="58" t="s">
        <v>32</v>
      </c>
      <c r="G85" s="18"/>
      <c r="H85" s="18"/>
      <c r="I85" s="45"/>
      <c r="J85" s="12"/>
      <c r="K85" s="21"/>
    </row>
    <row r="86" spans="1:17" x14ac:dyDescent="0.3">
      <c r="B86" s="36"/>
      <c r="C86" s="4"/>
      <c r="H86" s="18"/>
      <c r="I86" s="45"/>
      <c r="J86" s="51"/>
      <c r="K86" s="50"/>
      <c r="L86" s="16"/>
    </row>
    <row r="87" spans="1:17" x14ac:dyDescent="0.3">
      <c r="A87" t="s">
        <v>72</v>
      </c>
      <c r="B87" s="60">
        <f ca="1">MIN(B81,B85)</f>
        <v>0</v>
      </c>
      <c r="C87" s="58" t="s">
        <v>87</v>
      </c>
      <c r="I87" s="45"/>
      <c r="J87" s="21"/>
      <c r="K87" s="50"/>
      <c r="L87" s="16"/>
    </row>
    <row r="88" spans="1:17" x14ac:dyDescent="0.3">
      <c r="B88" s="36"/>
      <c r="C88" s="4"/>
      <c r="I88" s="45"/>
      <c r="J88" s="21"/>
      <c r="K88" s="50"/>
      <c r="L88" s="16"/>
    </row>
    <row r="89" spans="1:17" x14ac:dyDescent="0.3">
      <c r="A89" t="s">
        <v>86</v>
      </c>
      <c r="B89" s="60">
        <f ca="1">B69-B71-B87</f>
        <v>0</v>
      </c>
      <c r="C89" s="58" t="s">
        <v>88</v>
      </c>
      <c r="G89" s="18"/>
      <c r="H89" s="18"/>
      <c r="I89" s="45"/>
      <c r="J89" s="51"/>
      <c r="K89" s="50"/>
      <c r="L89" s="16"/>
    </row>
    <row r="90" spans="1:17" x14ac:dyDescent="0.3">
      <c r="B90" s="36"/>
      <c r="C90" s="4"/>
      <c r="G90" s="18"/>
      <c r="H90" s="18"/>
      <c r="I90" s="45"/>
      <c r="J90" s="51"/>
      <c r="K90" s="50"/>
      <c r="L90" s="16"/>
    </row>
    <row r="91" spans="1:17" x14ac:dyDescent="0.3">
      <c r="A91" s="2" t="s">
        <v>12</v>
      </c>
      <c r="G91" s="18"/>
      <c r="H91" s="47"/>
      <c r="I91" s="74"/>
      <c r="J91" s="47"/>
      <c r="K91" s="46"/>
      <c r="L91" s="16"/>
    </row>
    <row r="92" spans="1:17" x14ac:dyDescent="0.3">
      <c r="B92" s="11"/>
      <c r="C92" t="s">
        <v>13</v>
      </c>
      <c r="G92" s="18"/>
      <c r="H92" s="47"/>
      <c r="I92" s="79"/>
      <c r="J92" s="47"/>
      <c r="K92" s="46"/>
      <c r="L92" s="16"/>
    </row>
    <row r="93" spans="1:17" x14ac:dyDescent="0.3">
      <c r="B93" s="36"/>
      <c r="C93" s="4"/>
      <c r="H93" s="44"/>
      <c r="I93" s="45"/>
      <c r="J93" s="45"/>
      <c r="K93" s="45"/>
      <c r="L93" s="16"/>
    </row>
    <row r="94" spans="1:17" x14ac:dyDescent="0.3">
      <c r="A94" t="s">
        <v>19</v>
      </c>
      <c r="B94" s="36">
        <f ca="1">IF(AND((B5+B55+B14)&gt;=B18,(B5+B55+B14)&lt;=C18),(B5+B55)*D18,IF(AND((B5+B55+B14)&gt;B19,(B5+B55+B14)&lt;=C19),IF((B5+B55+B14-B19)&gt;(B5+B55),(B5+B55)*D19,((B5+B55+B14-B19)*D19)+((B5+B55-(B5+B55+B14-B19))*D18)),IF(AND((B5+B55+B14)&gt;B20,(B5+B55+B14)&lt;=C20),IF((B5+B55+B14-B20)&gt;(B5+B55),(B5+B55)*D20,IF((B5+B55+B14-B19)&gt;(B5+B55),(((B5+B55+B14-B20)*D20)+((B5+B55-(B5+B55+B14-B20))*D19)),((B5+B55+B14-B20)*D20)+((C19-B19)*D19)+((B5+B55-(B5+B55+B14-B19))*D18))),IF(AND((B5+B55+B14)&gt;B21,(B5+B55+B14)&lt;=C21),IF((B5+B55+B14-B21)&gt;(B5+B55),(B5+B55)*D21,IF((B5+B55+B14-B20)&gt;(B5+B55),((B5+B55+B14-B21)*D21)+(((B5+B55-(B5+B55+B14-B21))*D20)),IF((B5+B55+B14-B19)&gt;(B5+B55),(((B5+B55+B14-B21)*D21)+((C20-B20)*D20)+((B5+B55-(B5+B55+B14-B20))*D19)),((B5+B55+B14-B21)*D21)+((C20-B20)*D20)+((C19-B19)*D19)+((B5+B55-(B5+B55+B14-B19))*D18)))),IF((B5+B55+B14)&gt;B22,IF((B5+B55+B14-B22)&gt;(B5+B55),(B5+B55)*D22,IF((B5+B55+B14-B21)&gt;(B5+B55),(((B5+B55+B14-B22)*D22)+((B5+B55-(B5+B55+B14-B22))*D21)),IF((B5+B55+B14-B20)&gt;(B5+B55),(((B5+B55+B14-B22)*D22)+((C21-B21)*D21)+((B5+B55-(B5+B55+B14-B21))*D20)),IF((B5+B55+B14-B19)&gt;(B5+B55),(((B5+B55+B14-B22)*D22)+((C21-B21)*D21)+((C20-B20)*D20)+((B5+B55-(B5+B55+B14-B20))*D19)),((B5+B55+B14-B22)*D22)+((C21-B21)*D21)+((C20-B20)*D20)+((C19-B19)*D19)+((B5+B55-(B5+B55+B14-B19))*D18))))))))))</f>
        <v>538.36</v>
      </c>
      <c r="C94" t="s">
        <v>15</v>
      </c>
      <c r="G94" s="28"/>
      <c r="H94" s="45"/>
      <c r="I94" s="45"/>
      <c r="J94" s="45"/>
      <c r="K94" s="45"/>
      <c r="L94" s="13"/>
    </row>
    <row r="95" spans="1:17" x14ac:dyDescent="0.3">
      <c r="B95" s="36">
        <f>-IF(B14&gt;=B24,0,IF(B14&lt;B24,IF((B14+B5+B55)&gt;B24,(B24-B14)*D18,((B5+B55)*D18))))</f>
        <v>0</v>
      </c>
      <c r="C95" t="s">
        <v>34</v>
      </c>
      <c r="G95" s="28"/>
      <c r="I95" s="45"/>
      <c r="J95" s="47"/>
      <c r="K95" s="46"/>
      <c r="L95" s="16"/>
    </row>
    <row r="96" spans="1:17" x14ac:dyDescent="0.3">
      <c r="B96" s="36">
        <f ca="1">IF(B71=0,0,-MIN(B71,SUM(B94:B95)))</f>
        <v>-200</v>
      </c>
      <c r="C96" t="s">
        <v>79</v>
      </c>
      <c r="G96" s="28"/>
      <c r="H96" s="75"/>
      <c r="I96" s="51"/>
      <c r="J96" s="51"/>
      <c r="K96" s="50"/>
      <c r="L96" s="16"/>
    </row>
    <row r="97" spans="1:17" x14ac:dyDescent="0.3">
      <c r="B97" s="36">
        <f ca="1">IF(AND((B5+B55+B14)&gt;=B28,(B5+B55+B14)&lt;=C28),(B5+B55)*D28,IF(AND((B5+B55+B14)&gt;B29,(B5+B55+B14)&lt;=C29),IF((B5+B55+B14-B29)&gt;(B5+B55),(B5+B55)*D29,((B5+B55+B14-B29)*D29)+((B5+B55-(B5+B55+B14-B29))*D28)),IF(AND((B5+B55+B14)&gt;B30,(B5+B55+B14)&lt;=C30),IF((B5+B55+B14-B30)&gt;(B5+B55),(B5+B55)*D30,IF((B5+B55+B14-B29)&gt;(B5+B55),(((B5+B55+B14-B30)*D30)+((B5+B55-(B5+B55+B14-B30))*D29)),((B5+B55+B14-B30)*D30)+((C29-B29)*D29)+((B5+B55-(B5+B55+B14-B29))*D28))),IF((B5+B55+B14)&gt;B31,IF((B5+B55+B14-B31)&gt;(B5+B55),(B5+B55)*D31,IF((B5+B55+B14-B30)&gt;(B5+B55),(((B5+B55+B14-B31)*D31)+((B5+B55-(B5+B55+B14-B31))*D30)),IF((B5+B55+B14-B29)&gt;(B5+B55),(((B5+B55+B14-B31)*D31)+((C30-B30)*D30)+((B5+B55-(B5+B55+B14-B30))*D29)),((B5+B55+B14-B31)*D31)+((C30-B30)*D30)+((C29-B29)*D29)+((B5+B55-(B5+B55+B14-B29))*D28))))))))</f>
        <v>195.3</v>
      </c>
      <c r="C97" t="s">
        <v>16</v>
      </c>
      <c r="G97" s="28"/>
      <c r="H97" s="21"/>
      <c r="I97" s="51"/>
      <c r="J97" s="51"/>
      <c r="K97" s="21"/>
    </row>
    <row r="98" spans="1:17" x14ac:dyDescent="0.3">
      <c r="B98" s="36">
        <f>-IF(B14&gt;=B33,0,IF(B14&lt;B33,IF((B14+B5+B55)&gt;B33,(B33-B14)*D28,((B5+B55)*D28))))</f>
        <v>0</v>
      </c>
      <c r="C98" t="s">
        <v>36</v>
      </c>
      <c r="G98" s="28"/>
      <c r="H98"/>
      <c r="I98" s="21"/>
      <c r="J98" s="51"/>
      <c r="K98" s="50"/>
      <c r="L98" s="13"/>
    </row>
    <row r="99" spans="1:17" x14ac:dyDescent="0.3">
      <c r="B99" s="38">
        <f ca="1">IF(B87=0,0,-MIN(B87,SUM(B97,B98)))</f>
        <v>0</v>
      </c>
      <c r="C99" t="s">
        <v>80</v>
      </c>
      <c r="G99" s="28"/>
      <c r="H99"/>
      <c r="I99" s="12"/>
      <c r="J99" s="51"/>
      <c r="K99" s="21"/>
      <c r="L99" s="13"/>
    </row>
    <row r="100" spans="1:17" x14ac:dyDescent="0.3">
      <c r="B100" s="37">
        <f ca="1">B45</f>
        <v>0</v>
      </c>
      <c r="C100" s="27" t="s">
        <v>99</v>
      </c>
      <c r="G100" s="28"/>
      <c r="H100"/>
      <c r="I100" s="12"/>
      <c r="J100" s="51"/>
      <c r="K100" s="21"/>
      <c r="L100" s="13"/>
    </row>
    <row r="101" spans="1:17" x14ac:dyDescent="0.3">
      <c r="A101" s="10" t="s">
        <v>21</v>
      </c>
      <c r="B101" s="77">
        <f ca="1">SUM(B94:B100)</f>
        <v>533.66000000000008</v>
      </c>
      <c r="F101" s="45"/>
      <c r="I101" s="21"/>
      <c r="J101" s="21"/>
      <c r="K101" s="47"/>
      <c r="L101" s="46"/>
      <c r="M101" s="45"/>
    </row>
    <row r="102" spans="1:17" x14ac:dyDescent="0.3">
      <c r="E102" s="18"/>
      <c r="F102" s="47"/>
      <c r="K102" s="45"/>
      <c r="L102" s="45"/>
      <c r="M102" s="45"/>
      <c r="Q102" s="15"/>
    </row>
    <row r="103" spans="1:17" x14ac:dyDescent="0.3">
      <c r="B103" s="13"/>
      <c r="F103" s="45"/>
      <c r="K103" s="45"/>
      <c r="L103" s="45"/>
      <c r="M103" s="45"/>
    </row>
    <row r="104" spans="1:17" x14ac:dyDescent="0.3">
      <c r="A104" s="19" t="s">
        <v>39</v>
      </c>
      <c r="B104" s="13"/>
      <c r="F104" s="45"/>
      <c r="K104" s="45"/>
      <c r="L104" s="45"/>
      <c r="M104" s="45"/>
    </row>
    <row r="105" spans="1:17" x14ac:dyDescent="0.3">
      <c r="A105" t="s">
        <v>113</v>
      </c>
      <c r="B105" s="36">
        <f ca="1">SUM(B94:B96)</f>
        <v>338.36</v>
      </c>
      <c r="F105" s="45"/>
      <c r="K105" s="45"/>
      <c r="L105" s="45"/>
      <c r="M105" s="45"/>
    </row>
    <row r="106" spans="1:17" x14ac:dyDescent="0.3">
      <c r="A106" t="s">
        <v>114</v>
      </c>
      <c r="B106" s="38">
        <f ca="1">SUM(B97:B99)</f>
        <v>195.3</v>
      </c>
      <c r="F106" s="45"/>
      <c r="K106" s="45"/>
      <c r="L106" s="45"/>
      <c r="M106" s="45"/>
    </row>
    <row r="107" spans="1:17" x14ac:dyDescent="0.3">
      <c r="A107" t="s">
        <v>115</v>
      </c>
      <c r="B107" s="37">
        <f ca="1">B100</f>
        <v>0</v>
      </c>
      <c r="F107" s="45"/>
      <c r="K107" s="45"/>
      <c r="L107" s="45"/>
      <c r="M107" s="45"/>
    </row>
    <row r="108" spans="1:17" x14ac:dyDescent="0.3">
      <c r="B108" s="36">
        <f ca="1">SUM(B105:B107)</f>
        <v>533.66000000000008</v>
      </c>
      <c r="F108" s="45"/>
      <c r="K108" s="45"/>
      <c r="L108" s="45"/>
      <c r="M108" s="45"/>
    </row>
    <row r="109" spans="1:17" x14ac:dyDescent="0.3">
      <c r="B109" s="13"/>
      <c r="F109" s="45"/>
      <c r="K109" s="45"/>
      <c r="L109" s="45"/>
      <c r="M109" s="45"/>
    </row>
    <row r="110" spans="1:17" x14ac:dyDescent="0.3">
      <c r="B110" s="13"/>
      <c r="F110" s="45"/>
      <c r="K110" s="45"/>
      <c r="L110" s="45"/>
      <c r="M110" s="45"/>
    </row>
    <row r="111" spans="1:17" x14ac:dyDescent="0.3">
      <c r="B111" s="13"/>
      <c r="F111" s="45"/>
      <c r="K111" s="45"/>
      <c r="L111" s="45"/>
      <c r="M111" s="45"/>
    </row>
    <row r="112" spans="1:17" x14ac:dyDescent="0.3">
      <c r="B112" s="15"/>
      <c r="F112" s="45"/>
      <c r="K112" s="47"/>
      <c r="L112" s="45"/>
      <c r="M112" s="47"/>
      <c r="N112" s="18"/>
    </row>
    <row r="113" spans="6:13" x14ac:dyDescent="0.3">
      <c r="F113" s="45"/>
      <c r="K113" s="45"/>
      <c r="L113" s="45"/>
      <c r="M113" s="45"/>
    </row>
    <row r="114" spans="6:13" x14ac:dyDescent="0.3">
      <c r="F114" s="45"/>
      <c r="K114" s="45"/>
      <c r="L114" s="45"/>
      <c r="M114" s="45"/>
    </row>
    <row r="115" spans="6:13" x14ac:dyDescent="0.3">
      <c r="F115" s="45"/>
      <c r="G115" s="45"/>
      <c r="H115" s="44"/>
      <c r="I115" s="45"/>
      <c r="J115" s="45"/>
      <c r="K115" s="45"/>
      <c r="L115" s="45"/>
      <c r="M115" s="45"/>
    </row>
    <row r="116" spans="6:13" x14ac:dyDescent="0.3">
      <c r="H116" s="12"/>
    </row>
    <row r="118" spans="6:13" x14ac:dyDescent="0.3">
      <c r="H118" s="39"/>
      <c r="M118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zoomScale="85" zoomScaleNormal="85" workbookViewId="0">
      <selection activeCell="B17" sqref="B17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6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101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102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0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93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5"/>
      <c r="G10" s="45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3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72809</v>
      </c>
    </row>
    <row r="15" spans="1:16" x14ac:dyDescent="0.3">
      <c r="A15" s="2" t="s">
        <v>7</v>
      </c>
    </row>
    <row r="16" spans="1:16" x14ac:dyDescent="0.3">
      <c r="A16" s="3" t="s">
        <v>8</v>
      </c>
    </row>
    <row r="17" spans="1:14" x14ac:dyDescent="0.3">
      <c r="A17" s="21"/>
      <c r="B17" s="91" t="s">
        <v>20</v>
      </c>
      <c r="C17" s="21"/>
      <c r="D17" s="21"/>
      <c r="E17" s="21"/>
      <c r="F17" s="91"/>
      <c r="G17" s="21"/>
      <c r="H17" s="21"/>
      <c r="I17" s="21"/>
    </row>
    <row r="18" spans="1:14" ht="15.6" x14ac:dyDescent="0.3">
      <c r="A18" s="21" t="s">
        <v>9</v>
      </c>
      <c r="B18" s="50">
        <v>0</v>
      </c>
      <c r="C18" s="26">
        <v>45282</v>
      </c>
      <c r="D18" s="92">
        <v>0.15</v>
      </c>
      <c r="E18" s="21"/>
      <c r="F18" s="50"/>
      <c r="G18" s="26"/>
      <c r="H18" s="92"/>
      <c r="I18" s="26"/>
      <c r="J18" s="6"/>
      <c r="K18" s="6"/>
      <c r="L18" s="4"/>
      <c r="M18" s="5"/>
      <c r="N18" s="6"/>
    </row>
    <row r="19" spans="1:14" ht="15.6" x14ac:dyDescent="0.3">
      <c r="A19" s="21" t="s">
        <v>10</v>
      </c>
      <c r="B19" s="26">
        <f>C18</f>
        <v>45282</v>
      </c>
      <c r="C19" s="26">
        <v>90563</v>
      </c>
      <c r="D19" s="64">
        <v>0.20499999999999999</v>
      </c>
      <c r="E19" s="21"/>
      <c r="F19" s="26"/>
      <c r="G19" s="26"/>
      <c r="H19" s="64"/>
      <c r="I19" s="26"/>
      <c r="J19" s="7"/>
      <c r="K19" s="7"/>
      <c r="L19" s="5"/>
      <c r="M19" s="5"/>
      <c r="N19" s="7"/>
    </row>
    <row r="20" spans="1:14" ht="15.6" x14ac:dyDescent="0.3">
      <c r="A20" s="21" t="s">
        <v>10</v>
      </c>
      <c r="B20" s="26">
        <f>C19</f>
        <v>90563</v>
      </c>
      <c r="C20" s="26">
        <v>140388</v>
      </c>
      <c r="D20" s="64">
        <v>0.26</v>
      </c>
      <c r="E20" s="21"/>
      <c r="F20" s="26"/>
      <c r="G20" s="26"/>
      <c r="H20" s="64"/>
      <c r="I20" s="26"/>
      <c r="J20" s="7"/>
      <c r="K20" s="7"/>
      <c r="L20" s="5"/>
      <c r="M20" s="5"/>
      <c r="N20" s="7"/>
    </row>
    <row r="21" spans="1:14" ht="15.6" x14ac:dyDescent="0.3">
      <c r="A21" s="21" t="s">
        <v>10</v>
      </c>
      <c r="B21" s="26">
        <f>C20</f>
        <v>140388</v>
      </c>
      <c r="C21" s="26">
        <v>200000</v>
      </c>
      <c r="D21" s="64">
        <v>0.28999999999999998</v>
      </c>
      <c r="E21" s="21"/>
      <c r="F21" s="26"/>
      <c r="G21" s="26"/>
      <c r="H21" s="64"/>
      <c r="I21" s="93"/>
      <c r="J21" s="7"/>
      <c r="K21" s="7"/>
      <c r="L21" s="5"/>
      <c r="M21" s="5"/>
      <c r="N21" s="7"/>
    </row>
    <row r="22" spans="1:14" ht="15.6" x14ac:dyDescent="0.3">
      <c r="A22" s="21"/>
      <c r="B22" s="26">
        <f>C21</f>
        <v>200000</v>
      </c>
      <c r="C22" s="21"/>
      <c r="D22" s="64">
        <v>0.33</v>
      </c>
      <c r="E22" s="21"/>
      <c r="F22" s="26"/>
      <c r="G22" s="21"/>
      <c r="H22" s="64"/>
      <c r="I22" s="50"/>
      <c r="J22" s="7"/>
      <c r="K22" s="7"/>
      <c r="L22" s="5"/>
      <c r="N22" s="7"/>
    </row>
    <row r="23" spans="1:14" x14ac:dyDescent="0.3">
      <c r="A23" s="21"/>
      <c r="B23" s="21"/>
      <c r="C23" s="91"/>
      <c r="D23" s="21"/>
      <c r="E23" s="21"/>
      <c r="F23" s="21"/>
      <c r="G23" s="21"/>
      <c r="H23" s="12"/>
      <c r="I23" s="21"/>
    </row>
    <row r="24" spans="1:14" ht="15.6" x14ac:dyDescent="0.3">
      <c r="A24" s="21" t="s">
        <v>38</v>
      </c>
      <c r="B24" s="26">
        <v>11474</v>
      </c>
      <c r="C24" s="26"/>
      <c r="D24" s="21"/>
      <c r="E24" s="21"/>
      <c r="F24" s="21"/>
      <c r="G24" s="50"/>
      <c r="H24" s="12"/>
      <c r="I24" s="21"/>
    </row>
    <row r="25" spans="1:14" x14ac:dyDescent="0.3">
      <c r="A25" s="21"/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91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31" t="s">
        <v>93</v>
      </c>
      <c r="B27" s="91" t="s">
        <v>20</v>
      </c>
      <c r="C27" s="21"/>
      <c r="D27" s="21"/>
      <c r="E27" s="21"/>
      <c r="F27" s="91"/>
      <c r="G27" s="21"/>
      <c r="H27" s="21"/>
      <c r="I27" s="68"/>
      <c r="J27" s="10"/>
      <c r="K27" s="24"/>
    </row>
    <row r="28" spans="1:14" ht="15.6" x14ac:dyDescent="0.3">
      <c r="A28" s="21" t="s">
        <v>9</v>
      </c>
      <c r="B28" s="21">
        <v>0</v>
      </c>
      <c r="C28" s="26">
        <v>43176</v>
      </c>
      <c r="D28" s="64">
        <v>0.04</v>
      </c>
      <c r="E28" s="21"/>
      <c r="F28" s="21"/>
      <c r="G28" s="26"/>
      <c r="H28" s="64"/>
      <c r="I28" s="26"/>
      <c r="J28" s="7"/>
    </row>
    <row r="29" spans="1:14" ht="15.6" x14ac:dyDescent="0.3">
      <c r="A29" s="21" t="s">
        <v>10</v>
      </c>
      <c r="B29" s="26">
        <f>C28</f>
        <v>43176</v>
      </c>
      <c r="C29" s="26">
        <v>86351</v>
      </c>
      <c r="D29" s="64">
        <v>7.0000000000000007E-2</v>
      </c>
      <c r="E29" s="21"/>
      <c r="F29" s="26"/>
      <c r="G29" s="26"/>
      <c r="H29" s="64"/>
      <c r="I29" s="26"/>
      <c r="J29" s="23"/>
      <c r="K29" s="18"/>
      <c r="L29" s="15"/>
    </row>
    <row r="30" spans="1:14" ht="15.6" x14ac:dyDescent="0.3">
      <c r="A30" s="21" t="s">
        <v>10</v>
      </c>
      <c r="B30" s="26">
        <f>C29</f>
        <v>86351</v>
      </c>
      <c r="C30" s="26">
        <v>140388</v>
      </c>
      <c r="D30" s="64">
        <v>0.09</v>
      </c>
      <c r="E30" s="21"/>
      <c r="F30" s="26"/>
      <c r="G30" s="26"/>
      <c r="H30" s="64"/>
      <c r="I30" s="50"/>
      <c r="J30" s="23"/>
      <c r="K30" s="4"/>
      <c r="L30" s="13"/>
      <c r="N30" s="18"/>
    </row>
    <row r="31" spans="1:14" ht="15.6" x14ac:dyDescent="0.3">
      <c r="A31" s="21" t="s">
        <v>10</v>
      </c>
      <c r="B31" s="26">
        <f>C30</f>
        <v>140388</v>
      </c>
      <c r="C31" s="26"/>
      <c r="D31" s="64">
        <v>0.115</v>
      </c>
      <c r="E31" s="21"/>
      <c r="F31" s="26"/>
      <c r="G31" s="26"/>
      <c r="H31" s="64"/>
      <c r="I31" s="50"/>
      <c r="J31" s="23"/>
      <c r="K31" s="4"/>
      <c r="L31" s="13"/>
      <c r="N31" s="4"/>
    </row>
    <row r="32" spans="1:14" x14ac:dyDescent="0.3">
      <c r="A32" s="21"/>
      <c r="B32" s="21"/>
      <c r="C32" s="91"/>
      <c r="D32" s="21"/>
      <c r="E32" s="21"/>
      <c r="F32" s="21"/>
      <c r="G32" s="21"/>
      <c r="H32" s="43"/>
      <c r="I32" s="50"/>
      <c r="J32" s="25"/>
      <c r="K32" s="16"/>
      <c r="L32" s="25"/>
    </row>
    <row r="33" spans="1:12" ht="15.6" x14ac:dyDescent="0.3">
      <c r="A33" s="21" t="s">
        <v>36</v>
      </c>
      <c r="B33" s="26">
        <v>12947</v>
      </c>
      <c r="C33" s="26"/>
      <c r="D33" s="21"/>
      <c r="E33" s="21"/>
      <c r="F33" s="21"/>
      <c r="G33" s="21"/>
      <c r="H33" s="43"/>
      <c r="I33" s="50"/>
      <c r="J33" s="25"/>
      <c r="K33" s="16"/>
      <c r="L33" s="25"/>
    </row>
    <row r="34" spans="1:12" x14ac:dyDescent="0.3">
      <c r="A34" s="21"/>
      <c r="B34" s="50"/>
      <c r="C34" s="50"/>
      <c r="D34" s="21" t="s">
        <v>37</v>
      </c>
      <c r="E34" s="12"/>
      <c r="F34" s="94"/>
      <c r="G34" s="21"/>
      <c r="H34" s="20"/>
      <c r="I34" s="21"/>
    </row>
    <row r="35" spans="1:12" x14ac:dyDescent="0.3">
      <c r="B35" s="4"/>
      <c r="C35" s="4"/>
      <c r="E35" s="13"/>
      <c r="F35" s="42"/>
      <c r="H35" s="16"/>
    </row>
    <row r="36" spans="1:12" x14ac:dyDescent="0.3">
      <c r="A36" s="3" t="s">
        <v>99</v>
      </c>
      <c r="B36" s="4"/>
      <c r="C36" s="4"/>
    </row>
    <row r="37" spans="1:12" x14ac:dyDescent="0.3">
      <c r="A37" s="3"/>
      <c r="B37" s="4" t="s">
        <v>98</v>
      </c>
      <c r="C37" s="25" t="s">
        <v>109</v>
      </c>
    </row>
    <row r="38" spans="1:12" x14ac:dyDescent="0.3">
      <c r="A38" s="3"/>
      <c r="B38" t="s">
        <v>27</v>
      </c>
      <c r="C38" t="s">
        <v>28</v>
      </c>
    </row>
    <row r="39" spans="1:12" x14ac:dyDescent="0.3">
      <c r="A39" s="13"/>
      <c r="B39" s="18">
        <f>$B$12</f>
        <v>72809</v>
      </c>
      <c r="C39" s="18">
        <f>$B$12+$B$4-$B$54</f>
        <v>73659</v>
      </c>
    </row>
    <row r="40" spans="1:12" x14ac:dyDescent="0.3">
      <c r="B40" s="82">
        <v>0.02</v>
      </c>
      <c r="C40" s="82">
        <v>0.02</v>
      </c>
      <c r="I40" s="18"/>
    </row>
    <row r="41" spans="1:12" x14ac:dyDescent="0.3">
      <c r="B41" s="13">
        <f>B39*B40</f>
        <v>1456.18</v>
      </c>
      <c r="C41" s="13">
        <f>C39*C40</f>
        <v>1473.18</v>
      </c>
    </row>
    <row r="42" spans="1:12" x14ac:dyDescent="0.3">
      <c r="A42" s="13" t="s">
        <v>22</v>
      </c>
      <c r="B42" s="34">
        <v>1200</v>
      </c>
      <c r="C42" s="34">
        <v>1200</v>
      </c>
    </row>
    <row r="43" spans="1:12" x14ac:dyDescent="0.3">
      <c r="B43" s="18">
        <f>MIN(B41,B42)</f>
        <v>1200</v>
      </c>
      <c r="C43" s="18">
        <f>MIN(C41,C42)</f>
        <v>1200</v>
      </c>
    </row>
    <row r="44" spans="1:12" x14ac:dyDescent="0.3">
      <c r="A44" s="3"/>
      <c r="B44" s="4"/>
      <c r="C44" s="4"/>
    </row>
    <row r="45" spans="1:12" x14ac:dyDescent="0.3">
      <c r="A45" s="27" t="s">
        <v>99</v>
      </c>
      <c r="B45" s="81">
        <f>C43-B43</f>
        <v>0</v>
      </c>
      <c r="C45" s="4"/>
    </row>
    <row r="46" spans="1:12" x14ac:dyDescent="0.3">
      <c r="B46" s="4"/>
      <c r="C46" s="4"/>
      <c r="E46" s="13"/>
      <c r="F46" s="42"/>
      <c r="H46" s="16"/>
    </row>
    <row r="47" spans="1:12" x14ac:dyDescent="0.3">
      <c r="A47" s="3" t="s">
        <v>103</v>
      </c>
      <c r="B47" s="4"/>
      <c r="C47" s="4"/>
    </row>
    <row r="48" spans="1:12" x14ac:dyDescent="0.3">
      <c r="A48" s="3"/>
      <c r="B48" s="4"/>
      <c r="C48" s="4"/>
    </row>
    <row r="49" spans="1:12" x14ac:dyDescent="0.3">
      <c r="A49" s="27" t="s">
        <v>104</v>
      </c>
      <c r="B49" s="4">
        <v>72809</v>
      </c>
      <c r="C49" s="4"/>
    </row>
    <row r="50" spans="1:12" x14ac:dyDescent="0.3">
      <c r="A50" s="27" t="s">
        <v>105</v>
      </c>
      <c r="B50" s="83">
        <v>0.15</v>
      </c>
      <c r="C50" s="4"/>
    </row>
    <row r="51" spans="1:12" x14ac:dyDescent="0.3">
      <c r="A51" s="3"/>
      <c r="B51" s="4"/>
      <c r="C51" s="4"/>
    </row>
    <row r="52" spans="1:12" ht="28.8" x14ac:dyDescent="0.3">
      <c r="A52" s="84" t="s">
        <v>106</v>
      </c>
      <c r="B52" s="4">
        <f>IF(B12&gt;B49,B4*B50,0)</f>
        <v>0</v>
      </c>
      <c r="C52" s="4"/>
    </row>
    <row r="53" spans="1:12" ht="28.8" x14ac:dyDescent="0.3">
      <c r="A53" s="84" t="s">
        <v>107</v>
      </c>
      <c r="B53" s="85">
        <f>IF(AND(B12&lt;=B49,(B4+B12)&gt;=B49),(B4+B12-B49)*B50,0)</f>
        <v>150</v>
      </c>
      <c r="C53" s="4"/>
    </row>
    <row r="54" spans="1:12" x14ac:dyDescent="0.3">
      <c r="A54" s="27" t="s">
        <v>108</v>
      </c>
      <c r="B54" s="4">
        <f>SUM(B52:B53)</f>
        <v>150</v>
      </c>
      <c r="C54" s="4"/>
    </row>
    <row r="55" spans="1:12" x14ac:dyDescent="0.3">
      <c r="B55" s="4"/>
      <c r="C55" s="4"/>
      <c r="E55" s="13"/>
      <c r="F55" s="42"/>
      <c r="H55" s="16"/>
    </row>
    <row r="56" spans="1:12" x14ac:dyDescent="0.3">
      <c r="A56" s="2" t="s">
        <v>12</v>
      </c>
      <c r="E56" s="35"/>
      <c r="F56" s="21"/>
      <c r="G56" s="4"/>
      <c r="H56" s="4"/>
      <c r="I56" s="16"/>
    </row>
    <row r="57" spans="1:12" x14ac:dyDescent="0.3">
      <c r="B57" s="11"/>
      <c r="C57" t="s">
        <v>13</v>
      </c>
      <c r="H57" s="35"/>
      <c r="J57" s="4"/>
      <c r="K57" s="4"/>
      <c r="L57" s="16"/>
    </row>
    <row r="58" spans="1:12" x14ac:dyDescent="0.3">
      <c r="H58" s="35"/>
      <c r="I58" s="18"/>
      <c r="J58" s="4"/>
      <c r="K58" s="4"/>
      <c r="L58" s="16"/>
    </row>
    <row r="59" spans="1:12" x14ac:dyDescent="0.3">
      <c r="A59" t="s">
        <v>19</v>
      </c>
      <c r="B59" s="17">
        <f>IF(AND((B4-B54+B12)&gt;=B18,(B4-B54+B12)&lt;=C18),(B4-B54)*D18,IF(AND((B4-B54+B12)&gt;B19,(B4-B54+B12)&lt;=C19),IF((B4-B54+B12-B19)&gt;(B4-B54),(B4-B54)*D19,((B4-B54+B12-B19)*D19)+((B4-B54-(B4-B54+B12-B19))*D18)),IF(AND((B4-B54+B12)&gt;B20,(B4-B54+B12)&lt;=C20),IF((B4-B54+B12-B20)&gt;(B4-B54),(B4-B54)*D20,IF((B4-B54+B12-B19)&gt;(B4-B54),(((B4-B54+B12-B20)*D20)+((B4-B54-(B4-B54+B12-B20))*D19)),((B4-B54+B12-B20)*D20)+((C19-B19)*D19)+((B4-B54-(B4-B54+B12-B19))*D18))),IF(AND((B4-B54+B12)&gt;B21,(B4-B54+B12)&lt;=C21),IF((B4-B54+B12-B21)&gt;(B4-B54),(B4-B54)*D21,IF((B4-B54+B12-B20)&gt;(B4-B54),((B4-B54+B12-B21)*D21)+(((B4-B54-(B4-B54+B12-B21))*D20)),IF((B4-B54+B12-B19)&gt;(B4-B54),(((B4-B54+B12-B21)*D21)+((C20-B20)*D20)+((B4-B54-(B4-B54+B12-B20))*D19)),((B4-B54+B12-B21)*D21)+((C20-B20)*D20)+((C19-B19)*D19)+((B4-B54-(B4-B54+B12-B19))*D18)))),IF((B4-B54+B12)&gt;B22,IF((B4-B54+B12-B22)&gt;(B4-B54),(B4-B54)*D22,IF((B4-B54+B12-B21)&gt;(B4-B54),(((B4-B54+B12-B22)*D22)+((B4-B54-(B4-B54+B12-B22))*D21)),IF((B4-B54+B12-B20)&gt;(B4-B54),(((B4-B54+B12-B22)*D22)+((C21-B21)*D21)+((B4-B54-(B4-B54+B12-B21))*D20)),IF((B4-B54+B12-B19)&gt;(B4-B54),(((B4-B54+B12-B22)*D22)+((C21-B21)*D21)+((C20-B20)*D20)+((B4-B54-(B4-B54+B12-B20))*D19)),((B4-B54+B12-B22)*D22)+((C21-B21)*D21)+((C20-B20)*D20)+((C19-B19)*D19)+((B4-B54-(B4-B54+B12-B19))*D18))))))))))</f>
        <v>174.25</v>
      </c>
      <c r="C59" t="s">
        <v>15</v>
      </c>
      <c r="H59" s="41"/>
      <c r="K59" s="4"/>
      <c r="L59" s="16"/>
    </row>
    <row r="60" spans="1:12" x14ac:dyDescent="0.3">
      <c r="B60" s="36">
        <f>-IF(B12&gt;=B24,0,IF(B12&lt;B24,IF((B12+B4-B54)&gt;B24,(B24-B12)*D18,(B4-B54)*D18)))</f>
        <v>0</v>
      </c>
      <c r="C60" t="s">
        <v>34</v>
      </c>
      <c r="H60" s="41"/>
      <c r="K60" s="4"/>
      <c r="L60" s="16"/>
    </row>
    <row r="61" spans="1:12" x14ac:dyDescent="0.3">
      <c r="B61" s="12">
        <f>IF(AND((B4-B54+B12)&gt;=B28,(B4-B54+B12)&lt;=C28),(B4-B54)*D28,IF(AND((B4-B54+B12)&gt;B29,(B4-B54+B12)&lt;=C29),IF((B4-B54+B12-B29)&gt;(B4-B54),(B4-B54)*D29,((B4-B54+B12-B29)*D29)+((B4-B54-(B4-B54+B12-B29))*D28)),IF(AND((B4-B54+B12)&gt;B30,(B4-B54+B12)&lt;=C30),IF((B4-B54+B12-B30)&gt;(B4-B54),(B4-B54)*D30,IF((B4-B54+B12-B29)&gt;(B4-B54),(((B4-B54+B12-B30)*D30)+((B4-B54-(B4-B54+B12-B30))*D29)),((B4-B54+B12-B30)*D30)+((C29-B29)*D29)+((B4-B54-(B4-B54+B12-B29))*D28))),IF((B4-B54+B12)&gt;B31,IF((B4-B54+B12-B31)&gt;(B4-B54),(B4-B54)*D31,IF((B4-B54+B12-B30)&gt;(B4-B54),(((B4-B54+B12-B31)*D31)+((B4-B54-(B4-B54+B12-B31))*D30)),IF((B4-B54+B12-B29)&gt;(B4-B54),(((B4-B54+B12-B31)*D31)+((C30-B30)*D30)+((B4-B54-(B4-B54+B12-B30))*D29)),((B4-B54+B12-B31)*D31)+((C30-B30)*D30)+((C29-B29)*D29)+((B4-B54-(B4-B54+B12-B29))*D28))))))))</f>
        <v>59.500000000000007</v>
      </c>
      <c r="C61" t="s">
        <v>16</v>
      </c>
    </row>
    <row r="62" spans="1:12" x14ac:dyDescent="0.3">
      <c r="B62" s="38">
        <f>-IF(B12&gt;=B33,0,IF(B12&lt;B33,IF((B12+B4-B54)&gt;B33,(B33-B12)*D28,(B4-B54)*D28)))</f>
        <v>0</v>
      </c>
      <c r="C62" t="s">
        <v>36</v>
      </c>
    </row>
    <row r="63" spans="1:12" x14ac:dyDescent="0.3">
      <c r="B63" s="38">
        <f>-B45</f>
        <v>0</v>
      </c>
      <c r="C63" t="s">
        <v>99</v>
      </c>
    </row>
    <row r="64" spans="1:12" x14ac:dyDescent="0.3">
      <c r="B64" s="87">
        <f>B54</f>
        <v>150</v>
      </c>
      <c r="C64" s="88" t="s">
        <v>103</v>
      </c>
    </row>
    <row r="65" spans="1:17" x14ac:dyDescent="0.3">
      <c r="A65" s="10" t="s">
        <v>21</v>
      </c>
      <c r="B65" s="43">
        <f>SUM(B59:B64)</f>
        <v>383.75</v>
      </c>
      <c r="F65" s="45"/>
      <c r="G65" s="45"/>
      <c r="H65" s="44"/>
      <c r="I65" s="45"/>
      <c r="J65" s="45"/>
      <c r="K65" s="47"/>
      <c r="L65" s="46"/>
      <c r="M65" s="45"/>
    </row>
    <row r="66" spans="1:17" x14ac:dyDescent="0.3">
      <c r="E66" s="18"/>
      <c r="F66" s="47"/>
      <c r="G66" s="45"/>
      <c r="H66" s="44"/>
      <c r="I66" s="47"/>
      <c r="J66" s="47"/>
      <c r="K66" s="45"/>
      <c r="L66" s="45"/>
      <c r="M66" s="45"/>
      <c r="Q66" s="15"/>
    </row>
    <row r="67" spans="1:17" x14ac:dyDescent="0.3">
      <c r="B67" s="13"/>
      <c r="F67" s="45"/>
      <c r="G67" s="45"/>
      <c r="H67" s="44"/>
      <c r="I67" s="45"/>
      <c r="J67" s="45"/>
      <c r="K67" s="45"/>
      <c r="L67" s="45"/>
      <c r="M67" s="45"/>
    </row>
    <row r="68" spans="1:17" x14ac:dyDescent="0.3">
      <c r="A68" s="19" t="s">
        <v>39</v>
      </c>
      <c r="B68" s="13"/>
      <c r="F68" s="45"/>
      <c r="G68" s="45"/>
      <c r="H68" s="44"/>
      <c r="I68" s="44"/>
      <c r="J68" s="47"/>
      <c r="K68" s="45"/>
      <c r="L68" s="45"/>
      <c r="M68" s="45"/>
    </row>
    <row r="69" spans="1:17" x14ac:dyDescent="0.3">
      <c r="A69" t="s">
        <v>113</v>
      </c>
      <c r="B69" s="13">
        <f>SUM(B59:B60)</f>
        <v>174.25</v>
      </c>
      <c r="F69" s="45"/>
      <c r="G69" s="45"/>
      <c r="H69" s="44"/>
      <c r="I69" s="45"/>
      <c r="J69" s="45"/>
      <c r="K69" s="45"/>
      <c r="L69" s="45"/>
      <c r="M69" s="45"/>
    </row>
    <row r="70" spans="1:17" x14ac:dyDescent="0.3">
      <c r="A70" t="s">
        <v>114</v>
      </c>
      <c r="B70" s="86">
        <f>SUM(B61:B62)</f>
        <v>59.500000000000007</v>
      </c>
      <c r="F70" s="45"/>
      <c r="G70" s="45"/>
      <c r="H70" s="44"/>
      <c r="I70" s="47"/>
      <c r="J70" s="47"/>
      <c r="K70" s="45"/>
      <c r="L70" s="45"/>
      <c r="M70" s="45"/>
    </row>
    <row r="71" spans="1:17" x14ac:dyDescent="0.3">
      <c r="A71" t="s">
        <v>115</v>
      </c>
      <c r="B71" s="86">
        <f>B63</f>
        <v>0</v>
      </c>
      <c r="F71" s="45"/>
      <c r="G71" s="45"/>
      <c r="H71" s="44"/>
      <c r="I71" s="47"/>
      <c r="J71" s="47"/>
      <c r="K71" s="45"/>
      <c r="L71" s="45"/>
      <c r="M71" s="45"/>
    </row>
    <row r="72" spans="1:17" x14ac:dyDescent="0.3">
      <c r="A72" s="89" t="s">
        <v>103</v>
      </c>
      <c r="B72" s="90">
        <f>B64</f>
        <v>150</v>
      </c>
      <c r="F72" s="45"/>
      <c r="G72" s="45"/>
      <c r="H72" s="44"/>
      <c r="I72" s="47"/>
      <c r="J72" s="47"/>
      <c r="K72" s="45"/>
      <c r="L72" s="45"/>
      <c r="M72" s="45"/>
    </row>
    <row r="73" spans="1:17" x14ac:dyDescent="0.3">
      <c r="B73" s="13">
        <f>SUM(B69:B72)</f>
        <v>383.75</v>
      </c>
      <c r="F73" s="45"/>
      <c r="G73" s="45"/>
      <c r="H73" s="44"/>
      <c r="I73" s="45"/>
      <c r="J73" s="45"/>
      <c r="K73" s="45"/>
      <c r="L73" s="45"/>
      <c r="M73" s="45"/>
    </row>
    <row r="74" spans="1:17" x14ac:dyDescent="0.3">
      <c r="B74" s="13"/>
      <c r="F74" s="45"/>
      <c r="G74" s="45"/>
      <c r="H74" s="44"/>
      <c r="I74" s="45"/>
      <c r="J74" s="45"/>
      <c r="K74" s="45"/>
      <c r="L74" s="45"/>
      <c r="M74" s="45"/>
    </row>
    <row r="75" spans="1:17" x14ac:dyDescent="0.3">
      <c r="B75" s="13"/>
      <c r="F75" s="45"/>
      <c r="G75" s="45"/>
      <c r="H75" s="44"/>
      <c r="I75" s="47"/>
      <c r="J75" s="47"/>
      <c r="K75" s="45"/>
      <c r="L75" s="45"/>
      <c r="M75" s="45"/>
    </row>
    <row r="76" spans="1:17" x14ac:dyDescent="0.3">
      <c r="B76" s="13"/>
      <c r="F76" s="45"/>
      <c r="G76" s="45"/>
      <c r="H76" s="44"/>
      <c r="I76" s="45"/>
      <c r="J76" s="45"/>
      <c r="K76" s="45"/>
      <c r="L76" s="45"/>
      <c r="M76" s="45"/>
    </row>
    <row r="77" spans="1:17" x14ac:dyDescent="0.3">
      <c r="B77" s="15"/>
      <c r="F77" s="45"/>
      <c r="G77" s="45"/>
      <c r="H77" s="48"/>
      <c r="I77" s="45"/>
      <c r="J77" s="45"/>
      <c r="K77" s="45"/>
      <c r="L77" s="45"/>
      <c r="M77" s="45"/>
    </row>
    <row r="78" spans="1:17" x14ac:dyDescent="0.3">
      <c r="F78" s="45"/>
      <c r="G78" s="45"/>
      <c r="H78" s="44"/>
      <c r="I78" s="45"/>
      <c r="J78" s="45"/>
      <c r="K78" s="45"/>
      <c r="L78" s="45"/>
      <c r="M78" s="45"/>
    </row>
    <row r="79" spans="1:17" x14ac:dyDescent="0.3">
      <c r="F79" s="45"/>
      <c r="G79" s="45"/>
      <c r="H79" s="44"/>
      <c r="I79" s="46"/>
      <c r="J79" s="46"/>
      <c r="K79" s="45"/>
      <c r="L79" s="45"/>
      <c r="M79" s="45"/>
    </row>
    <row r="80" spans="1:17" x14ac:dyDescent="0.3">
      <c r="F80" s="45"/>
      <c r="G80" s="45"/>
      <c r="H80" s="44"/>
      <c r="I80" s="45"/>
      <c r="J80" s="45"/>
      <c r="K80" s="45"/>
      <c r="L80" s="45"/>
      <c r="M80" s="45"/>
    </row>
    <row r="81" spans="8:13" x14ac:dyDescent="0.3">
      <c r="H81" s="12"/>
    </row>
    <row r="83" spans="8:13" x14ac:dyDescent="0.3">
      <c r="H83" s="39"/>
      <c r="M83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2016-11-14T23:59:32Z</dcterms:modified>
</cp:coreProperties>
</file>